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mc:AlternateContent xmlns:mc="http://schemas.openxmlformats.org/markup-compatibility/2006">
    <mc:Choice Requires="x15">
      <x15ac:absPath xmlns:x15ac="http://schemas.microsoft.com/office/spreadsheetml/2010/11/ac" url="E:\桌面\终末地计算器\"/>
    </mc:Choice>
  </mc:AlternateContent>
  <xr:revisionPtr revIDLastSave="0" documentId="13_ncr:1_{D1F7F66A-7D12-4692-B73D-D625234049F4}" xr6:coauthVersionLast="47" xr6:coauthVersionMax="47" xr10:uidLastSave="{00000000-0000-0000-0000-000000000000}"/>
  <bookViews>
    <workbookView xWindow="-108" yWindow="-108" windowWidth="23256" windowHeight="12456" firstSheet="2" activeTab="6" xr2:uid="{BB1D4978-1D48-49C9-BDE6-CCC30ED9F7A2}"/>
  </bookViews>
  <sheets>
    <sheet name="使用教程" sheetId="30" r:id="rId1"/>
    <sheet name="计算公式参考" sheetId="4" r:id="rId2"/>
    <sheet name="武器库" sheetId="9" r:id="rId3"/>
    <sheet name="994武器库" sheetId="22" state="hidden" r:id="rId4"/>
    <sheet name="拐力角色库" sheetId="25" r:id="rId5"/>
    <sheet name="先锋角色库" sheetId="38" r:id="rId6"/>
    <sheet name="主c角色库" sheetId="24" r:id="rId7"/>
    <sheet name="护甲库" sheetId="32" state="hidden" r:id="rId8"/>
    <sheet name="护手库" sheetId="33" state="hidden" r:id="rId9"/>
    <sheet name="配件库" sheetId="34" state="hidden" r:id="rId10"/>
    <sheet name="套装效果库" sheetId="35" state="hidden" r:id="rId11"/>
    <sheet name="计算器" sheetId="21" state="hidden" r:id="rId12"/>
    <sheet name="计算器模板" sheetId="28" r:id="rId13"/>
    <sheet name="计算器2" sheetId="37" state="hidden" r:id="rId14"/>
    <sheet name="Sheet2" sheetId="39" r:id="rId15"/>
    <sheet name="药物库" sheetId="10" r:id="rId16"/>
    <sheet name="版本信息" sheetId="29"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72" i="24" l="1" a="1"/>
  <c r="D372" i="24" s="1"/>
  <c r="E382" i="24"/>
  <c r="M70" i="38"/>
  <c r="V76" i="38" s="1"/>
  <c r="N87" i="25"/>
  <c r="N417" i="24"/>
  <c r="L123" i="39" s="1"/>
  <c r="A157" i="28"/>
  <c r="B157" i="28"/>
  <c r="C157" i="28"/>
  <c r="D157" i="28"/>
  <c r="E157" i="28"/>
  <c r="F157" i="28"/>
  <c r="G157" i="28"/>
  <c r="H157" i="28"/>
  <c r="I157" i="28"/>
  <c r="J157" i="28"/>
  <c r="K157" i="28"/>
  <c r="L157" i="28"/>
  <c r="M157" i="28"/>
  <c r="N157" i="28"/>
  <c r="O157" i="28"/>
  <c r="P157" i="28"/>
  <c r="Q157" i="28"/>
  <c r="R157" i="28"/>
  <c r="S157" i="28"/>
  <c r="T157" i="28"/>
  <c r="U157" i="28"/>
  <c r="V157" i="28"/>
  <c r="W157" i="28"/>
  <c r="X157" i="28"/>
  <c r="A158" i="28"/>
  <c r="B158" i="28"/>
  <c r="C158" i="28"/>
  <c r="D158" i="28"/>
  <c r="E158" i="28"/>
  <c r="F158" i="28"/>
  <c r="G158" i="28"/>
  <c r="H158" i="28"/>
  <c r="I158" i="28"/>
  <c r="J158" i="28"/>
  <c r="K158" i="28"/>
  <c r="L158" i="28"/>
  <c r="M158" i="28"/>
  <c r="N158" i="28"/>
  <c r="O158" i="28"/>
  <c r="P158" i="28"/>
  <c r="Q158" i="28"/>
  <c r="R158" i="28"/>
  <c r="S158" i="28"/>
  <c r="T158" i="28"/>
  <c r="U158" i="28"/>
  <c r="V158" i="28"/>
  <c r="W158" i="28"/>
  <c r="X158" i="28"/>
  <c r="A159" i="28"/>
  <c r="B159" i="28"/>
  <c r="C159" i="28"/>
  <c r="D159" i="28"/>
  <c r="E159" i="28"/>
  <c r="F159" i="28"/>
  <c r="G159" i="28"/>
  <c r="H159" i="28"/>
  <c r="I159" i="28"/>
  <c r="J159" i="28"/>
  <c r="K159" i="28"/>
  <c r="L159" i="28"/>
  <c r="M159" i="28"/>
  <c r="N159" i="28"/>
  <c r="O159" i="28"/>
  <c r="P159" i="28"/>
  <c r="Q159" i="28"/>
  <c r="R159" i="28"/>
  <c r="S159" i="28"/>
  <c r="T159" i="28"/>
  <c r="U159" i="28"/>
  <c r="V159" i="28"/>
  <c r="W159" i="28"/>
  <c r="X159" i="28"/>
  <c r="A160" i="28"/>
  <c r="B160" i="28"/>
  <c r="C160" i="28"/>
  <c r="D160" i="28"/>
  <c r="E160" i="28"/>
  <c r="F160" i="28"/>
  <c r="G160" i="28"/>
  <c r="H160" i="28"/>
  <c r="I160" i="28"/>
  <c r="J160" i="28"/>
  <c r="K160" i="28"/>
  <c r="L160" i="28"/>
  <c r="M160" i="28"/>
  <c r="N160" i="28"/>
  <c r="O160" i="28"/>
  <c r="P160" i="28"/>
  <c r="Q160" i="28"/>
  <c r="R160" i="28"/>
  <c r="S160" i="28"/>
  <c r="T160" i="28"/>
  <c r="U160" i="28"/>
  <c r="V160" i="28"/>
  <c r="W160" i="28"/>
  <c r="X160" i="28"/>
  <c r="A161" i="28"/>
  <c r="B161" i="28"/>
  <c r="C161" i="28"/>
  <c r="D161" i="28"/>
  <c r="E161" i="28"/>
  <c r="F161" i="28"/>
  <c r="G161" i="28"/>
  <c r="H161" i="28"/>
  <c r="I161" i="28"/>
  <c r="J161" i="28"/>
  <c r="K161" i="28"/>
  <c r="L161" i="28"/>
  <c r="M161" i="28"/>
  <c r="N161" i="28"/>
  <c r="O161" i="28"/>
  <c r="P161" i="28"/>
  <c r="Q161" i="28"/>
  <c r="R161" i="28"/>
  <c r="S161" i="28"/>
  <c r="T161" i="28"/>
  <c r="U161" i="28"/>
  <c r="V161" i="28"/>
  <c r="W161" i="28"/>
  <c r="X161" i="28"/>
  <c r="A162" i="28"/>
  <c r="B162" i="28"/>
  <c r="C162" i="28"/>
  <c r="D162" i="28"/>
  <c r="E162" i="28"/>
  <c r="F162" i="28"/>
  <c r="G162" i="28"/>
  <c r="H162" i="28"/>
  <c r="I162" i="28"/>
  <c r="J162" i="28"/>
  <c r="K162" i="28"/>
  <c r="L162" i="28"/>
  <c r="M162" i="28"/>
  <c r="N162" i="28"/>
  <c r="O162" i="28"/>
  <c r="P162" i="28"/>
  <c r="Q162" i="28"/>
  <c r="R162" i="28"/>
  <c r="S162" i="28"/>
  <c r="T162" i="28"/>
  <c r="U162" i="28"/>
  <c r="V162" i="28"/>
  <c r="W162" i="28"/>
  <c r="X162" i="28"/>
  <c r="A163" i="28"/>
  <c r="B163" i="28"/>
  <c r="C163" i="28"/>
  <c r="D163" i="28"/>
  <c r="E163" i="28"/>
  <c r="F163" i="28"/>
  <c r="G163" i="28"/>
  <c r="H163" i="28"/>
  <c r="I163" i="28"/>
  <c r="J163" i="28"/>
  <c r="K163" i="28"/>
  <c r="L163" i="28"/>
  <c r="M163" i="28"/>
  <c r="N163" i="28"/>
  <c r="O163" i="28"/>
  <c r="P163" i="28"/>
  <c r="Q163" i="28"/>
  <c r="R163" i="28"/>
  <c r="S163" i="28"/>
  <c r="T163" i="28"/>
  <c r="U163" i="28"/>
  <c r="V163" i="28"/>
  <c r="W163" i="28"/>
  <c r="X163" i="28"/>
  <c r="A164" i="28"/>
  <c r="B164" i="28"/>
  <c r="C164" i="28"/>
  <c r="D164" i="28"/>
  <c r="E164" i="28"/>
  <c r="F164" i="28"/>
  <c r="G164" i="28"/>
  <c r="H164" i="28"/>
  <c r="I164" i="28"/>
  <c r="J164" i="28"/>
  <c r="K164" i="28"/>
  <c r="L164" i="28"/>
  <c r="M164" i="28"/>
  <c r="N164" i="28"/>
  <c r="O164" i="28"/>
  <c r="P164" i="28"/>
  <c r="Q164" i="28"/>
  <c r="R164" i="28"/>
  <c r="S164" i="28"/>
  <c r="T164" i="28"/>
  <c r="U164" i="28"/>
  <c r="V164" i="28"/>
  <c r="W164" i="28"/>
  <c r="X164" i="28"/>
  <c r="A165" i="28"/>
  <c r="B165" i="28"/>
  <c r="C165" i="28"/>
  <c r="D165" i="28"/>
  <c r="E165" i="28"/>
  <c r="F165" i="28"/>
  <c r="G165" i="28"/>
  <c r="H165" i="28"/>
  <c r="I165" i="28"/>
  <c r="J165" i="28"/>
  <c r="K165" i="28"/>
  <c r="L165" i="28"/>
  <c r="M165" i="28"/>
  <c r="N165" i="28"/>
  <c r="O165" i="28"/>
  <c r="P165" i="28"/>
  <c r="Q165" i="28"/>
  <c r="R165" i="28"/>
  <c r="S165" i="28"/>
  <c r="T165" i="28"/>
  <c r="U165" i="28"/>
  <c r="V165" i="28"/>
  <c r="W165" i="28"/>
  <c r="X165" i="28"/>
  <c r="A166" i="28"/>
  <c r="B166" i="28"/>
  <c r="C166" i="28"/>
  <c r="D166" i="28"/>
  <c r="E166" i="28"/>
  <c r="F166" i="28"/>
  <c r="G166" i="28"/>
  <c r="H166" i="28"/>
  <c r="I166" i="28"/>
  <c r="J166" i="28"/>
  <c r="K166" i="28"/>
  <c r="L166" i="28"/>
  <c r="M166" i="28"/>
  <c r="N166" i="28"/>
  <c r="O166" i="28"/>
  <c r="P166" i="28"/>
  <c r="Q166" i="28"/>
  <c r="R166" i="28"/>
  <c r="S166" i="28"/>
  <c r="T166" i="28"/>
  <c r="U166" i="28"/>
  <c r="V166" i="28"/>
  <c r="W166" i="28"/>
  <c r="X166" i="28"/>
  <c r="A167" i="28"/>
  <c r="B167" i="28"/>
  <c r="C167" i="28"/>
  <c r="D167" i="28"/>
  <c r="E167" i="28"/>
  <c r="G167" i="28"/>
  <c r="H167" i="28"/>
  <c r="I167" i="28"/>
  <c r="J167" i="28"/>
  <c r="K167" i="28"/>
  <c r="L167" i="28"/>
  <c r="M167" i="28"/>
  <c r="N167" i="28"/>
  <c r="O167" i="28"/>
  <c r="P167" i="28"/>
  <c r="Q167" i="28"/>
  <c r="R167" i="28"/>
  <c r="S167" i="28"/>
  <c r="T167" i="28"/>
  <c r="U167" i="28"/>
  <c r="V167" i="28"/>
  <c r="W167" i="28"/>
  <c r="X167" i="28"/>
  <c r="A138" i="39"/>
  <c r="B138" i="39"/>
  <c r="H138" i="39"/>
  <c r="Q138" i="39"/>
  <c r="W138" i="39"/>
  <c r="X138" i="39"/>
  <c r="A139" i="39"/>
  <c r="B139" i="39"/>
  <c r="H139" i="39"/>
  <c r="Q139" i="39"/>
  <c r="W139" i="39"/>
  <c r="X139" i="39"/>
  <c r="A140" i="39"/>
  <c r="B140" i="39"/>
  <c r="H140" i="39"/>
  <c r="Q140" i="39"/>
  <c r="W140" i="39"/>
  <c r="X140" i="39"/>
  <c r="A141" i="39"/>
  <c r="B141" i="39"/>
  <c r="H141" i="39"/>
  <c r="Q141" i="39"/>
  <c r="W141" i="39"/>
  <c r="X141" i="39"/>
  <c r="A142" i="39"/>
  <c r="B142" i="39"/>
  <c r="H142" i="39"/>
  <c r="Q142" i="39"/>
  <c r="W142" i="39"/>
  <c r="X142" i="39"/>
  <c r="A143" i="39"/>
  <c r="B143" i="39"/>
  <c r="C143" i="39"/>
  <c r="D143" i="39"/>
  <c r="E143" i="39"/>
  <c r="F143" i="39"/>
  <c r="G143" i="39"/>
  <c r="H143" i="39"/>
  <c r="I143" i="39"/>
  <c r="J143" i="39"/>
  <c r="K143" i="39"/>
  <c r="L143" i="39"/>
  <c r="M143" i="39"/>
  <c r="N143" i="39"/>
  <c r="O143" i="39"/>
  <c r="P143" i="39"/>
  <c r="Q143" i="39"/>
  <c r="S143" i="39"/>
  <c r="T143" i="39"/>
  <c r="U143" i="39"/>
  <c r="V143" i="39"/>
  <c r="W143" i="39"/>
  <c r="X143" i="39"/>
  <c r="A144" i="39"/>
  <c r="B144" i="39"/>
  <c r="C144" i="39"/>
  <c r="D144" i="39"/>
  <c r="E144" i="39"/>
  <c r="F144" i="39"/>
  <c r="G144" i="39"/>
  <c r="H144" i="39"/>
  <c r="I144" i="39"/>
  <c r="J144" i="39"/>
  <c r="K144" i="39"/>
  <c r="L144" i="39"/>
  <c r="M144" i="39"/>
  <c r="N144" i="39"/>
  <c r="O144" i="39"/>
  <c r="P144" i="39"/>
  <c r="Q144" i="39"/>
  <c r="R144" i="39"/>
  <c r="T144" i="39"/>
  <c r="U144" i="39"/>
  <c r="V144" i="39"/>
  <c r="W144" i="39"/>
  <c r="X144" i="39"/>
  <c r="A145" i="39"/>
  <c r="B145" i="39"/>
  <c r="C145" i="39"/>
  <c r="D145" i="39"/>
  <c r="E145" i="39"/>
  <c r="F145" i="39"/>
  <c r="G145" i="39"/>
  <c r="H145" i="39"/>
  <c r="I145" i="39"/>
  <c r="J145" i="39"/>
  <c r="K145" i="39"/>
  <c r="L145" i="39"/>
  <c r="M145" i="39"/>
  <c r="N145" i="39"/>
  <c r="O145" i="39"/>
  <c r="P145" i="39"/>
  <c r="Q145" i="39"/>
  <c r="S145" i="39"/>
  <c r="T145" i="39"/>
  <c r="U145" i="39"/>
  <c r="V145" i="39"/>
  <c r="W145" i="39"/>
  <c r="X145" i="39"/>
  <c r="A146" i="39"/>
  <c r="B146" i="39"/>
  <c r="C146" i="39"/>
  <c r="D146" i="39"/>
  <c r="E146" i="39"/>
  <c r="F146" i="39"/>
  <c r="G146" i="39"/>
  <c r="H146" i="39"/>
  <c r="I146" i="39"/>
  <c r="J146" i="39"/>
  <c r="K146" i="39"/>
  <c r="L146" i="39"/>
  <c r="M146" i="39"/>
  <c r="N146" i="39"/>
  <c r="O146" i="39"/>
  <c r="P146" i="39"/>
  <c r="Q146" i="39"/>
  <c r="R146" i="39"/>
  <c r="S146" i="39"/>
  <c r="U146" i="39"/>
  <c r="V146" i="39"/>
  <c r="W146" i="39"/>
  <c r="X146" i="39"/>
  <c r="X137" i="39"/>
  <c r="W137" i="39"/>
  <c r="V137" i="39"/>
  <c r="U137" i="39"/>
  <c r="T137" i="39"/>
  <c r="S137" i="39"/>
  <c r="R137" i="39"/>
  <c r="Q137" i="39"/>
  <c r="P137" i="39"/>
  <c r="O137" i="39"/>
  <c r="N137" i="39"/>
  <c r="M137" i="39"/>
  <c r="K137" i="39"/>
  <c r="J137" i="39"/>
  <c r="I137" i="39"/>
  <c r="H137" i="39"/>
  <c r="G137" i="39"/>
  <c r="F137" i="39"/>
  <c r="E137" i="39"/>
  <c r="D137" i="39"/>
  <c r="C137" i="39"/>
  <c r="B137" i="39"/>
  <c r="A137" i="39"/>
  <c r="X136" i="39"/>
  <c r="W136" i="39"/>
  <c r="V136" i="39"/>
  <c r="U136" i="39"/>
  <c r="T136" i="39"/>
  <c r="S136" i="39"/>
  <c r="R136" i="39"/>
  <c r="Q136" i="39"/>
  <c r="P136" i="39"/>
  <c r="O136" i="39"/>
  <c r="N136" i="39"/>
  <c r="M136" i="39"/>
  <c r="L136" i="39"/>
  <c r="K136" i="39"/>
  <c r="J136" i="39"/>
  <c r="I136" i="39"/>
  <c r="H136" i="39"/>
  <c r="G136" i="39"/>
  <c r="F136" i="39"/>
  <c r="E136" i="39"/>
  <c r="C136" i="39"/>
  <c r="B136" i="39"/>
  <c r="A136" i="39"/>
  <c r="X135" i="39"/>
  <c r="W135" i="39"/>
  <c r="Q135" i="39"/>
  <c r="B135" i="39"/>
  <c r="A135" i="39"/>
  <c r="X134" i="39"/>
  <c r="W134" i="39"/>
  <c r="Q134" i="39"/>
  <c r="B134" i="39"/>
  <c r="A134" i="39"/>
  <c r="X133" i="39"/>
  <c r="W133" i="39"/>
  <c r="Q133" i="39"/>
  <c r="B133" i="39"/>
  <c r="A133" i="39"/>
  <c r="X132" i="39"/>
  <c r="W132" i="39"/>
  <c r="V132" i="39"/>
  <c r="U132" i="39"/>
  <c r="T132" i="39"/>
  <c r="S132" i="39"/>
  <c r="R132" i="39"/>
  <c r="Q132" i="39"/>
  <c r="P132" i="39"/>
  <c r="O132" i="39"/>
  <c r="N132" i="39"/>
  <c r="M132" i="39"/>
  <c r="K132" i="39"/>
  <c r="J132" i="39"/>
  <c r="I132" i="39"/>
  <c r="H132" i="39"/>
  <c r="G132" i="39"/>
  <c r="F132" i="39"/>
  <c r="E132" i="39"/>
  <c r="D132" i="39"/>
  <c r="C132" i="39"/>
  <c r="B132" i="39"/>
  <c r="A132" i="39"/>
  <c r="X131" i="39"/>
  <c r="W131" i="39"/>
  <c r="V131" i="39"/>
  <c r="U131" i="39"/>
  <c r="T131" i="39"/>
  <c r="S131" i="39"/>
  <c r="R131" i="39"/>
  <c r="Q131" i="39"/>
  <c r="P131" i="39"/>
  <c r="O131" i="39"/>
  <c r="N131" i="39"/>
  <c r="M131" i="39"/>
  <c r="L131" i="39"/>
  <c r="K131" i="39"/>
  <c r="J131" i="39"/>
  <c r="I131" i="39"/>
  <c r="H131" i="39"/>
  <c r="G131" i="39"/>
  <c r="F131" i="39"/>
  <c r="E131" i="39"/>
  <c r="C131" i="39"/>
  <c r="B131" i="39"/>
  <c r="A131" i="39"/>
  <c r="X130" i="39"/>
  <c r="W130" i="39"/>
  <c r="V130" i="39"/>
  <c r="U130" i="39"/>
  <c r="S130" i="39"/>
  <c r="R130" i="39"/>
  <c r="Q130" i="39"/>
  <c r="P130" i="39"/>
  <c r="O130" i="39"/>
  <c r="N130" i="39"/>
  <c r="M130" i="39"/>
  <c r="L130" i="39"/>
  <c r="K130" i="39"/>
  <c r="J130" i="39"/>
  <c r="I130" i="39"/>
  <c r="H130" i="39"/>
  <c r="G130" i="39"/>
  <c r="F130" i="39"/>
  <c r="E130" i="39"/>
  <c r="D130" i="39"/>
  <c r="C130" i="39"/>
  <c r="B130" i="39"/>
  <c r="A130" i="39"/>
  <c r="X129" i="39"/>
  <c r="W129" i="39"/>
  <c r="Q129" i="39"/>
  <c r="B129" i="39"/>
  <c r="A129" i="39"/>
  <c r="X128" i="39"/>
  <c r="W128" i="39"/>
  <c r="Q128" i="39"/>
  <c r="B128" i="39"/>
  <c r="A128" i="39"/>
  <c r="X127" i="39"/>
  <c r="W127" i="39"/>
  <c r="Q127" i="39"/>
  <c r="B127" i="39"/>
  <c r="A127" i="39"/>
  <c r="X126" i="39"/>
  <c r="W126" i="39"/>
  <c r="V126" i="39"/>
  <c r="U126" i="39"/>
  <c r="T126" i="39"/>
  <c r="S126" i="39"/>
  <c r="R126" i="39"/>
  <c r="Q126" i="39"/>
  <c r="P126" i="39"/>
  <c r="O126" i="39"/>
  <c r="N126" i="39"/>
  <c r="M126" i="39"/>
  <c r="K126" i="39"/>
  <c r="J126" i="39"/>
  <c r="I126" i="39"/>
  <c r="H126" i="39"/>
  <c r="G126" i="39"/>
  <c r="F126" i="39"/>
  <c r="E126" i="39"/>
  <c r="D126" i="39"/>
  <c r="C126" i="39"/>
  <c r="B126" i="39"/>
  <c r="A126" i="39"/>
  <c r="X125" i="39"/>
  <c r="W125" i="39"/>
  <c r="V125" i="39"/>
  <c r="U125" i="39"/>
  <c r="T125" i="39"/>
  <c r="S125" i="39"/>
  <c r="R125" i="39"/>
  <c r="Q125" i="39"/>
  <c r="P125" i="39"/>
  <c r="O125" i="39"/>
  <c r="N125" i="39"/>
  <c r="M125" i="39"/>
  <c r="K125" i="39"/>
  <c r="J125" i="39"/>
  <c r="I125" i="39"/>
  <c r="H125" i="39"/>
  <c r="G125" i="39"/>
  <c r="F125" i="39"/>
  <c r="E125" i="39"/>
  <c r="D125" i="39"/>
  <c r="C125" i="39"/>
  <c r="B125" i="39"/>
  <c r="A125" i="39"/>
  <c r="X124" i="39"/>
  <c r="W124" i="39"/>
  <c r="V124" i="39"/>
  <c r="U124" i="39"/>
  <c r="T124" i="39"/>
  <c r="S124" i="39"/>
  <c r="R124" i="39"/>
  <c r="Q124" i="39"/>
  <c r="P124" i="39"/>
  <c r="O124" i="39"/>
  <c r="N124" i="39"/>
  <c r="M124" i="39"/>
  <c r="K124" i="39"/>
  <c r="J124" i="39"/>
  <c r="I124" i="39"/>
  <c r="H124" i="39"/>
  <c r="G124" i="39"/>
  <c r="F124" i="39"/>
  <c r="E124" i="39"/>
  <c r="D124" i="39"/>
  <c r="C124" i="39"/>
  <c r="B124" i="39"/>
  <c r="A124" i="39"/>
  <c r="X123" i="39"/>
  <c r="W123" i="39"/>
  <c r="V123" i="39"/>
  <c r="U123" i="39"/>
  <c r="T123" i="39"/>
  <c r="S123" i="39"/>
  <c r="R123" i="39"/>
  <c r="Q123" i="39"/>
  <c r="P123" i="39"/>
  <c r="O123" i="39"/>
  <c r="N123" i="39"/>
  <c r="M123" i="39"/>
  <c r="K123" i="39"/>
  <c r="J123" i="39"/>
  <c r="I123" i="39"/>
  <c r="H123" i="39"/>
  <c r="G123" i="39"/>
  <c r="F123" i="39"/>
  <c r="E123" i="39"/>
  <c r="D123" i="39"/>
  <c r="C123" i="39"/>
  <c r="B123" i="39"/>
  <c r="A123" i="39"/>
  <c r="X122" i="39"/>
  <c r="W122" i="39"/>
  <c r="V122" i="39"/>
  <c r="U122" i="39"/>
  <c r="T122" i="39"/>
  <c r="S122" i="39"/>
  <c r="R122" i="39"/>
  <c r="Q122" i="39"/>
  <c r="P122" i="39"/>
  <c r="O122" i="39"/>
  <c r="N122" i="39"/>
  <c r="M122" i="39"/>
  <c r="K122" i="39"/>
  <c r="J122" i="39"/>
  <c r="I122" i="39"/>
  <c r="H122" i="39"/>
  <c r="G122" i="39"/>
  <c r="F122" i="39"/>
  <c r="E122" i="39"/>
  <c r="D122" i="39"/>
  <c r="C122" i="39"/>
  <c r="B122" i="39"/>
  <c r="A122" i="39"/>
  <c r="X121" i="39"/>
  <c r="W121" i="39"/>
  <c r="V121" i="39"/>
  <c r="U121" i="39"/>
  <c r="T121" i="39"/>
  <c r="S121" i="39"/>
  <c r="R121" i="39"/>
  <c r="Q121" i="39"/>
  <c r="P121" i="39"/>
  <c r="O121" i="39"/>
  <c r="N121" i="39"/>
  <c r="M121" i="39"/>
  <c r="K121" i="39"/>
  <c r="J121" i="39"/>
  <c r="I121" i="39"/>
  <c r="H121" i="39"/>
  <c r="G121" i="39"/>
  <c r="F121" i="39"/>
  <c r="E121" i="39"/>
  <c r="D121" i="39"/>
  <c r="C121" i="39"/>
  <c r="B121" i="39"/>
  <c r="A121" i="39"/>
  <c r="X120" i="39"/>
  <c r="W120" i="39"/>
  <c r="V120" i="39"/>
  <c r="U120" i="39"/>
  <c r="T120" i="39"/>
  <c r="S120" i="39"/>
  <c r="R120" i="39"/>
  <c r="Q120" i="39"/>
  <c r="P120" i="39"/>
  <c r="O120" i="39"/>
  <c r="N120" i="39"/>
  <c r="M120" i="39"/>
  <c r="K120" i="39"/>
  <c r="J120" i="39"/>
  <c r="I120" i="39"/>
  <c r="H120" i="39"/>
  <c r="G120" i="39"/>
  <c r="F120" i="39"/>
  <c r="E120" i="39"/>
  <c r="D120" i="39"/>
  <c r="C120" i="39"/>
  <c r="B120" i="39"/>
  <c r="A120" i="39"/>
  <c r="X119" i="39"/>
  <c r="W119" i="39"/>
  <c r="V119" i="39"/>
  <c r="U119" i="39"/>
  <c r="T119" i="39"/>
  <c r="R119" i="39"/>
  <c r="Q119" i="39"/>
  <c r="P119" i="39"/>
  <c r="O119" i="39"/>
  <c r="N119" i="39"/>
  <c r="M119" i="39"/>
  <c r="L119" i="39"/>
  <c r="K119" i="39"/>
  <c r="J119" i="39"/>
  <c r="I119" i="39"/>
  <c r="H119" i="39"/>
  <c r="G119" i="39"/>
  <c r="F119" i="39"/>
  <c r="E119" i="39"/>
  <c r="D119" i="39"/>
  <c r="C119" i="39"/>
  <c r="B119" i="39"/>
  <c r="A119" i="39"/>
  <c r="X118" i="39"/>
  <c r="W118" i="39"/>
  <c r="V118" i="39"/>
  <c r="U118" i="39"/>
  <c r="S118" i="39"/>
  <c r="R118" i="39"/>
  <c r="Q118" i="39"/>
  <c r="P118" i="39"/>
  <c r="O118" i="39"/>
  <c r="N118" i="39"/>
  <c r="M118" i="39"/>
  <c r="L118" i="39"/>
  <c r="K118" i="39"/>
  <c r="J118" i="39"/>
  <c r="I118" i="39"/>
  <c r="H118" i="39"/>
  <c r="G118" i="39"/>
  <c r="F118" i="39"/>
  <c r="E118" i="39"/>
  <c r="D118" i="39"/>
  <c r="C118" i="39"/>
  <c r="B118" i="39"/>
  <c r="A118" i="39"/>
  <c r="X117" i="39"/>
  <c r="W117" i="39"/>
  <c r="V117" i="39"/>
  <c r="U117" i="39"/>
  <c r="S117" i="39"/>
  <c r="R117" i="39"/>
  <c r="Q117" i="39"/>
  <c r="P117" i="39"/>
  <c r="O117" i="39"/>
  <c r="N117" i="39"/>
  <c r="M117" i="39"/>
  <c r="L117" i="39"/>
  <c r="K117" i="39"/>
  <c r="J117" i="39"/>
  <c r="I117" i="39"/>
  <c r="H117" i="39"/>
  <c r="G117" i="39"/>
  <c r="F117" i="39"/>
  <c r="E117" i="39"/>
  <c r="D117" i="39"/>
  <c r="C117" i="39"/>
  <c r="B117" i="39"/>
  <c r="A117" i="39"/>
  <c r="X116" i="39"/>
  <c r="W116" i="39"/>
  <c r="Q116" i="39"/>
  <c r="B116" i="39"/>
  <c r="A116" i="39"/>
  <c r="X115" i="39"/>
  <c r="W115" i="39"/>
  <c r="Q115" i="39"/>
  <c r="B115" i="39"/>
  <c r="A115" i="39"/>
  <c r="X114" i="39"/>
  <c r="W114" i="39"/>
  <c r="Q114" i="39"/>
  <c r="B114" i="39"/>
  <c r="A114" i="39"/>
  <c r="X113" i="39"/>
  <c r="W113" i="39"/>
  <c r="Q113" i="39"/>
  <c r="B113" i="39"/>
  <c r="A113" i="39"/>
  <c r="X112" i="39"/>
  <c r="W112" i="39"/>
  <c r="Q112" i="39"/>
  <c r="B112" i="39"/>
  <c r="A112" i="39"/>
  <c r="X111" i="39"/>
  <c r="W111" i="39"/>
  <c r="Q111" i="39"/>
  <c r="B111" i="39"/>
  <c r="A111" i="39"/>
  <c r="X110" i="39"/>
  <c r="W110" i="39"/>
  <c r="Q110" i="39"/>
  <c r="B110" i="39"/>
  <c r="A110" i="39"/>
  <c r="X109" i="39"/>
  <c r="W109" i="39"/>
  <c r="V109" i="39"/>
  <c r="U109" i="39"/>
  <c r="T109" i="39"/>
  <c r="S109" i="39"/>
  <c r="R109" i="39"/>
  <c r="Q109" i="39"/>
  <c r="P109" i="39"/>
  <c r="O109" i="39"/>
  <c r="N109" i="39"/>
  <c r="M109" i="39"/>
  <c r="L109" i="39"/>
  <c r="K109" i="39"/>
  <c r="J109" i="39"/>
  <c r="I109" i="39"/>
  <c r="H109" i="39"/>
  <c r="G109" i="39"/>
  <c r="F109" i="39"/>
  <c r="E109" i="39"/>
  <c r="D109" i="39"/>
  <c r="C109" i="39"/>
  <c r="B109" i="39"/>
  <c r="A109" i="39"/>
  <c r="X108" i="39"/>
  <c r="W108" i="39"/>
  <c r="Q108" i="39"/>
  <c r="B108" i="39"/>
  <c r="A108" i="39"/>
  <c r="X107" i="39"/>
  <c r="W107" i="39"/>
  <c r="Q107" i="39"/>
  <c r="B107" i="39"/>
  <c r="A107" i="39"/>
  <c r="X106" i="39"/>
  <c r="W106" i="39"/>
  <c r="Q106" i="39"/>
  <c r="B106" i="39"/>
  <c r="A106" i="39"/>
  <c r="X105" i="39"/>
  <c r="W105" i="39"/>
  <c r="Q105" i="39"/>
  <c r="B105" i="39"/>
  <c r="A105" i="39"/>
  <c r="X104" i="39"/>
  <c r="W104" i="39"/>
  <c r="Q104" i="39"/>
  <c r="B104" i="39"/>
  <c r="A104" i="39"/>
  <c r="X103" i="39"/>
  <c r="W103" i="39"/>
  <c r="Q103" i="39"/>
  <c r="B103" i="39"/>
  <c r="A103" i="39"/>
  <c r="X102" i="39"/>
  <c r="W102" i="39"/>
  <c r="Q102" i="39"/>
  <c r="B102" i="39"/>
  <c r="A102" i="39"/>
  <c r="X101" i="39"/>
  <c r="W101" i="39"/>
  <c r="Q101" i="39"/>
  <c r="B101" i="39"/>
  <c r="A101" i="39"/>
  <c r="X100" i="39"/>
  <c r="W100" i="39"/>
  <c r="Q100" i="39"/>
  <c r="B100" i="39"/>
  <c r="A100" i="39"/>
  <c r="X99" i="39"/>
  <c r="W99" i="39"/>
  <c r="Q99" i="39"/>
  <c r="B99" i="39"/>
  <c r="A99" i="39"/>
  <c r="X98" i="39"/>
  <c r="W98" i="39"/>
  <c r="Q98" i="39"/>
  <c r="B98" i="39"/>
  <c r="A98" i="39"/>
  <c r="X97" i="39"/>
  <c r="W97" i="39"/>
  <c r="Q97" i="39"/>
  <c r="B97" i="39"/>
  <c r="A97" i="39"/>
  <c r="X96" i="39"/>
  <c r="W96" i="39"/>
  <c r="Q96" i="39"/>
  <c r="B96" i="39"/>
  <c r="A96" i="39"/>
  <c r="X95" i="39"/>
  <c r="W95" i="39"/>
  <c r="Q95" i="39"/>
  <c r="B95" i="39"/>
  <c r="A95" i="39"/>
  <c r="X94" i="39"/>
  <c r="W94" i="39"/>
  <c r="Q94" i="39"/>
  <c r="B94" i="39"/>
  <c r="A94" i="39"/>
  <c r="X93" i="39"/>
  <c r="W93" i="39"/>
  <c r="Q93" i="39"/>
  <c r="B93" i="39"/>
  <c r="A93" i="39"/>
  <c r="X92" i="39"/>
  <c r="W92" i="39"/>
  <c r="Q92" i="39"/>
  <c r="B92" i="39"/>
  <c r="A92" i="39"/>
  <c r="X91" i="39"/>
  <c r="W91" i="39"/>
  <c r="Q91" i="39"/>
  <c r="B91" i="39"/>
  <c r="A91" i="39"/>
  <c r="X90" i="39"/>
  <c r="W90" i="39"/>
  <c r="Q90" i="39"/>
  <c r="B90" i="39"/>
  <c r="A90" i="39"/>
  <c r="X89" i="39"/>
  <c r="W89" i="39"/>
  <c r="Q89" i="39"/>
  <c r="B89" i="39"/>
  <c r="A89" i="39"/>
  <c r="X88" i="39"/>
  <c r="W88" i="39"/>
  <c r="V88" i="39"/>
  <c r="T88" i="39"/>
  <c r="S88" i="39"/>
  <c r="R88" i="39"/>
  <c r="Q88" i="39"/>
  <c r="P88" i="39"/>
  <c r="O88" i="39"/>
  <c r="M88" i="39"/>
  <c r="K88" i="39"/>
  <c r="H88" i="39"/>
  <c r="E88" i="39"/>
  <c r="B88" i="39"/>
  <c r="A88" i="39"/>
  <c r="X87" i="39"/>
  <c r="W87" i="39"/>
  <c r="V87" i="39"/>
  <c r="U87" i="39"/>
  <c r="T87" i="39"/>
  <c r="S87" i="39"/>
  <c r="R87" i="39"/>
  <c r="Q87" i="39"/>
  <c r="P87" i="39"/>
  <c r="O87" i="39"/>
  <c r="N87" i="39"/>
  <c r="M87" i="39"/>
  <c r="L87" i="39"/>
  <c r="K87" i="39"/>
  <c r="J87" i="39"/>
  <c r="I87" i="39"/>
  <c r="H87" i="39"/>
  <c r="G87" i="39"/>
  <c r="F87" i="39"/>
  <c r="E87" i="39"/>
  <c r="D87" i="39"/>
  <c r="C87" i="39"/>
  <c r="AJ43" i="39" s="1" a="1"/>
  <c r="AJ43" i="39" s="1"/>
  <c r="B87" i="39"/>
  <c r="A87" i="39"/>
  <c r="X86" i="39"/>
  <c r="W86" i="39"/>
  <c r="V86" i="39"/>
  <c r="U86" i="39"/>
  <c r="T86" i="39"/>
  <c r="S86" i="39"/>
  <c r="R86" i="39"/>
  <c r="Q86" i="39"/>
  <c r="P86" i="39"/>
  <c r="O86" i="39"/>
  <c r="N86" i="39"/>
  <c r="M86" i="39"/>
  <c r="L86" i="39"/>
  <c r="K86" i="39"/>
  <c r="J86" i="39"/>
  <c r="I86" i="39"/>
  <c r="H86" i="39"/>
  <c r="G86" i="39"/>
  <c r="F86" i="39"/>
  <c r="E86" i="39"/>
  <c r="D86" i="39"/>
  <c r="C86" i="39"/>
  <c r="B86" i="39"/>
  <c r="A86" i="39"/>
  <c r="AQ57" i="39"/>
  <c r="AO57" i="39"/>
  <c r="AQ56" i="39"/>
  <c r="AO56" i="39"/>
  <c r="AQ55" i="39"/>
  <c r="AO55" i="39"/>
  <c r="AQ54" i="39"/>
  <c r="AO54" i="39"/>
  <c r="AQ53" i="39"/>
  <c r="AO53" i="39"/>
  <c r="AQ52" i="39"/>
  <c r="AO52" i="39"/>
  <c r="AQ51" i="39"/>
  <c r="AO51" i="39"/>
  <c r="AQ50" i="39"/>
  <c r="AO50" i="39"/>
  <c r="AQ49" i="39"/>
  <c r="AO49" i="39"/>
  <c r="AQ48" i="39"/>
  <c r="AO48" i="39"/>
  <c r="AQ47" i="39"/>
  <c r="AO47" i="39"/>
  <c r="AQ46" i="39"/>
  <c r="AO46" i="39"/>
  <c r="AQ45" i="39"/>
  <c r="AO45" i="39"/>
  <c r="AQ44" i="39"/>
  <c r="AO44" i="39"/>
  <c r="AQ43" i="39"/>
  <c r="AO43" i="39"/>
  <c r="AQ42" i="39"/>
  <c r="AO42" i="39"/>
  <c r="AQ41" i="39"/>
  <c r="AO41" i="39"/>
  <c r="AQ40" i="39"/>
  <c r="AO40" i="39"/>
  <c r="AQ39" i="39"/>
  <c r="AO39" i="39"/>
  <c r="AQ38" i="39"/>
  <c r="AO38" i="39"/>
  <c r="AQ37" i="39"/>
  <c r="AO37" i="39"/>
  <c r="AQ36" i="39"/>
  <c r="AO36" i="39"/>
  <c r="AQ35" i="39"/>
  <c r="AO35" i="39"/>
  <c r="AQ34" i="39"/>
  <c r="AO34" i="39"/>
  <c r="AQ33" i="39"/>
  <c r="AO33" i="39"/>
  <c r="AQ32" i="39"/>
  <c r="AO32" i="39"/>
  <c r="AQ31" i="39"/>
  <c r="AO31" i="39"/>
  <c r="AQ30" i="39"/>
  <c r="AO30" i="39"/>
  <c r="AQ29" i="39"/>
  <c r="AO29" i="39"/>
  <c r="AQ28" i="39"/>
  <c r="AO28" i="39"/>
  <c r="AQ27" i="39"/>
  <c r="AO27" i="39"/>
  <c r="AJ16" i="39"/>
  <c r="AQ15" i="39"/>
  <c r="AP15" i="39"/>
  <c r="AH15" i="39"/>
  <c r="AG15" i="39"/>
  <c r="AF15" i="39"/>
  <c r="AQ14" i="39"/>
  <c r="AP14" i="39"/>
  <c r="AH14" i="39"/>
  <c r="AG14" i="39"/>
  <c r="AF14" i="39"/>
  <c r="AF19" i="39" s="1"/>
  <c r="AQ12" i="39"/>
  <c r="AQ13" i="39" s="1"/>
  <c r="AP12" i="39"/>
  <c r="AP13" i="39" s="1"/>
  <c r="AH12" i="39"/>
  <c r="AH13" i="39" s="1"/>
  <c r="AG12" i="39"/>
  <c r="AG13" i="39" s="1"/>
  <c r="AF12" i="39"/>
  <c r="O12" i="39"/>
  <c r="O10" i="39"/>
  <c r="O8" i="39"/>
  <c r="O6" i="39"/>
  <c r="V213" i="25"/>
  <c r="T146" i="39" s="1"/>
  <c r="O192" i="25" a="1"/>
  <c r="O192" i="25" s="1"/>
  <c r="N192" i="25" a="1"/>
  <c r="N192" i="25" s="1"/>
  <c r="M192" i="25" a="1"/>
  <c r="M192" i="25" s="1"/>
  <c r="L192" i="25"/>
  <c r="X205" i="25"/>
  <c r="X206" i="25" s="1"/>
  <c r="X207" i="25" s="1"/>
  <c r="X208" i="25" s="1"/>
  <c r="X209" i="25" s="1"/>
  <c r="V142" i="39" s="1"/>
  <c r="W205" i="25"/>
  <c r="W206" i="25" s="1"/>
  <c r="W207" i="25" s="1"/>
  <c r="W208" i="25" s="1"/>
  <c r="W209" i="25" s="1"/>
  <c r="U142" i="39" s="1"/>
  <c r="V205" i="25"/>
  <c r="V206" i="25" s="1"/>
  <c r="V207" i="25" s="1"/>
  <c r="V208" i="25" s="1"/>
  <c r="V209" i="25" s="1"/>
  <c r="T142" i="39" s="1"/>
  <c r="U205" i="25"/>
  <c r="U206" i="25" s="1"/>
  <c r="U207" i="25" s="1"/>
  <c r="U208" i="25" s="1"/>
  <c r="U209" i="25" s="1"/>
  <c r="S142" i="39" s="1"/>
  <c r="T205" i="25"/>
  <c r="R138" i="39" s="1"/>
  <c r="R205" i="25"/>
  <c r="Q205" i="25"/>
  <c r="P205" i="25"/>
  <c r="N138" i="39" s="1"/>
  <c r="O205" i="25"/>
  <c r="O206" i="25" s="1"/>
  <c r="O207" i="25" s="1"/>
  <c r="O208" i="25" s="1"/>
  <c r="O209" i="25" s="1"/>
  <c r="M142" i="39" s="1"/>
  <c r="N205" i="25"/>
  <c r="N206" i="25" s="1"/>
  <c r="N207" i="25" s="1"/>
  <c r="N208" i="25" s="1"/>
  <c r="N209" i="25" s="1"/>
  <c r="L142" i="39" s="1"/>
  <c r="M205" i="25"/>
  <c r="L205" i="25"/>
  <c r="L206" i="25" s="1"/>
  <c r="L207" i="25" s="1"/>
  <c r="L208" i="25" s="1"/>
  <c r="L209" i="25" s="1"/>
  <c r="J142" i="39" s="1"/>
  <c r="K205" i="25"/>
  <c r="K206" i="25" s="1"/>
  <c r="K207" i="25" s="1"/>
  <c r="K208" i="25" s="1"/>
  <c r="K209" i="25" s="1"/>
  <c r="I142" i="39" s="1"/>
  <c r="G205" i="25"/>
  <c r="E138" i="39" s="1"/>
  <c r="F205" i="25"/>
  <c r="F206" i="25" s="1"/>
  <c r="F207" i="25" s="1"/>
  <c r="F208" i="25" s="1"/>
  <c r="F209" i="25" s="1"/>
  <c r="D142" i="39" s="1"/>
  <c r="E205" i="25"/>
  <c r="E206" i="25" s="1"/>
  <c r="E207" i="25" s="1"/>
  <c r="C140" i="39" s="1"/>
  <c r="D192" i="25"/>
  <c r="C192" i="25"/>
  <c r="C186" i="25"/>
  <c r="G185" i="25"/>
  <c r="F185" i="25"/>
  <c r="E185" i="25"/>
  <c r="D185" i="25"/>
  <c r="C185" i="25"/>
  <c r="G184" i="25"/>
  <c r="F184" i="25"/>
  <c r="E184" i="25"/>
  <c r="D184" i="25"/>
  <c r="C184" i="25"/>
  <c r="G183" i="25"/>
  <c r="F183" i="25"/>
  <c r="E183" i="25"/>
  <c r="D183" i="25"/>
  <c r="C183" i="25"/>
  <c r="H181" i="25"/>
  <c r="C187" i="25" s="1"/>
  <c r="A138" i="28"/>
  <c r="B138" i="28"/>
  <c r="C138" i="28"/>
  <c r="D138" i="28"/>
  <c r="E138" i="28"/>
  <c r="F138" i="28"/>
  <c r="G138" i="28"/>
  <c r="H138" i="28"/>
  <c r="I138" i="28"/>
  <c r="J138" i="28"/>
  <c r="K138" i="28"/>
  <c r="L138" i="28"/>
  <c r="M138" i="28"/>
  <c r="N138" i="28"/>
  <c r="O138" i="28"/>
  <c r="P138" i="28"/>
  <c r="Q138" i="28"/>
  <c r="R138" i="28"/>
  <c r="S138" i="28"/>
  <c r="T138" i="28"/>
  <c r="U138" i="28"/>
  <c r="V138" i="28"/>
  <c r="W138" i="28"/>
  <c r="X138" i="28"/>
  <c r="A139" i="28"/>
  <c r="B139" i="28"/>
  <c r="C139" i="28"/>
  <c r="D139" i="28"/>
  <c r="E139" i="28"/>
  <c r="F139" i="28"/>
  <c r="G139" i="28"/>
  <c r="H139" i="28"/>
  <c r="I139" i="28"/>
  <c r="J139" i="28"/>
  <c r="K139" i="28"/>
  <c r="L139" i="28"/>
  <c r="M139" i="28"/>
  <c r="N139" i="28"/>
  <c r="O139" i="28"/>
  <c r="P139" i="28"/>
  <c r="Q139" i="28"/>
  <c r="R139" i="28"/>
  <c r="S139" i="28"/>
  <c r="T139" i="28"/>
  <c r="U139" i="28"/>
  <c r="V139" i="28"/>
  <c r="W139" i="28"/>
  <c r="X139" i="28"/>
  <c r="A140" i="28"/>
  <c r="B140" i="28"/>
  <c r="C140" i="28"/>
  <c r="D140" i="28"/>
  <c r="E140" i="28"/>
  <c r="F140" i="28"/>
  <c r="G140" i="28"/>
  <c r="H140" i="28"/>
  <c r="I140" i="28"/>
  <c r="J140" i="28"/>
  <c r="K140" i="28"/>
  <c r="L140" i="28"/>
  <c r="M140" i="28"/>
  <c r="N140" i="28"/>
  <c r="O140" i="28"/>
  <c r="P140" i="28"/>
  <c r="Q140" i="28"/>
  <c r="R140" i="28"/>
  <c r="S140" i="28"/>
  <c r="T140" i="28"/>
  <c r="U140" i="28"/>
  <c r="V140" i="28"/>
  <c r="W140" i="28"/>
  <c r="X140" i="28"/>
  <c r="A141" i="28"/>
  <c r="B141" i="28"/>
  <c r="C141" i="28"/>
  <c r="D141" i="28"/>
  <c r="E141" i="28"/>
  <c r="F141" i="28"/>
  <c r="G141" i="28"/>
  <c r="H141" i="28"/>
  <c r="I141" i="28"/>
  <c r="J141" i="28"/>
  <c r="K141" i="28"/>
  <c r="L141" i="28"/>
  <c r="M141" i="28"/>
  <c r="N141" i="28"/>
  <c r="O141" i="28"/>
  <c r="P141" i="28"/>
  <c r="Q141" i="28"/>
  <c r="S141" i="28"/>
  <c r="T141" i="28"/>
  <c r="U141" i="28"/>
  <c r="V141" i="28"/>
  <c r="W141" i="28"/>
  <c r="X141" i="28"/>
  <c r="A142" i="28"/>
  <c r="B142" i="28"/>
  <c r="C142" i="28"/>
  <c r="D142" i="28"/>
  <c r="E142" i="28"/>
  <c r="F142" i="28"/>
  <c r="G142" i="28"/>
  <c r="H142" i="28"/>
  <c r="I142" i="28"/>
  <c r="J142" i="28"/>
  <c r="K142" i="28"/>
  <c r="L142" i="28"/>
  <c r="M142" i="28"/>
  <c r="N142" i="28"/>
  <c r="O142" i="28"/>
  <c r="P142" i="28"/>
  <c r="Q142" i="28"/>
  <c r="S142" i="28"/>
  <c r="T142" i="28"/>
  <c r="U142" i="28"/>
  <c r="V142" i="28"/>
  <c r="W142" i="28"/>
  <c r="X142" i="28"/>
  <c r="A143" i="28"/>
  <c r="B143" i="28"/>
  <c r="C143" i="28"/>
  <c r="D143" i="28"/>
  <c r="E143" i="28"/>
  <c r="F143" i="28"/>
  <c r="G143" i="28"/>
  <c r="H143" i="28"/>
  <c r="I143" i="28"/>
  <c r="J143" i="28"/>
  <c r="K143" i="28"/>
  <c r="L143" i="28"/>
  <c r="M143" i="28"/>
  <c r="N143" i="28"/>
  <c r="O143" i="28"/>
  <c r="P143" i="28"/>
  <c r="Q143" i="28"/>
  <c r="S143" i="28"/>
  <c r="T143" i="28"/>
  <c r="U143" i="28"/>
  <c r="V143" i="28"/>
  <c r="W143" i="28"/>
  <c r="X143" i="28"/>
  <c r="A144" i="28"/>
  <c r="B144" i="28"/>
  <c r="C144" i="28"/>
  <c r="D144" i="28"/>
  <c r="E144" i="28"/>
  <c r="F144" i="28"/>
  <c r="G144" i="28"/>
  <c r="H144" i="28"/>
  <c r="I144" i="28"/>
  <c r="J144" i="28"/>
  <c r="K144" i="28"/>
  <c r="L144" i="28"/>
  <c r="M144" i="28"/>
  <c r="N144" i="28"/>
  <c r="O144" i="28"/>
  <c r="P144" i="28"/>
  <c r="Q144" i="28"/>
  <c r="S144" i="28"/>
  <c r="T144" i="28"/>
  <c r="U144" i="28"/>
  <c r="V144" i="28"/>
  <c r="W144" i="28"/>
  <c r="X144" i="28"/>
  <c r="A145" i="28"/>
  <c r="B145" i="28"/>
  <c r="C145" i="28"/>
  <c r="D145" i="28"/>
  <c r="E145" i="28"/>
  <c r="F145" i="28"/>
  <c r="G145" i="28"/>
  <c r="H145" i="28"/>
  <c r="I145" i="28"/>
  <c r="J145" i="28"/>
  <c r="K145" i="28"/>
  <c r="L145" i="28"/>
  <c r="M145" i="28"/>
  <c r="N145" i="28"/>
  <c r="O145" i="28"/>
  <c r="P145" i="28"/>
  <c r="Q145" i="28"/>
  <c r="S145" i="28"/>
  <c r="T145" i="28"/>
  <c r="U145" i="28"/>
  <c r="V145" i="28"/>
  <c r="W145" i="28"/>
  <c r="X145" i="28"/>
  <c r="A146" i="28"/>
  <c r="B146" i="28"/>
  <c r="C146" i="28"/>
  <c r="D146" i="28"/>
  <c r="E146" i="28"/>
  <c r="F146" i="28"/>
  <c r="G146" i="28"/>
  <c r="H146" i="28"/>
  <c r="I146" i="28"/>
  <c r="J146" i="28"/>
  <c r="K146" i="28"/>
  <c r="L146" i="28"/>
  <c r="M146" i="28"/>
  <c r="N146" i="28"/>
  <c r="O146" i="28"/>
  <c r="P146" i="28"/>
  <c r="Q146" i="28"/>
  <c r="R146" i="28"/>
  <c r="S146" i="28"/>
  <c r="T146" i="28"/>
  <c r="V146" i="28"/>
  <c r="W146" i="28"/>
  <c r="X146" i="28"/>
  <c r="A147" i="28"/>
  <c r="B147" i="28"/>
  <c r="C147" i="28"/>
  <c r="D147" i="28"/>
  <c r="E147" i="28"/>
  <c r="F147" i="28"/>
  <c r="G147" i="28"/>
  <c r="H147" i="28"/>
  <c r="I147" i="28"/>
  <c r="J147" i="28"/>
  <c r="K147" i="28"/>
  <c r="L147" i="28"/>
  <c r="M147" i="28"/>
  <c r="N147" i="28"/>
  <c r="O147" i="28"/>
  <c r="P147" i="28"/>
  <c r="Q147" i="28"/>
  <c r="R147" i="28"/>
  <c r="S147" i="28"/>
  <c r="T147" i="28"/>
  <c r="V147" i="28"/>
  <c r="W147" i="28"/>
  <c r="X147" i="28"/>
  <c r="A148" i="28"/>
  <c r="B148" i="28"/>
  <c r="C148" i="28"/>
  <c r="D148" i="28"/>
  <c r="E148" i="28"/>
  <c r="F148" i="28"/>
  <c r="G148" i="28"/>
  <c r="H148" i="28"/>
  <c r="I148" i="28"/>
  <c r="J148" i="28"/>
  <c r="K148" i="28"/>
  <c r="L148" i="28"/>
  <c r="M148" i="28"/>
  <c r="N148" i="28"/>
  <c r="O148" i="28"/>
  <c r="P148" i="28"/>
  <c r="Q148" i="28"/>
  <c r="R148" i="28"/>
  <c r="S148" i="28"/>
  <c r="T148" i="28"/>
  <c r="V148" i="28"/>
  <c r="W148" i="28"/>
  <c r="X148" i="28"/>
  <c r="A149" i="28"/>
  <c r="B149" i="28"/>
  <c r="C149" i="28"/>
  <c r="D149" i="28"/>
  <c r="E149" i="28"/>
  <c r="F149" i="28"/>
  <c r="G149" i="28"/>
  <c r="H149" i="28"/>
  <c r="I149" i="28"/>
  <c r="J149" i="28"/>
  <c r="K149" i="28"/>
  <c r="L149" i="28"/>
  <c r="M149" i="28"/>
  <c r="N149" i="28"/>
  <c r="O149" i="28"/>
  <c r="P149" i="28"/>
  <c r="Q149" i="28"/>
  <c r="R149" i="28"/>
  <c r="S149" i="28"/>
  <c r="T149" i="28"/>
  <c r="V149" i="28"/>
  <c r="W149" i="28"/>
  <c r="X149" i="28"/>
  <c r="A150" i="28"/>
  <c r="B150" i="28"/>
  <c r="C150" i="28"/>
  <c r="D150" i="28"/>
  <c r="E150" i="28"/>
  <c r="F150" i="28"/>
  <c r="G150" i="28"/>
  <c r="H150" i="28"/>
  <c r="I150" i="28"/>
  <c r="J150" i="28"/>
  <c r="K150" i="28"/>
  <c r="L150" i="28"/>
  <c r="M150" i="28"/>
  <c r="N150" i="28"/>
  <c r="O150" i="28"/>
  <c r="P150" i="28"/>
  <c r="Q150" i="28"/>
  <c r="R150" i="28"/>
  <c r="S150" i="28"/>
  <c r="T150" i="28"/>
  <c r="V150" i="28"/>
  <c r="W150" i="28"/>
  <c r="X150" i="28"/>
  <c r="A151" i="28"/>
  <c r="B151" i="28"/>
  <c r="C151" i="28"/>
  <c r="D151" i="28"/>
  <c r="E151" i="28"/>
  <c r="F151" i="28"/>
  <c r="G151" i="28"/>
  <c r="H151" i="28"/>
  <c r="I151" i="28"/>
  <c r="J151" i="28"/>
  <c r="K151" i="28"/>
  <c r="L151" i="28"/>
  <c r="M151" i="28"/>
  <c r="N151" i="28"/>
  <c r="O151" i="28"/>
  <c r="P151" i="28"/>
  <c r="Q151" i="28"/>
  <c r="R151" i="28"/>
  <c r="S151" i="28"/>
  <c r="T151" i="28"/>
  <c r="V151" i="28"/>
  <c r="W151" i="28"/>
  <c r="X151" i="28"/>
  <c r="A152" i="28"/>
  <c r="B152" i="28"/>
  <c r="C152" i="28"/>
  <c r="D152" i="28"/>
  <c r="E152" i="28"/>
  <c r="F152" i="28"/>
  <c r="G152" i="28"/>
  <c r="H152" i="28"/>
  <c r="I152" i="28"/>
  <c r="J152" i="28"/>
  <c r="K152" i="28"/>
  <c r="L152" i="28"/>
  <c r="M152" i="28"/>
  <c r="N152" i="28"/>
  <c r="O152" i="28"/>
  <c r="P152" i="28"/>
  <c r="Q152" i="28"/>
  <c r="R152" i="28"/>
  <c r="S152" i="28"/>
  <c r="T152" i="28"/>
  <c r="V152" i="28"/>
  <c r="W152" i="28"/>
  <c r="X152" i="28"/>
  <c r="A153" i="28"/>
  <c r="B153" i="28"/>
  <c r="C153" i="28"/>
  <c r="D153" i="28"/>
  <c r="E153" i="28"/>
  <c r="F153" i="28"/>
  <c r="G153" i="28"/>
  <c r="H153" i="28"/>
  <c r="I153" i="28"/>
  <c r="J153" i="28"/>
  <c r="K153" i="28"/>
  <c r="L153" i="28"/>
  <c r="M153" i="28"/>
  <c r="N153" i="28"/>
  <c r="O153" i="28"/>
  <c r="P153" i="28"/>
  <c r="Q153" i="28"/>
  <c r="R153" i="28"/>
  <c r="S153" i="28"/>
  <c r="T153" i="28"/>
  <c r="V153" i="28"/>
  <c r="W153" i="28"/>
  <c r="X153" i="28"/>
  <c r="A154" i="28"/>
  <c r="B154" i="28"/>
  <c r="C154" i="28"/>
  <c r="E154" i="28"/>
  <c r="F154" i="28"/>
  <c r="G154" i="28"/>
  <c r="H154" i="28"/>
  <c r="I154" i="28"/>
  <c r="J154" i="28"/>
  <c r="K154" i="28"/>
  <c r="L154" i="28"/>
  <c r="M154" i="28"/>
  <c r="N154" i="28"/>
  <c r="O154" i="28"/>
  <c r="P154" i="28"/>
  <c r="Q154" i="28"/>
  <c r="R154" i="28"/>
  <c r="S154" i="28"/>
  <c r="T154" i="28"/>
  <c r="U154" i="28"/>
  <c r="V154" i="28"/>
  <c r="W154" i="28"/>
  <c r="X154" i="28"/>
  <c r="A155" i="28"/>
  <c r="B155" i="28"/>
  <c r="C155" i="28"/>
  <c r="D155" i="28"/>
  <c r="E155" i="28"/>
  <c r="F155" i="28"/>
  <c r="G155" i="28"/>
  <c r="H155" i="28"/>
  <c r="I155" i="28"/>
  <c r="J155" i="28"/>
  <c r="K155" i="28"/>
  <c r="M155" i="28"/>
  <c r="N155" i="28"/>
  <c r="O155" i="28"/>
  <c r="P155" i="28"/>
  <c r="Q155" i="28"/>
  <c r="R155" i="28"/>
  <c r="S155" i="28"/>
  <c r="T155" i="28"/>
  <c r="U155" i="28"/>
  <c r="V155" i="28"/>
  <c r="W155" i="28"/>
  <c r="X155" i="28"/>
  <c r="A156" i="28"/>
  <c r="B156" i="28"/>
  <c r="C156" i="28"/>
  <c r="D156" i="28"/>
  <c r="E156" i="28"/>
  <c r="F156" i="28"/>
  <c r="G156" i="28"/>
  <c r="H156" i="28"/>
  <c r="I156" i="28"/>
  <c r="J156" i="28"/>
  <c r="K156" i="28"/>
  <c r="M156" i="28"/>
  <c r="N156" i="28"/>
  <c r="O156" i="28"/>
  <c r="P156" i="28"/>
  <c r="Q156" i="28"/>
  <c r="R156" i="28"/>
  <c r="S156" i="28"/>
  <c r="T156" i="28"/>
  <c r="U156" i="28"/>
  <c r="V156" i="28"/>
  <c r="W156" i="28"/>
  <c r="X156" i="28"/>
  <c r="O59" i="25" a="1"/>
  <c r="O59" i="25" s="1"/>
  <c r="C88" i="39"/>
  <c r="A133" i="28"/>
  <c r="B133" i="28"/>
  <c r="Q133" i="28"/>
  <c r="W133" i="28"/>
  <c r="X133" i="28"/>
  <c r="A134" i="28"/>
  <c r="B134" i="28"/>
  <c r="Q134" i="28"/>
  <c r="W134" i="28"/>
  <c r="X134" i="28"/>
  <c r="A135" i="28"/>
  <c r="B135" i="28"/>
  <c r="Q135" i="28"/>
  <c r="W135" i="28"/>
  <c r="X135" i="28"/>
  <c r="A136" i="28"/>
  <c r="B136" i="28"/>
  <c r="C136" i="28"/>
  <c r="E136" i="28"/>
  <c r="F136" i="28"/>
  <c r="G136" i="28"/>
  <c r="H136" i="28"/>
  <c r="I136" i="28"/>
  <c r="J136" i="28"/>
  <c r="K136" i="28"/>
  <c r="L136" i="28"/>
  <c r="M136" i="28"/>
  <c r="N136" i="28"/>
  <c r="O136" i="28"/>
  <c r="P136" i="28"/>
  <c r="Q136" i="28"/>
  <c r="R136" i="28"/>
  <c r="S136" i="28"/>
  <c r="T136" i="28"/>
  <c r="U136" i="28"/>
  <c r="V136" i="28"/>
  <c r="W136" i="28"/>
  <c r="X136" i="28"/>
  <c r="A137" i="28"/>
  <c r="B137" i="28"/>
  <c r="C137" i="28"/>
  <c r="D137" i="28"/>
  <c r="E137" i="28"/>
  <c r="F137" i="28"/>
  <c r="G137" i="28"/>
  <c r="H137" i="28"/>
  <c r="I137" i="28"/>
  <c r="J137" i="28"/>
  <c r="K137" i="28"/>
  <c r="M137" i="28"/>
  <c r="N137" i="28"/>
  <c r="O137" i="28"/>
  <c r="P137" i="28"/>
  <c r="Q137" i="28"/>
  <c r="R137" i="28"/>
  <c r="S137" i="28"/>
  <c r="T137" i="28"/>
  <c r="U137" i="28"/>
  <c r="V137" i="28"/>
  <c r="W137" i="28"/>
  <c r="X137" i="28"/>
  <c r="A127" i="28"/>
  <c r="B127" i="28"/>
  <c r="Q127" i="28"/>
  <c r="W127" i="28"/>
  <c r="X127" i="28"/>
  <c r="A128" i="28"/>
  <c r="B128" i="28"/>
  <c r="Q128" i="28"/>
  <c r="W128" i="28"/>
  <c r="X128" i="28"/>
  <c r="A129" i="28"/>
  <c r="B129" i="28"/>
  <c r="Q129" i="28"/>
  <c r="W129" i="28"/>
  <c r="X129" i="28"/>
  <c r="A130" i="28"/>
  <c r="B130" i="28"/>
  <c r="C130" i="28"/>
  <c r="D130" i="28"/>
  <c r="E130" i="28"/>
  <c r="F130" i="28"/>
  <c r="G130" i="28"/>
  <c r="H130" i="28"/>
  <c r="I130" i="28"/>
  <c r="J130" i="28"/>
  <c r="K130" i="28"/>
  <c r="L130" i="28"/>
  <c r="M130" i="28"/>
  <c r="N130" i="28"/>
  <c r="O130" i="28"/>
  <c r="P130" i="28"/>
  <c r="Q130" i="28"/>
  <c r="R130" i="28"/>
  <c r="S130" i="28"/>
  <c r="U130" i="28"/>
  <c r="V130" i="28"/>
  <c r="W130" i="28"/>
  <c r="X130" i="28"/>
  <c r="A131" i="28"/>
  <c r="B131" i="28"/>
  <c r="C131" i="28"/>
  <c r="E131" i="28"/>
  <c r="F131" i="28"/>
  <c r="G131" i="28"/>
  <c r="H131" i="28"/>
  <c r="I131" i="28"/>
  <c r="J131" i="28"/>
  <c r="K131" i="28"/>
  <c r="L131" i="28"/>
  <c r="M131" i="28"/>
  <c r="N131" i="28"/>
  <c r="O131" i="28"/>
  <c r="P131" i="28"/>
  <c r="Q131" i="28"/>
  <c r="R131" i="28"/>
  <c r="S131" i="28"/>
  <c r="T131" i="28"/>
  <c r="U131" i="28"/>
  <c r="V131" i="28"/>
  <c r="W131" i="28"/>
  <c r="X131" i="28"/>
  <c r="A132" i="28"/>
  <c r="B132" i="28"/>
  <c r="C132" i="28"/>
  <c r="D132" i="28"/>
  <c r="E132" i="28"/>
  <c r="F132" i="28"/>
  <c r="G132" i="28"/>
  <c r="H132" i="28"/>
  <c r="I132" i="28"/>
  <c r="J132" i="28"/>
  <c r="K132" i="28"/>
  <c r="M132" i="28"/>
  <c r="N132" i="28"/>
  <c r="O132" i="28"/>
  <c r="P132" i="28"/>
  <c r="Q132" i="28"/>
  <c r="R132" i="28"/>
  <c r="S132" i="28"/>
  <c r="T132" i="28"/>
  <c r="U132" i="28"/>
  <c r="V132" i="28"/>
  <c r="W132" i="28"/>
  <c r="X132" i="28"/>
  <c r="N168" i="25"/>
  <c r="L132" i="28" s="1"/>
  <c r="J164" i="25"/>
  <c r="H128" i="28" s="1"/>
  <c r="C142" i="25"/>
  <c r="A86" i="28"/>
  <c r="B86" i="28"/>
  <c r="C86" i="28"/>
  <c r="D86" i="28"/>
  <c r="E86" i="28"/>
  <c r="F86" i="28"/>
  <c r="G86" i="28"/>
  <c r="H86" i="28"/>
  <c r="I86" i="28"/>
  <c r="J86" i="28"/>
  <c r="K86" i="28"/>
  <c r="L86" i="28"/>
  <c r="M86" i="28"/>
  <c r="N86" i="28"/>
  <c r="O86" i="28"/>
  <c r="P86" i="28"/>
  <c r="Q86" i="28"/>
  <c r="R86" i="28"/>
  <c r="S86" i="28"/>
  <c r="T86" i="28"/>
  <c r="U86" i="28"/>
  <c r="V86" i="28"/>
  <c r="W86" i="28"/>
  <c r="X86" i="28"/>
  <c r="A87" i="28"/>
  <c r="B87" i="28"/>
  <c r="C87" i="28"/>
  <c r="D87" i="28"/>
  <c r="E87" i="28"/>
  <c r="F87" i="28"/>
  <c r="G87" i="28"/>
  <c r="H87" i="28"/>
  <c r="I87" i="28"/>
  <c r="J87" i="28"/>
  <c r="K87" i="28"/>
  <c r="L87" i="28"/>
  <c r="M87" i="28"/>
  <c r="N87" i="28"/>
  <c r="O87" i="28"/>
  <c r="P87" i="28"/>
  <c r="Q87" i="28"/>
  <c r="R87" i="28"/>
  <c r="S87" i="28"/>
  <c r="T87" i="28"/>
  <c r="U87" i="28"/>
  <c r="V87" i="28"/>
  <c r="W87" i="28"/>
  <c r="X87" i="28"/>
  <c r="A88" i="28"/>
  <c r="B88" i="28"/>
  <c r="C88" i="28"/>
  <c r="E88" i="28"/>
  <c r="H88" i="28"/>
  <c r="K88" i="28"/>
  <c r="M88" i="28"/>
  <c r="O88" i="28"/>
  <c r="P88" i="28"/>
  <c r="Q88" i="28"/>
  <c r="R88" i="28"/>
  <c r="S88" i="28"/>
  <c r="T88" i="28"/>
  <c r="V88" i="28"/>
  <c r="W88" i="28"/>
  <c r="X88" i="28"/>
  <c r="A89" i="28"/>
  <c r="B89" i="28"/>
  <c r="Q89" i="28"/>
  <c r="W89" i="28"/>
  <c r="X89" i="28"/>
  <c r="A90" i="28"/>
  <c r="B90" i="28"/>
  <c r="Q90" i="28"/>
  <c r="W90" i="28"/>
  <c r="X90" i="28"/>
  <c r="A91" i="28"/>
  <c r="B91" i="28"/>
  <c r="Q91" i="28"/>
  <c r="W91" i="28"/>
  <c r="X91" i="28"/>
  <c r="A92" i="28"/>
  <c r="B92" i="28"/>
  <c r="Q92" i="28"/>
  <c r="W92" i="28"/>
  <c r="X92" i="28"/>
  <c r="A93" i="28"/>
  <c r="B93" i="28"/>
  <c r="Q93" i="28"/>
  <c r="W93" i="28"/>
  <c r="X93" i="28"/>
  <c r="A94" i="28"/>
  <c r="B94" i="28"/>
  <c r="Q94" i="28"/>
  <c r="W94" i="28"/>
  <c r="X94" i="28"/>
  <c r="A95" i="28"/>
  <c r="B95" i="28"/>
  <c r="Q95" i="28"/>
  <c r="W95" i="28"/>
  <c r="X95" i="28"/>
  <c r="A96" i="28"/>
  <c r="B96" i="28"/>
  <c r="Q96" i="28"/>
  <c r="W96" i="28"/>
  <c r="X96" i="28"/>
  <c r="A97" i="28"/>
  <c r="B97" i="28"/>
  <c r="Q97" i="28"/>
  <c r="W97" i="28"/>
  <c r="X97" i="28"/>
  <c r="A98" i="28"/>
  <c r="B98" i="28"/>
  <c r="Q98" i="28"/>
  <c r="W98" i="28"/>
  <c r="X98" i="28"/>
  <c r="A99" i="28"/>
  <c r="B99" i="28"/>
  <c r="Q99" i="28"/>
  <c r="W99" i="28"/>
  <c r="X99" i="28"/>
  <c r="A100" i="28"/>
  <c r="B100" i="28"/>
  <c r="Q100" i="28"/>
  <c r="W100" i="28"/>
  <c r="X100" i="28"/>
  <c r="A101" i="28"/>
  <c r="B101" i="28"/>
  <c r="Q101" i="28"/>
  <c r="W101" i="28"/>
  <c r="X101" i="28"/>
  <c r="A102" i="28"/>
  <c r="B102" i="28"/>
  <c r="Q102" i="28"/>
  <c r="W102" i="28"/>
  <c r="X102" i="28"/>
  <c r="A103" i="28"/>
  <c r="B103" i="28"/>
  <c r="Q103" i="28"/>
  <c r="W103" i="28"/>
  <c r="X103" i="28"/>
  <c r="A104" i="28"/>
  <c r="B104" i="28"/>
  <c r="Q104" i="28"/>
  <c r="W104" i="28"/>
  <c r="X104" i="28"/>
  <c r="A105" i="28"/>
  <c r="B105" i="28"/>
  <c r="Q105" i="28"/>
  <c r="W105" i="28"/>
  <c r="X105" i="28"/>
  <c r="A106" i="28"/>
  <c r="B106" i="28"/>
  <c r="Q106" i="28"/>
  <c r="W106" i="28"/>
  <c r="X106" i="28"/>
  <c r="A107" i="28"/>
  <c r="B107" i="28"/>
  <c r="Q107" i="28"/>
  <c r="W107" i="28"/>
  <c r="X107" i="28"/>
  <c r="A108" i="28"/>
  <c r="B108" i="28"/>
  <c r="Q108" i="28"/>
  <c r="W108" i="28"/>
  <c r="X108" i="28"/>
  <c r="A109" i="28"/>
  <c r="B109" i="28"/>
  <c r="C109" i="28"/>
  <c r="D109" i="28"/>
  <c r="E109" i="28"/>
  <c r="F109" i="28"/>
  <c r="G109" i="28"/>
  <c r="H109" i="28"/>
  <c r="I109" i="28"/>
  <c r="J109" i="28"/>
  <c r="K109" i="28"/>
  <c r="L109" i="28"/>
  <c r="M109" i="28"/>
  <c r="N109" i="28"/>
  <c r="O109" i="28"/>
  <c r="P109" i="28"/>
  <c r="Q109" i="28"/>
  <c r="R109" i="28"/>
  <c r="S109" i="28"/>
  <c r="T109" i="28"/>
  <c r="U109" i="28"/>
  <c r="V109" i="28"/>
  <c r="W109" i="28"/>
  <c r="X109" i="28"/>
  <c r="A110" i="28"/>
  <c r="B110" i="28"/>
  <c r="Q110" i="28"/>
  <c r="W110" i="28"/>
  <c r="X110" i="28"/>
  <c r="A111" i="28"/>
  <c r="B111" i="28"/>
  <c r="Q111" i="28"/>
  <c r="W111" i="28"/>
  <c r="X111" i="28"/>
  <c r="A112" i="28"/>
  <c r="B112" i="28"/>
  <c r="Q112" i="28"/>
  <c r="W112" i="28"/>
  <c r="X112" i="28"/>
  <c r="A113" i="28"/>
  <c r="B113" i="28"/>
  <c r="Q113" i="28"/>
  <c r="W113" i="28"/>
  <c r="X113" i="28"/>
  <c r="A114" i="28"/>
  <c r="B114" i="28"/>
  <c r="Q114" i="28"/>
  <c r="W114" i="28"/>
  <c r="X114" i="28"/>
  <c r="A115" i="28"/>
  <c r="B115" i="28"/>
  <c r="Q115" i="28"/>
  <c r="W115" i="28"/>
  <c r="X115" i="28"/>
  <c r="A116" i="28"/>
  <c r="B116" i="28"/>
  <c r="Q116" i="28"/>
  <c r="W116" i="28"/>
  <c r="X116" i="28"/>
  <c r="A117" i="28"/>
  <c r="B117" i="28"/>
  <c r="C117" i="28"/>
  <c r="D117" i="28"/>
  <c r="E117" i="28"/>
  <c r="F117" i="28"/>
  <c r="G117" i="28"/>
  <c r="H117" i="28"/>
  <c r="I117" i="28"/>
  <c r="J117" i="28"/>
  <c r="K117" i="28"/>
  <c r="L117" i="28"/>
  <c r="M117" i="28"/>
  <c r="N117" i="28"/>
  <c r="O117" i="28"/>
  <c r="P117" i="28"/>
  <c r="Q117" i="28"/>
  <c r="R117" i="28"/>
  <c r="S117" i="28"/>
  <c r="U117" i="28"/>
  <c r="V117" i="28"/>
  <c r="W117" i="28"/>
  <c r="X117" i="28"/>
  <c r="A118" i="28"/>
  <c r="B118" i="28"/>
  <c r="C118" i="28"/>
  <c r="D118" i="28"/>
  <c r="E118" i="28"/>
  <c r="F118" i="28"/>
  <c r="G118" i="28"/>
  <c r="H118" i="28"/>
  <c r="I118" i="28"/>
  <c r="J118" i="28"/>
  <c r="K118" i="28"/>
  <c r="L118" i="28"/>
  <c r="M118" i="28"/>
  <c r="N118" i="28"/>
  <c r="O118" i="28"/>
  <c r="P118" i="28"/>
  <c r="Q118" i="28"/>
  <c r="R118" i="28"/>
  <c r="S118" i="28"/>
  <c r="U118" i="28"/>
  <c r="V118" i="28"/>
  <c r="W118" i="28"/>
  <c r="X118" i="28"/>
  <c r="A119" i="28"/>
  <c r="B119" i="28"/>
  <c r="C119" i="28"/>
  <c r="D119" i="28"/>
  <c r="E119" i="28"/>
  <c r="F119" i="28"/>
  <c r="G119" i="28"/>
  <c r="H119" i="28"/>
  <c r="I119" i="28"/>
  <c r="J119" i="28"/>
  <c r="K119" i="28"/>
  <c r="L119" i="28"/>
  <c r="M119" i="28"/>
  <c r="N119" i="28"/>
  <c r="O119" i="28"/>
  <c r="P119" i="28"/>
  <c r="Q119" i="28"/>
  <c r="R119" i="28"/>
  <c r="T119" i="28"/>
  <c r="U119" i="28"/>
  <c r="V119" i="28"/>
  <c r="W119" i="28"/>
  <c r="X119" i="28"/>
  <c r="A120" i="28"/>
  <c r="B120" i="28"/>
  <c r="C120" i="28"/>
  <c r="D120" i="28"/>
  <c r="E120" i="28"/>
  <c r="F120" i="28"/>
  <c r="G120" i="28"/>
  <c r="H120" i="28"/>
  <c r="I120" i="28"/>
  <c r="J120" i="28"/>
  <c r="K120" i="28"/>
  <c r="M120" i="28"/>
  <c r="N120" i="28"/>
  <c r="O120" i="28"/>
  <c r="P120" i="28"/>
  <c r="Q120" i="28"/>
  <c r="R120" i="28"/>
  <c r="S120" i="28"/>
  <c r="T120" i="28"/>
  <c r="U120" i="28"/>
  <c r="V120" i="28"/>
  <c r="W120" i="28"/>
  <c r="X120" i="28"/>
  <c r="A121" i="28"/>
  <c r="B121" i="28"/>
  <c r="C121" i="28"/>
  <c r="D121" i="28"/>
  <c r="E121" i="28"/>
  <c r="F121" i="28"/>
  <c r="G121" i="28"/>
  <c r="H121" i="28"/>
  <c r="I121" i="28"/>
  <c r="J121" i="28"/>
  <c r="K121" i="28"/>
  <c r="M121" i="28"/>
  <c r="N121" i="28"/>
  <c r="O121" i="28"/>
  <c r="P121" i="28"/>
  <c r="Q121" i="28"/>
  <c r="R121" i="28"/>
  <c r="S121" i="28"/>
  <c r="T121" i="28"/>
  <c r="U121" i="28"/>
  <c r="V121" i="28"/>
  <c r="W121" i="28"/>
  <c r="X121" i="28"/>
  <c r="A122" i="28"/>
  <c r="B122" i="28"/>
  <c r="C122" i="28"/>
  <c r="D122" i="28"/>
  <c r="E122" i="28"/>
  <c r="F122" i="28"/>
  <c r="G122" i="28"/>
  <c r="H122" i="28"/>
  <c r="I122" i="28"/>
  <c r="J122" i="28"/>
  <c r="K122" i="28"/>
  <c r="M122" i="28"/>
  <c r="N122" i="28"/>
  <c r="O122" i="28"/>
  <c r="P122" i="28"/>
  <c r="Q122" i="28"/>
  <c r="R122" i="28"/>
  <c r="S122" i="28"/>
  <c r="T122" i="28"/>
  <c r="U122" i="28"/>
  <c r="V122" i="28"/>
  <c r="W122" i="28"/>
  <c r="X122" i="28"/>
  <c r="A123" i="28"/>
  <c r="B123" i="28"/>
  <c r="C123" i="28"/>
  <c r="D123" i="28"/>
  <c r="E123" i="28"/>
  <c r="F123" i="28"/>
  <c r="G123" i="28"/>
  <c r="H123" i="28"/>
  <c r="I123" i="28"/>
  <c r="J123" i="28"/>
  <c r="K123" i="28"/>
  <c r="L123" i="28"/>
  <c r="M123" i="28"/>
  <c r="N123" i="28"/>
  <c r="O123" i="28"/>
  <c r="P123" i="28"/>
  <c r="Q123" i="28"/>
  <c r="R123" i="28"/>
  <c r="S123" i="28"/>
  <c r="T123" i="28"/>
  <c r="U123" i="28"/>
  <c r="V123" i="28"/>
  <c r="W123" i="28"/>
  <c r="X123" i="28"/>
  <c r="A124" i="28"/>
  <c r="B124" i="28"/>
  <c r="C124" i="28"/>
  <c r="D124" i="28"/>
  <c r="E124" i="28"/>
  <c r="F124" i="28"/>
  <c r="G124" i="28"/>
  <c r="H124" i="28"/>
  <c r="I124" i="28"/>
  <c r="J124" i="28"/>
  <c r="K124" i="28"/>
  <c r="M124" i="28"/>
  <c r="N124" i="28"/>
  <c r="O124" i="28"/>
  <c r="P124" i="28"/>
  <c r="Q124" i="28"/>
  <c r="R124" i="28"/>
  <c r="S124" i="28"/>
  <c r="T124" i="28"/>
  <c r="U124" i="28"/>
  <c r="V124" i="28"/>
  <c r="W124" i="28"/>
  <c r="X124" i="28"/>
  <c r="A125" i="28"/>
  <c r="B125" i="28"/>
  <c r="C125" i="28"/>
  <c r="D125" i="28"/>
  <c r="E125" i="28"/>
  <c r="F125" i="28"/>
  <c r="G125" i="28"/>
  <c r="H125" i="28"/>
  <c r="I125" i="28"/>
  <c r="J125" i="28"/>
  <c r="K125" i="28"/>
  <c r="M125" i="28"/>
  <c r="N125" i="28"/>
  <c r="O125" i="28"/>
  <c r="P125" i="28"/>
  <c r="Q125" i="28"/>
  <c r="R125" i="28"/>
  <c r="S125" i="28"/>
  <c r="T125" i="28"/>
  <c r="U125" i="28"/>
  <c r="V125" i="28"/>
  <c r="W125" i="28"/>
  <c r="X125" i="28"/>
  <c r="A126" i="28"/>
  <c r="B126" i="28"/>
  <c r="C126" i="28"/>
  <c r="D126" i="28"/>
  <c r="E126" i="28"/>
  <c r="F126" i="28"/>
  <c r="G126" i="28"/>
  <c r="H126" i="28"/>
  <c r="I126" i="28"/>
  <c r="J126" i="28"/>
  <c r="K126" i="28"/>
  <c r="M126" i="28"/>
  <c r="N126" i="28"/>
  <c r="O126" i="28"/>
  <c r="P126" i="28"/>
  <c r="Q126" i="28"/>
  <c r="R126" i="28"/>
  <c r="S126" i="28"/>
  <c r="T126" i="28"/>
  <c r="U126" i="28"/>
  <c r="V126" i="28"/>
  <c r="W126" i="28"/>
  <c r="X126" i="28"/>
  <c r="F40" i="38"/>
  <c r="N75" i="38"/>
  <c r="F74" i="38"/>
  <c r="J73" i="38"/>
  <c r="X71" i="38"/>
  <c r="X72" i="38" s="1"/>
  <c r="W71" i="38"/>
  <c r="W72" i="38" s="1"/>
  <c r="V71" i="38"/>
  <c r="V72" i="38" s="1"/>
  <c r="U71" i="38"/>
  <c r="T71" i="38"/>
  <c r="R71" i="38"/>
  <c r="Q71" i="38"/>
  <c r="Q72" i="38" s="1"/>
  <c r="P71" i="38"/>
  <c r="O71" i="38"/>
  <c r="N71" i="38"/>
  <c r="L133" i="28" s="1"/>
  <c r="L71" i="38"/>
  <c r="K71" i="38"/>
  <c r="G71" i="38"/>
  <c r="F71" i="38"/>
  <c r="E71" i="38"/>
  <c r="O58" i="38" a="1"/>
  <c r="O58" i="38" s="1"/>
  <c r="N58" i="38" a="1"/>
  <c r="N58" i="38" s="1"/>
  <c r="M58" i="38" a="1"/>
  <c r="M58" i="38" s="1"/>
  <c r="L58" i="38" a="1"/>
  <c r="L58" i="38" s="1"/>
  <c r="D58" i="38"/>
  <c r="C58" i="38"/>
  <c r="C52" i="38"/>
  <c r="G51" i="38"/>
  <c r="F51" i="38"/>
  <c r="E51" i="38"/>
  <c r="D51" i="38"/>
  <c r="C51" i="38"/>
  <c r="G50" i="38"/>
  <c r="F50" i="38"/>
  <c r="E50" i="38"/>
  <c r="D50" i="38"/>
  <c r="C50" i="38"/>
  <c r="G49" i="38"/>
  <c r="F49" i="38"/>
  <c r="E49" i="38"/>
  <c r="D49" i="38"/>
  <c r="C49" i="38"/>
  <c r="H47" i="38"/>
  <c r="C53" i="38" s="1"/>
  <c r="N39" i="38"/>
  <c r="F38" i="38"/>
  <c r="J36" i="38"/>
  <c r="X34" i="38"/>
  <c r="X35" i="38" s="1"/>
  <c r="X36" i="38" s="1"/>
  <c r="W34" i="38"/>
  <c r="W35" i="38" s="1"/>
  <c r="W36" i="38" s="1"/>
  <c r="V34" i="38"/>
  <c r="V35" i="38" s="1"/>
  <c r="V36" i="38" s="1"/>
  <c r="U34" i="38"/>
  <c r="U35" i="38" s="1"/>
  <c r="U36" i="38" s="1"/>
  <c r="T34" i="38"/>
  <c r="T35" i="38" s="1"/>
  <c r="T36" i="38" s="1"/>
  <c r="R34" i="38"/>
  <c r="R35" i="38" s="1"/>
  <c r="R36" i="38" s="1"/>
  <c r="Q34" i="38"/>
  <c r="Q35" i="38" s="1"/>
  <c r="Q36" i="38" s="1"/>
  <c r="P34" i="38"/>
  <c r="P35" i="38" s="1"/>
  <c r="P36" i="38" s="1"/>
  <c r="O34" i="38"/>
  <c r="O35" i="38" s="1"/>
  <c r="O36" i="38" s="1"/>
  <c r="N34" i="38"/>
  <c r="N35" i="38" s="1"/>
  <c r="N36" i="38" s="1"/>
  <c r="M34" i="38"/>
  <c r="M35" i="38" s="1"/>
  <c r="M36" i="38" s="1"/>
  <c r="L34" i="38"/>
  <c r="L35" i="38" s="1"/>
  <c r="L36" i="38" s="1"/>
  <c r="K34" i="38"/>
  <c r="K35" i="38" s="1"/>
  <c r="K36" i="38" s="1"/>
  <c r="G34" i="38"/>
  <c r="G35" i="38" s="1"/>
  <c r="G36" i="38" s="1"/>
  <c r="F34" i="38"/>
  <c r="F35" i="38" s="1"/>
  <c r="F36" i="38" s="1"/>
  <c r="E34" i="38"/>
  <c r="E35" i="38" s="1"/>
  <c r="E36" i="38" s="1"/>
  <c r="O21" i="38" a="1"/>
  <c r="O21" i="38" s="1"/>
  <c r="N21" i="38" a="1"/>
  <c r="N21" i="38" s="1"/>
  <c r="M21" i="38" a="1"/>
  <c r="M21" i="38" s="1"/>
  <c r="L21" i="38" a="1"/>
  <c r="L21" i="38" s="1"/>
  <c r="D21" i="38"/>
  <c r="C21" i="38"/>
  <c r="C15" i="38"/>
  <c r="G14" i="38"/>
  <c r="F14" i="38"/>
  <c r="E14" i="38"/>
  <c r="D14" i="38"/>
  <c r="C14" i="38"/>
  <c r="G13" i="38"/>
  <c r="F13" i="38"/>
  <c r="E13" i="38"/>
  <c r="D13" i="38"/>
  <c r="C13" i="38"/>
  <c r="G12" i="38"/>
  <c r="F12" i="38"/>
  <c r="E12" i="38"/>
  <c r="D12" i="38"/>
  <c r="C12" i="38"/>
  <c r="H10" i="38"/>
  <c r="C16" i="38" s="1"/>
  <c r="X109" i="38"/>
  <c r="X110" i="38" s="1"/>
  <c r="X111" i="38" s="1"/>
  <c r="X112" i="38" s="1"/>
  <c r="X113" i="38" s="1"/>
  <c r="X114" i="38" s="1"/>
  <c r="X115" i="38" s="1"/>
  <c r="X116" i="38" s="1"/>
  <c r="X117" i="38" s="1"/>
  <c r="X118" i="38" s="1"/>
  <c r="X119" i="38" s="1"/>
  <c r="X120" i="38" s="1"/>
  <c r="X121" i="38" s="1"/>
  <c r="X122" i="38" s="1"/>
  <c r="W109" i="38"/>
  <c r="W110" i="38" s="1"/>
  <c r="W111" i="38" s="1"/>
  <c r="W112" i="38" s="1"/>
  <c r="W113" i="38" s="1"/>
  <c r="W114" i="38" s="1"/>
  <c r="W115" i="38" s="1"/>
  <c r="W116" i="38" s="1"/>
  <c r="W117" i="38" s="1"/>
  <c r="W118" i="38" s="1"/>
  <c r="W119" i="38" s="1"/>
  <c r="W120" i="38" s="1"/>
  <c r="W121" i="38" s="1"/>
  <c r="W122" i="38" s="1"/>
  <c r="V109" i="38"/>
  <c r="V110" i="38" s="1"/>
  <c r="V111" i="38" s="1"/>
  <c r="V112" i="38" s="1"/>
  <c r="V113" i="38" s="1"/>
  <c r="V114" i="38" s="1"/>
  <c r="V115" i="38" s="1"/>
  <c r="V116" i="38" s="1"/>
  <c r="V117" i="38" s="1"/>
  <c r="V118" i="38" s="1"/>
  <c r="V119" i="38" s="1"/>
  <c r="V120" i="38" s="1"/>
  <c r="V121" i="38" s="1"/>
  <c r="V122" i="38" s="1"/>
  <c r="U109" i="38"/>
  <c r="U110" i="38" s="1"/>
  <c r="U111" i="38" s="1"/>
  <c r="U112" i="38" s="1"/>
  <c r="U113" i="38" s="1"/>
  <c r="U114" i="38" s="1"/>
  <c r="U115" i="38" s="1"/>
  <c r="U116" i="38" s="1"/>
  <c r="U117" i="38" s="1"/>
  <c r="U118" i="38" s="1"/>
  <c r="U119" i="38" s="1"/>
  <c r="U120" i="38" s="1"/>
  <c r="U121" i="38" s="1"/>
  <c r="U122" i="38" s="1"/>
  <c r="T109" i="38"/>
  <c r="T110" i="38" s="1"/>
  <c r="T111" i="38" s="1"/>
  <c r="T112" i="38" s="1"/>
  <c r="T113" i="38" s="1"/>
  <c r="T114" i="38" s="1"/>
  <c r="T115" i="38" s="1"/>
  <c r="T116" i="38" s="1"/>
  <c r="T117" i="38" s="1"/>
  <c r="T118" i="38" s="1"/>
  <c r="T119" i="38" s="1"/>
  <c r="T120" i="38" s="1"/>
  <c r="T121" i="38" s="1"/>
  <c r="T122" i="38" s="1"/>
  <c r="R109" i="38"/>
  <c r="R110" i="38" s="1"/>
  <c r="R111" i="38" s="1"/>
  <c r="R112" i="38" s="1"/>
  <c r="R113" i="38" s="1"/>
  <c r="R114" i="38" s="1"/>
  <c r="R115" i="38" s="1"/>
  <c r="R116" i="38" s="1"/>
  <c r="R117" i="38" s="1"/>
  <c r="R118" i="38" s="1"/>
  <c r="R119" i="38" s="1"/>
  <c r="R120" i="38" s="1"/>
  <c r="R121" i="38" s="1"/>
  <c r="R122" i="38" s="1"/>
  <c r="Q109" i="38"/>
  <c r="Q110" i="38" s="1"/>
  <c r="Q111" i="38" s="1"/>
  <c r="Q112" i="38" s="1"/>
  <c r="Q113" i="38" s="1"/>
  <c r="Q114" i="38" s="1"/>
  <c r="Q115" i="38" s="1"/>
  <c r="Q116" i="38" s="1"/>
  <c r="Q117" i="38" s="1"/>
  <c r="Q118" i="38" s="1"/>
  <c r="Q119" i="38" s="1"/>
  <c r="Q120" i="38" s="1"/>
  <c r="Q121" i="38" s="1"/>
  <c r="Q122" i="38" s="1"/>
  <c r="P109" i="38"/>
  <c r="P110" i="38" s="1"/>
  <c r="P111" i="38" s="1"/>
  <c r="P112" i="38" s="1"/>
  <c r="P113" i="38" s="1"/>
  <c r="P114" i="38" s="1"/>
  <c r="P115" i="38" s="1"/>
  <c r="P116" i="38" s="1"/>
  <c r="P117" i="38" s="1"/>
  <c r="P118" i="38" s="1"/>
  <c r="P119" i="38" s="1"/>
  <c r="P120" i="38" s="1"/>
  <c r="P121" i="38" s="1"/>
  <c r="P122" i="38" s="1"/>
  <c r="O109" i="38"/>
  <c r="O110" i="38" s="1"/>
  <c r="O111" i="38" s="1"/>
  <c r="O112" i="38" s="1"/>
  <c r="O113" i="38" s="1"/>
  <c r="O114" i="38" s="1"/>
  <c r="O115" i="38" s="1"/>
  <c r="O116" i="38" s="1"/>
  <c r="O117" i="38" s="1"/>
  <c r="O118" i="38" s="1"/>
  <c r="O119" i="38" s="1"/>
  <c r="O120" i="38" s="1"/>
  <c r="O121" i="38" s="1"/>
  <c r="O122" i="38" s="1"/>
  <c r="N109" i="38"/>
  <c r="N110" i="38" s="1"/>
  <c r="N111" i="38" s="1"/>
  <c r="N112" i="38" s="1"/>
  <c r="N113" i="38" s="1"/>
  <c r="N114" i="38" s="1"/>
  <c r="N115" i="38" s="1"/>
  <c r="N116" i="38" s="1"/>
  <c r="N117" i="38" s="1"/>
  <c r="N118" i="38" s="1"/>
  <c r="N119" i="38" s="1"/>
  <c r="N120" i="38" s="1"/>
  <c r="N121" i="38" s="1"/>
  <c r="N122" i="38" s="1"/>
  <c r="M109" i="38"/>
  <c r="M110" i="38" s="1"/>
  <c r="M111" i="38" s="1"/>
  <c r="M112" i="38" s="1"/>
  <c r="M113" i="38" s="1"/>
  <c r="M114" i="38" s="1"/>
  <c r="M115" i="38" s="1"/>
  <c r="M116" i="38" s="1"/>
  <c r="M117" i="38" s="1"/>
  <c r="M118" i="38" s="1"/>
  <c r="M119" i="38" s="1"/>
  <c r="M120" i="38" s="1"/>
  <c r="M121" i="38" s="1"/>
  <c r="M122" i="38" s="1"/>
  <c r="L109" i="38"/>
  <c r="L110" i="38" s="1"/>
  <c r="L111" i="38" s="1"/>
  <c r="L112" i="38" s="1"/>
  <c r="L113" i="38" s="1"/>
  <c r="L114" i="38" s="1"/>
  <c r="L115" i="38" s="1"/>
  <c r="L116" i="38" s="1"/>
  <c r="L117" i="38" s="1"/>
  <c r="L118" i="38" s="1"/>
  <c r="L119" i="38" s="1"/>
  <c r="L120" i="38" s="1"/>
  <c r="L121" i="38" s="1"/>
  <c r="L122" i="38" s="1"/>
  <c r="K109" i="38"/>
  <c r="K110" i="38" s="1"/>
  <c r="K111" i="38" s="1"/>
  <c r="K112" i="38" s="1"/>
  <c r="K113" i="38" s="1"/>
  <c r="K114" i="38" s="1"/>
  <c r="K115" i="38" s="1"/>
  <c r="K116" i="38" s="1"/>
  <c r="K117" i="38" s="1"/>
  <c r="K118" i="38" s="1"/>
  <c r="K119" i="38" s="1"/>
  <c r="K120" i="38" s="1"/>
  <c r="K121" i="38" s="1"/>
  <c r="K122" i="38" s="1"/>
  <c r="G109" i="38"/>
  <c r="G110" i="38" s="1"/>
  <c r="G111" i="38" s="1"/>
  <c r="G112" i="38" s="1"/>
  <c r="G113" i="38" s="1"/>
  <c r="G114" i="38" s="1"/>
  <c r="G115" i="38" s="1"/>
  <c r="G116" i="38" s="1"/>
  <c r="G117" i="38" s="1"/>
  <c r="G118" i="38" s="1"/>
  <c r="G119" i="38" s="1"/>
  <c r="G120" i="38" s="1"/>
  <c r="G121" i="38" s="1"/>
  <c r="G122" i="38" s="1"/>
  <c r="F109" i="38"/>
  <c r="F110" i="38" s="1"/>
  <c r="F111" i="38" s="1"/>
  <c r="F112" i="38" s="1"/>
  <c r="F113" i="38" s="1"/>
  <c r="F114" i="38" s="1"/>
  <c r="F115" i="38" s="1"/>
  <c r="F116" i="38" s="1"/>
  <c r="F117" i="38" s="1"/>
  <c r="F118" i="38" s="1"/>
  <c r="F119" i="38" s="1"/>
  <c r="F120" i="38" s="1"/>
  <c r="F121" i="38" s="1"/>
  <c r="F122" i="38" s="1"/>
  <c r="E109" i="38"/>
  <c r="E110" i="38" s="1"/>
  <c r="E111" i="38" s="1"/>
  <c r="O96" i="38" a="1"/>
  <c r="O96" i="38" s="1"/>
  <c r="N96" i="38" a="1"/>
  <c r="N96" i="38" s="1"/>
  <c r="M96" i="38" a="1"/>
  <c r="M96" i="38" s="1"/>
  <c r="L96" i="38" a="1"/>
  <c r="D96" i="38"/>
  <c r="C96" i="38"/>
  <c r="C90" i="38"/>
  <c r="G89" i="38"/>
  <c r="F89" i="38"/>
  <c r="E89" i="38"/>
  <c r="D89" i="38"/>
  <c r="C89" i="38"/>
  <c r="G88" i="38"/>
  <c r="F88" i="38"/>
  <c r="E88" i="38"/>
  <c r="D88" i="38"/>
  <c r="C88" i="38"/>
  <c r="G87" i="38"/>
  <c r="F87" i="38"/>
  <c r="E87" i="38"/>
  <c r="D87" i="38"/>
  <c r="C87" i="38"/>
  <c r="H85" i="38"/>
  <c r="C91" i="38" s="1"/>
  <c r="N420" i="24"/>
  <c r="L126" i="39" s="1"/>
  <c r="N416" i="24"/>
  <c r="L122" i="39" s="1"/>
  <c r="N415" i="24"/>
  <c r="L121" i="39" s="1"/>
  <c r="N414" i="24"/>
  <c r="L120" i="39" s="1"/>
  <c r="N418" i="24"/>
  <c r="C370" i="24"/>
  <c r="C372" i="24" s="1" a="1"/>
  <c r="C372" i="24" s="1"/>
  <c r="W382" i="24"/>
  <c r="U88" i="39" s="1"/>
  <c r="P382" i="24"/>
  <c r="J390" i="24"/>
  <c r="U413" i="24"/>
  <c r="S119" i="39" s="1"/>
  <c r="V412" i="24"/>
  <c r="T118" i="39" s="1"/>
  <c r="V411" i="24"/>
  <c r="T117" i="39" s="1"/>
  <c r="L310" i="24" a="1"/>
  <c r="L310" i="24" s="1"/>
  <c r="X116" i="37"/>
  <c r="W116" i="37"/>
  <c r="V116" i="37"/>
  <c r="U116" i="37"/>
  <c r="T116" i="37"/>
  <c r="S116" i="37"/>
  <c r="R116" i="37"/>
  <c r="Q116" i="37"/>
  <c r="P116" i="37"/>
  <c r="O116" i="37"/>
  <c r="N116" i="37"/>
  <c r="M116" i="37"/>
  <c r="L116" i="37"/>
  <c r="K116" i="37"/>
  <c r="J116" i="37"/>
  <c r="I116" i="37"/>
  <c r="H116" i="37"/>
  <c r="G116" i="37"/>
  <c r="F116" i="37"/>
  <c r="E116" i="37"/>
  <c r="D116" i="37"/>
  <c r="C116" i="37"/>
  <c r="B116" i="37"/>
  <c r="A116" i="37"/>
  <c r="X115" i="37"/>
  <c r="W115" i="37"/>
  <c r="V115" i="37"/>
  <c r="U115" i="37"/>
  <c r="T115" i="37"/>
  <c r="S115" i="37"/>
  <c r="R115" i="37"/>
  <c r="Q115" i="37"/>
  <c r="P115" i="37"/>
  <c r="O115" i="37"/>
  <c r="N115" i="37"/>
  <c r="M115" i="37"/>
  <c r="L115" i="37"/>
  <c r="K115" i="37"/>
  <c r="J115" i="37"/>
  <c r="I115" i="37"/>
  <c r="H115" i="37"/>
  <c r="G115" i="37"/>
  <c r="F115" i="37"/>
  <c r="E115" i="37"/>
  <c r="D115" i="37"/>
  <c r="C115" i="37"/>
  <c r="B115" i="37"/>
  <c r="A115" i="37"/>
  <c r="X114" i="37"/>
  <c r="W114" i="37"/>
  <c r="V114" i="37"/>
  <c r="U114" i="37"/>
  <c r="T114" i="37"/>
  <c r="S114" i="37"/>
  <c r="R114" i="37"/>
  <c r="Q114" i="37"/>
  <c r="P114" i="37"/>
  <c r="O114" i="37"/>
  <c r="N114" i="37"/>
  <c r="M114" i="37"/>
  <c r="K114" i="37"/>
  <c r="J114" i="37"/>
  <c r="I114" i="37"/>
  <c r="H114" i="37"/>
  <c r="G114" i="37"/>
  <c r="F114" i="37"/>
  <c r="E114" i="37"/>
  <c r="D114" i="37"/>
  <c r="C114" i="37"/>
  <c r="B114" i="37"/>
  <c r="A114" i="37"/>
  <c r="X113" i="37"/>
  <c r="W113" i="37"/>
  <c r="V113" i="37"/>
  <c r="U113" i="37"/>
  <c r="T113" i="37"/>
  <c r="S113" i="37"/>
  <c r="R113" i="37"/>
  <c r="Q113" i="37"/>
  <c r="P113" i="37"/>
  <c r="O113" i="37"/>
  <c r="N113" i="37"/>
  <c r="M113" i="37"/>
  <c r="K113" i="37"/>
  <c r="J113" i="37"/>
  <c r="I113" i="37"/>
  <c r="H113" i="37"/>
  <c r="G113" i="37"/>
  <c r="F113" i="37"/>
  <c r="E113" i="37"/>
  <c r="D113" i="37"/>
  <c r="C113" i="37"/>
  <c r="B113" i="37"/>
  <c r="A113" i="37"/>
  <c r="X112" i="37"/>
  <c r="W112" i="37"/>
  <c r="V112" i="37"/>
  <c r="U112" i="37"/>
  <c r="T112" i="37"/>
  <c r="S112" i="37"/>
  <c r="R112" i="37"/>
  <c r="Q112" i="37"/>
  <c r="P112" i="37"/>
  <c r="O112" i="37"/>
  <c r="N112" i="37"/>
  <c r="M112" i="37"/>
  <c r="K112" i="37"/>
  <c r="J112" i="37"/>
  <c r="I112" i="37"/>
  <c r="H112" i="37"/>
  <c r="G112" i="37"/>
  <c r="F112" i="37"/>
  <c r="E112" i="37"/>
  <c r="D112" i="37"/>
  <c r="C112" i="37"/>
  <c r="B112" i="37"/>
  <c r="A112" i="37"/>
  <c r="X111" i="37"/>
  <c r="W111" i="37"/>
  <c r="V111" i="37"/>
  <c r="U111" i="37"/>
  <c r="T111" i="37"/>
  <c r="S111" i="37"/>
  <c r="R111" i="37"/>
  <c r="Q111" i="37"/>
  <c r="P111" i="37"/>
  <c r="O111" i="37"/>
  <c r="N111" i="37"/>
  <c r="M111" i="37"/>
  <c r="K111" i="37"/>
  <c r="J111" i="37"/>
  <c r="I111" i="37"/>
  <c r="H111" i="37"/>
  <c r="G111" i="37"/>
  <c r="F111" i="37"/>
  <c r="E111" i="37"/>
  <c r="D111" i="37"/>
  <c r="C111" i="37"/>
  <c r="B111" i="37"/>
  <c r="A111" i="37"/>
  <c r="X110" i="37"/>
  <c r="W110" i="37"/>
  <c r="V110" i="37"/>
  <c r="U110" i="37"/>
  <c r="T110" i="37"/>
  <c r="S110" i="37"/>
  <c r="R110" i="37"/>
  <c r="Q110" i="37"/>
  <c r="P110" i="37"/>
  <c r="O110" i="37"/>
  <c r="N110" i="37"/>
  <c r="M110" i="37"/>
  <c r="K110" i="37"/>
  <c r="J110" i="37"/>
  <c r="I110" i="37"/>
  <c r="H110" i="37"/>
  <c r="G110" i="37"/>
  <c r="F110" i="37"/>
  <c r="E110" i="37"/>
  <c r="D110" i="37"/>
  <c r="C110" i="37"/>
  <c r="B110" i="37"/>
  <c r="A110" i="37"/>
  <c r="X109" i="37"/>
  <c r="W109" i="37"/>
  <c r="V109" i="37"/>
  <c r="U109" i="37"/>
  <c r="T109" i="37"/>
  <c r="S109" i="37"/>
  <c r="R109" i="37"/>
  <c r="Q109" i="37"/>
  <c r="P109" i="37"/>
  <c r="O109" i="37"/>
  <c r="N109" i="37"/>
  <c r="M109" i="37"/>
  <c r="L109" i="37"/>
  <c r="K109" i="37"/>
  <c r="J109" i="37"/>
  <c r="H109" i="37"/>
  <c r="G109" i="37"/>
  <c r="F109" i="37"/>
  <c r="E109" i="37"/>
  <c r="C109" i="37"/>
  <c r="B109" i="37"/>
  <c r="A109" i="37"/>
  <c r="X108" i="37"/>
  <c r="W108" i="37"/>
  <c r="V108" i="37"/>
  <c r="U108" i="37"/>
  <c r="S108" i="37"/>
  <c r="R108" i="37"/>
  <c r="Q108" i="37"/>
  <c r="P108" i="37"/>
  <c r="O108" i="37"/>
  <c r="N108" i="37"/>
  <c r="M108" i="37"/>
  <c r="L108" i="37"/>
  <c r="K108" i="37"/>
  <c r="J108" i="37"/>
  <c r="I108" i="37"/>
  <c r="H108" i="37"/>
  <c r="G108" i="37"/>
  <c r="F108" i="37"/>
  <c r="E108" i="37"/>
  <c r="D108" i="37"/>
  <c r="C108" i="37"/>
  <c r="B108" i="37"/>
  <c r="A108" i="37"/>
  <c r="X107" i="37"/>
  <c r="W107" i="37"/>
  <c r="V107" i="37"/>
  <c r="U107" i="37"/>
  <c r="T107" i="37"/>
  <c r="S107" i="37"/>
  <c r="R107" i="37"/>
  <c r="Q107" i="37"/>
  <c r="P107" i="37"/>
  <c r="O107" i="37"/>
  <c r="N107" i="37"/>
  <c r="M107" i="37"/>
  <c r="L107" i="37"/>
  <c r="K107" i="37"/>
  <c r="H107" i="37"/>
  <c r="G107" i="37"/>
  <c r="F107" i="37"/>
  <c r="E107" i="37"/>
  <c r="D107" i="37"/>
  <c r="C107" i="37"/>
  <c r="B107" i="37"/>
  <c r="A107" i="37"/>
  <c r="X106" i="37"/>
  <c r="W106" i="37"/>
  <c r="V106" i="37"/>
  <c r="U106" i="37"/>
  <c r="T106" i="37"/>
  <c r="S106" i="37"/>
  <c r="R106" i="37"/>
  <c r="Q106" i="37"/>
  <c r="P106" i="37"/>
  <c r="O106" i="37"/>
  <c r="N106" i="37"/>
  <c r="M106" i="37"/>
  <c r="L106" i="37"/>
  <c r="K106" i="37"/>
  <c r="J106" i="37"/>
  <c r="I106" i="37"/>
  <c r="H106" i="37"/>
  <c r="G106" i="37"/>
  <c r="F106" i="37"/>
  <c r="E106" i="37"/>
  <c r="D106" i="37"/>
  <c r="C106" i="37"/>
  <c r="B106" i="37"/>
  <c r="A106" i="37"/>
  <c r="X105" i="37"/>
  <c r="W105" i="37"/>
  <c r="V105" i="37"/>
  <c r="U105" i="37"/>
  <c r="T105" i="37"/>
  <c r="S105" i="37"/>
  <c r="R105" i="37"/>
  <c r="Q105" i="37"/>
  <c r="O105" i="37"/>
  <c r="N105" i="37"/>
  <c r="M105" i="37"/>
  <c r="L105" i="37"/>
  <c r="K105" i="37"/>
  <c r="E105" i="37"/>
  <c r="B105" i="37"/>
  <c r="A105" i="37"/>
  <c r="X104" i="37"/>
  <c r="W104" i="37"/>
  <c r="V104" i="37"/>
  <c r="U104" i="37"/>
  <c r="T104" i="37"/>
  <c r="S104" i="37"/>
  <c r="R104" i="37"/>
  <c r="Q104" i="37"/>
  <c r="O104" i="37"/>
  <c r="N104" i="37"/>
  <c r="M104" i="37"/>
  <c r="L104" i="37"/>
  <c r="K104" i="37"/>
  <c r="E104" i="37"/>
  <c r="B104" i="37"/>
  <c r="A104" i="37"/>
  <c r="X103" i="37"/>
  <c r="W103" i="37"/>
  <c r="V103" i="37"/>
  <c r="U103" i="37"/>
  <c r="T103" i="37"/>
  <c r="S103" i="37"/>
  <c r="R103" i="37"/>
  <c r="Q103" i="37"/>
  <c r="O103" i="37"/>
  <c r="N103" i="37"/>
  <c r="M103" i="37"/>
  <c r="L103" i="37"/>
  <c r="K103" i="37"/>
  <c r="E103" i="37"/>
  <c r="B103" i="37"/>
  <c r="A103" i="37"/>
  <c r="X102" i="37"/>
  <c r="W102" i="37"/>
  <c r="V102" i="37"/>
  <c r="U102" i="37"/>
  <c r="T102" i="37"/>
  <c r="S102" i="37"/>
  <c r="R102" i="37"/>
  <c r="Q102" i="37"/>
  <c r="O102" i="37"/>
  <c r="N102" i="37"/>
  <c r="M102" i="37"/>
  <c r="L102" i="37"/>
  <c r="K102" i="37"/>
  <c r="E102" i="37"/>
  <c r="B102" i="37"/>
  <c r="A102" i="37"/>
  <c r="X101" i="37"/>
  <c r="W101" i="37"/>
  <c r="V101" i="37"/>
  <c r="U101" i="37"/>
  <c r="T101" i="37"/>
  <c r="S101" i="37"/>
  <c r="R101" i="37"/>
  <c r="Q101" i="37"/>
  <c r="O101" i="37"/>
  <c r="N101" i="37"/>
  <c r="M101" i="37"/>
  <c r="L101" i="37"/>
  <c r="K101" i="37"/>
  <c r="E101" i="37"/>
  <c r="B101" i="37"/>
  <c r="A101" i="37"/>
  <c r="X100" i="37"/>
  <c r="W100" i="37"/>
  <c r="V100" i="37"/>
  <c r="U100" i="37"/>
  <c r="T100" i="37"/>
  <c r="S100" i="37"/>
  <c r="R100" i="37"/>
  <c r="Q100" i="37"/>
  <c r="O100" i="37"/>
  <c r="N100" i="37"/>
  <c r="M100" i="37"/>
  <c r="L100" i="37"/>
  <c r="K100" i="37"/>
  <c r="E100" i="37"/>
  <c r="B100" i="37"/>
  <c r="A100" i="37"/>
  <c r="X99" i="37"/>
  <c r="W99" i="37"/>
  <c r="V99" i="37"/>
  <c r="U99" i="37"/>
  <c r="T99" i="37"/>
  <c r="S99" i="37"/>
  <c r="R99" i="37"/>
  <c r="Q99" i="37"/>
  <c r="O99" i="37"/>
  <c r="N99" i="37"/>
  <c r="M99" i="37"/>
  <c r="L99" i="37"/>
  <c r="K99" i="37"/>
  <c r="E99" i="37"/>
  <c r="B99" i="37"/>
  <c r="A99" i="37"/>
  <c r="X98" i="37"/>
  <c r="W98" i="37"/>
  <c r="V98" i="37"/>
  <c r="U98" i="37"/>
  <c r="T98" i="37"/>
  <c r="S98" i="37"/>
  <c r="R98" i="37"/>
  <c r="Q98" i="37"/>
  <c r="O98" i="37"/>
  <c r="N98" i="37"/>
  <c r="M98" i="37"/>
  <c r="L98" i="37"/>
  <c r="K98" i="37"/>
  <c r="E98" i="37"/>
  <c r="B98" i="37"/>
  <c r="A98" i="37"/>
  <c r="X97" i="37"/>
  <c r="W97" i="37"/>
  <c r="V97" i="37"/>
  <c r="U97" i="37"/>
  <c r="T97" i="37"/>
  <c r="S97" i="37"/>
  <c r="R97" i="37"/>
  <c r="Q97" i="37"/>
  <c r="O97" i="37"/>
  <c r="N97" i="37"/>
  <c r="M97" i="37"/>
  <c r="L97" i="37"/>
  <c r="K97" i="37"/>
  <c r="E97" i="37"/>
  <c r="B97" i="37"/>
  <c r="A97" i="37"/>
  <c r="X96" i="37"/>
  <c r="W96" i="37"/>
  <c r="V96" i="37"/>
  <c r="U96" i="37"/>
  <c r="T96" i="37"/>
  <c r="S96" i="37"/>
  <c r="R96" i="37"/>
  <c r="Q96" i="37"/>
  <c r="O96" i="37"/>
  <c r="N96" i="37"/>
  <c r="M96" i="37"/>
  <c r="L96" i="37"/>
  <c r="K96" i="37"/>
  <c r="E96" i="37"/>
  <c r="B96" i="37"/>
  <c r="A96" i="37"/>
  <c r="X95" i="37"/>
  <c r="W95" i="37"/>
  <c r="V95" i="37"/>
  <c r="U95" i="37"/>
  <c r="T95" i="37"/>
  <c r="S95" i="37"/>
  <c r="R95" i="37"/>
  <c r="Q95" i="37"/>
  <c r="O95" i="37"/>
  <c r="N95" i="37"/>
  <c r="M95" i="37"/>
  <c r="L95" i="37"/>
  <c r="K95" i="37"/>
  <c r="E95" i="37"/>
  <c r="B95" i="37"/>
  <c r="A95" i="37"/>
  <c r="X94" i="37"/>
  <c r="W94" i="37"/>
  <c r="V94" i="37"/>
  <c r="U94" i="37"/>
  <c r="T94" i="37"/>
  <c r="S94" i="37"/>
  <c r="R94" i="37"/>
  <c r="Q94" i="37"/>
  <c r="O94" i="37"/>
  <c r="N94" i="37"/>
  <c r="M94" i="37"/>
  <c r="L94" i="37"/>
  <c r="K94" i="37"/>
  <c r="E94" i="37"/>
  <c r="B94" i="37"/>
  <c r="A94" i="37"/>
  <c r="X93" i="37"/>
  <c r="W93" i="37"/>
  <c r="V93" i="37"/>
  <c r="U93" i="37"/>
  <c r="T93" i="37"/>
  <c r="S93" i="37"/>
  <c r="R93" i="37"/>
  <c r="Q93" i="37"/>
  <c r="O93" i="37"/>
  <c r="N93" i="37"/>
  <c r="M93" i="37"/>
  <c r="L93" i="37"/>
  <c r="K93" i="37"/>
  <c r="E93" i="37"/>
  <c r="B93" i="37"/>
  <c r="A93" i="37"/>
  <c r="X92" i="37"/>
  <c r="W92" i="37"/>
  <c r="V92" i="37"/>
  <c r="U92" i="37"/>
  <c r="T92" i="37"/>
  <c r="S92" i="37"/>
  <c r="R92" i="37"/>
  <c r="Q92" i="37"/>
  <c r="O92" i="37"/>
  <c r="N92" i="37"/>
  <c r="M92" i="37"/>
  <c r="L92" i="37"/>
  <c r="K92" i="37"/>
  <c r="E92" i="37"/>
  <c r="B92" i="37"/>
  <c r="A92" i="37"/>
  <c r="X91" i="37"/>
  <c r="W91" i="37"/>
  <c r="V91" i="37"/>
  <c r="U91" i="37"/>
  <c r="T91" i="37"/>
  <c r="S91" i="37"/>
  <c r="R91" i="37"/>
  <c r="Q91" i="37"/>
  <c r="O91" i="37"/>
  <c r="N91" i="37"/>
  <c r="M91" i="37"/>
  <c r="L91" i="37"/>
  <c r="K91" i="37"/>
  <c r="E91" i="37"/>
  <c r="B91" i="37"/>
  <c r="A91" i="37"/>
  <c r="X90" i="37"/>
  <c r="W90" i="37"/>
  <c r="V90" i="37"/>
  <c r="U90" i="37"/>
  <c r="T90" i="37"/>
  <c r="S90" i="37"/>
  <c r="R90" i="37"/>
  <c r="Q90" i="37"/>
  <c r="O90" i="37"/>
  <c r="N90" i="37"/>
  <c r="M90" i="37"/>
  <c r="L90" i="37"/>
  <c r="K90" i="37"/>
  <c r="E90" i="37"/>
  <c r="B90" i="37"/>
  <c r="A90" i="37"/>
  <c r="X89" i="37"/>
  <c r="W89" i="37"/>
  <c r="V89" i="37"/>
  <c r="U89" i="37"/>
  <c r="T89" i="37"/>
  <c r="S89" i="37"/>
  <c r="R89" i="37"/>
  <c r="Q89" i="37"/>
  <c r="O89" i="37"/>
  <c r="N89" i="37"/>
  <c r="M89" i="37"/>
  <c r="L89" i="37"/>
  <c r="K89" i="37"/>
  <c r="E89" i="37"/>
  <c r="B89" i="37"/>
  <c r="A89" i="37"/>
  <c r="X88" i="37"/>
  <c r="W88" i="37"/>
  <c r="V88" i="37"/>
  <c r="U88" i="37"/>
  <c r="T88" i="37"/>
  <c r="S88" i="37"/>
  <c r="R88" i="37"/>
  <c r="Q88" i="37"/>
  <c r="O88" i="37"/>
  <c r="N88" i="37"/>
  <c r="M88" i="37"/>
  <c r="L88" i="37"/>
  <c r="K88" i="37"/>
  <c r="H88" i="37"/>
  <c r="E88" i="37"/>
  <c r="B88" i="37"/>
  <c r="A88" i="37"/>
  <c r="X87" i="37"/>
  <c r="W87" i="37"/>
  <c r="V87" i="37"/>
  <c r="U87" i="37"/>
  <c r="T87" i="37"/>
  <c r="S87" i="37"/>
  <c r="R87" i="37"/>
  <c r="Q87" i="37"/>
  <c r="P87" i="37"/>
  <c r="O87" i="37"/>
  <c r="N87" i="37"/>
  <c r="M87" i="37"/>
  <c r="L87" i="37"/>
  <c r="K87" i="37"/>
  <c r="J87" i="37"/>
  <c r="I87" i="37"/>
  <c r="H87" i="37"/>
  <c r="G87" i="37"/>
  <c r="F87" i="37"/>
  <c r="E87" i="37"/>
  <c r="D87" i="37"/>
  <c r="C87" i="37"/>
  <c r="B87" i="37"/>
  <c r="A87" i="37"/>
  <c r="X86" i="37"/>
  <c r="W86" i="37"/>
  <c r="V86" i="37"/>
  <c r="U86" i="37"/>
  <c r="T86" i="37"/>
  <c r="S86" i="37"/>
  <c r="R86" i="37"/>
  <c r="Q86" i="37"/>
  <c r="P86" i="37"/>
  <c r="O86" i="37"/>
  <c r="N86" i="37"/>
  <c r="M86" i="37"/>
  <c r="L86" i="37"/>
  <c r="K86" i="37"/>
  <c r="J86" i="37"/>
  <c r="I86" i="37"/>
  <c r="H86" i="37"/>
  <c r="G86" i="37"/>
  <c r="F86" i="37"/>
  <c r="E86" i="37"/>
  <c r="D86" i="37"/>
  <c r="C86" i="37"/>
  <c r="B86" i="37"/>
  <c r="A86" i="37"/>
  <c r="AQ57" i="37"/>
  <c r="AO57" i="37"/>
  <c r="AQ56" i="37"/>
  <c r="AO56" i="37"/>
  <c r="AQ55" i="37"/>
  <c r="AO55" i="37"/>
  <c r="AQ54" i="37"/>
  <c r="AO54" i="37"/>
  <c r="AQ53" i="37"/>
  <c r="AO53" i="37"/>
  <c r="AQ52" i="37"/>
  <c r="AO52" i="37"/>
  <c r="AQ51" i="37"/>
  <c r="AO51" i="37"/>
  <c r="AQ50" i="37"/>
  <c r="AO50" i="37"/>
  <c r="AQ49" i="37"/>
  <c r="AO49" i="37"/>
  <c r="AQ48" i="37"/>
  <c r="AO48" i="37"/>
  <c r="AQ47" i="37"/>
  <c r="AO47" i="37"/>
  <c r="AQ46" i="37"/>
  <c r="AO46" i="37"/>
  <c r="AQ45" i="37"/>
  <c r="AO45" i="37"/>
  <c r="AQ44" i="37"/>
  <c r="AO44" i="37"/>
  <c r="AQ43" i="37"/>
  <c r="AO43" i="37"/>
  <c r="AQ42" i="37"/>
  <c r="AO42" i="37"/>
  <c r="AQ41" i="37"/>
  <c r="AO41" i="37"/>
  <c r="AQ40" i="37"/>
  <c r="AO40" i="37"/>
  <c r="AQ39" i="37"/>
  <c r="AO39" i="37"/>
  <c r="AQ38" i="37"/>
  <c r="AO38" i="37"/>
  <c r="AQ37" i="37"/>
  <c r="AO37" i="37"/>
  <c r="AQ36" i="37"/>
  <c r="AO36" i="37"/>
  <c r="AQ35" i="37"/>
  <c r="AO35" i="37"/>
  <c r="AQ34" i="37"/>
  <c r="AO34" i="37"/>
  <c r="AQ33" i="37"/>
  <c r="AO33" i="37"/>
  <c r="AQ32" i="37"/>
  <c r="AO32" i="37"/>
  <c r="AQ31" i="37"/>
  <c r="AO31" i="37"/>
  <c r="AQ30" i="37"/>
  <c r="AO30" i="37"/>
  <c r="AQ29" i="37"/>
  <c r="AO29" i="37"/>
  <c r="AQ28" i="37"/>
  <c r="AO28" i="37"/>
  <c r="AQ27" i="37"/>
  <c r="AO27" i="37"/>
  <c r="AJ16" i="37"/>
  <c r="AQ15" i="37"/>
  <c r="AP15" i="37"/>
  <c r="AH15" i="37"/>
  <c r="AG15" i="37"/>
  <c r="AF15" i="37"/>
  <c r="AQ14" i="37"/>
  <c r="AP14" i="37"/>
  <c r="AH14" i="37"/>
  <c r="AH19" i="37" s="1"/>
  <c r="AG14" i="37"/>
  <c r="AF14" i="37"/>
  <c r="AQ12" i="37"/>
  <c r="AQ13" i="37" s="1"/>
  <c r="AP12" i="37"/>
  <c r="AH12" i="37"/>
  <c r="AG12" i="37"/>
  <c r="AG13" i="37" s="1"/>
  <c r="AF12" i="37"/>
  <c r="AF13" i="37" s="1"/>
  <c r="O12" i="37"/>
  <c r="O10" i="37"/>
  <c r="O8" i="37"/>
  <c r="O6" i="37"/>
  <c r="E383" i="24"/>
  <c r="L382" i="24"/>
  <c r="K382" i="24"/>
  <c r="I88" i="28" s="1"/>
  <c r="O370" i="24" a="1"/>
  <c r="O370" i="24" s="1"/>
  <c r="N370" i="24" a="1"/>
  <c r="N370" i="24" s="1"/>
  <c r="M370" i="24" a="1"/>
  <c r="M370" i="24" s="1"/>
  <c r="J399" i="24" s="1"/>
  <c r="H105" i="39" s="1"/>
  <c r="L370" i="24" a="1"/>
  <c r="L370" i="24" s="1"/>
  <c r="X383" i="24"/>
  <c r="V383" i="24"/>
  <c r="U383" i="24"/>
  <c r="T383" i="24"/>
  <c r="R383" i="24"/>
  <c r="Q383" i="24"/>
  <c r="O89" i="28" s="1"/>
  <c r="O383" i="24"/>
  <c r="M383" i="24"/>
  <c r="D370" i="24"/>
  <c r="C364" i="24"/>
  <c r="G363" i="24"/>
  <c r="F363" i="24"/>
  <c r="E363" i="24"/>
  <c r="D363" i="24"/>
  <c r="C363" i="24"/>
  <c r="G362" i="24"/>
  <c r="F362" i="24"/>
  <c r="E362" i="24"/>
  <c r="D362" i="24"/>
  <c r="C362" i="24"/>
  <c r="G361" i="24"/>
  <c r="F361" i="24"/>
  <c r="E361" i="24"/>
  <c r="D361" i="24"/>
  <c r="C361" i="24"/>
  <c r="H359" i="24"/>
  <c r="C365" i="24" s="1"/>
  <c r="AG14" i="28"/>
  <c r="AH14" i="28"/>
  <c r="AG15" i="28"/>
  <c r="AH15" i="28"/>
  <c r="AF14" i="28"/>
  <c r="AF15" i="28"/>
  <c r="AG12" i="28"/>
  <c r="AG13" i="28" s="1"/>
  <c r="AF12" i="28"/>
  <c r="AJ16" i="28"/>
  <c r="AQ15" i="28"/>
  <c r="AP15" i="28"/>
  <c r="AQ14" i="28"/>
  <c r="AP14" i="28"/>
  <c r="AQ12" i="28"/>
  <c r="AP12" i="28"/>
  <c r="AH12" i="28"/>
  <c r="AH13" i="28" s="1"/>
  <c r="AQ19" i="39" l="1"/>
  <c r="AJ4" i="39"/>
  <c r="AK4" i="39" s="1"/>
  <c r="G206" i="25"/>
  <c r="G207" i="25" s="1"/>
  <c r="G208" i="25" s="1"/>
  <c r="G209" i="25" s="1"/>
  <c r="E142" i="39" s="1"/>
  <c r="W383" i="24"/>
  <c r="U89" i="28" s="1"/>
  <c r="AG19" i="39"/>
  <c r="P206" i="25"/>
  <c r="P207" i="25" s="1"/>
  <c r="S138" i="39"/>
  <c r="AN53" i="39" a="1"/>
  <c r="AN53" i="39" s="1"/>
  <c r="Q73" i="38"/>
  <c r="O134" i="39"/>
  <c r="O134" i="28"/>
  <c r="U384" i="24"/>
  <c r="S89" i="28"/>
  <c r="S89" i="39"/>
  <c r="K72" i="38"/>
  <c r="I133" i="28"/>
  <c r="I133" i="39"/>
  <c r="S119" i="28"/>
  <c r="M206" i="25"/>
  <c r="K138" i="39"/>
  <c r="N139" i="39"/>
  <c r="W384" i="24"/>
  <c r="U89" i="39"/>
  <c r="N72" i="38"/>
  <c r="L133" i="39"/>
  <c r="W73" i="38"/>
  <c r="U134" i="28"/>
  <c r="U134" i="39"/>
  <c r="X384" i="24"/>
  <c r="V89" i="39"/>
  <c r="V89" i="28"/>
  <c r="O72" i="38"/>
  <c r="M133" i="39"/>
  <c r="X73" i="38"/>
  <c r="V134" i="28"/>
  <c r="V134" i="39"/>
  <c r="P72" i="38"/>
  <c r="N133" i="39"/>
  <c r="H135" i="39"/>
  <c r="H135" i="28"/>
  <c r="P383" i="24"/>
  <c r="N88" i="28"/>
  <c r="N88" i="39"/>
  <c r="AF40" i="39" s="1" a="1"/>
  <c r="AF40" i="39" s="1"/>
  <c r="O133" i="39"/>
  <c r="O133" i="28"/>
  <c r="D136" i="28"/>
  <c r="D136" i="39"/>
  <c r="H105" i="28"/>
  <c r="U88" i="28"/>
  <c r="Q206" i="25"/>
  <c r="O138" i="39"/>
  <c r="V384" i="24"/>
  <c r="T89" i="39"/>
  <c r="T89" i="28"/>
  <c r="H96" i="39"/>
  <c r="H96" i="28"/>
  <c r="R72" i="38"/>
  <c r="P133" i="39"/>
  <c r="P133" i="28"/>
  <c r="L137" i="28"/>
  <c r="L137" i="39"/>
  <c r="P138" i="39"/>
  <c r="R206" i="25"/>
  <c r="V73" i="38"/>
  <c r="T134" i="39"/>
  <c r="M384" i="24"/>
  <c r="K89" i="39"/>
  <c r="T72" i="38"/>
  <c r="R133" i="28"/>
  <c r="R133" i="39"/>
  <c r="L122" i="28"/>
  <c r="L121" i="28"/>
  <c r="L120" i="28"/>
  <c r="L72" i="38"/>
  <c r="J133" i="39"/>
  <c r="J133" i="28"/>
  <c r="O384" i="24"/>
  <c r="M89" i="39"/>
  <c r="K383" i="24"/>
  <c r="I88" i="39"/>
  <c r="AA34" i="39" s="1" a="1"/>
  <c r="AA34" i="39" s="1"/>
  <c r="L124" i="28"/>
  <c r="N419" i="24"/>
  <c r="U72" i="38"/>
  <c r="S133" i="28"/>
  <c r="S133" i="39"/>
  <c r="L126" i="28"/>
  <c r="Q384" i="24"/>
  <c r="O89" i="39"/>
  <c r="L383" i="24"/>
  <c r="J88" i="39"/>
  <c r="J88" i="28"/>
  <c r="E72" i="38"/>
  <c r="C133" i="28"/>
  <c r="C133" i="39"/>
  <c r="T133" i="28"/>
  <c r="T133" i="39"/>
  <c r="M89" i="28"/>
  <c r="F72" i="38"/>
  <c r="D133" i="28"/>
  <c r="D133" i="39"/>
  <c r="U133" i="28"/>
  <c r="U133" i="39"/>
  <c r="K89" i="28"/>
  <c r="N133" i="28"/>
  <c r="R384" i="24"/>
  <c r="P89" i="39"/>
  <c r="P89" i="28"/>
  <c r="E384" i="24"/>
  <c r="C89" i="39"/>
  <c r="T384" i="24"/>
  <c r="R89" i="28"/>
  <c r="R89" i="39"/>
  <c r="G72" i="38"/>
  <c r="E133" i="28"/>
  <c r="E133" i="39"/>
  <c r="V133" i="28"/>
  <c r="V133" i="39"/>
  <c r="T118" i="28"/>
  <c r="T117" i="28"/>
  <c r="T134" i="28"/>
  <c r="M133" i="28"/>
  <c r="U140" i="39"/>
  <c r="I140" i="39"/>
  <c r="S139" i="39"/>
  <c r="E139" i="39"/>
  <c r="C138" i="39"/>
  <c r="T206" i="25"/>
  <c r="V141" i="39"/>
  <c r="J141" i="39"/>
  <c r="T140" i="39"/>
  <c r="D139" i="39"/>
  <c r="U141" i="39"/>
  <c r="I141" i="39"/>
  <c r="S140" i="39"/>
  <c r="E140" i="39"/>
  <c r="C139" i="39"/>
  <c r="T141" i="39"/>
  <c r="D140" i="39"/>
  <c r="S141" i="39"/>
  <c r="E141" i="39"/>
  <c r="M138" i="39"/>
  <c r="D141" i="39"/>
  <c r="L138" i="39"/>
  <c r="U211" i="25"/>
  <c r="S144" i="39" s="1"/>
  <c r="M139" i="39"/>
  <c r="L139" i="39"/>
  <c r="V138" i="39"/>
  <c r="J138" i="39"/>
  <c r="H128" i="39"/>
  <c r="M140" i="39"/>
  <c r="U138" i="39"/>
  <c r="I138" i="39"/>
  <c r="L132" i="39"/>
  <c r="L140" i="39"/>
  <c r="V139" i="39"/>
  <c r="J139" i="39"/>
  <c r="T138" i="39"/>
  <c r="AH19" i="39"/>
  <c r="AH20" i="39" s="1"/>
  <c r="U46" i="39"/>
  <c r="M141" i="39"/>
  <c r="U139" i="39"/>
  <c r="I139" i="39"/>
  <c r="L141" i="39"/>
  <c r="V140" i="39"/>
  <c r="J140" i="39"/>
  <c r="T139" i="39"/>
  <c r="D138" i="39"/>
  <c r="W38" i="28" a="1"/>
  <c r="W38" i="28" s="1"/>
  <c r="AG29" i="39" a="1"/>
  <c r="AG29" i="39" s="1"/>
  <c r="W36" i="28" a="1"/>
  <c r="W36" i="28" s="1"/>
  <c r="W47" i="28" a="1"/>
  <c r="W47" i="28" s="1"/>
  <c r="W35" i="28" a="1"/>
  <c r="W35" i="28" s="1"/>
  <c r="W37" i="28" a="1"/>
  <c r="W37" i="28" s="1"/>
  <c r="W48" i="28" a="1"/>
  <c r="W48" i="28" s="1"/>
  <c r="W27" i="28" a="1"/>
  <c r="W27" i="28" s="1"/>
  <c r="W46" i="28" a="1"/>
  <c r="W46" i="28" s="1"/>
  <c r="W34" i="28" a="1"/>
  <c r="W34" i="28" s="1"/>
  <c r="W57" i="28" a="1"/>
  <c r="W57" i="28" s="1"/>
  <c r="W45" i="28" a="1"/>
  <c r="W45" i="28" s="1"/>
  <c r="W33" i="28" a="1"/>
  <c r="W33" i="28" s="1"/>
  <c r="W56" i="28" a="1"/>
  <c r="W56" i="28" s="1"/>
  <c r="W44" i="28" a="1"/>
  <c r="W44" i="28" s="1"/>
  <c r="W32" i="28" a="1"/>
  <c r="W32" i="28" s="1"/>
  <c r="W55" i="28" a="1"/>
  <c r="W55" i="28" s="1"/>
  <c r="W43" i="28" a="1"/>
  <c r="W43" i="28" s="1"/>
  <c r="W31" i="28" a="1"/>
  <c r="W31" i="28" s="1"/>
  <c r="W54" i="28" a="1"/>
  <c r="W54" i="28" s="1"/>
  <c r="W42" i="28" a="1"/>
  <c r="W42" i="28" s="1"/>
  <c r="W53" i="28" a="1"/>
  <c r="W53" i="28" s="1"/>
  <c r="W41" i="28" a="1"/>
  <c r="W41" i="28" s="1"/>
  <c r="W29" i="28" a="1"/>
  <c r="W29" i="28" s="1"/>
  <c r="W52" i="28" a="1"/>
  <c r="W52" i="28" s="1"/>
  <c r="W40" i="28" a="1"/>
  <c r="W40" i="28" s="1"/>
  <c r="W49" i="28" a="1"/>
  <c r="W49" i="28" s="1"/>
  <c r="W51" i="28" a="1"/>
  <c r="W51" i="28" s="1"/>
  <c r="W39" i="28" a="1"/>
  <c r="W39" i="28" s="1"/>
  <c r="W50" i="28" a="1"/>
  <c r="W50" i="28" s="1"/>
  <c r="L124" i="39"/>
  <c r="AK27" i="39" a="1"/>
  <c r="AK27" i="39" s="1"/>
  <c r="AA31" i="39" a="1"/>
  <c r="AA31" i="39" s="1"/>
  <c r="AH31" i="39" a="1"/>
  <c r="AH31" i="39" s="1"/>
  <c r="AB35" i="39" a="1"/>
  <c r="AB35" i="39" s="1"/>
  <c r="R14" i="39"/>
  <c r="R15" i="39" s="1"/>
  <c r="AC28" i="39" a="1"/>
  <c r="AC28" i="39" s="1"/>
  <c r="U55" i="39"/>
  <c r="AB32" i="39" a="1"/>
  <c r="AB32" i="39" s="1"/>
  <c r="W45" i="39"/>
  <c r="AC55" i="39" a="1"/>
  <c r="AC55" i="39" s="1"/>
  <c r="P14" i="39"/>
  <c r="P15" i="39" s="1"/>
  <c r="AH36" i="39" a="1"/>
  <c r="AH36" i="39" s="1"/>
  <c r="Z29" i="39"/>
  <c r="AG20" i="39"/>
  <c r="AL33" i="39" a="1"/>
  <c r="AL33" i="39" s="1"/>
  <c r="AC52" i="39" a="1"/>
  <c r="AC52" i="39" s="1"/>
  <c r="AJ8" i="39"/>
  <c r="AK8" i="39" s="1"/>
  <c r="AH42" i="39" a="1"/>
  <c r="AH42" i="39" s="1"/>
  <c r="AP19" i="39"/>
  <c r="AG30" i="39" a="1"/>
  <c r="AG30" i="39" s="1"/>
  <c r="AG34" i="39" a="1"/>
  <c r="AG34" i="39" s="1"/>
  <c r="AG38" i="39" a="1"/>
  <c r="AG38" i="39" s="1"/>
  <c r="AF20" i="39"/>
  <c r="AJ20" i="39"/>
  <c r="AS10" i="39"/>
  <c r="AT10" i="39" s="1"/>
  <c r="AS4" i="39"/>
  <c r="AT4" i="39" s="1"/>
  <c r="AS6" i="39"/>
  <c r="AT6" i="39" s="1"/>
  <c r="AS8" i="39"/>
  <c r="AT8" i="39" s="1"/>
  <c r="AQ20" i="39"/>
  <c r="W27" i="39"/>
  <c r="AJ46" i="39" a="1"/>
  <c r="AJ46" i="39" s="1"/>
  <c r="AK57" i="39" a="1"/>
  <c r="AK57" i="39" s="1"/>
  <c r="AM56" i="39" a="1"/>
  <c r="AM56" i="39" s="1"/>
  <c r="AK54" i="39" a="1"/>
  <c r="AK54" i="39" s="1"/>
  <c r="AM53" i="39" a="1"/>
  <c r="AM53" i="39" s="1"/>
  <c r="AK51" i="39" a="1"/>
  <c r="AK51" i="39" s="1"/>
  <c r="AM50" i="39" a="1"/>
  <c r="AM50" i="39" s="1"/>
  <c r="AK48" i="39" a="1"/>
  <c r="AK48" i="39" s="1"/>
  <c r="AM47" i="39" a="1"/>
  <c r="AM47" i="39" s="1"/>
  <c r="AK45" i="39" a="1"/>
  <c r="AK45" i="39" s="1"/>
  <c r="AM44" i="39" a="1"/>
  <c r="AM44" i="39" s="1"/>
  <c r="AK42" i="39" a="1"/>
  <c r="AK42" i="39" s="1"/>
  <c r="AM41" i="39" a="1"/>
  <c r="AM41" i="39" s="1"/>
  <c r="AK39" i="39" a="1"/>
  <c r="AK39" i="39" s="1"/>
  <c r="AM38" i="39" a="1"/>
  <c r="AM38" i="39" s="1"/>
  <c r="AK36" i="39" a="1"/>
  <c r="AK36" i="39" s="1"/>
  <c r="AM35" i="39" a="1"/>
  <c r="AM35" i="39" s="1"/>
  <c r="AK33" i="39" a="1"/>
  <c r="AK33" i="39" s="1"/>
  <c r="AM32" i="39" a="1"/>
  <c r="AM32" i="39" s="1"/>
  <c r="AK30" i="39" a="1"/>
  <c r="AK30" i="39" s="1"/>
  <c r="AF56" i="39" a="1"/>
  <c r="AF56" i="39" s="1"/>
  <c r="AH55" i="39" a="1"/>
  <c r="AH55" i="39" s="1"/>
  <c r="AB55" i="39" a="1"/>
  <c r="AB55" i="39" s="1"/>
  <c r="AF53" i="39" a="1"/>
  <c r="AF53" i="39" s="1"/>
  <c r="AH52" i="39" a="1"/>
  <c r="AH52" i="39" s="1"/>
  <c r="AB52" i="39" a="1"/>
  <c r="AB52" i="39" s="1"/>
  <c r="AH49" i="39" a="1"/>
  <c r="AH49" i="39" s="1"/>
  <c r="AB49" i="39" a="1"/>
  <c r="AB49" i="39" s="1"/>
  <c r="AF47" i="39" a="1"/>
  <c r="AF47" i="39" s="1"/>
  <c r="AH46" i="39" a="1"/>
  <c r="AH46" i="39" s="1"/>
  <c r="AB46" i="39" a="1"/>
  <c r="AB46" i="39" s="1"/>
  <c r="AF44" i="39" a="1"/>
  <c r="AF44" i="39" s="1"/>
  <c r="AH43" i="39" a="1"/>
  <c r="AH43" i="39" s="1"/>
  <c r="AB43" i="39" a="1"/>
  <c r="AB43" i="39" s="1"/>
  <c r="AF41" i="39" a="1"/>
  <c r="AF41" i="39" s="1"/>
  <c r="AH40" i="39" a="1"/>
  <c r="AH40" i="39" s="1"/>
  <c r="AB40" i="39" a="1"/>
  <c r="AB40" i="39" s="1"/>
  <c r="AH37" i="39" a="1"/>
  <c r="AH37" i="39" s="1"/>
  <c r="AB37" i="39" a="1"/>
  <c r="AB37" i="39" s="1"/>
  <c r="AJ57" i="39" a="1"/>
  <c r="AJ57" i="39" s="1"/>
  <c r="AL56" i="39" a="1"/>
  <c r="AL56" i="39" s="1"/>
  <c r="AN55" i="39" a="1"/>
  <c r="AN55" i="39" s="1"/>
  <c r="AJ54" i="39" a="1"/>
  <c r="AJ54" i="39" s="1"/>
  <c r="AL53" i="39" a="1"/>
  <c r="AL53" i="39" s="1"/>
  <c r="AN52" i="39" a="1"/>
  <c r="AN52" i="39" s="1"/>
  <c r="AJ51" i="39" a="1"/>
  <c r="AJ51" i="39" s="1"/>
  <c r="AL50" i="39" a="1"/>
  <c r="AL50" i="39" s="1"/>
  <c r="AN49" i="39" a="1"/>
  <c r="AN49" i="39" s="1"/>
  <c r="AJ48" i="39" a="1"/>
  <c r="AJ48" i="39" s="1"/>
  <c r="AL47" i="39" a="1"/>
  <c r="AL47" i="39" s="1"/>
  <c r="AN46" i="39" a="1"/>
  <c r="AN46" i="39" s="1"/>
  <c r="AJ45" i="39" a="1"/>
  <c r="AJ45" i="39" s="1"/>
  <c r="AL44" i="39" a="1"/>
  <c r="AL44" i="39" s="1"/>
  <c r="AN43" i="39" a="1"/>
  <c r="AN43" i="39" s="1"/>
  <c r="AJ42" i="39" a="1"/>
  <c r="AJ42" i="39" s="1"/>
  <c r="AL41" i="39" a="1"/>
  <c r="AL41" i="39" s="1"/>
  <c r="AN40" i="39" a="1"/>
  <c r="AN40" i="39" s="1"/>
  <c r="AJ39" i="39" a="1"/>
  <c r="AJ39" i="39" s="1"/>
  <c r="AL38" i="39" a="1"/>
  <c r="AL38" i="39" s="1"/>
  <c r="AN37" i="39" a="1"/>
  <c r="AN37" i="39" s="1"/>
  <c r="AJ36" i="39" a="1"/>
  <c r="AJ36" i="39" s="1"/>
  <c r="AC57" i="39" a="1"/>
  <c r="AC57" i="39" s="1"/>
  <c r="AE56" i="39" a="1"/>
  <c r="AE56" i="39" s="1"/>
  <c r="AG55" i="39" a="1"/>
  <c r="AG55" i="39" s="1"/>
  <c r="AC54" i="39" a="1"/>
  <c r="AC54" i="39" s="1"/>
  <c r="AE53" i="39" a="1"/>
  <c r="AE53" i="39" s="1"/>
  <c r="AG52" i="39" a="1"/>
  <c r="AG52" i="39" s="1"/>
  <c r="AC51" i="39" a="1"/>
  <c r="AC51" i="39" s="1"/>
  <c r="AE50" i="39" a="1"/>
  <c r="AE50" i="39" s="1"/>
  <c r="AG49" i="39" a="1"/>
  <c r="AG49" i="39" s="1"/>
  <c r="AC48" i="39" a="1"/>
  <c r="AC48" i="39" s="1"/>
  <c r="AE47" i="39" a="1"/>
  <c r="AE47" i="39" s="1"/>
  <c r="AG46" i="39" a="1"/>
  <c r="AG46" i="39" s="1"/>
  <c r="AC45" i="39" a="1"/>
  <c r="AC45" i="39" s="1"/>
  <c r="AE44" i="39" a="1"/>
  <c r="AE44" i="39" s="1"/>
  <c r="AG43" i="39" a="1"/>
  <c r="AG43" i="39" s="1"/>
  <c r="AC42" i="39" a="1"/>
  <c r="AC42" i="39" s="1"/>
  <c r="AE41" i="39" a="1"/>
  <c r="AE41" i="39" s="1"/>
  <c r="AG40" i="39" a="1"/>
  <c r="AG40" i="39" s="1"/>
  <c r="AC39" i="39" a="1"/>
  <c r="AC39" i="39" s="1"/>
  <c r="AE38" i="39" a="1"/>
  <c r="AE38" i="39" s="1"/>
  <c r="AG37" i="39" a="1"/>
  <c r="AG37" i="39" s="1"/>
  <c r="AK56" i="39" a="1"/>
  <c r="AK56" i="39" s="1"/>
  <c r="AM55" i="39" a="1"/>
  <c r="AM55" i="39" s="1"/>
  <c r="AK53" i="39" a="1"/>
  <c r="AK53" i="39" s="1"/>
  <c r="AM52" i="39" a="1"/>
  <c r="AM52" i="39" s="1"/>
  <c r="AK50" i="39" a="1"/>
  <c r="AK50" i="39" s="1"/>
  <c r="AM49" i="39" a="1"/>
  <c r="AM49" i="39" s="1"/>
  <c r="AK47" i="39" a="1"/>
  <c r="AK47" i="39" s="1"/>
  <c r="AM46" i="39" a="1"/>
  <c r="AM46" i="39" s="1"/>
  <c r="AK44" i="39" a="1"/>
  <c r="AK44" i="39" s="1"/>
  <c r="AM43" i="39" a="1"/>
  <c r="AM43" i="39" s="1"/>
  <c r="AK41" i="39" a="1"/>
  <c r="AK41" i="39" s="1"/>
  <c r="AM40" i="39" a="1"/>
  <c r="AM40" i="39" s="1"/>
  <c r="AK38" i="39" a="1"/>
  <c r="AK38" i="39" s="1"/>
  <c r="AM37" i="39" a="1"/>
  <c r="AM37" i="39" s="1"/>
  <c r="AK35" i="39" a="1"/>
  <c r="AK35" i="39" s="1"/>
  <c r="AM34" i="39" a="1"/>
  <c r="AM34" i="39" s="1"/>
  <c r="AK32" i="39" a="1"/>
  <c r="AK32" i="39" s="1"/>
  <c r="AM31" i="39" a="1"/>
  <c r="AM31" i="39" s="1"/>
  <c r="AK29" i="39" a="1"/>
  <c r="AK29" i="39" s="1"/>
  <c r="AH57" i="39" a="1"/>
  <c r="AH57" i="39" s="1"/>
  <c r="AB57" i="39" a="1"/>
  <c r="AB57" i="39" s="1"/>
  <c r="AF55" i="39" a="1"/>
  <c r="AF55" i="39" s="1"/>
  <c r="AH54" i="39" a="1"/>
  <c r="AH54" i="39" s="1"/>
  <c r="AB54" i="39" a="1"/>
  <c r="AB54" i="39" s="1"/>
  <c r="AF52" i="39" a="1"/>
  <c r="AF52" i="39" s="1"/>
  <c r="AH51" i="39" a="1"/>
  <c r="AH51" i="39" s="1"/>
  <c r="AB51" i="39" a="1"/>
  <c r="AB51" i="39" s="1"/>
  <c r="AF49" i="39" a="1"/>
  <c r="AF49" i="39" s="1"/>
  <c r="AH48" i="39" a="1"/>
  <c r="AH48" i="39" s="1"/>
  <c r="AB48" i="39" a="1"/>
  <c r="AB48" i="39" s="1"/>
  <c r="AF46" i="39" a="1"/>
  <c r="AF46" i="39" s="1"/>
  <c r="AH45" i="39" a="1"/>
  <c r="AH45" i="39" s="1"/>
  <c r="AB45" i="39" a="1"/>
  <c r="AB45" i="39" s="1"/>
  <c r="AF43" i="39" a="1"/>
  <c r="AF43" i="39" s="1"/>
  <c r="AN57" i="39" a="1"/>
  <c r="AN57" i="39" s="1"/>
  <c r="AJ56" i="39" a="1"/>
  <c r="AJ56" i="39" s="1"/>
  <c r="AL55" i="39" a="1"/>
  <c r="AL55" i="39" s="1"/>
  <c r="AN54" i="39" a="1"/>
  <c r="AN54" i="39" s="1"/>
  <c r="AJ53" i="39" a="1"/>
  <c r="AJ53" i="39" s="1"/>
  <c r="AL52" i="39" a="1"/>
  <c r="AL52" i="39" s="1"/>
  <c r="AN51" i="39" a="1"/>
  <c r="AN51" i="39" s="1"/>
  <c r="AJ50" i="39" a="1"/>
  <c r="AJ50" i="39" s="1"/>
  <c r="AL49" i="39" a="1"/>
  <c r="AL49" i="39" s="1"/>
  <c r="AN48" i="39" a="1"/>
  <c r="AN48" i="39" s="1"/>
  <c r="AJ47" i="39" a="1"/>
  <c r="AJ47" i="39" s="1"/>
  <c r="AL46" i="39" a="1"/>
  <c r="AL46" i="39" s="1"/>
  <c r="AN45" i="39" a="1"/>
  <c r="AN45" i="39" s="1"/>
  <c r="AJ44" i="39" a="1"/>
  <c r="AJ44" i="39" s="1"/>
  <c r="AL43" i="39" a="1"/>
  <c r="AL43" i="39" s="1"/>
  <c r="AN42" i="39" a="1"/>
  <c r="AN42" i="39" s="1"/>
  <c r="AJ41" i="39" a="1"/>
  <c r="AJ41" i="39" s="1"/>
  <c r="AL40" i="39" a="1"/>
  <c r="AL40" i="39" s="1"/>
  <c r="AN39" i="39" a="1"/>
  <c r="AN39" i="39" s="1"/>
  <c r="AJ38" i="39" a="1"/>
  <c r="AJ38" i="39" s="1"/>
  <c r="AL37" i="39" a="1"/>
  <c r="AL37" i="39" s="1"/>
  <c r="AN36" i="39" a="1"/>
  <c r="AN36" i="39" s="1"/>
  <c r="AG57" i="39" a="1"/>
  <c r="AG57" i="39" s="1"/>
  <c r="AC56" i="39" a="1"/>
  <c r="AC56" i="39" s="1"/>
  <c r="AE55" i="39" a="1"/>
  <c r="AE55" i="39" s="1"/>
  <c r="AG54" i="39" a="1"/>
  <c r="AG54" i="39" s="1"/>
  <c r="AC53" i="39" a="1"/>
  <c r="AC53" i="39" s="1"/>
  <c r="AE52" i="39" a="1"/>
  <c r="AE52" i="39" s="1"/>
  <c r="AG51" i="39" a="1"/>
  <c r="AG51" i="39" s="1"/>
  <c r="AC50" i="39" a="1"/>
  <c r="AC50" i="39" s="1"/>
  <c r="AE49" i="39" a="1"/>
  <c r="AE49" i="39" s="1"/>
  <c r="AG48" i="39" a="1"/>
  <c r="AG48" i="39" s="1"/>
  <c r="AC47" i="39" a="1"/>
  <c r="AC47" i="39" s="1"/>
  <c r="AE46" i="39" a="1"/>
  <c r="AE46" i="39" s="1"/>
  <c r="AG45" i="39" a="1"/>
  <c r="AG45" i="39" s="1"/>
  <c r="AC44" i="39" a="1"/>
  <c r="AC44" i="39" s="1"/>
  <c r="AE43" i="39" a="1"/>
  <c r="AE43" i="39" s="1"/>
  <c r="AG42" i="39" a="1"/>
  <c r="AG42" i="39" s="1"/>
  <c r="AC41" i="39" a="1"/>
  <c r="AC41" i="39" s="1"/>
  <c r="AE40" i="39" a="1"/>
  <c r="AE40" i="39" s="1"/>
  <c r="AG39" i="39" a="1"/>
  <c r="AG39" i="39" s="1"/>
  <c r="AC38" i="39" a="1"/>
  <c r="AC38" i="39" s="1"/>
  <c r="AE37" i="39" a="1"/>
  <c r="AE37" i="39" s="1"/>
  <c r="AG36" i="39" a="1"/>
  <c r="AG36" i="39" s="1"/>
  <c r="AC35" i="39" a="1"/>
  <c r="AC35" i="39" s="1"/>
  <c r="AE34" i="39" a="1"/>
  <c r="AE34" i="39" s="1"/>
  <c r="AG33" i="39" a="1"/>
  <c r="AG33" i="39" s="1"/>
  <c r="AM57" i="39" a="1"/>
  <c r="AM57" i="39" s="1"/>
  <c r="AK55" i="39" a="1"/>
  <c r="AK55" i="39" s="1"/>
  <c r="AM54" i="39" a="1"/>
  <c r="AM54" i="39" s="1"/>
  <c r="AK52" i="39" a="1"/>
  <c r="AK52" i="39" s="1"/>
  <c r="AM51" i="39" a="1"/>
  <c r="AM51" i="39" s="1"/>
  <c r="AK49" i="39" a="1"/>
  <c r="AK49" i="39" s="1"/>
  <c r="AM48" i="39" a="1"/>
  <c r="AM48" i="39" s="1"/>
  <c r="AK46" i="39" a="1"/>
  <c r="AK46" i="39" s="1"/>
  <c r="AM45" i="39" a="1"/>
  <c r="AM45" i="39" s="1"/>
  <c r="AK43" i="39" a="1"/>
  <c r="AK43" i="39" s="1"/>
  <c r="AM42" i="39" a="1"/>
  <c r="AM42" i="39" s="1"/>
  <c r="AK40" i="39" a="1"/>
  <c r="AK40" i="39" s="1"/>
  <c r="AM39" i="39" a="1"/>
  <c r="AM39" i="39" s="1"/>
  <c r="AK37" i="39" a="1"/>
  <c r="AK37" i="39" s="1"/>
  <c r="AM36" i="39" a="1"/>
  <c r="AM36" i="39" s="1"/>
  <c r="AF57" i="39" a="1"/>
  <c r="AF57" i="39" s="1"/>
  <c r="AH56" i="39" a="1"/>
  <c r="AH56" i="39" s="1"/>
  <c r="AB56" i="39" a="1"/>
  <c r="AB56" i="39" s="1"/>
  <c r="AF54" i="39" a="1"/>
  <c r="AF54" i="39" s="1"/>
  <c r="AH53" i="39" a="1"/>
  <c r="AH53" i="39" s="1"/>
  <c r="AB53" i="39" a="1"/>
  <c r="AB53" i="39" s="1"/>
  <c r="AF51" i="39" a="1"/>
  <c r="AF51" i="39" s="1"/>
  <c r="AH50" i="39" a="1"/>
  <c r="AH50" i="39" s="1"/>
  <c r="AB50" i="39" a="1"/>
  <c r="AB50" i="39" s="1"/>
  <c r="AF48" i="39" a="1"/>
  <c r="AF48" i="39" s="1"/>
  <c r="AH47" i="39" a="1"/>
  <c r="AH47" i="39" s="1"/>
  <c r="AB47" i="39" a="1"/>
  <c r="AB47" i="39" s="1"/>
  <c r="AF45" i="39" a="1"/>
  <c r="AF45" i="39" s="1"/>
  <c r="AH44" i="39" a="1"/>
  <c r="AH44" i="39" s="1"/>
  <c r="AB44" i="39" a="1"/>
  <c r="AB44" i="39" s="1"/>
  <c r="AF42" i="39" a="1"/>
  <c r="AF42" i="39" s="1"/>
  <c r="AH41" i="39" a="1"/>
  <c r="AH41" i="39" s="1"/>
  <c r="AB41" i="39" a="1"/>
  <c r="AB41" i="39" s="1"/>
  <c r="AF39" i="39" a="1"/>
  <c r="AF39" i="39" s="1"/>
  <c r="AH38" i="39" a="1"/>
  <c r="AH38" i="39" s="1"/>
  <c r="AB38" i="39" a="1"/>
  <c r="AB38" i="39" s="1"/>
  <c r="AN29" i="39" a="1"/>
  <c r="AN29" i="39" s="1"/>
  <c r="Q14" i="39"/>
  <c r="Q15" i="39" s="1"/>
  <c r="AL27" i="39" a="1"/>
  <c r="AL27" i="39" s="1"/>
  <c r="U28" i="39"/>
  <c r="AJ28" i="39" a="1"/>
  <c r="AJ28" i="39" s="1"/>
  <c r="AH30" i="39" a="1"/>
  <c r="AH30" i="39" s="1"/>
  <c r="AB31" i="39" a="1"/>
  <c r="AB31" i="39" s="1"/>
  <c r="AJ31" i="39" a="1"/>
  <c r="AJ31" i="39" s="1"/>
  <c r="AC32" i="39" a="1"/>
  <c r="AC32" i="39" s="1"/>
  <c r="U33" i="39"/>
  <c r="AE33" i="39" a="1"/>
  <c r="AE33" i="39" s="1"/>
  <c r="AM33" i="39" a="1"/>
  <c r="AM33" i="39" s="1"/>
  <c r="AH34" i="39" a="1"/>
  <c r="AH34" i="39" s="1"/>
  <c r="AJ40" i="39" a="1"/>
  <c r="AJ40" i="39" s="1"/>
  <c r="AL42" i="39" a="1"/>
  <c r="AL42" i="39" s="1"/>
  <c r="AE45" i="39" a="1"/>
  <c r="AE45" i="39" s="1"/>
  <c r="AJ49" i="39" a="1"/>
  <c r="AJ49" i="39" s="1"/>
  <c r="W51" i="39"/>
  <c r="W48" i="39"/>
  <c r="AF27" i="39" a="1"/>
  <c r="AF27" i="39" s="1"/>
  <c r="AB29" i="39" a="1"/>
  <c r="AB29" i="39" s="1"/>
  <c r="AH29" i="39" a="1"/>
  <c r="AH29" i="39" s="1"/>
  <c r="AC31" i="39" a="1"/>
  <c r="AC31" i="39" s="1"/>
  <c r="AN33" i="39" a="1"/>
  <c r="AN33" i="39" s="1"/>
  <c r="AL36" i="39" a="1"/>
  <c r="AL36" i="39" s="1"/>
  <c r="AJ37" i="39" a="1"/>
  <c r="AJ37" i="39" s="1"/>
  <c r="AL39" i="39" a="1"/>
  <c r="AL39" i="39" s="1"/>
  <c r="AN41" i="39" a="1"/>
  <c r="AN41" i="39" s="1"/>
  <c r="AE48" i="39" a="1"/>
  <c r="AE48" i="39" s="1"/>
  <c r="AJ52" i="39" a="1"/>
  <c r="AJ52" i="39" s="1"/>
  <c r="W54" i="39"/>
  <c r="AJ32" i="39" a="1"/>
  <c r="AJ32" i="39" s="1"/>
  <c r="AP20" i="39"/>
  <c r="Z27" i="39"/>
  <c r="AM27" i="39" a="1"/>
  <c r="AM27" i="39" s="1"/>
  <c r="AK28" i="39" a="1"/>
  <c r="AK28" i="39" s="1"/>
  <c r="AB30" i="39" a="1"/>
  <c r="AB30" i="39" s="1"/>
  <c r="AJ30" i="39" a="1"/>
  <c r="AJ30" i="39" s="1"/>
  <c r="AK31" i="39" a="1"/>
  <c r="AK31" i="39" s="1"/>
  <c r="AL32" i="39" a="1"/>
  <c r="AL32" i="39" s="1"/>
  <c r="W33" i="39"/>
  <c r="AF33" i="39" a="1"/>
  <c r="AF33" i="39" s="1"/>
  <c r="AJ34" i="39" a="1"/>
  <c r="AJ34" i="39" s="1"/>
  <c r="AE35" i="39" a="1"/>
  <c r="AE35" i="39" s="1"/>
  <c r="AN35" i="39" a="1"/>
  <c r="AN35" i="39" s="1"/>
  <c r="AN38" i="39" a="1"/>
  <c r="AN38" i="39" s="1"/>
  <c r="AE51" i="39" a="1"/>
  <c r="AE51" i="39" s="1"/>
  <c r="AJ55" i="39" a="1"/>
  <c r="AJ55" i="39" s="1"/>
  <c r="W57" i="39"/>
  <c r="AL35" i="39" a="1"/>
  <c r="AL35" i="39" s="1"/>
  <c r="AG27" i="39" a="1"/>
  <c r="AG27" i="39" s="1"/>
  <c r="W28" i="39"/>
  <c r="AE28" i="39" a="1"/>
  <c r="AE28" i="39" s="1"/>
  <c r="AC29" i="39" a="1"/>
  <c r="AC29" i="39" s="1"/>
  <c r="AC30" i="39" a="1"/>
  <c r="AC30" i="39" s="1"/>
  <c r="U32" i="39"/>
  <c r="AE32" i="39" a="1"/>
  <c r="AE32" i="39" s="1"/>
  <c r="AB34" i="39" a="1"/>
  <c r="AB34" i="39" s="1"/>
  <c r="U35" i="39"/>
  <c r="AB36" i="39" a="1"/>
  <c r="AB36" i="39" s="1"/>
  <c r="AL45" i="39" a="1"/>
  <c r="AL45" i="39" s="1"/>
  <c r="AE54" i="39" a="1"/>
  <c r="AE54" i="39" s="1"/>
  <c r="AE27" i="39" a="1"/>
  <c r="AE27" i="39" s="1"/>
  <c r="AF37" i="39" a="1"/>
  <c r="AF37" i="39" s="1"/>
  <c r="AJ6" i="39"/>
  <c r="AK6" i="39" s="1"/>
  <c r="AN27" i="39" a="1"/>
  <c r="AN27" i="39" s="1"/>
  <c r="AL28" i="39" a="1"/>
  <c r="AL28" i="39" s="1"/>
  <c r="U29" i="39"/>
  <c r="AJ29" i="39" a="1"/>
  <c r="AJ29" i="39" s="1"/>
  <c r="U31" i="39"/>
  <c r="AL31" i="39" a="1"/>
  <c r="AL31" i="39" s="1"/>
  <c r="AC34" i="39" a="1"/>
  <c r="AC34" i="39" s="1"/>
  <c r="AK34" i="39" a="1"/>
  <c r="AK34" i="39" s="1"/>
  <c r="AF35" i="39" a="1"/>
  <c r="AF35" i="39" s="1"/>
  <c r="AC36" i="39" a="1"/>
  <c r="AC36" i="39" s="1"/>
  <c r="AG44" i="39" a="1"/>
  <c r="AG44" i="39" s="1"/>
  <c r="AL48" i="39" a="1"/>
  <c r="AL48" i="39" s="1"/>
  <c r="AA50" i="39" a="1"/>
  <c r="AA50" i="39" s="1"/>
  <c r="AE57" i="39" a="1"/>
  <c r="AE57" i="39" s="1"/>
  <c r="AB27" i="39" a="1"/>
  <c r="AB27" i="39" s="1"/>
  <c r="AH27" i="39" a="1"/>
  <c r="AH27" i="39" s="1"/>
  <c r="AF28" i="39" a="1"/>
  <c r="AF28" i="39" s="1"/>
  <c r="AL30" i="39" a="1"/>
  <c r="AL30" i="39" s="1"/>
  <c r="AE31" i="39" a="1"/>
  <c r="AE31" i="39" s="1"/>
  <c r="W32" i="39"/>
  <c r="AF32" i="39" a="1"/>
  <c r="AF32" i="39" s="1"/>
  <c r="AN32" i="39" a="1"/>
  <c r="AN32" i="39" s="1"/>
  <c r="Z33" i="39"/>
  <c r="AH33" i="39" a="1"/>
  <c r="AH33" i="39" s="1"/>
  <c r="AL34" i="39" a="1"/>
  <c r="AL34" i="39" s="1"/>
  <c r="W35" i="39"/>
  <c r="AG35" i="39" a="1"/>
  <c r="AG35" i="39" s="1"/>
  <c r="W42" i="39"/>
  <c r="U43" i="39"/>
  <c r="AG47" i="39" a="1"/>
  <c r="AG47" i="39" s="1"/>
  <c r="AL51" i="39" a="1"/>
  <c r="AL51" i="39" s="1"/>
  <c r="Z30" i="39"/>
  <c r="W36" i="39"/>
  <c r="AJ10" i="39"/>
  <c r="AK10" i="39" s="1"/>
  <c r="AF13" i="39"/>
  <c r="Z28" i="39"/>
  <c r="AM28" i="39" a="1"/>
  <c r="AM28" i="39" s="1"/>
  <c r="U30" i="39"/>
  <c r="AE30" i="39" a="1"/>
  <c r="AE30" i="39" s="1"/>
  <c r="AG32" i="39" a="1"/>
  <c r="AG32" i="39" s="1"/>
  <c r="AE36" i="39" a="1"/>
  <c r="AE36" i="39" s="1"/>
  <c r="W39" i="39"/>
  <c r="U40" i="39"/>
  <c r="AG50" i="39" a="1"/>
  <c r="AG50" i="39" s="1"/>
  <c r="AL54" i="39" a="1"/>
  <c r="AL54" i="39" s="1"/>
  <c r="AH39" i="39" a="1"/>
  <c r="AH39" i="39" s="1"/>
  <c r="AC27" i="39" a="1"/>
  <c r="AC27" i="39" s="1"/>
  <c r="AA28" i="39" a="1"/>
  <c r="AA28" i="39" s="1"/>
  <c r="AG28" i="39" a="1"/>
  <c r="AG28" i="39" s="1"/>
  <c r="W29" i="39"/>
  <c r="AE29" i="39" a="1"/>
  <c r="AE29" i="39" s="1"/>
  <c r="AL29" i="39" a="1"/>
  <c r="AL29" i="39" s="1"/>
  <c r="AM30" i="39" a="1"/>
  <c r="AM30" i="39" s="1"/>
  <c r="W31" i="39"/>
  <c r="AF31" i="39" a="1"/>
  <c r="AF31" i="39" s="1"/>
  <c r="AN31" i="39" a="1"/>
  <c r="AN31" i="39" s="1"/>
  <c r="AJ33" i="39" a="1"/>
  <c r="AJ33" i="39" s="1"/>
  <c r="AH35" i="39" a="1"/>
  <c r="AH35" i="39" s="1"/>
  <c r="U37" i="39"/>
  <c r="AA38" i="39" a="1"/>
  <c r="AA38" i="39" s="1"/>
  <c r="AB42" i="39" a="1"/>
  <c r="AB42" i="39" s="1"/>
  <c r="AC43" i="39" a="1"/>
  <c r="AC43" i="39" s="1"/>
  <c r="AN44" i="39" a="1"/>
  <c r="AN44" i="39" s="1"/>
  <c r="AG53" i="39" a="1"/>
  <c r="AG53" i="39" s="1"/>
  <c r="AL57" i="39" a="1"/>
  <c r="AL57" i="39" s="1"/>
  <c r="Z56" i="39"/>
  <c r="Z53" i="39"/>
  <c r="Z50" i="39"/>
  <c r="Z47" i="39"/>
  <c r="Z44" i="39"/>
  <c r="Z41" i="39"/>
  <c r="Z38" i="39"/>
  <c r="Z35" i="39"/>
  <c r="Z32" i="39"/>
  <c r="U57" i="39"/>
  <c r="U54" i="39"/>
  <c r="U51" i="39"/>
  <c r="U48" i="39"/>
  <c r="U45" i="39"/>
  <c r="U42" i="39"/>
  <c r="U39" i="39"/>
  <c r="W56" i="39"/>
  <c r="W53" i="39"/>
  <c r="W50" i="39"/>
  <c r="W47" i="39"/>
  <c r="W44" i="39"/>
  <c r="AA43" i="39" a="1"/>
  <c r="AA43" i="39" s="1"/>
  <c r="W41" i="39"/>
  <c r="W38" i="39"/>
  <c r="Z55" i="39"/>
  <c r="Z52" i="39"/>
  <c r="Z49" i="39"/>
  <c r="Z46" i="39"/>
  <c r="Z43" i="39"/>
  <c r="Z40" i="39"/>
  <c r="Z37" i="39"/>
  <c r="Z34" i="39"/>
  <c r="Z31" i="39"/>
  <c r="U56" i="39"/>
  <c r="U53" i="39"/>
  <c r="U50" i="39"/>
  <c r="U47" i="39"/>
  <c r="U44" i="39"/>
  <c r="U41" i="39"/>
  <c r="U38" i="39"/>
  <c r="W55" i="39"/>
  <c r="W52" i="39"/>
  <c r="AA51" i="39" a="1"/>
  <c r="AA51" i="39" s="1"/>
  <c r="W49" i="39"/>
  <c r="W46" i="39"/>
  <c r="AA45" i="39" a="1"/>
  <c r="AA45" i="39" s="1"/>
  <c r="W43" i="39"/>
  <c r="W40" i="39"/>
  <c r="W37" i="39"/>
  <c r="W34" i="39"/>
  <c r="Z57" i="39"/>
  <c r="Z54" i="39"/>
  <c r="Z51" i="39"/>
  <c r="Z48" i="39"/>
  <c r="Z45" i="39"/>
  <c r="Z42" i="39"/>
  <c r="Z39" i="39"/>
  <c r="Z36" i="39"/>
  <c r="AN56" i="39" a="1"/>
  <c r="AN56" i="39" s="1"/>
  <c r="U27" i="39"/>
  <c r="AJ27" i="39" a="1"/>
  <c r="AJ27" i="39" s="1"/>
  <c r="AN28" i="39" a="1"/>
  <c r="AN28" i="39" s="1"/>
  <c r="W30" i="39"/>
  <c r="AF30" i="39" a="1"/>
  <c r="AF30" i="39" s="1"/>
  <c r="AG31" i="39" a="1"/>
  <c r="AG31" i="39" s="1"/>
  <c r="AH32" i="39" a="1"/>
  <c r="AH32" i="39" s="1"/>
  <c r="AB33" i="39" a="1"/>
  <c r="AB33" i="39" s="1"/>
  <c r="U34" i="39"/>
  <c r="AN34" i="39" a="1"/>
  <c r="AN34" i="39" s="1"/>
  <c r="AJ35" i="39" a="1"/>
  <c r="AJ35" i="39" s="1"/>
  <c r="AF36" i="39" a="1"/>
  <c r="AF36" i="39" s="1"/>
  <c r="AB39" i="39" a="1"/>
  <c r="AB39" i="39" s="1"/>
  <c r="AC40" i="39" a="1"/>
  <c r="AC40" i="39" s="1"/>
  <c r="AE42" i="39" a="1"/>
  <c r="AE42" i="39" s="1"/>
  <c r="AC46" i="39" a="1"/>
  <c r="AC46" i="39" s="1"/>
  <c r="AN47" i="39" a="1"/>
  <c r="AN47" i="39" s="1"/>
  <c r="U49" i="39"/>
  <c r="AG56" i="39" a="1"/>
  <c r="AG56" i="39" s="1"/>
  <c r="AB28" i="39" a="1"/>
  <c r="AB28" i="39" s="1"/>
  <c r="AH28" i="39" a="1"/>
  <c r="AH28" i="39" s="1"/>
  <c r="AF29" i="39" a="1"/>
  <c r="AF29" i="39" s="1"/>
  <c r="AM29" i="39" a="1"/>
  <c r="AM29" i="39" s="1"/>
  <c r="AN30" i="39" a="1"/>
  <c r="AN30" i="39" s="1"/>
  <c r="AC33" i="39" a="1"/>
  <c r="AC33" i="39" s="1"/>
  <c r="AF34" i="39" a="1"/>
  <c r="AF34" i="39" s="1"/>
  <c r="U36" i="39"/>
  <c r="AC37" i="39" a="1"/>
  <c r="AC37" i="39" s="1"/>
  <c r="AE39" i="39" a="1"/>
  <c r="AE39" i="39" s="1"/>
  <c r="AG41" i="39" a="1"/>
  <c r="AG41" i="39" s="1"/>
  <c r="AC49" i="39" a="1"/>
  <c r="AC49" i="39" s="1"/>
  <c r="AN50" i="39" a="1"/>
  <c r="AN50" i="39" s="1"/>
  <c r="U52" i="39"/>
  <c r="T77" i="25"/>
  <c r="R145" i="28" s="1"/>
  <c r="T76" i="25"/>
  <c r="R144" i="28" s="1"/>
  <c r="T210" i="25"/>
  <c r="D193" i="25" a="1"/>
  <c r="D193" i="25" s="1"/>
  <c r="D194" i="25" s="1" a="1"/>
  <c r="D194" i="25" s="1"/>
  <c r="E192" i="25" a="1"/>
  <c r="E192" i="25" s="1"/>
  <c r="F192" i="25" a="1"/>
  <c r="F192" i="25" s="1"/>
  <c r="E208" i="25"/>
  <c r="C141" i="39" s="1"/>
  <c r="G192" i="25" a="1"/>
  <c r="G192" i="25" s="1"/>
  <c r="H192" i="25" a="1"/>
  <c r="H192" i="25" s="1"/>
  <c r="C193" i="25" a="1"/>
  <c r="C193" i="25" s="1"/>
  <c r="C194" i="25" s="1" a="1"/>
  <c r="C194" i="25" s="1"/>
  <c r="I192" i="25" a="1"/>
  <c r="I192" i="25" s="1"/>
  <c r="T75" i="25"/>
  <c r="R143" i="28" s="1"/>
  <c r="T73" i="25"/>
  <c r="R141" i="28" s="1"/>
  <c r="T74" i="25"/>
  <c r="R142" i="28" s="1"/>
  <c r="C89" i="28"/>
  <c r="C90" i="28"/>
  <c r="J388" i="24"/>
  <c r="J400" i="24"/>
  <c r="J389" i="24"/>
  <c r="J401" i="24"/>
  <c r="J391" i="24"/>
  <c r="J392" i="24"/>
  <c r="J393" i="24"/>
  <c r="J394" i="24"/>
  <c r="J395" i="24"/>
  <c r="J402" i="24"/>
  <c r="J396" i="24"/>
  <c r="J397" i="24"/>
  <c r="J398" i="24"/>
  <c r="I58" i="38" a="1"/>
  <c r="I58" i="38" s="1"/>
  <c r="F58" i="38" a="1"/>
  <c r="F58" i="38" s="1"/>
  <c r="J71" i="38"/>
  <c r="J72" i="38"/>
  <c r="F73" i="38"/>
  <c r="G58" i="38" a="1"/>
  <c r="G58" i="38" s="1"/>
  <c r="C59" i="38" a="1"/>
  <c r="C59" i="38" s="1"/>
  <c r="C60" i="38" s="1" a="1"/>
  <c r="C60" i="38" s="1"/>
  <c r="H58" i="38" a="1"/>
  <c r="H58" i="38" s="1"/>
  <c r="D59" i="38" a="1"/>
  <c r="D59" i="38" s="1"/>
  <c r="D60" i="38" s="1" a="1"/>
  <c r="D60" i="38" s="1"/>
  <c r="E58" i="38" a="1"/>
  <c r="E58" i="38" s="1"/>
  <c r="M71" i="38" s="1"/>
  <c r="V77" i="38" s="1"/>
  <c r="D97" i="38" a="1"/>
  <c r="D97" i="38" s="1"/>
  <c r="D98" i="38" s="1" a="1"/>
  <c r="D98" i="38" s="1"/>
  <c r="D22" i="38" a="1"/>
  <c r="D22" i="38" s="1"/>
  <c r="D23" i="38" s="1" a="1"/>
  <c r="D23" i="38" s="1"/>
  <c r="I21" i="38" a="1"/>
  <c r="I21" i="38" s="1"/>
  <c r="J35" i="38"/>
  <c r="J34" i="38"/>
  <c r="E21" i="38" a="1"/>
  <c r="E21" i="38" s="1"/>
  <c r="F21" i="38" a="1"/>
  <c r="F21" i="38" s="1"/>
  <c r="G21" i="38" a="1"/>
  <c r="G21" i="38" s="1"/>
  <c r="I96" i="38" a="1"/>
  <c r="I96" i="38" s="1"/>
  <c r="H21" i="38" a="1"/>
  <c r="H21" i="38" s="1"/>
  <c r="C22" i="38" a="1"/>
  <c r="C22" i="38" s="1"/>
  <c r="C23" i="38" s="1" a="1"/>
  <c r="C23" i="38" s="1"/>
  <c r="E112" i="38"/>
  <c r="J112" i="38"/>
  <c r="J113" i="38"/>
  <c r="J111" i="38"/>
  <c r="L96" i="38"/>
  <c r="E96" i="38" a="1"/>
  <c r="E96" i="38" s="1"/>
  <c r="F96" i="38" a="1"/>
  <c r="F96" i="38" s="1"/>
  <c r="G96" i="38" a="1"/>
  <c r="G96" i="38" s="1"/>
  <c r="H96" i="38" a="1"/>
  <c r="H96" i="38" s="1"/>
  <c r="C97" i="38" a="1"/>
  <c r="C97" i="38" s="1"/>
  <c r="C98" i="38" s="1" a="1"/>
  <c r="C98" i="38" s="1"/>
  <c r="J406" i="24"/>
  <c r="AH20" i="37"/>
  <c r="J404" i="24"/>
  <c r="J407" i="24"/>
  <c r="J405" i="24"/>
  <c r="J408" i="24"/>
  <c r="AF19" i="37"/>
  <c r="AF20" i="37" s="1"/>
  <c r="J409" i="24"/>
  <c r="J410" i="24"/>
  <c r="AP19" i="37"/>
  <c r="AP20" i="37" s="1"/>
  <c r="R14" i="37"/>
  <c r="R15" i="37" s="1"/>
  <c r="T10" i="37" s="1"/>
  <c r="U10" i="37" s="1"/>
  <c r="Q14" i="37"/>
  <c r="Q15" i="37" s="1"/>
  <c r="AG19" i="37"/>
  <c r="AG20" i="37" s="1"/>
  <c r="AJ20" i="37" s="1"/>
  <c r="P14" i="37"/>
  <c r="P15" i="37" s="1"/>
  <c r="AQ19" i="37"/>
  <c r="AQ20" i="37" s="1"/>
  <c r="AN37" i="37" a="1"/>
  <c r="AN37" i="37" s="1"/>
  <c r="AK29" i="37" a="1"/>
  <c r="AK29" i="37" s="1"/>
  <c r="AM33" i="37" a="1"/>
  <c r="AM33" i="37" s="1"/>
  <c r="Z55" i="37"/>
  <c r="AG30" i="37" a="1"/>
  <c r="AG30" i="37" s="1"/>
  <c r="AF27" i="37" a="1"/>
  <c r="AF27" i="37" s="1"/>
  <c r="AD31" i="37" a="1"/>
  <c r="AD31" i="37" s="1"/>
  <c r="AI31" i="37" s="1"/>
  <c r="AN40" i="37" a="1"/>
  <c r="AN40" i="37" s="1"/>
  <c r="AG39" i="37" a="1"/>
  <c r="AG39" i="37" s="1"/>
  <c r="AD36" i="37" a="1"/>
  <c r="AD36" i="37" s="1"/>
  <c r="AI36" i="37" s="1"/>
  <c r="AJ28" i="37" a="1"/>
  <c r="AJ28" i="37" s="1"/>
  <c r="AN32" i="37" a="1"/>
  <c r="AN32" i="37" s="1"/>
  <c r="AC53" i="37" a="1"/>
  <c r="AC53" i="37" s="1"/>
  <c r="W55" i="37"/>
  <c r="AK28" i="37" a="1"/>
  <c r="AK28" i="37" s="1"/>
  <c r="W32" i="37"/>
  <c r="Z45" i="37"/>
  <c r="AE53" i="37" a="1"/>
  <c r="AE53" i="37" s="1"/>
  <c r="AJ27" i="37" a="1"/>
  <c r="AJ27" i="37" s="1"/>
  <c r="AC32" i="37" a="1"/>
  <c r="AC32" i="37" s="1"/>
  <c r="AC45" i="37" a="1"/>
  <c r="AC45" i="37" s="1"/>
  <c r="AK56" i="37" a="1"/>
  <c r="AK56" i="37" s="1"/>
  <c r="W27" i="37"/>
  <c r="AM31" i="37" a="1"/>
  <c r="AM31" i="37" s="1"/>
  <c r="AK32" i="37" a="1"/>
  <c r="AK32" i="37" s="1"/>
  <c r="AJ34" i="37" a="1"/>
  <c r="AJ34" i="37" s="1"/>
  <c r="AD37" i="37" a="1"/>
  <c r="AD37" i="37" s="1"/>
  <c r="AI37" i="37" s="1"/>
  <c r="AG40" i="37" a="1"/>
  <c r="AG40" i="37" s="1"/>
  <c r="AE46" i="37" a="1"/>
  <c r="AE46" i="37" s="1"/>
  <c r="AD52" i="37" a="1"/>
  <c r="AD52" i="37" s="1"/>
  <c r="AI52" i="37" s="1"/>
  <c r="AC29" i="37" a="1"/>
  <c r="AC29" i="37" s="1"/>
  <c r="W31" i="37"/>
  <c r="AE27" i="37" a="1"/>
  <c r="AE27" i="37" s="1"/>
  <c r="AF28" i="37" a="1"/>
  <c r="AF28" i="37" s="1"/>
  <c r="AJ29" i="37" a="1"/>
  <c r="AJ29" i="37" s="1"/>
  <c r="AF30" i="37" a="1"/>
  <c r="AF30" i="37" s="1"/>
  <c r="AC31" i="37" a="1"/>
  <c r="AC31" i="37" s="1"/>
  <c r="AN34" i="37" a="1"/>
  <c r="AN34" i="37" s="1"/>
  <c r="Z36" i="37"/>
  <c r="AM37" i="37" a="1"/>
  <c r="AM37" i="37" s="1"/>
  <c r="AD39" i="37" a="1"/>
  <c r="AD39" i="37" s="1"/>
  <c r="AI39" i="37" s="1"/>
  <c r="AK40" i="37" a="1"/>
  <c r="AK40" i="37" s="1"/>
  <c r="AM42" i="37" a="1"/>
  <c r="AM42" i="37" s="1"/>
  <c r="AM55" i="37" a="1"/>
  <c r="AM55" i="37" s="1"/>
  <c r="AJ30" i="37" a="1"/>
  <c r="AJ30" i="37" s="1"/>
  <c r="AL39" i="37" a="1"/>
  <c r="AL39" i="37" s="1"/>
  <c r="AF47" i="37" a="1"/>
  <c r="AF47" i="37" s="1"/>
  <c r="AD28" i="37" a="1"/>
  <c r="AD28" i="37" s="1"/>
  <c r="AI28" i="37" s="1"/>
  <c r="AG28" i="37" a="1"/>
  <c r="AG28" i="37" s="1"/>
  <c r="AG27" i="37" a="1"/>
  <c r="AG27" i="37" s="1"/>
  <c r="AF36" i="37" a="1"/>
  <c r="AF36" i="37" s="1"/>
  <c r="AK30" i="37" a="1"/>
  <c r="AK30" i="37" s="1"/>
  <c r="AN53" i="37" a="1"/>
  <c r="AN53" i="37" s="1"/>
  <c r="AL28" i="37" a="1"/>
  <c r="AL28" i="37" s="1"/>
  <c r="AG31" i="37" a="1"/>
  <c r="AG31" i="37" s="1"/>
  <c r="W34" i="37"/>
  <c r="AJ36" i="37" a="1"/>
  <c r="AJ36" i="37" s="1"/>
  <c r="AF45" i="37" a="1"/>
  <c r="AF45" i="37" s="1"/>
  <c r="AF31" i="37" a="1"/>
  <c r="AF31" i="37" s="1"/>
  <c r="W43" i="37"/>
  <c r="AK27" i="37" a="1"/>
  <c r="AK27" i="37" s="1"/>
  <c r="AN29" i="37" a="1"/>
  <c r="AN29" i="37" s="1"/>
  <c r="AL30" i="37" a="1"/>
  <c r="AL30" i="37" s="1"/>
  <c r="W33" i="37"/>
  <c r="AC35" i="37" a="1"/>
  <c r="AC35" i="37" s="1"/>
  <c r="W38" i="37"/>
  <c r="AM39" i="37" a="1"/>
  <c r="AM39" i="37" s="1"/>
  <c r="W41" i="37"/>
  <c r="AD43" i="37" a="1"/>
  <c r="AD43" i="37" s="1"/>
  <c r="AI43" i="37" s="1"/>
  <c r="AL27" i="37" a="1"/>
  <c r="AL27" i="37" s="1"/>
  <c r="AM28" i="37" a="1"/>
  <c r="AM28" i="37" s="1"/>
  <c r="AM30" i="37" a="1"/>
  <c r="AM30" i="37" s="1"/>
  <c r="AJ31" i="37" a="1"/>
  <c r="AJ31" i="37" s="1"/>
  <c r="AD32" i="37" a="1"/>
  <c r="AD32" i="37" s="1"/>
  <c r="AI32" i="37" s="1"/>
  <c r="Z33" i="37"/>
  <c r="AC34" i="37" a="1"/>
  <c r="AC34" i="37" s="1"/>
  <c r="AD35" i="37" a="1"/>
  <c r="AD35" i="37" s="1"/>
  <c r="AI35" i="37" s="1"/>
  <c r="AM36" i="37" a="1"/>
  <c r="AM36" i="37" s="1"/>
  <c r="AC38" i="37" a="1"/>
  <c r="AC38" i="37" s="1"/>
  <c r="AC41" i="37" a="1"/>
  <c r="AC41" i="37" s="1"/>
  <c r="AK43" i="37" a="1"/>
  <c r="AK43" i="37" s="1"/>
  <c r="AG45" i="37" a="1"/>
  <c r="AG45" i="37" s="1"/>
  <c r="Z51" i="37"/>
  <c r="AM27" i="37" a="1"/>
  <c r="AM27" i="37" s="1"/>
  <c r="AN28" i="37" a="1"/>
  <c r="AN28" i="37" s="1"/>
  <c r="AK31" i="37" a="1"/>
  <c r="AK31" i="37" s="1"/>
  <c r="AE32" i="37" a="1"/>
  <c r="AE32" i="37" s="1"/>
  <c r="AC33" i="37" a="1"/>
  <c r="AC33" i="37" s="1"/>
  <c r="AD34" i="37" a="1"/>
  <c r="AD34" i="37" s="1"/>
  <c r="AI34" i="37" s="1"/>
  <c r="AE35" i="37" a="1"/>
  <c r="AE35" i="37" s="1"/>
  <c r="AF38" i="37" a="1"/>
  <c r="AF38" i="37" s="1"/>
  <c r="AF41" i="37" a="1"/>
  <c r="AF41" i="37" s="1"/>
  <c r="AM43" i="37" a="1"/>
  <c r="AM43" i="37" s="1"/>
  <c r="AD48" i="37" a="1"/>
  <c r="AD48" i="37" s="1"/>
  <c r="AI48" i="37" s="1"/>
  <c r="AL51" i="37" a="1"/>
  <c r="AL51" i="37" s="1"/>
  <c r="AG54" i="37" a="1"/>
  <c r="AG54" i="37" s="1"/>
  <c r="AF57" i="37" a="1"/>
  <c r="AF57" i="37" s="1"/>
  <c r="W30" i="37"/>
  <c r="AN30" i="37" a="1"/>
  <c r="AN30" i="37" s="1"/>
  <c r="AF32" i="37" a="1"/>
  <c r="AF32" i="37" s="1"/>
  <c r="AD33" i="37" a="1"/>
  <c r="AD33" i="37" s="1"/>
  <c r="AI33" i="37" s="1"/>
  <c r="AF34" i="37" a="1"/>
  <c r="AF34" i="37" s="1"/>
  <c r="AK35" i="37" a="1"/>
  <c r="AK35" i="37" s="1"/>
  <c r="AK38" i="37" a="1"/>
  <c r="AK38" i="37" s="1"/>
  <c r="Z40" i="37"/>
  <c r="AK41" i="37" a="1"/>
  <c r="AK41" i="37" s="1"/>
  <c r="AG48" i="37" a="1"/>
  <c r="AG48" i="37" s="1"/>
  <c r="AN27" i="37" a="1"/>
  <c r="AN27" i="37" s="1"/>
  <c r="Z30" i="37"/>
  <c r="AL31" i="37" a="1"/>
  <c r="AL31" i="37" s="1"/>
  <c r="AG32" i="37" a="1"/>
  <c r="AG32" i="37" s="1"/>
  <c r="AE33" i="37" a="1"/>
  <c r="AE33" i="37" s="1"/>
  <c r="AG34" i="37" a="1"/>
  <c r="AG34" i="37" s="1"/>
  <c r="AL35" i="37" a="1"/>
  <c r="AL35" i="37" s="1"/>
  <c r="Z37" i="37"/>
  <c r="AE40" i="37" a="1"/>
  <c r="AE40" i="37" s="1"/>
  <c r="AD46" i="37" a="1"/>
  <c r="AD46" i="37" s="1"/>
  <c r="AI46" i="37" s="1"/>
  <c r="AL29" i="37" a="1"/>
  <c r="AL29" i="37" s="1"/>
  <c r="AE31" i="37" a="1"/>
  <c r="AE31" i="37" s="1"/>
  <c r="AE50" i="37" a="1"/>
  <c r="AE50" i="37" s="1"/>
  <c r="AM29" i="37" a="1"/>
  <c r="AM29" i="37" s="1"/>
  <c r="AG36" i="37" a="1"/>
  <c r="AG36" i="37" s="1"/>
  <c r="AK47" i="37" a="1"/>
  <c r="AK47" i="37" s="1"/>
  <c r="AC30" i="37" a="1"/>
  <c r="AC30" i="37" s="1"/>
  <c r="AG33" i="37" a="1"/>
  <c r="AG33" i="37" s="1"/>
  <c r="AN35" i="37" a="1"/>
  <c r="AN35" i="37" s="1"/>
  <c r="W44" i="37"/>
  <c r="AC27" i="37" a="1"/>
  <c r="AC27" i="37" s="1"/>
  <c r="AD30" i="37" a="1"/>
  <c r="AD30" i="37" s="1"/>
  <c r="AI30" i="37" s="1"/>
  <c r="AN31" i="37" a="1"/>
  <c r="AN31" i="37" s="1"/>
  <c r="AJ33" i="37" a="1"/>
  <c r="AJ33" i="37" s="1"/>
  <c r="AE37" i="37" a="1"/>
  <c r="AE37" i="37" s="1"/>
  <c r="Z39" i="37"/>
  <c r="AJ40" i="37" a="1"/>
  <c r="AJ40" i="37" s="1"/>
  <c r="AD42" i="37" a="1"/>
  <c r="AD42" i="37" s="1"/>
  <c r="AI42" i="37" s="1"/>
  <c r="AE44" i="37" a="1"/>
  <c r="AE44" i="37" s="1"/>
  <c r="AM46" i="37" a="1"/>
  <c r="AM46" i="37" s="1"/>
  <c r="AE49" i="37" a="1"/>
  <c r="AE49" i="37" s="1"/>
  <c r="AK52" i="37" a="1"/>
  <c r="AK52" i="37" s="1"/>
  <c r="AN56" i="37" a="1"/>
  <c r="AN56" i="37" s="1"/>
  <c r="AD27" i="37" a="1"/>
  <c r="AD27" i="37" s="1"/>
  <c r="AI27" i="37" s="1"/>
  <c r="AC28" i="37" a="1"/>
  <c r="AC28" i="37" s="1"/>
  <c r="AD29" i="37" a="1"/>
  <c r="AD29" i="37" s="1"/>
  <c r="AE30" i="37" a="1"/>
  <c r="AE30" i="37" s="1"/>
  <c r="Z31" i="37"/>
  <c r="AL32" i="37" a="1"/>
  <c r="AL32" i="37" s="1"/>
  <c r="AL33" i="37" a="1"/>
  <c r="AL33" i="37" s="1"/>
  <c r="AK34" i="37" a="1"/>
  <c r="AK34" i="37" s="1"/>
  <c r="AF37" i="37" a="1"/>
  <c r="AF37" i="37" s="1"/>
  <c r="AC39" i="37" a="1"/>
  <c r="AC39" i="37" s="1"/>
  <c r="AF42" i="37" a="1"/>
  <c r="AF42" i="37" s="1"/>
  <c r="AL44" i="37" a="1"/>
  <c r="AL44" i="37" s="1"/>
  <c r="AN46" i="37" a="1"/>
  <c r="AN46" i="37" s="1"/>
  <c r="AG49" i="37" a="1"/>
  <c r="AG49" i="37" s="1"/>
  <c r="AJ55" i="37" a="1"/>
  <c r="AJ55" i="37" s="1"/>
  <c r="AF29" i="37" a="1"/>
  <c r="AF29" i="37" s="1"/>
  <c r="AE28" i="37" a="1"/>
  <c r="AE28" i="37" s="1"/>
  <c r="W29" i="37"/>
  <c r="AE29" i="37" a="1"/>
  <c r="AE29" i="37" s="1"/>
  <c r="AG29" i="37" a="1"/>
  <c r="AG29" i="37" s="1"/>
  <c r="W28" i="37"/>
  <c r="AI20" i="37"/>
  <c r="T6" i="37"/>
  <c r="U6" i="37" s="1"/>
  <c r="AH13" i="37"/>
  <c r="W40" i="37"/>
  <c r="AE41" i="37" a="1"/>
  <c r="AE41" i="37" s="1"/>
  <c r="AC42" i="37" a="1"/>
  <c r="AC42" i="37" s="1"/>
  <c r="AF44" i="37" a="1"/>
  <c r="AF44" i="37" s="1"/>
  <c r="AD45" i="37" a="1"/>
  <c r="AD45" i="37" s="1"/>
  <c r="AI45" i="37" s="1"/>
  <c r="W47" i="37"/>
  <c r="AF48" i="37" a="1"/>
  <c r="AF48" i="37" s="1"/>
  <c r="Z52" i="37"/>
  <c r="AM52" i="37" a="1"/>
  <c r="AM52" i="37" s="1"/>
  <c r="AK55" i="37" a="1"/>
  <c r="AK55" i="37" s="1"/>
  <c r="AK57" i="37" a="1"/>
  <c r="AK57" i="37" s="1"/>
  <c r="AM56" i="37" a="1"/>
  <c r="AM56" i="37" s="1"/>
  <c r="Z56" i="37"/>
  <c r="AK54" i="37" a="1"/>
  <c r="AK54" i="37" s="1"/>
  <c r="AM53" i="37" a="1"/>
  <c r="AM53" i="37" s="1"/>
  <c r="Z53" i="37"/>
  <c r="AK51" i="37" a="1"/>
  <c r="AK51" i="37" s="1"/>
  <c r="AM50" i="37" a="1"/>
  <c r="AM50" i="37" s="1"/>
  <c r="Z50" i="37"/>
  <c r="AK48" i="37" a="1"/>
  <c r="AK48" i="37" s="1"/>
  <c r="AM47" i="37" a="1"/>
  <c r="AM47" i="37" s="1"/>
  <c r="Z47" i="37"/>
  <c r="AK45" i="37" a="1"/>
  <c r="AK45" i="37" s="1"/>
  <c r="AM44" i="37" a="1"/>
  <c r="AM44" i="37" s="1"/>
  <c r="Z44" i="37"/>
  <c r="AK42" i="37" a="1"/>
  <c r="AK42" i="37" s="1"/>
  <c r="AM41" i="37" a="1"/>
  <c r="AM41" i="37" s="1"/>
  <c r="Z41" i="37"/>
  <c r="AK39" i="37" a="1"/>
  <c r="AK39" i="37" s="1"/>
  <c r="AM38" i="37" a="1"/>
  <c r="AM38" i="37" s="1"/>
  <c r="Z38" i="37"/>
  <c r="AK36" i="37" a="1"/>
  <c r="AK36" i="37" s="1"/>
  <c r="AM35" i="37" a="1"/>
  <c r="AM35" i="37" s="1"/>
  <c r="Z35" i="37"/>
  <c r="AK33" i="37" a="1"/>
  <c r="AK33" i="37" s="1"/>
  <c r="AM32" i="37" a="1"/>
  <c r="AM32" i="37" s="1"/>
  <c r="Z32" i="37"/>
  <c r="AD57" i="37" a="1"/>
  <c r="AD57" i="37" s="1"/>
  <c r="AI57" i="37" s="1"/>
  <c r="AF56" i="37" a="1"/>
  <c r="AF56" i="37" s="1"/>
  <c r="AD54" i="37" a="1"/>
  <c r="AD54" i="37" s="1"/>
  <c r="AI54" i="37" s="1"/>
  <c r="AF53" i="37" a="1"/>
  <c r="AF53" i="37" s="1"/>
  <c r="AD51" i="37" a="1"/>
  <c r="AD51" i="37" s="1"/>
  <c r="AI51" i="37" s="1"/>
  <c r="AF50" i="37" a="1"/>
  <c r="AF50" i="37" s="1"/>
  <c r="AJ57" i="37" a="1"/>
  <c r="AJ57" i="37" s="1"/>
  <c r="AL56" i="37" a="1"/>
  <c r="AL56" i="37" s="1"/>
  <c r="AN55" i="37" a="1"/>
  <c r="AN55" i="37" s="1"/>
  <c r="AJ54" i="37" a="1"/>
  <c r="AJ54" i="37" s="1"/>
  <c r="AL53" i="37" a="1"/>
  <c r="AL53" i="37" s="1"/>
  <c r="AN52" i="37" a="1"/>
  <c r="AN52" i="37" s="1"/>
  <c r="AJ51" i="37" a="1"/>
  <c r="AJ51" i="37" s="1"/>
  <c r="AL50" i="37" a="1"/>
  <c r="AL50" i="37" s="1"/>
  <c r="AD56" i="37" a="1"/>
  <c r="AD56" i="37" s="1"/>
  <c r="AI56" i="37" s="1"/>
  <c r="AF55" i="37" a="1"/>
  <c r="AF55" i="37" s="1"/>
  <c r="AD53" i="37" a="1"/>
  <c r="AD53" i="37" s="1"/>
  <c r="AI53" i="37" s="1"/>
  <c r="AF52" i="37" a="1"/>
  <c r="AF52" i="37" s="1"/>
  <c r="AD50" i="37" a="1"/>
  <c r="AD50" i="37" s="1"/>
  <c r="AI50" i="37" s="1"/>
  <c r="AF49" i="37" a="1"/>
  <c r="AF49" i="37" s="1"/>
  <c r="AD47" i="37" a="1"/>
  <c r="AD47" i="37" s="1"/>
  <c r="AI47" i="37" s="1"/>
  <c r="AF46" i="37" a="1"/>
  <c r="AF46" i="37" s="1"/>
  <c r="AD44" i="37" a="1"/>
  <c r="AD44" i="37" s="1"/>
  <c r="AI44" i="37" s="1"/>
  <c r="AF43" i="37" a="1"/>
  <c r="AF43" i="37" s="1"/>
  <c r="AD41" i="37" a="1"/>
  <c r="AD41" i="37" s="1"/>
  <c r="AI41" i="37" s="1"/>
  <c r="AF40" i="37" a="1"/>
  <c r="AF40" i="37" s="1"/>
  <c r="AN57" i="37" a="1"/>
  <c r="AN57" i="37" s="1"/>
  <c r="AJ56" i="37" a="1"/>
  <c r="AJ56" i="37" s="1"/>
  <c r="AL55" i="37" a="1"/>
  <c r="AL55" i="37" s="1"/>
  <c r="AN54" i="37" a="1"/>
  <c r="AN54" i="37" s="1"/>
  <c r="AJ53" i="37" a="1"/>
  <c r="AJ53" i="37" s="1"/>
  <c r="AL52" i="37" a="1"/>
  <c r="AL52" i="37" s="1"/>
  <c r="AN51" i="37" a="1"/>
  <c r="AN51" i="37" s="1"/>
  <c r="AJ50" i="37" a="1"/>
  <c r="AJ50" i="37" s="1"/>
  <c r="AL49" i="37" a="1"/>
  <c r="AL49" i="37" s="1"/>
  <c r="AN48" i="37" a="1"/>
  <c r="AN48" i="37" s="1"/>
  <c r="AJ47" i="37" a="1"/>
  <c r="AJ47" i="37" s="1"/>
  <c r="AL46" i="37" a="1"/>
  <c r="AL46" i="37" s="1"/>
  <c r="AN45" i="37" a="1"/>
  <c r="AN45" i="37" s="1"/>
  <c r="AJ44" i="37" a="1"/>
  <c r="AJ44" i="37" s="1"/>
  <c r="AL43" i="37" a="1"/>
  <c r="AL43" i="37" s="1"/>
  <c r="AN42" i="37" a="1"/>
  <c r="AN42" i="37" s="1"/>
  <c r="AJ41" i="37" a="1"/>
  <c r="AJ41" i="37" s="1"/>
  <c r="AL40" i="37" a="1"/>
  <c r="AL40" i="37" s="1"/>
  <c r="AN39" i="37" a="1"/>
  <c r="AN39" i="37" s="1"/>
  <c r="AJ38" i="37" a="1"/>
  <c r="AJ38" i="37" s="1"/>
  <c r="AL37" i="37" a="1"/>
  <c r="AL37" i="37" s="1"/>
  <c r="AN36" i="37" a="1"/>
  <c r="AN36" i="37" s="1"/>
  <c r="AJ35" i="37" a="1"/>
  <c r="AJ35" i="37" s="1"/>
  <c r="AL34" i="37" a="1"/>
  <c r="AL34" i="37" s="1"/>
  <c r="AN33" i="37" a="1"/>
  <c r="AN33" i="37" s="1"/>
  <c r="AJ32" i="37" a="1"/>
  <c r="AJ32" i="37" s="1"/>
  <c r="AE57" i="37" a="1"/>
  <c r="AE57" i="37" s="1"/>
  <c r="W57" i="37"/>
  <c r="AG56" i="37" a="1"/>
  <c r="AG56" i="37" s="1"/>
  <c r="AC55" i="37" a="1"/>
  <c r="AC55" i="37" s="1"/>
  <c r="AE54" i="37" a="1"/>
  <c r="AE54" i="37" s="1"/>
  <c r="W54" i="37"/>
  <c r="AG53" i="37" a="1"/>
  <c r="AG53" i="37" s="1"/>
  <c r="AC52" i="37" a="1"/>
  <c r="AC52" i="37" s="1"/>
  <c r="AE51" i="37" a="1"/>
  <c r="AE51" i="37" s="1"/>
  <c r="W51" i="37"/>
  <c r="AG50" i="37" a="1"/>
  <c r="AG50" i="37" s="1"/>
  <c r="AC49" i="37" a="1"/>
  <c r="AC49" i="37" s="1"/>
  <c r="AE48" i="37" a="1"/>
  <c r="AE48" i="37" s="1"/>
  <c r="W48" i="37"/>
  <c r="AG47" i="37" a="1"/>
  <c r="AG47" i="37" s="1"/>
  <c r="AC46" i="37" a="1"/>
  <c r="AC46" i="37" s="1"/>
  <c r="AE45" i="37" a="1"/>
  <c r="AE45" i="37" s="1"/>
  <c r="W45" i="37"/>
  <c r="AG44" i="37" a="1"/>
  <c r="AG44" i="37" s="1"/>
  <c r="AC43" i="37" a="1"/>
  <c r="AC43" i="37" s="1"/>
  <c r="AE42" i="37" a="1"/>
  <c r="AE42" i="37" s="1"/>
  <c r="W42" i="37"/>
  <c r="AG41" i="37" a="1"/>
  <c r="AG41" i="37" s="1"/>
  <c r="AC40" i="37" a="1"/>
  <c r="AC40" i="37" s="1"/>
  <c r="AE39" i="37" a="1"/>
  <c r="AE39" i="37" s="1"/>
  <c r="W39" i="37"/>
  <c r="AG38" i="37" a="1"/>
  <c r="AG38" i="37" s="1"/>
  <c r="AC37" i="37" a="1"/>
  <c r="AC37" i="37" s="1"/>
  <c r="AE36" i="37" a="1"/>
  <c r="AE36" i="37" s="1"/>
  <c r="W36" i="37"/>
  <c r="AG35" i="37" a="1"/>
  <c r="AG35" i="37" s="1"/>
  <c r="AP13" i="37"/>
  <c r="AC56" i="37" a="1"/>
  <c r="AC56" i="37" s="1"/>
  <c r="AG57" i="37" a="1"/>
  <c r="AG57" i="37" s="1"/>
  <c r="AM51" i="37" a="1"/>
  <c r="AM51" i="37" s="1"/>
  <c r="AL54" i="37" a="1"/>
  <c r="AL54" i="37" s="1"/>
  <c r="AE34" i="37" a="1"/>
  <c r="AE34" i="37" s="1"/>
  <c r="AM34" i="37" a="1"/>
  <c r="AM34" i="37" s="1"/>
  <c r="W35" i="37"/>
  <c r="AF35" i="37" a="1"/>
  <c r="AF35" i="37" s="1"/>
  <c r="AM40" i="37" a="1"/>
  <c r="AM40" i="37" s="1"/>
  <c r="AN43" i="37" a="1"/>
  <c r="AN43" i="37" s="1"/>
  <c r="AK44" i="37" a="1"/>
  <c r="AK44" i="37" s="1"/>
  <c r="AL47" i="37" a="1"/>
  <c r="AL47" i="37" s="1"/>
  <c r="Z48" i="37"/>
  <c r="AJ48" i="37" a="1"/>
  <c r="AJ48" i="37" s="1"/>
  <c r="AJ49" i="37" a="1"/>
  <c r="AJ49" i="37" s="1"/>
  <c r="AE52" i="37" a="1"/>
  <c r="AE52" i="37" s="1"/>
  <c r="AD55" i="37" a="1"/>
  <c r="AD55" i="37" s="1"/>
  <c r="AI55" i="37" s="1"/>
  <c r="AE56" i="37" a="1"/>
  <c r="AE56" i="37" s="1"/>
  <c r="AC36" i="37" a="1"/>
  <c r="AC36" i="37" s="1"/>
  <c r="AL36" i="37" a="1"/>
  <c r="AL36" i="37" s="1"/>
  <c r="W37" i="37"/>
  <c r="AG37" i="37" a="1"/>
  <c r="AG37" i="37" s="1"/>
  <c r="AF39" i="37" a="1"/>
  <c r="AF39" i="37" s="1"/>
  <c r="AD40" i="37" a="1"/>
  <c r="AD40" i="37" s="1"/>
  <c r="AI40" i="37" s="1"/>
  <c r="AG42" i="37" a="1"/>
  <c r="AG42" i="37" s="1"/>
  <c r="AE43" i="37" a="1"/>
  <c r="AE43" i="37" s="1"/>
  <c r="AG46" i="37" a="1"/>
  <c r="AG46" i="37" s="1"/>
  <c r="AC47" i="37" a="1"/>
  <c r="AC47" i="37" s="1"/>
  <c r="W49" i="37"/>
  <c r="AK50" i="37" a="1"/>
  <c r="AK50" i="37" s="1"/>
  <c r="Z54" i="37"/>
  <c r="AM54" i="37" a="1"/>
  <c r="AM54" i="37" s="1"/>
  <c r="AL57" i="37" a="1"/>
  <c r="AL57" i="37" s="1"/>
  <c r="AJ45" i="37" a="1"/>
  <c r="AJ45" i="37" s="1"/>
  <c r="AN47" i="37" a="1"/>
  <c r="AN47" i="37" s="1"/>
  <c r="AL48" i="37" a="1"/>
  <c r="AL48" i="37" s="1"/>
  <c r="Z49" i="37"/>
  <c r="AK49" i="37" a="1"/>
  <c r="AK49" i="37" s="1"/>
  <c r="W50" i="37"/>
  <c r="AC51" i="37" a="1"/>
  <c r="AC51" i="37" s="1"/>
  <c r="AG52" i="37" a="1"/>
  <c r="AG52" i="37" s="1"/>
  <c r="AE55" i="37" a="1"/>
  <c r="AE55" i="37" s="1"/>
  <c r="AG43" i="37" a="1"/>
  <c r="AG43" i="37" s="1"/>
  <c r="AC44" i="37" a="1"/>
  <c r="AC44" i="37" s="1"/>
  <c r="W46" i="37"/>
  <c r="AE47" i="37" a="1"/>
  <c r="AE47" i="37" s="1"/>
  <c r="AC48" i="37" a="1"/>
  <c r="AC48" i="37" s="1"/>
  <c r="AN50" i="37" a="1"/>
  <c r="AN50" i="37" s="1"/>
  <c r="AJ52" i="37" a="1"/>
  <c r="AJ52" i="37" s="1"/>
  <c r="AK53" i="37" a="1"/>
  <c r="AK53" i="37" s="1"/>
  <c r="Z57" i="37"/>
  <c r="AM57" i="37" a="1"/>
  <c r="AM57" i="37" s="1"/>
  <c r="AF33" i="37" a="1"/>
  <c r="AF33" i="37" s="1"/>
  <c r="Z34" i="37"/>
  <c r="AJ37" i="37" a="1"/>
  <c r="AJ37" i="37" s="1"/>
  <c r="AD38" i="37" a="1"/>
  <c r="AD38" i="37" s="1"/>
  <c r="AI38" i="37" s="1"/>
  <c r="AL38" i="37" a="1"/>
  <c r="AL38" i="37" s="1"/>
  <c r="AL41" i="37" a="1"/>
  <c r="AL41" i="37" s="1"/>
  <c r="Z42" i="37"/>
  <c r="AJ42" i="37" a="1"/>
  <c r="AJ42" i="37" s="1"/>
  <c r="AN44" i="37" a="1"/>
  <c r="AN44" i="37" s="1"/>
  <c r="AL45" i="37" a="1"/>
  <c r="AL45" i="37" s="1"/>
  <c r="Z46" i="37"/>
  <c r="AJ46" i="37" a="1"/>
  <c r="AJ46" i="37" s="1"/>
  <c r="AM48" i="37" a="1"/>
  <c r="AM48" i="37" s="1"/>
  <c r="AM49" i="37" a="1"/>
  <c r="AM49" i="37" s="1"/>
  <c r="AF51" i="37" a="1"/>
  <c r="AF51" i="37" s="1"/>
  <c r="W53" i="37"/>
  <c r="AC54" i="37" a="1"/>
  <c r="AC54" i="37" s="1"/>
  <c r="AG55" i="37" a="1"/>
  <c r="AG55" i="37" s="1"/>
  <c r="AK37" i="37" a="1"/>
  <c r="AK37" i="37" s="1"/>
  <c r="AE38" i="37" a="1"/>
  <c r="AE38" i="37" s="1"/>
  <c r="AN38" i="37" a="1"/>
  <c r="AN38" i="37" s="1"/>
  <c r="AJ39" i="37" a="1"/>
  <c r="AJ39" i="37" s="1"/>
  <c r="AN41" i="37" a="1"/>
  <c r="AN41" i="37" s="1"/>
  <c r="AL42" i="37" a="1"/>
  <c r="AL42" i="37" s="1"/>
  <c r="Z43" i="37"/>
  <c r="AJ43" i="37" a="1"/>
  <c r="AJ43" i="37" s="1"/>
  <c r="AM45" i="37" a="1"/>
  <c r="AM45" i="37" s="1"/>
  <c r="AK46" i="37" a="1"/>
  <c r="AK46" i="37" s="1"/>
  <c r="AD49" i="37" a="1"/>
  <c r="AD49" i="37" s="1"/>
  <c r="AI49" i="37" s="1"/>
  <c r="AN49" i="37" a="1"/>
  <c r="AN49" i="37" s="1"/>
  <c r="AC50" i="37" a="1"/>
  <c r="AC50" i="37" s="1"/>
  <c r="AG51" i="37" a="1"/>
  <c r="AG51" i="37" s="1"/>
  <c r="W52" i="37"/>
  <c r="AF54" i="37" a="1"/>
  <c r="AF54" i="37" s="1"/>
  <c r="W56" i="37"/>
  <c r="AC57" i="37" a="1"/>
  <c r="AC57" i="37" s="1"/>
  <c r="E370" i="24" a="1"/>
  <c r="E370" i="24" s="1"/>
  <c r="F382" i="24" s="1"/>
  <c r="D88" i="39" s="1"/>
  <c r="V35" i="39" s="1" a="1"/>
  <c r="V35" i="39" s="1"/>
  <c r="J387" i="24"/>
  <c r="J386" i="24"/>
  <c r="D371" i="24" a="1"/>
  <c r="D371" i="24" s="1"/>
  <c r="G370" i="24" a="1"/>
  <c r="G370" i="24" s="1"/>
  <c r="H370" i="24" a="1"/>
  <c r="H370" i="24" s="1"/>
  <c r="G383" i="24" s="1"/>
  <c r="I370" i="24" a="1"/>
  <c r="I370" i="24" s="1"/>
  <c r="J385" i="24"/>
  <c r="F370" i="24" a="1"/>
  <c r="F370" i="24" s="1"/>
  <c r="C371" i="24" a="1"/>
  <c r="C371" i="24" s="1"/>
  <c r="AJ6" i="28"/>
  <c r="AK6" i="28" s="1"/>
  <c r="AJ8" i="28"/>
  <c r="AK8" i="28" s="1"/>
  <c r="AJ4" i="28"/>
  <c r="AK4" i="28" s="1"/>
  <c r="AJ10" i="28"/>
  <c r="AK10" i="28" s="1"/>
  <c r="AP19" i="28"/>
  <c r="AP20" i="28" s="1"/>
  <c r="AQ19" i="28"/>
  <c r="AQ20" i="28" s="1"/>
  <c r="AH19" i="28"/>
  <c r="AH20" i="28" s="1"/>
  <c r="AP13" i="28"/>
  <c r="AQ13" i="28"/>
  <c r="AG19" i="28"/>
  <c r="AG20" i="28" s="1"/>
  <c r="AF19" i="28"/>
  <c r="AF20" i="28" s="1"/>
  <c r="AF13" i="28"/>
  <c r="O105" i="25" a="1"/>
  <c r="O105" i="25" s="1"/>
  <c r="M105" i="25" a="1"/>
  <c r="M105" i="25" s="1"/>
  <c r="M20" i="25" a="1"/>
  <c r="M20" i="25" s="1"/>
  <c r="O20" i="25" a="1"/>
  <c r="O20" i="25" s="1"/>
  <c r="N20" i="25" a="1"/>
  <c r="N20" i="25" s="1"/>
  <c r="L20" i="25" a="1"/>
  <c r="L20" i="25" s="1"/>
  <c r="N59" i="25" a="1"/>
  <c r="N59" i="25" s="1"/>
  <c r="M59" i="25" a="1"/>
  <c r="M59" i="25" s="1"/>
  <c r="L59" i="25" a="1"/>
  <c r="L59" i="25" s="1"/>
  <c r="N105" i="25" a="1"/>
  <c r="N105" i="25" s="1"/>
  <c r="L105" i="25" a="1"/>
  <c r="L105" i="25" s="1"/>
  <c r="O150" i="25" a="1"/>
  <c r="O150" i="25" s="1"/>
  <c r="N150" i="25" a="1"/>
  <c r="N150" i="25" s="1"/>
  <c r="M150" i="25" a="1"/>
  <c r="M150" i="25" s="1"/>
  <c r="L150" i="25" a="1"/>
  <c r="L150" i="25" s="1"/>
  <c r="O252" i="25" a="1"/>
  <c r="O252" i="25" s="1"/>
  <c r="N252" i="25" a="1"/>
  <c r="N252" i="25" s="1"/>
  <c r="M252" i="25" a="1"/>
  <c r="M252" i="25" s="1"/>
  <c r="L252" i="25" a="1"/>
  <c r="L252" i="25" s="1"/>
  <c r="H9" i="25"/>
  <c r="C15" i="25" s="1"/>
  <c r="C14" i="25"/>
  <c r="G13" i="25"/>
  <c r="F13" i="25"/>
  <c r="E13" i="25"/>
  <c r="D13" i="25"/>
  <c r="C13" i="25"/>
  <c r="G12" i="25"/>
  <c r="F12" i="25"/>
  <c r="E12" i="25"/>
  <c r="D12" i="25"/>
  <c r="C12" i="25"/>
  <c r="G11" i="25"/>
  <c r="F11" i="25"/>
  <c r="E11" i="25"/>
  <c r="D11" i="25"/>
  <c r="C11" i="25"/>
  <c r="C53" i="25"/>
  <c r="G52" i="25"/>
  <c r="F52" i="25"/>
  <c r="E52" i="25"/>
  <c r="D52" i="25"/>
  <c r="C52" i="25"/>
  <c r="G51" i="25"/>
  <c r="F51" i="25"/>
  <c r="E51" i="25"/>
  <c r="D51" i="25"/>
  <c r="C51" i="25"/>
  <c r="G50" i="25"/>
  <c r="F50" i="25"/>
  <c r="E50" i="25"/>
  <c r="D50" i="25"/>
  <c r="C50" i="25"/>
  <c r="H48" i="25"/>
  <c r="C54" i="25" s="1"/>
  <c r="C99" i="25"/>
  <c r="G98" i="25"/>
  <c r="F98" i="25"/>
  <c r="E98" i="25"/>
  <c r="D98" i="25"/>
  <c r="C98" i="25"/>
  <c r="G97" i="25"/>
  <c r="F97" i="25"/>
  <c r="E97" i="25"/>
  <c r="D97" i="25"/>
  <c r="C97" i="25"/>
  <c r="G96" i="25"/>
  <c r="F96" i="25"/>
  <c r="E96" i="25"/>
  <c r="D96" i="25"/>
  <c r="C96" i="25"/>
  <c r="C100" i="25"/>
  <c r="C144" i="25"/>
  <c r="G143" i="25"/>
  <c r="F143" i="25"/>
  <c r="E143" i="25"/>
  <c r="D143" i="25"/>
  <c r="C143" i="25"/>
  <c r="G142" i="25"/>
  <c r="F142" i="25"/>
  <c r="E142" i="25"/>
  <c r="D142" i="25"/>
  <c r="G141" i="25"/>
  <c r="F141" i="25"/>
  <c r="E141" i="25"/>
  <c r="D141" i="25"/>
  <c r="C141" i="25"/>
  <c r="H139" i="25"/>
  <c r="C145" i="25" s="1"/>
  <c r="C246" i="25"/>
  <c r="G245" i="25"/>
  <c r="F245" i="25"/>
  <c r="E245" i="25"/>
  <c r="D245" i="25"/>
  <c r="C245" i="25"/>
  <c r="G244" i="25"/>
  <c r="F244" i="25"/>
  <c r="E244" i="25"/>
  <c r="D244" i="25"/>
  <c r="C244" i="25"/>
  <c r="G243" i="25"/>
  <c r="F243" i="25"/>
  <c r="E243" i="25"/>
  <c r="D243" i="25"/>
  <c r="C243" i="25"/>
  <c r="H241" i="25"/>
  <c r="C247" i="25" s="1"/>
  <c r="N129" i="24" a="1"/>
  <c r="N129" i="24" s="1"/>
  <c r="G13" i="24"/>
  <c r="F13" i="24"/>
  <c r="E13" i="24"/>
  <c r="D13" i="24"/>
  <c r="C13" i="24"/>
  <c r="G12" i="24"/>
  <c r="F12" i="24"/>
  <c r="E12" i="24"/>
  <c r="D12" i="24"/>
  <c r="C12" i="24"/>
  <c r="G11" i="24"/>
  <c r="F11" i="24"/>
  <c r="E11" i="24"/>
  <c r="D11" i="24"/>
  <c r="C11" i="24"/>
  <c r="G68" i="24"/>
  <c r="F68" i="24"/>
  <c r="E68" i="24"/>
  <c r="D68" i="24"/>
  <c r="C68" i="24"/>
  <c r="G67" i="24"/>
  <c r="F67" i="24"/>
  <c r="E67" i="24"/>
  <c r="D67" i="24"/>
  <c r="C67" i="24"/>
  <c r="G66" i="24"/>
  <c r="F66" i="24"/>
  <c r="E66" i="24"/>
  <c r="D66" i="24"/>
  <c r="C66" i="24"/>
  <c r="G122" i="24"/>
  <c r="F122" i="24"/>
  <c r="E122" i="24"/>
  <c r="D122" i="24"/>
  <c r="C122" i="24"/>
  <c r="G121" i="24"/>
  <c r="F121" i="24"/>
  <c r="E121" i="24"/>
  <c r="D121" i="24"/>
  <c r="C121" i="24"/>
  <c r="G120" i="24"/>
  <c r="F120" i="24"/>
  <c r="E120" i="24"/>
  <c r="D120" i="24"/>
  <c r="C120" i="24"/>
  <c r="G183" i="24"/>
  <c r="F183" i="24"/>
  <c r="E183" i="24"/>
  <c r="D183" i="24"/>
  <c r="C183" i="24"/>
  <c r="G182" i="24"/>
  <c r="F182" i="24"/>
  <c r="E182" i="24"/>
  <c r="D182" i="24"/>
  <c r="C182" i="24"/>
  <c r="G181" i="24"/>
  <c r="F181" i="24"/>
  <c r="E181" i="24"/>
  <c r="D181" i="24"/>
  <c r="C181" i="24"/>
  <c r="G240" i="24"/>
  <c r="F240" i="24"/>
  <c r="E240" i="24"/>
  <c r="D240" i="24"/>
  <c r="C240" i="24"/>
  <c r="G239" i="24"/>
  <c r="F239" i="24"/>
  <c r="E239" i="24"/>
  <c r="D239" i="24"/>
  <c r="C239" i="24"/>
  <c r="G238" i="24"/>
  <c r="F238" i="24"/>
  <c r="E238" i="24"/>
  <c r="D238" i="24"/>
  <c r="C238" i="24"/>
  <c r="G303" i="24"/>
  <c r="F303" i="24"/>
  <c r="E303" i="24"/>
  <c r="D303" i="24"/>
  <c r="C303" i="24"/>
  <c r="G302" i="24"/>
  <c r="F302" i="24"/>
  <c r="E302" i="24"/>
  <c r="D302" i="24"/>
  <c r="C302" i="24"/>
  <c r="G301" i="24"/>
  <c r="F301" i="24"/>
  <c r="E301" i="24"/>
  <c r="D301" i="24"/>
  <c r="C301" i="24"/>
  <c r="O20" i="24" a="1"/>
  <c r="O20" i="24" s="1"/>
  <c r="N20" i="24" a="1"/>
  <c r="N20" i="24" s="1"/>
  <c r="M20" i="24" a="1"/>
  <c r="M20" i="24" s="1"/>
  <c r="J38" i="24" s="1"/>
  <c r="H94" i="37" s="1"/>
  <c r="L20" i="24" a="1"/>
  <c r="L20" i="24" s="1"/>
  <c r="J34" i="24" s="1"/>
  <c r="H90" i="37" s="1"/>
  <c r="O75" i="24" a="1"/>
  <c r="O75" i="24" s="1"/>
  <c r="J100" i="24" s="1"/>
  <c r="N75" i="24" a="1"/>
  <c r="N75" i="24" s="1"/>
  <c r="J96" i="24" s="1"/>
  <c r="M75" i="24" a="1"/>
  <c r="M75" i="24" s="1"/>
  <c r="L75" i="24" a="1"/>
  <c r="L75" i="24" s="1"/>
  <c r="J87" i="24" s="1"/>
  <c r="O129" i="24" a="1"/>
  <c r="O129" i="24" s="1"/>
  <c r="M129" i="24" a="1"/>
  <c r="M129" i="24" s="1"/>
  <c r="L129" i="24" a="1"/>
  <c r="L129" i="24" s="1"/>
  <c r="O190" i="24" a="1"/>
  <c r="O190" i="24" s="1"/>
  <c r="N190" i="24" a="1"/>
  <c r="N190" i="24" s="1"/>
  <c r="M190" i="24" a="1"/>
  <c r="M190" i="24" s="1"/>
  <c r="L190" i="24" a="1"/>
  <c r="L190" i="24" s="1"/>
  <c r="O247" i="24" a="1"/>
  <c r="O247" i="24" s="1"/>
  <c r="N247" i="24" a="1"/>
  <c r="N247" i="24" s="1"/>
  <c r="M247" i="24" a="1"/>
  <c r="M247" i="24" s="1"/>
  <c r="L247" i="24" a="1"/>
  <c r="L247" i="24" s="1"/>
  <c r="O310" i="24" a="1"/>
  <c r="O310" i="24" s="1"/>
  <c r="N310" i="24" a="1"/>
  <c r="N310" i="24" s="1"/>
  <c r="M310" i="24" a="1"/>
  <c r="C14" i="24"/>
  <c r="C69" i="24"/>
  <c r="C123" i="24"/>
  <c r="C184" i="24"/>
  <c r="C241" i="24"/>
  <c r="O437" i="24" a="1"/>
  <c r="O437" i="24" s="1"/>
  <c r="M437" i="24" a="1"/>
  <c r="M437" i="24" s="1"/>
  <c r="L437" i="24" a="1"/>
  <c r="L437" i="24" s="1"/>
  <c r="H299" i="24"/>
  <c r="C305" i="24" s="1"/>
  <c r="C304" i="24"/>
  <c r="C310" i="24"/>
  <c r="D310" i="24"/>
  <c r="G428" i="24"/>
  <c r="G429" i="24"/>
  <c r="G430" i="24"/>
  <c r="F430" i="24"/>
  <c r="F429" i="24"/>
  <c r="F428" i="24"/>
  <c r="D430" i="24"/>
  <c r="D429" i="24"/>
  <c r="D428" i="24"/>
  <c r="E430" i="24"/>
  <c r="E429" i="24"/>
  <c r="E428" i="24"/>
  <c r="AF38" i="39" l="1" a="1"/>
  <c r="AF38" i="39" s="1"/>
  <c r="AF50" i="39" a="1"/>
  <c r="AF50" i="39" s="1"/>
  <c r="AA48" i="39" a="1"/>
  <c r="AA48" i="39" s="1"/>
  <c r="AA44" i="39" a="1"/>
  <c r="AA44" i="39" s="1"/>
  <c r="AA40" i="39" a="1"/>
  <c r="AA40" i="39" s="1"/>
  <c r="AA56" i="39" a="1"/>
  <c r="AA56" i="39" s="1"/>
  <c r="AA36" i="39" a="1"/>
  <c r="AA36" i="39" s="1"/>
  <c r="AA54" i="39" a="1"/>
  <c r="AA54" i="39" s="1"/>
  <c r="AA41" i="39" a="1"/>
  <c r="AA41" i="39" s="1"/>
  <c r="T8" i="37"/>
  <c r="U8" i="37" s="1"/>
  <c r="AA46" i="39" a="1"/>
  <c r="AA46" i="39" s="1"/>
  <c r="T12" i="37"/>
  <c r="U12" i="37" s="1"/>
  <c r="AA35" i="39" a="1"/>
  <c r="AA35" i="39" s="1"/>
  <c r="AA39" i="39" a="1"/>
  <c r="AA39" i="39" s="1"/>
  <c r="AA57" i="39" a="1"/>
  <c r="AA57" i="39" s="1"/>
  <c r="AA29" i="39" a="1"/>
  <c r="AA29" i="39" s="1"/>
  <c r="AA49" i="39" a="1"/>
  <c r="AA49" i="39" s="1"/>
  <c r="AA53" i="39" a="1"/>
  <c r="AA53" i="39" s="1"/>
  <c r="AA47" i="39" a="1"/>
  <c r="AA47" i="39" s="1"/>
  <c r="AA27" i="39" a="1"/>
  <c r="AA27" i="39" s="1"/>
  <c r="AA30" i="39" a="1"/>
  <c r="AA30" i="39" s="1"/>
  <c r="AA42" i="39" a="1"/>
  <c r="AA42" i="39" s="1"/>
  <c r="AA33" i="39" a="1"/>
  <c r="AA33" i="39" s="1"/>
  <c r="AA52" i="39" a="1"/>
  <c r="AA52" i="39" s="1"/>
  <c r="AA32" i="39" a="1"/>
  <c r="AA32" i="39" s="1"/>
  <c r="AA37" i="39" a="1"/>
  <c r="AA37" i="39" s="1"/>
  <c r="AA55" i="39" a="1"/>
  <c r="AA55" i="39" s="1"/>
  <c r="H99" i="28"/>
  <c r="H99" i="39"/>
  <c r="V34" i="39" a="1"/>
  <c r="V34" i="39" s="1"/>
  <c r="M385" i="24"/>
  <c r="K90" i="39"/>
  <c r="K90" i="28"/>
  <c r="H112" i="39"/>
  <c r="H112" i="28"/>
  <c r="H104" i="39"/>
  <c r="H104" i="28"/>
  <c r="R143" i="39"/>
  <c r="T212" i="25"/>
  <c r="R145" i="39" s="1"/>
  <c r="G73" i="38"/>
  <c r="E134" i="39"/>
  <c r="E134" i="28"/>
  <c r="L384" i="24"/>
  <c r="J89" i="39"/>
  <c r="J89" i="28"/>
  <c r="O385" i="24"/>
  <c r="M90" i="39"/>
  <c r="M90" i="28"/>
  <c r="P384" i="24"/>
  <c r="N89" i="39"/>
  <c r="N89" i="28"/>
  <c r="X385" i="24"/>
  <c r="V90" i="39"/>
  <c r="V90" i="28"/>
  <c r="M207" i="25"/>
  <c r="K139" i="39"/>
  <c r="H92" i="39"/>
  <c r="H92" i="28"/>
  <c r="H98" i="39"/>
  <c r="H98" i="28"/>
  <c r="V50" i="39" a="1"/>
  <c r="V50" i="39" s="1"/>
  <c r="V29" i="39" a="1"/>
  <c r="V29" i="39" s="1"/>
  <c r="T135" i="39"/>
  <c r="T135" i="28"/>
  <c r="V385" i="24"/>
  <c r="T90" i="39"/>
  <c r="T90" i="28"/>
  <c r="H93" i="39"/>
  <c r="H93" i="28"/>
  <c r="H103" i="39"/>
  <c r="H103" i="28"/>
  <c r="V53" i="39" a="1"/>
  <c r="V53" i="39" s="1"/>
  <c r="Q385" i="24"/>
  <c r="O90" i="28"/>
  <c r="O90" i="39"/>
  <c r="R207" i="25"/>
  <c r="P139" i="39"/>
  <c r="H97" i="39"/>
  <c r="H97" i="28"/>
  <c r="V56" i="39" a="1"/>
  <c r="V56" i="39" s="1"/>
  <c r="T385" i="24"/>
  <c r="R90" i="39"/>
  <c r="R90" i="28"/>
  <c r="D134" i="39"/>
  <c r="D134" i="28"/>
  <c r="L73" i="38"/>
  <c r="J134" i="28"/>
  <c r="J134" i="39"/>
  <c r="Q207" i="25"/>
  <c r="O139" i="39"/>
  <c r="U135" i="39"/>
  <c r="U135" i="28"/>
  <c r="H116" i="39"/>
  <c r="H116" i="28"/>
  <c r="H102" i="39"/>
  <c r="H102" i="28"/>
  <c r="H107" i="39"/>
  <c r="H107" i="28"/>
  <c r="V37" i="39" a="1"/>
  <c r="V37" i="39" s="1"/>
  <c r="P73" i="38"/>
  <c r="N134" i="39"/>
  <c r="N134" i="28"/>
  <c r="K73" i="38"/>
  <c r="I134" i="28"/>
  <c r="I134" i="39"/>
  <c r="H115" i="39"/>
  <c r="H115" i="28"/>
  <c r="H95" i="39"/>
  <c r="H95" i="28"/>
  <c r="V40" i="39" a="1"/>
  <c r="V40" i="39" s="1"/>
  <c r="E385" i="24"/>
  <c r="C90" i="39"/>
  <c r="N73" i="38"/>
  <c r="L134" i="28"/>
  <c r="L134" i="39"/>
  <c r="H108" i="39"/>
  <c r="H108" i="28"/>
  <c r="U73" i="38"/>
  <c r="S134" i="39"/>
  <c r="S134" i="28"/>
  <c r="H91" i="39"/>
  <c r="H91" i="28"/>
  <c r="H114" i="39"/>
  <c r="H114" i="28"/>
  <c r="D135" i="39"/>
  <c r="D135" i="28"/>
  <c r="H101" i="39"/>
  <c r="H101" i="28"/>
  <c r="H106" i="39"/>
  <c r="H106" i="28"/>
  <c r="L125" i="39"/>
  <c r="L125" i="28"/>
  <c r="V135" i="39"/>
  <c r="V135" i="28"/>
  <c r="U385" i="24"/>
  <c r="S90" i="39"/>
  <c r="S90" i="28"/>
  <c r="H111" i="39"/>
  <c r="H111" i="28"/>
  <c r="H134" i="28"/>
  <c r="H134" i="39"/>
  <c r="H94" i="28"/>
  <c r="H94" i="39"/>
  <c r="R385" i="24"/>
  <c r="P90" i="39"/>
  <c r="P90" i="28"/>
  <c r="R73" i="38"/>
  <c r="P134" i="39"/>
  <c r="P134" i="28"/>
  <c r="W385" i="24"/>
  <c r="U90" i="39"/>
  <c r="U90" i="28"/>
  <c r="G384" i="24"/>
  <c r="E89" i="39"/>
  <c r="E89" i="28"/>
  <c r="H113" i="39"/>
  <c r="H113" i="28"/>
  <c r="H133" i="28"/>
  <c r="H133" i="39"/>
  <c r="H100" i="39"/>
  <c r="H100" i="28"/>
  <c r="V38" i="39" a="1"/>
  <c r="V38" i="39" s="1"/>
  <c r="AI20" i="39"/>
  <c r="E73" i="38"/>
  <c r="C134" i="39"/>
  <c r="C134" i="28"/>
  <c r="T73" i="38"/>
  <c r="R134" i="39"/>
  <c r="R134" i="28"/>
  <c r="O73" i="38"/>
  <c r="M134" i="28"/>
  <c r="M134" i="39"/>
  <c r="H110" i="39"/>
  <c r="H110" i="28"/>
  <c r="T207" i="25"/>
  <c r="R139" i="39"/>
  <c r="K384" i="24"/>
  <c r="I89" i="39"/>
  <c r="I89" i="28"/>
  <c r="P208" i="25"/>
  <c r="N140" i="39"/>
  <c r="O135" i="28"/>
  <c r="O135" i="39"/>
  <c r="M72" i="38"/>
  <c r="K133" i="39"/>
  <c r="K133" i="28"/>
  <c r="V43" i="39" a="1"/>
  <c r="V43" i="39" s="1"/>
  <c r="V33" i="39" a="1"/>
  <c r="V33" i="39" s="1"/>
  <c r="V32" i="39" a="1"/>
  <c r="V32" i="39" s="1"/>
  <c r="V36" i="39" a="1"/>
  <c r="V36" i="39" s="1"/>
  <c r="V46" i="39" a="1"/>
  <c r="V46" i="39" s="1"/>
  <c r="V39" i="39" a="1"/>
  <c r="V39" i="39" s="1"/>
  <c r="V49" i="39" a="1"/>
  <c r="V49" i="39" s="1"/>
  <c r="V42" i="39" a="1"/>
  <c r="V42" i="39" s="1"/>
  <c r="V52" i="39" a="1"/>
  <c r="V52" i="39" s="1"/>
  <c r="V45" i="39" a="1"/>
  <c r="V45" i="39" s="1"/>
  <c r="V55" i="39" a="1"/>
  <c r="V55" i="39" s="1"/>
  <c r="V48" i="39" a="1"/>
  <c r="V48" i="39" s="1"/>
  <c r="V51" i="39" a="1"/>
  <c r="V51" i="39" s="1"/>
  <c r="V28" i="39" a="1"/>
  <c r="V28" i="39" s="1"/>
  <c r="V54" i="39" a="1"/>
  <c r="V54" i="39" s="1"/>
  <c r="V31" i="39" a="1"/>
  <c r="V31" i="39" s="1"/>
  <c r="V44" i="39" a="1"/>
  <c r="V44" i="39" s="1"/>
  <c r="V57" i="39" a="1"/>
  <c r="V57" i="39" s="1"/>
  <c r="V30" i="39" a="1"/>
  <c r="V30" i="39" s="1"/>
  <c r="V27" i="39" a="1"/>
  <c r="V27" i="39" s="1"/>
  <c r="V47" i="39" a="1"/>
  <c r="V47" i="39" s="1"/>
  <c r="V41" i="39" a="1"/>
  <c r="V41" i="39" s="1"/>
  <c r="T8" i="39"/>
  <c r="U8" i="39" s="1"/>
  <c r="T10" i="39"/>
  <c r="U10" i="39" s="1"/>
  <c r="T12" i="39"/>
  <c r="U12" i="39" s="1"/>
  <c r="T6" i="39"/>
  <c r="U6" i="39" s="1"/>
  <c r="C195" i="25"/>
  <c r="H204" i="25" s="1"/>
  <c r="I204" i="25" s="1"/>
  <c r="E209" i="25"/>
  <c r="C142" i="39" s="1"/>
  <c r="F383" i="24"/>
  <c r="D89" i="39" s="1"/>
  <c r="D88" i="28"/>
  <c r="C61" i="38"/>
  <c r="H70" i="38" s="1"/>
  <c r="H71" i="38" s="1"/>
  <c r="C24" i="38"/>
  <c r="H33" i="38" s="1"/>
  <c r="H34" i="38" s="1"/>
  <c r="C99" i="38"/>
  <c r="H108" i="38" s="1"/>
  <c r="H109" i="38" s="1"/>
  <c r="J110" i="38"/>
  <c r="J109" i="38"/>
  <c r="E113" i="38"/>
  <c r="N382" i="24"/>
  <c r="L88" i="39" s="1"/>
  <c r="M310" i="24"/>
  <c r="J340" i="24"/>
  <c r="J341" i="24"/>
  <c r="AJ10" i="37"/>
  <c r="AK10" i="37" s="1"/>
  <c r="AJ6" i="37"/>
  <c r="AK6" i="37" s="1"/>
  <c r="AJ8" i="37"/>
  <c r="AK8" i="37" s="1"/>
  <c r="AJ4" i="37"/>
  <c r="AK4" i="37" s="1"/>
  <c r="AS8" i="37"/>
  <c r="AT8" i="37" s="1"/>
  <c r="AS4" i="37"/>
  <c r="AT4" i="37" s="1"/>
  <c r="AS10" i="37"/>
  <c r="AT10" i="37" s="1"/>
  <c r="AS6" i="37"/>
  <c r="AT6" i="37" s="1"/>
  <c r="C373" i="24"/>
  <c r="H382" i="24" s="1"/>
  <c r="F88" i="39" s="1"/>
  <c r="J384" i="24"/>
  <c r="J383" i="24"/>
  <c r="AJ20" i="28"/>
  <c r="AI20" i="28"/>
  <c r="AS10" i="28"/>
  <c r="AT10" i="28" s="1"/>
  <c r="AS8" i="28"/>
  <c r="AT8" i="28" s="1"/>
  <c r="AS6" i="28"/>
  <c r="AT6" i="28" s="1"/>
  <c r="AS4" i="28"/>
  <c r="AT4" i="28" s="1"/>
  <c r="F252" i="25" a="1"/>
  <c r="F252" i="25" s="1"/>
  <c r="C311" i="24" a="1"/>
  <c r="C311" i="24" s="1"/>
  <c r="C312" i="24" s="1" a="1"/>
  <c r="C312" i="24" s="1"/>
  <c r="E252" i="25" a="1"/>
  <c r="E252" i="25" s="1"/>
  <c r="G252" i="25" a="1"/>
  <c r="G252" i="25" s="1"/>
  <c r="H252" i="25" a="1"/>
  <c r="H252" i="25" s="1"/>
  <c r="I252" i="25" a="1"/>
  <c r="I252" i="25" s="1"/>
  <c r="C253" i="25" a="1"/>
  <c r="C253" i="25" s="1"/>
  <c r="D253" i="25" a="1"/>
  <c r="D253" i="25" s="1"/>
  <c r="D311" i="24" a="1"/>
  <c r="D311" i="24" s="1"/>
  <c r="D312" i="24" s="1" a="1"/>
  <c r="D312" i="24" s="1"/>
  <c r="E310" i="24" a="1"/>
  <c r="E310" i="24" s="1"/>
  <c r="F310" i="24" a="1"/>
  <c r="F310" i="24" s="1"/>
  <c r="G310" i="24" a="1"/>
  <c r="G310" i="24" s="1"/>
  <c r="H310" i="24" a="1"/>
  <c r="H310" i="24" s="1"/>
  <c r="I310" i="24" a="1"/>
  <c r="I310" i="24" s="1"/>
  <c r="J45" i="24"/>
  <c r="H101" i="37" s="1"/>
  <c r="Z28" i="37" s="1"/>
  <c r="J33" i="24"/>
  <c r="H89" i="37" s="1"/>
  <c r="J46" i="24"/>
  <c r="H102" i="37" s="1"/>
  <c r="Z29" i="37" s="1"/>
  <c r="K51" i="24"/>
  <c r="I107" i="37" s="1"/>
  <c r="J35" i="24"/>
  <c r="H91" i="37" s="1"/>
  <c r="Z27" i="37" s="1"/>
  <c r="L51" i="24"/>
  <c r="J107" i="37" s="1"/>
  <c r="J36" i="24"/>
  <c r="H92" i="37" s="1"/>
  <c r="J37" i="24"/>
  <c r="H93" i="37" s="1"/>
  <c r="J88" i="24"/>
  <c r="J89" i="24"/>
  <c r="J40" i="24"/>
  <c r="H96" i="37" s="1"/>
  <c r="J90" i="24"/>
  <c r="J41" i="24"/>
  <c r="H97" i="37" s="1"/>
  <c r="J42" i="24"/>
  <c r="H98" i="37" s="1"/>
  <c r="J98" i="24"/>
  <c r="J43" i="24"/>
  <c r="H99" i="37" s="1"/>
  <c r="J44" i="24"/>
  <c r="H100" i="37" s="1"/>
  <c r="J310" i="24" a="1"/>
  <c r="J310" i="24" s="1"/>
  <c r="U386" i="24" l="1"/>
  <c r="S91" i="28"/>
  <c r="S91" i="39"/>
  <c r="Q386" i="24"/>
  <c r="O91" i="39"/>
  <c r="O91" i="28"/>
  <c r="P385" i="24"/>
  <c r="N90" i="39"/>
  <c r="N90" i="28"/>
  <c r="P209" i="25"/>
  <c r="N142" i="39" s="1"/>
  <c r="N141" i="39"/>
  <c r="R386" i="24"/>
  <c r="P91" i="28"/>
  <c r="P91" i="39"/>
  <c r="R135" i="39"/>
  <c r="R135" i="28"/>
  <c r="S135" i="39"/>
  <c r="S135" i="28"/>
  <c r="O386" i="24"/>
  <c r="M91" i="39"/>
  <c r="M91" i="28"/>
  <c r="K385" i="24"/>
  <c r="I90" i="39"/>
  <c r="I90" i="28"/>
  <c r="G385" i="24"/>
  <c r="E90" i="39"/>
  <c r="E90" i="28"/>
  <c r="T386" i="24"/>
  <c r="R91" i="39"/>
  <c r="R91" i="28"/>
  <c r="C135" i="39"/>
  <c r="C135" i="28"/>
  <c r="M135" i="28"/>
  <c r="M135" i="39"/>
  <c r="J135" i="39"/>
  <c r="J135" i="28"/>
  <c r="T208" i="25"/>
  <c r="R140" i="39"/>
  <c r="I135" i="39"/>
  <c r="I135" i="28"/>
  <c r="M208" i="25"/>
  <c r="K140" i="39"/>
  <c r="L385" i="24"/>
  <c r="J90" i="28"/>
  <c r="J90" i="39"/>
  <c r="M386" i="24"/>
  <c r="K91" i="39"/>
  <c r="K91" i="28"/>
  <c r="P135" i="28"/>
  <c r="P135" i="39"/>
  <c r="E386" i="24"/>
  <c r="C91" i="39"/>
  <c r="C91" i="28"/>
  <c r="W386" i="24"/>
  <c r="U91" i="39"/>
  <c r="U91" i="28"/>
  <c r="H89" i="39"/>
  <c r="H89" i="28"/>
  <c r="L135" i="28"/>
  <c r="L135" i="39"/>
  <c r="Q208" i="25"/>
  <c r="O140" i="39"/>
  <c r="V386" i="24"/>
  <c r="T91" i="28"/>
  <c r="T91" i="39"/>
  <c r="H90" i="39"/>
  <c r="H90" i="28"/>
  <c r="N135" i="28"/>
  <c r="N135" i="39"/>
  <c r="R208" i="25"/>
  <c r="P140" i="39"/>
  <c r="X386" i="24"/>
  <c r="V91" i="39"/>
  <c r="V91" i="28"/>
  <c r="E135" i="39"/>
  <c r="E135" i="28"/>
  <c r="W28" i="28" s="1" a="1"/>
  <c r="W28" i="28" s="1"/>
  <c r="M73" i="38"/>
  <c r="K134" i="28"/>
  <c r="K134" i="39"/>
  <c r="X42" i="39"/>
  <c r="Y42" i="39" s="1"/>
  <c r="X50" i="39"/>
  <c r="Y50" i="39" s="1"/>
  <c r="X40" i="39"/>
  <c r="Y40" i="39" s="1"/>
  <c r="X53" i="39"/>
  <c r="Y53" i="39" s="1"/>
  <c r="X34" i="39"/>
  <c r="Y34" i="39" s="1"/>
  <c r="X54" i="39"/>
  <c r="Y54" i="39" s="1"/>
  <c r="X57" i="39"/>
  <c r="Y57" i="39" s="1"/>
  <c r="X39" i="39"/>
  <c r="Y39" i="39" s="1"/>
  <c r="X33" i="39"/>
  <c r="Y33" i="39" s="1"/>
  <c r="X28" i="39"/>
  <c r="Y28" i="39" s="1"/>
  <c r="X32" i="39"/>
  <c r="Y32" i="39" s="1"/>
  <c r="X47" i="39"/>
  <c r="Y47" i="39" s="1"/>
  <c r="X55" i="39"/>
  <c r="Y55" i="39" s="1"/>
  <c r="X37" i="39"/>
  <c r="Y37" i="39" s="1"/>
  <c r="X29" i="39"/>
  <c r="Y29" i="39" s="1"/>
  <c r="X27" i="39"/>
  <c r="Y27" i="39" s="1"/>
  <c r="X36" i="39"/>
  <c r="Y36" i="39" s="1"/>
  <c r="X51" i="39"/>
  <c r="Y51" i="39" s="1"/>
  <c r="X44" i="39"/>
  <c r="Y44" i="39" s="1"/>
  <c r="X52" i="39"/>
  <c r="Y52" i="39" s="1"/>
  <c r="X38" i="39"/>
  <c r="Y38" i="39" s="1"/>
  <c r="X43" i="39"/>
  <c r="Y43" i="39" s="1"/>
  <c r="X45" i="39"/>
  <c r="Y45" i="39" s="1"/>
  <c r="X31" i="39"/>
  <c r="Y31" i="39" s="1"/>
  <c r="X30" i="39"/>
  <c r="Y30" i="39" s="1"/>
  <c r="X56" i="39"/>
  <c r="Y56" i="39" s="1"/>
  <c r="X35" i="39"/>
  <c r="Y35" i="39" s="1"/>
  <c r="X41" i="39"/>
  <c r="Y41" i="39" s="1"/>
  <c r="X49" i="39"/>
  <c r="Y49" i="39" s="1"/>
  <c r="X46" i="39"/>
  <c r="Y46" i="39" s="1"/>
  <c r="X48" i="39"/>
  <c r="Y48" i="39" s="1"/>
  <c r="F133" i="28"/>
  <c r="F133" i="39"/>
  <c r="AD51" i="39" a="1"/>
  <c r="AD51" i="39" s="1"/>
  <c r="AI51" i="39" s="1"/>
  <c r="AD42" i="39" a="1"/>
  <c r="AD42" i="39" s="1"/>
  <c r="AI42" i="39" s="1"/>
  <c r="AD55" i="39" a="1"/>
  <c r="AD55" i="39" s="1"/>
  <c r="AI55" i="39" s="1"/>
  <c r="AD46" i="39" a="1"/>
  <c r="AD46" i="39" s="1"/>
  <c r="AI46" i="39" s="1"/>
  <c r="AD37" i="39" a="1"/>
  <c r="AD37" i="39" s="1"/>
  <c r="AI37" i="39" s="1"/>
  <c r="AD33" i="39" a="1"/>
  <c r="AD33" i="39" s="1"/>
  <c r="AI33" i="39" s="1"/>
  <c r="AD31" i="39" a="1"/>
  <c r="AD31" i="39" s="1"/>
  <c r="AI31" i="39" s="1"/>
  <c r="AD30" i="39" a="1"/>
  <c r="AD30" i="39" s="1"/>
  <c r="AI30" i="39" s="1"/>
  <c r="AD35" i="39" a="1"/>
  <c r="AD35" i="39" s="1"/>
  <c r="AI35" i="39" s="1"/>
  <c r="AD56" i="39" a="1"/>
  <c r="AD56" i="39" s="1"/>
  <c r="AI56" i="39" s="1"/>
  <c r="AD47" i="39" a="1"/>
  <c r="AD47" i="39" s="1"/>
  <c r="AI47" i="39" s="1"/>
  <c r="AD27" i="39" a="1"/>
  <c r="AD27" i="39" s="1"/>
  <c r="AI27" i="39" s="1"/>
  <c r="AD38" i="39" a="1"/>
  <c r="AD38" i="39" s="1"/>
  <c r="AI38" i="39" s="1"/>
  <c r="AD57" i="39" a="1"/>
  <c r="AD57" i="39" s="1"/>
  <c r="AI57" i="39" s="1"/>
  <c r="AD48" i="39" a="1"/>
  <c r="AD48" i="39" s="1"/>
  <c r="AI48" i="39" s="1"/>
  <c r="AD39" i="39" a="1"/>
  <c r="AD39" i="39" s="1"/>
  <c r="AI39" i="39" s="1"/>
  <c r="AD52" i="39" a="1"/>
  <c r="AD52" i="39" s="1"/>
  <c r="AI52" i="39" s="1"/>
  <c r="AD43" i="39" a="1"/>
  <c r="AD43" i="39" s="1"/>
  <c r="AI43" i="39" s="1"/>
  <c r="AD28" i="39" a="1"/>
  <c r="AD28" i="39" s="1"/>
  <c r="AI28" i="39" s="1"/>
  <c r="AD32" i="39" a="1"/>
  <c r="AD32" i="39" s="1"/>
  <c r="AI32" i="39" s="1"/>
  <c r="AD53" i="39" a="1"/>
  <c r="AD53" i="39" s="1"/>
  <c r="AI53" i="39" s="1"/>
  <c r="AD44" i="39" a="1"/>
  <c r="AD44" i="39" s="1"/>
  <c r="AI44" i="39" s="1"/>
  <c r="AD34" i="39" a="1"/>
  <c r="AD34" i="39" s="1"/>
  <c r="AI34" i="39" s="1"/>
  <c r="AD41" i="39" a="1"/>
  <c r="AD41" i="39" s="1"/>
  <c r="AI41" i="39" s="1"/>
  <c r="AD29" i="39" a="1"/>
  <c r="AD29" i="39" s="1"/>
  <c r="AI29" i="39" s="1"/>
  <c r="AD50" i="39" a="1"/>
  <c r="AD50" i="39" s="1"/>
  <c r="AI50" i="39" s="1"/>
  <c r="B50" i="39" s="1"/>
  <c r="C50" i="39" s="1"/>
  <c r="AD54" i="39" a="1"/>
  <c r="AD54" i="39" s="1"/>
  <c r="AI54" i="39" s="1"/>
  <c r="AD45" i="39" a="1"/>
  <c r="AD45" i="39" s="1"/>
  <c r="AI45" i="39" s="1"/>
  <c r="AD36" i="39" a="1"/>
  <c r="AD36" i="39" s="1"/>
  <c r="AI36" i="39" s="1"/>
  <c r="AD49" i="39" a="1"/>
  <c r="AD49" i="39" s="1"/>
  <c r="AI49" i="39" s="1"/>
  <c r="AD40" i="39" a="1"/>
  <c r="AD40" i="39" s="1"/>
  <c r="AI40" i="39" s="1"/>
  <c r="H205" i="25"/>
  <c r="I33" i="38"/>
  <c r="N383" i="24"/>
  <c r="L89" i="39" s="1"/>
  <c r="L88" i="28"/>
  <c r="H383" i="24"/>
  <c r="H384" i="24" s="1"/>
  <c r="F88" i="28"/>
  <c r="F384" i="24"/>
  <c r="D90" i="39" s="1"/>
  <c r="D89" i="28"/>
  <c r="I70" i="38"/>
  <c r="H72" i="38"/>
  <c r="I71" i="38"/>
  <c r="I108" i="38"/>
  <c r="H35" i="38"/>
  <c r="I34" i="38"/>
  <c r="E114" i="38"/>
  <c r="H110" i="38"/>
  <c r="I109" i="38"/>
  <c r="I382" i="24"/>
  <c r="I383" i="24"/>
  <c r="N329" i="24"/>
  <c r="C313" i="24"/>
  <c r="D56" i="39" l="1"/>
  <c r="B41" i="39"/>
  <c r="C41" i="39" s="1"/>
  <c r="R209" i="25"/>
  <c r="P142" i="39" s="1"/>
  <c r="P141" i="39"/>
  <c r="M387" i="24"/>
  <c r="K92" i="28"/>
  <c r="K92" i="39"/>
  <c r="K386" i="24"/>
  <c r="I91" i="39"/>
  <c r="I91" i="28"/>
  <c r="L386" i="24"/>
  <c r="J91" i="39"/>
  <c r="J91" i="28"/>
  <c r="O387" i="24"/>
  <c r="M92" i="28"/>
  <c r="M92" i="39"/>
  <c r="P386" i="24"/>
  <c r="N91" i="39"/>
  <c r="N91" i="28"/>
  <c r="W387" i="24"/>
  <c r="U92" i="39"/>
  <c r="U92" i="28"/>
  <c r="M209" i="25"/>
  <c r="K142" i="39" s="1"/>
  <c r="K141" i="39"/>
  <c r="T387" i="24"/>
  <c r="R92" i="39"/>
  <c r="R92" i="28"/>
  <c r="Q387" i="24"/>
  <c r="O92" i="39"/>
  <c r="O92" i="28"/>
  <c r="D34" i="39"/>
  <c r="V387" i="24"/>
  <c r="T92" i="39"/>
  <c r="T92" i="28"/>
  <c r="C92" i="28"/>
  <c r="C92" i="39"/>
  <c r="E387" i="24"/>
  <c r="X387" i="24"/>
  <c r="V92" i="39"/>
  <c r="V92" i="28"/>
  <c r="R387" i="24"/>
  <c r="P92" i="39"/>
  <c r="P92" i="28"/>
  <c r="Q209" i="25"/>
  <c r="O142" i="39" s="1"/>
  <c r="O141" i="39"/>
  <c r="T209" i="25"/>
  <c r="R142" i="39" s="1"/>
  <c r="R141" i="39"/>
  <c r="G386" i="24"/>
  <c r="E91" i="28"/>
  <c r="E91" i="39"/>
  <c r="U387" i="24"/>
  <c r="S92" i="39"/>
  <c r="S92" i="28"/>
  <c r="D54" i="39"/>
  <c r="B51" i="39"/>
  <c r="C51" i="39" s="1"/>
  <c r="B56" i="39"/>
  <c r="C56" i="39" s="1"/>
  <c r="D36" i="39"/>
  <c r="K135" i="28"/>
  <c r="K135" i="39"/>
  <c r="B28" i="39"/>
  <c r="C28" i="39" s="1"/>
  <c r="B38" i="39"/>
  <c r="C38" i="39" s="1"/>
  <c r="D32" i="39"/>
  <c r="D33" i="39"/>
  <c r="B32" i="39"/>
  <c r="C32" i="39" s="1"/>
  <c r="B34" i="39"/>
  <c r="C34" i="39" s="1"/>
  <c r="B54" i="39"/>
  <c r="C54" i="39" s="1"/>
  <c r="B31" i="39"/>
  <c r="C31" i="39" s="1"/>
  <c r="D41" i="39"/>
  <c r="B53" i="39"/>
  <c r="C53" i="39" s="1"/>
  <c r="D43" i="39"/>
  <c r="D35" i="39"/>
  <c r="D29" i="39"/>
  <c r="D40" i="39"/>
  <c r="D30" i="39"/>
  <c r="D42" i="39"/>
  <c r="D45" i="39"/>
  <c r="B45" i="39"/>
  <c r="C45" i="39" s="1"/>
  <c r="D52" i="39"/>
  <c r="B52" i="39"/>
  <c r="C52" i="39" s="1"/>
  <c r="D49" i="39"/>
  <c r="B49" i="39"/>
  <c r="C49" i="39" s="1"/>
  <c r="B57" i="39"/>
  <c r="C57" i="39" s="1"/>
  <c r="D57" i="39"/>
  <c r="B47" i="39"/>
  <c r="C47" i="39" s="1"/>
  <c r="D47" i="39"/>
  <c r="D48" i="39"/>
  <c r="B48" i="39"/>
  <c r="C48" i="39" s="1"/>
  <c r="D44" i="39"/>
  <c r="B44" i="39"/>
  <c r="C44" i="39" s="1"/>
  <c r="D27" i="39"/>
  <c r="B27" i="39"/>
  <c r="C27" i="39" s="1"/>
  <c r="B35" i="39"/>
  <c r="C35" i="39" s="1"/>
  <c r="D37" i="39"/>
  <c r="B37" i="39"/>
  <c r="C37" i="39" s="1"/>
  <c r="D50" i="39"/>
  <c r="I205" i="25"/>
  <c r="G138" i="39" s="1"/>
  <c r="F138" i="39"/>
  <c r="G89" i="28"/>
  <c r="G89" i="39"/>
  <c r="D28" i="39"/>
  <c r="F90" i="28"/>
  <c r="F90" i="39"/>
  <c r="D31" i="39"/>
  <c r="D53" i="39"/>
  <c r="G88" i="28"/>
  <c r="G88" i="39"/>
  <c r="F134" i="39"/>
  <c r="F134" i="28"/>
  <c r="B30" i="39"/>
  <c r="C30" i="39" s="1"/>
  <c r="D38" i="39"/>
  <c r="B40" i="39"/>
  <c r="C40" i="39" s="1"/>
  <c r="B29" i="39"/>
  <c r="C29" i="39" s="1"/>
  <c r="B36" i="39"/>
  <c r="C36" i="39" s="1"/>
  <c r="B43" i="39"/>
  <c r="C43" i="39" s="1"/>
  <c r="B39" i="39"/>
  <c r="C39" i="39" s="1"/>
  <c r="D39" i="39"/>
  <c r="F89" i="28"/>
  <c r="F89" i="39"/>
  <c r="B46" i="39"/>
  <c r="C46" i="39" s="1"/>
  <c r="D46" i="39"/>
  <c r="D51" i="39"/>
  <c r="D55" i="39"/>
  <c r="B55" i="39"/>
  <c r="C55" i="39" s="1"/>
  <c r="G133" i="28"/>
  <c r="G133" i="39"/>
  <c r="B33" i="39"/>
  <c r="C33" i="39" s="1"/>
  <c r="B42" i="39"/>
  <c r="C42" i="39" s="1"/>
  <c r="H206" i="25"/>
  <c r="F385" i="24"/>
  <c r="D91" i="39" s="1"/>
  <c r="D90" i="28"/>
  <c r="N384" i="24"/>
  <c r="L90" i="39" s="1"/>
  <c r="L89" i="28"/>
  <c r="H73" i="38"/>
  <c r="I72" i="38"/>
  <c r="H36" i="38"/>
  <c r="I35" i="38"/>
  <c r="H111" i="38"/>
  <c r="I110" i="38"/>
  <c r="E115" i="38"/>
  <c r="H385" i="24"/>
  <c r="I384" i="24"/>
  <c r="N437" i="24" a="1"/>
  <c r="N437" i="24" s="1"/>
  <c r="C190" i="24"/>
  <c r="D190" i="24"/>
  <c r="E202" i="24"/>
  <c r="M348" i="24"/>
  <c r="N348" i="24"/>
  <c r="H236" i="24"/>
  <c r="N346" i="24"/>
  <c r="O347" i="24"/>
  <c r="O329" i="24"/>
  <c r="O330" i="24" s="1"/>
  <c r="O331" i="24" s="1"/>
  <c r="O332" i="24" s="1"/>
  <c r="O333" i="24" s="1"/>
  <c r="O334" i="24" s="1"/>
  <c r="O335" i="24" s="1"/>
  <c r="O336" i="24" s="1"/>
  <c r="W345" i="24"/>
  <c r="E329" i="24"/>
  <c r="E330" i="24" s="1"/>
  <c r="E331" i="24" s="1"/>
  <c r="E332" i="24" s="1"/>
  <c r="X330" i="24"/>
  <c r="X331" i="24" s="1"/>
  <c r="X332" i="24" s="1"/>
  <c r="X333" i="24" s="1"/>
  <c r="X334" i="24" s="1"/>
  <c r="X335" i="24" s="1"/>
  <c r="X336" i="24" s="1"/>
  <c r="X338" i="24" s="1"/>
  <c r="X339" i="24" s="1"/>
  <c r="X340" i="24" s="1"/>
  <c r="X341" i="24" s="1"/>
  <c r="W330" i="24"/>
  <c r="W331" i="24" s="1"/>
  <c r="W332" i="24" s="1"/>
  <c r="W333" i="24" s="1"/>
  <c r="W334" i="24" s="1"/>
  <c r="W335" i="24" s="1"/>
  <c r="W336" i="24" s="1"/>
  <c r="W338" i="24" s="1"/>
  <c r="W339" i="24" s="1"/>
  <c r="W340" i="24" s="1"/>
  <c r="W341" i="24" s="1"/>
  <c r="V330" i="24"/>
  <c r="V331" i="24" s="1"/>
  <c r="V332" i="24" s="1"/>
  <c r="V333" i="24" s="1"/>
  <c r="V334" i="24" s="1"/>
  <c r="V335" i="24" s="1"/>
  <c r="V336" i="24" s="1"/>
  <c r="V338" i="24" s="1"/>
  <c r="V339" i="24" s="1"/>
  <c r="V340" i="24" s="1"/>
  <c r="V341" i="24" s="1"/>
  <c r="U330" i="24"/>
  <c r="U331" i="24" s="1"/>
  <c r="U332" i="24" s="1"/>
  <c r="U333" i="24" s="1"/>
  <c r="U334" i="24" s="1"/>
  <c r="U335" i="24" s="1"/>
  <c r="U336" i="24" s="1"/>
  <c r="U338" i="24" s="1"/>
  <c r="U339" i="24" s="1"/>
  <c r="U340" i="24" s="1"/>
  <c r="U341" i="24" s="1"/>
  <c r="T330" i="24"/>
  <c r="T331" i="24" s="1"/>
  <c r="T332" i="24" s="1"/>
  <c r="T333" i="24" s="1"/>
  <c r="T334" i="24" s="1"/>
  <c r="T335" i="24" s="1"/>
  <c r="T336" i="24" s="1"/>
  <c r="T338" i="24" s="1"/>
  <c r="T339" i="24" s="1"/>
  <c r="T340" i="24" s="1"/>
  <c r="T341" i="24" s="1"/>
  <c r="R330" i="24"/>
  <c r="R331" i="24" s="1"/>
  <c r="R332" i="24" s="1"/>
  <c r="R333" i="24" s="1"/>
  <c r="R334" i="24" s="1"/>
  <c r="R335" i="24" s="1"/>
  <c r="R336" i="24" s="1"/>
  <c r="R338" i="24" s="1"/>
  <c r="R339" i="24" s="1"/>
  <c r="R340" i="24" s="1"/>
  <c r="R341" i="24" s="1"/>
  <c r="Q330" i="24"/>
  <c r="Q331" i="24" s="1"/>
  <c r="Q332" i="24" s="1"/>
  <c r="Q333" i="24" s="1"/>
  <c r="Q334" i="24" s="1"/>
  <c r="Q335" i="24" s="1"/>
  <c r="Q336" i="24" s="1"/>
  <c r="Q338" i="24" s="1"/>
  <c r="Q339" i="24" s="1"/>
  <c r="Q340" i="24" s="1"/>
  <c r="Q341" i="24" s="1"/>
  <c r="L330" i="24"/>
  <c r="L331" i="24" s="1"/>
  <c r="L332" i="24" s="1"/>
  <c r="L333" i="24" s="1"/>
  <c r="L334" i="24" s="1"/>
  <c r="L335" i="24" s="1"/>
  <c r="L336" i="24" s="1"/>
  <c r="L338" i="24" s="1"/>
  <c r="L339" i="24" s="1"/>
  <c r="L340" i="24" s="1"/>
  <c r="L341" i="24" s="1"/>
  <c r="K330" i="24"/>
  <c r="K331" i="24" s="1"/>
  <c r="K332" i="24" s="1"/>
  <c r="K333" i="24" s="1"/>
  <c r="K334" i="24" s="1"/>
  <c r="K335" i="24" s="1"/>
  <c r="K336" i="24" s="1"/>
  <c r="K338" i="24" s="1"/>
  <c r="K339" i="24" s="1"/>
  <c r="K340" i="24" s="1"/>
  <c r="K341" i="24" s="1"/>
  <c r="G330" i="24"/>
  <c r="G331" i="24" s="1"/>
  <c r="G332" i="24" s="1"/>
  <c r="G333" i="24" s="1"/>
  <c r="G334" i="24" s="1"/>
  <c r="G335" i="24" s="1"/>
  <c r="G336" i="24" s="1"/>
  <c r="G338" i="24" s="1"/>
  <c r="G339" i="24" s="1"/>
  <c r="G340" i="24" s="1"/>
  <c r="G341" i="24" s="1"/>
  <c r="X388" i="24" l="1"/>
  <c r="V93" i="39"/>
  <c r="V93" i="28"/>
  <c r="O388" i="24"/>
  <c r="M93" i="39"/>
  <c r="M93" i="28"/>
  <c r="C93" i="39"/>
  <c r="E388" i="24"/>
  <c r="C93" i="28"/>
  <c r="T388" i="24"/>
  <c r="R93" i="28"/>
  <c r="R93" i="39"/>
  <c r="L387" i="24"/>
  <c r="J92" i="28"/>
  <c r="J92" i="39"/>
  <c r="V388" i="24"/>
  <c r="T93" i="39"/>
  <c r="T93" i="28"/>
  <c r="W388" i="24"/>
  <c r="U93" i="39"/>
  <c r="U93" i="28"/>
  <c r="K387" i="24"/>
  <c r="I92" i="39"/>
  <c r="I92" i="28"/>
  <c r="G387" i="24"/>
  <c r="E92" i="39"/>
  <c r="E92" i="28"/>
  <c r="R388" i="24"/>
  <c r="P93" i="28"/>
  <c r="P93" i="39"/>
  <c r="P387" i="24"/>
  <c r="N92" i="39"/>
  <c r="N92" i="28"/>
  <c r="M388" i="24"/>
  <c r="K93" i="39"/>
  <c r="K93" i="28"/>
  <c r="Q388" i="24"/>
  <c r="O93" i="28"/>
  <c r="O93" i="39"/>
  <c r="U388" i="24"/>
  <c r="S93" i="39"/>
  <c r="S93" i="28"/>
  <c r="C60" i="39"/>
  <c r="C62" i="39" s="1"/>
  <c r="I73" i="38"/>
  <c r="F135" i="28"/>
  <c r="F135" i="39"/>
  <c r="H207" i="25"/>
  <c r="F140" i="39" s="1"/>
  <c r="F139" i="39"/>
  <c r="G134" i="28"/>
  <c r="G134" i="39"/>
  <c r="F91" i="28"/>
  <c r="F91" i="39"/>
  <c r="G90" i="28"/>
  <c r="G90" i="39"/>
  <c r="C64" i="39"/>
  <c r="I206" i="25"/>
  <c r="G139" i="39" s="1"/>
  <c r="N385" i="24"/>
  <c r="L91" i="39" s="1"/>
  <c r="L90" i="28"/>
  <c r="F386" i="24"/>
  <c r="D92" i="39" s="1"/>
  <c r="D91" i="28"/>
  <c r="I36" i="38"/>
  <c r="E116" i="38"/>
  <c r="H112" i="38"/>
  <c r="I111" i="38"/>
  <c r="H386" i="24"/>
  <c r="I385" i="24"/>
  <c r="X337" i="24"/>
  <c r="C242" i="24"/>
  <c r="R337" i="24"/>
  <c r="O338" i="24"/>
  <c r="O339" i="24" s="1"/>
  <c r="O340" i="24" s="1"/>
  <c r="O341" i="24" s="1"/>
  <c r="O337" i="24"/>
  <c r="Q337" i="24"/>
  <c r="L337" i="24"/>
  <c r="K337" i="24"/>
  <c r="G337" i="24"/>
  <c r="W337" i="24"/>
  <c r="V337" i="24"/>
  <c r="U337" i="24"/>
  <c r="T337" i="24"/>
  <c r="J339" i="24"/>
  <c r="J338" i="24"/>
  <c r="J333" i="24"/>
  <c r="J334" i="24"/>
  <c r="J332" i="24"/>
  <c r="E333" i="24"/>
  <c r="AQ301" i="30"/>
  <c r="AO301" i="30"/>
  <c r="AN301" i="30" a="1"/>
  <c r="AN301" i="30" s="1"/>
  <c r="AM301" i="30" a="1"/>
  <c r="AM301" i="30" s="1"/>
  <c r="AL301" i="30" a="1"/>
  <c r="AL301" i="30" s="1"/>
  <c r="AK301" i="30" a="1"/>
  <c r="AK301" i="30" s="1"/>
  <c r="AJ301" i="30" a="1"/>
  <c r="AJ301" i="30" s="1"/>
  <c r="AH301" i="30" a="1"/>
  <c r="AH301" i="30" s="1"/>
  <c r="AG301" i="30" a="1"/>
  <c r="AG301" i="30" s="1"/>
  <c r="AF301" i="30" a="1"/>
  <c r="AF301" i="30" s="1"/>
  <c r="AE301" i="30" a="1"/>
  <c r="AE301" i="30" s="1"/>
  <c r="AD301" i="30" a="1"/>
  <c r="AD301" i="30" s="1"/>
  <c r="AI301" i="30" s="1"/>
  <c r="AC301" i="30" a="1"/>
  <c r="AC301" i="30" s="1"/>
  <c r="AB301" i="30" a="1"/>
  <c r="AB301" i="30" s="1"/>
  <c r="AA301" i="30" a="1"/>
  <c r="AA301" i="30" s="1"/>
  <c r="Z301" i="30"/>
  <c r="X301" i="30"/>
  <c r="W301" i="30"/>
  <c r="V301" i="30" a="1"/>
  <c r="V301" i="30" s="1"/>
  <c r="U301" i="30"/>
  <c r="AQ300" i="30"/>
  <c r="AO300" i="30"/>
  <c r="AN300" i="30" a="1"/>
  <c r="AN300" i="30" s="1"/>
  <c r="AM300" i="30" a="1"/>
  <c r="AM300" i="30" s="1"/>
  <c r="AL300" i="30" a="1"/>
  <c r="AL300" i="30" s="1"/>
  <c r="AK300" i="30" a="1"/>
  <c r="AK300" i="30" s="1"/>
  <c r="AJ300" i="30" a="1"/>
  <c r="AJ300" i="30" s="1"/>
  <c r="AH300" i="30" a="1"/>
  <c r="AH300" i="30" s="1"/>
  <c r="AG300" i="30" a="1"/>
  <c r="AG300" i="30" s="1"/>
  <c r="AF300" i="30" a="1"/>
  <c r="AF300" i="30" s="1"/>
  <c r="AE300" i="30" a="1"/>
  <c r="AE300" i="30" s="1"/>
  <c r="AD300" i="30" a="1"/>
  <c r="AD300" i="30" s="1"/>
  <c r="AI300" i="30" s="1"/>
  <c r="AC300" i="30" a="1"/>
  <c r="AC300" i="30" s="1"/>
  <c r="AB300" i="30" a="1"/>
  <c r="AB300" i="30" s="1"/>
  <c r="AA300" i="30" a="1"/>
  <c r="AA300" i="30" s="1"/>
  <c r="Z300" i="30"/>
  <c r="X300" i="30"/>
  <c r="W300" i="30"/>
  <c r="V300" i="30" a="1"/>
  <c r="V300" i="30" s="1"/>
  <c r="U300" i="30"/>
  <c r="AQ299" i="30"/>
  <c r="AO299" i="30"/>
  <c r="AN299" i="30" a="1"/>
  <c r="AN299" i="30" s="1"/>
  <c r="AM299" i="30" a="1"/>
  <c r="AM299" i="30" s="1"/>
  <c r="AL299" i="30" a="1"/>
  <c r="AL299" i="30" s="1"/>
  <c r="AK299" i="30" a="1"/>
  <c r="AK299" i="30" s="1"/>
  <c r="AJ299" i="30" a="1"/>
  <c r="AJ299" i="30" s="1"/>
  <c r="AH299" i="30" a="1"/>
  <c r="AH299" i="30" s="1"/>
  <c r="AG299" i="30" a="1"/>
  <c r="AG299" i="30" s="1"/>
  <c r="AF299" i="30" a="1"/>
  <c r="AF299" i="30" s="1"/>
  <c r="AE299" i="30" a="1"/>
  <c r="AE299" i="30" s="1"/>
  <c r="AD299" i="30" a="1"/>
  <c r="AD299" i="30" s="1"/>
  <c r="AI299" i="30" s="1"/>
  <c r="AC299" i="30" a="1"/>
  <c r="AC299" i="30" s="1"/>
  <c r="AB299" i="30" a="1"/>
  <c r="AB299" i="30" s="1"/>
  <c r="AA299" i="30" a="1"/>
  <c r="AA299" i="30" s="1"/>
  <c r="Z299" i="30"/>
  <c r="X299" i="30"/>
  <c r="W299" i="30"/>
  <c r="V299" i="30" a="1"/>
  <c r="V299" i="30" s="1"/>
  <c r="U299" i="30"/>
  <c r="AQ298" i="30"/>
  <c r="AO298" i="30"/>
  <c r="AN298" i="30" a="1"/>
  <c r="AN298" i="30" s="1"/>
  <c r="AM298" i="30" a="1"/>
  <c r="AM298" i="30" s="1"/>
  <c r="AL298" i="30" a="1"/>
  <c r="AL298" i="30" s="1"/>
  <c r="AK298" i="30" a="1"/>
  <c r="AK298" i="30" s="1"/>
  <c r="AJ298" i="30" a="1"/>
  <c r="AJ298" i="30" s="1"/>
  <c r="AH298" i="30" a="1"/>
  <c r="AH298" i="30" s="1"/>
  <c r="AG298" i="30" a="1"/>
  <c r="AG298" i="30" s="1"/>
  <c r="AF298" i="30" a="1"/>
  <c r="AF298" i="30" s="1"/>
  <c r="AE298" i="30" a="1"/>
  <c r="AE298" i="30" s="1"/>
  <c r="AD298" i="30" a="1"/>
  <c r="AD298" i="30" s="1"/>
  <c r="AI298" i="30" s="1"/>
  <c r="AC298" i="30" a="1"/>
  <c r="AC298" i="30" s="1"/>
  <c r="AB298" i="30" a="1"/>
  <c r="AB298" i="30" s="1"/>
  <c r="AA298" i="30" a="1"/>
  <c r="AA298" i="30" s="1"/>
  <c r="Z298" i="30"/>
  <c r="X298" i="30"/>
  <c r="W298" i="30"/>
  <c r="V298" i="30" a="1"/>
  <c r="V298" i="30" s="1"/>
  <c r="U298" i="30"/>
  <c r="AQ297" i="30"/>
  <c r="AO297" i="30"/>
  <c r="AN297" i="30" a="1"/>
  <c r="AN297" i="30" s="1"/>
  <c r="AM297" i="30" a="1"/>
  <c r="AM297" i="30" s="1"/>
  <c r="AL297" i="30" a="1"/>
  <c r="AL297" i="30" s="1"/>
  <c r="AK297" i="30" a="1"/>
  <c r="AK297" i="30" s="1"/>
  <c r="AJ297" i="30" a="1"/>
  <c r="AJ297" i="30" s="1"/>
  <c r="AH297" i="30" a="1"/>
  <c r="AH297" i="30" s="1"/>
  <c r="AG297" i="30" a="1"/>
  <c r="AG297" i="30" s="1"/>
  <c r="AF297" i="30" a="1"/>
  <c r="AF297" i="30" s="1"/>
  <c r="AE297" i="30" a="1"/>
  <c r="AE297" i="30" s="1"/>
  <c r="AD297" i="30" a="1"/>
  <c r="AD297" i="30" s="1"/>
  <c r="AI297" i="30" s="1"/>
  <c r="AC297" i="30" a="1"/>
  <c r="AC297" i="30" s="1"/>
  <c r="AB297" i="30" a="1"/>
  <c r="AB297" i="30" s="1"/>
  <c r="AA297" i="30" a="1"/>
  <c r="AA297" i="30" s="1"/>
  <c r="Z297" i="30"/>
  <c r="X297" i="30"/>
  <c r="W297" i="30"/>
  <c r="V297" i="30" a="1"/>
  <c r="V297" i="30" s="1"/>
  <c r="U297" i="30"/>
  <c r="AQ296" i="30"/>
  <c r="AO296" i="30"/>
  <c r="AN296" i="30" a="1"/>
  <c r="AN296" i="30" s="1"/>
  <c r="AM296" i="30" a="1"/>
  <c r="AM296" i="30" s="1"/>
  <c r="AL296" i="30" a="1"/>
  <c r="AL296" i="30" s="1"/>
  <c r="AK296" i="30" a="1"/>
  <c r="AK296" i="30" s="1"/>
  <c r="AJ296" i="30" a="1"/>
  <c r="AJ296" i="30" s="1"/>
  <c r="AH296" i="30" a="1"/>
  <c r="AH296" i="30" s="1"/>
  <c r="AG296" i="30" a="1"/>
  <c r="AG296" i="30" s="1"/>
  <c r="AF296" i="30" a="1"/>
  <c r="AF296" i="30" s="1"/>
  <c r="AE296" i="30" a="1"/>
  <c r="AE296" i="30" s="1"/>
  <c r="AD296" i="30" a="1"/>
  <c r="AD296" i="30" s="1"/>
  <c r="AI296" i="30" s="1"/>
  <c r="AC296" i="30" a="1"/>
  <c r="AC296" i="30" s="1"/>
  <c r="AB296" i="30" a="1"/>
  <c r="AB296" i="30" s="1"/>
  <c r="AA296" i="30" a="1"/>
  <c r="AA296" i="30" s="1"/>
  <c r="Z296" i="30"/>
  <c r="X296" i="30"/>
  <c r="W296" i="30"/>
  <c r="V296" i="30" a="1"/>
  <c r="V296" i="30" s="1"/>
  <c r="U296" i="30"/>
  <c r="AQ295" i="30"/>
  <c r="AO295" i="30"/>
  <c r="AN295" i="30" a="1"/>
  <c r="AN295" i="30" s="1"/>
  <c r="AM295" i="30" a="1"/>
  <c r="AM295" i="30" s="1"/>
  <c r="AL295" i="30" a="1"/>
  <c r="AL295" i="30" s="1"/>
  <c r="AK295" i="30" a="1"/>
  <c r="AK295" i="30" s="1"/>
  <c r="AJ295" i="30" a="1"/>
  <c r="AJ295" i="30" s="1"/>
  <c r="AH295" i="30" a="1"/>
  <c r="AH295" i="30" s="1"/>
  <c r="AG295" i="30" a="1"/>
  <c r="AG295" i="30" s="1"/>
  <c r="AF295" i="30" a="1"/>
  <c r="AF295" i="30" s="1"/>
  <c r="AE295" i="30" a="1"/>
  <c r="AE295" i="30" s="1"/>
  <c r="AD295" i="30" a="1"/>
  <c r="AD295" i="30" s="1"/>
  <c r="AI295" i="30" s="1"/>
  <c r="AC295" i="30" a="1"/>
  <c r="AC295" i="30" s="1"/>
  <c r="AB295" i="30" a="1"/>
  <c r="AB295" i="30" s="1"/>
  <c r="AA295" i="30" a="1"/>
  <c r="AA295" i="30" s="1"/>
  <c r="Z295" i="30"/>
  <c r="X295" i="30"/>
  <c r="W295" i="30"/>
  <c r="V295" i="30" a="1"/>
  <c r="V295" i="30" s="1"/>
  <c r="U295" i="30"/>
  <c r="AQ294" i="30"/>
  <c r="AO294" i="30"/>
  <c r="AN294" i="30" a="1"/>
  <c r="AN294" i="30" s="1"/>
  <c r="AM294" i="30" a="1"/>
  <c r="AM294" i="30" s="1"/>
  <c r="AL294" i="30" a="1"/>
  <c r="AL294" i="30" s="1"/>
  <c r="AK294" i="30" a="1"/>
  <c r="AK294" i="30" s="1"/>
  <c r="AJ294" i="30" a="1"/>
  <c r="AJ294" i="30" s="1"/>
  <c r="AH294" i="30" a="1"/>
  <c r="AH294" i="30" s="1"/>
  <c r="AG294" i="30" a="1"/>
  <c r="AG294" i="30" s="1"/>
  <c r="AF294" i="30" a="1"/>
  <c r="AF294" i="30" s="1"/>
  <c r="AE294" i="30" a="1"/>
  <c r="AE294" i="30" s="1"/>
  <c r="AD294" i="30" a="1"/>
  <c r="AD294" i="30" s="1"/>
  <c r="AI294" i="30" s="1"/>
  <c r="AC294" i="30" a="1"/>
  <c r="AC294" i="30" s="1"/>
  <c r="AB294" i="30" a="1"/>
  <c r="AB294" i="30" s="1"/>
  <c r="AA294" i="30" a="1"/>
  <c r="AA294" i="30" s="1"/>
  <c r="Z294" i="30"/>
  <c r="X294" i="30"/>
  <c r="W294" i="30"/>
  <c r="V294" i="30" a="1"/>
  <c r="V294" i="30" s="1"/>
  <c r="U294" i="30"/>
  <c r="AQ293" i="30"/>
  <c r="AO293" i="30"/>
  <c r="AN293" i="30" a="1"/>
  <c r="AN293" i="30" s="1"/>
  <c r="AM293" i="30" a="1"/>
  <c r="AM293" i="30" s="1"/>
  <c r="AL293" i="30" a="1"/>
  <c r="AL293" i="30" s="1"/>
  <c r="AK293" i="30" a="1"/>
  <c r="AK293" i="30" s="1"/>
  <c r="AJ293" i="30" a="1"/>
  <c r="AJ293" i="30" s="1"/>
  <c r="AH293" i="30" a="1"/>
  <c r="AH293" i="30" s="1"/>
  <c r="AG293" i="30" a="1"/>
  <c r="AG293" i="30" s="1"/>
  <c r="AF293" i="30" a="1"/>
  <c r="AF293" i="30" s="1"/>
  <c r="AE293" i="30" a="1"/>
  <c r="AE293" i="30" s="1"/>
  <c r="AD293" i="30" a="1"/>
  <c r="AD293" i="30" s="1"/>
  <c r="AI293" i="30" s="1"/>
  <c r="AC293" i="30" a="1"/>
  <c r="AC293" i="30" s="1"/>
  <c r="AB293" i="30" a="1"/>
  <c r="AB293" i="30" s="1"/>
  <c r="AA293" i="30" a="1"/>
  <c r="AA293" i="30" s="1"/>
  <c r="Z293" i="30"/>
  <c r="X293" i="30"/>
  <c r="W293" i="30"/>
  <c r="V293" i="30" a="1"/>
  <c r="V293" i="30" s="1"/>
  <c r="U293" i="30"/>
  <c r="AQ292" i="30"/>
  <c r="AO292" i="30"/>
  <c r="AN292" i="30" a="1"/>
  <c r="AN292" i="30" s="1"/>
  <c r="AM292" i="30" a="1"/>
  <c r="AM292" i="30" s="1"/>
  <c r="AL292" i="30" a="1"/>
  <c r="AL292" i="30" s="1"/>
  <c r="AK292" i="30" a="1"/>
  <c r="AK292" i="30" s="1"/>
  <c r="AJ292" i="30" a="1"/>
  <c r="AJ292" i="30" s="1"/>
  <c r="AH292" i="30" a="1"/>
  <c r="AH292" i="30" s="1"/>
  <c r="AG292" i="30" a="1"/>
  <c r="AG292" i="30" s="1"/>
  <c r="AF292" i="30" a="1"/>
  <c r="AF292" i="30" s="1"/>
  <c r="AE292" i="30" a="1"/>
  <c r="AE292" i="30" s="1"/>
  <c r="AD292" i="30" a="1"/>
  <c r="AD292" i="30" s="1"/>
  <c r="AI292" i="30" s="1"/>
  <c r="AC292" i="30" a="1"/>
  <c r="AC292" i="30" s="1"/>
  <c r="AB292" i="30" a="1"/>
  <c r="AB292" i="30" s="1"/>
  <c r="AA292" i="30" a="1"/>
  <c r="AA292" i="30" s="1"/>
  <c r="Z292" i="30"/>
  <c r="X292" i="30"/>
  <c r="W292" i="30"/>
  <c r="V292" i="30" a="1"/>
  <c r="V292" i="30" s="1"/>
  <c r="U292" i="30"/>
  <c r="AQ291" i="30"/>
  <c r="AO291" i="30"/>
  <c r="AN291" i="30" a="1"/>
  <c r="AN291" i="30" s="1"/>
  <c r="AM291" i="30" a="1"/>
  <c r="AM291" i="30" s="1"/>
  <c r="AL291" i="30" a="1"/>
  <c r="AL291" i="30" s="1"/>
  <c r="AK291" i="30" a="1"/>
  <c r="AK291" i="30" s="1"/>
  <c r="AJ291" i="30" a="1"/>
  <c r="AJ291" i="30" s="1"/>
  <c r="AH291" i="30" a="1"/>
  <c r="AH291" i="30" s="1"/>
  <c r="AG291" i="30" a="1"/>
  <c r="AG291" i="30" s="1"/>
  <c r="AF291" i="30" a="1"/>
  <c r="AF291" i="30" s="1"/>
  <c r="AE291" i="30" a="1"/>
  <c r="AE291" i="30" s="1"/>
  <c r="AD291" i="30" a="1"/>
  <c r="AD291" i="30" s="1"/>
  <c r="AI291" i="30" s="1"/>
  <c r="AC291" i="30" a="1"/>
  <c r="AC291" i="30" s="1"/>
  <c r="AB291" i="30" a="1"/>
  <c r="AB291" i="30" s="1"/>
  <c r="AA291" i="30" a="1"/>
  <c r="AA291" i="30" s="1"/>
  <c r="Z291" i="30"/>
  <c r="X291" i="30"/>
  <c r="W291" i="30"/>
  <c r="V291" i="30" a="1"/>
  <c r="V291" i="30" s="1"/>
  <c r="U291" i="30"/>
  <c r="AQ290" i="30"/>
  <c r="AO290" i="30"/>
  <c r="AN290" i="30" a="1"/>
  <c r="AN290" i="30" s="1"/>
  <c r="AM290" i="30" a="1"/>
  <c r="AM290" i="30" s="1"/>
  <c r="AL290" i="30" a="1"/>
  <c r="AL290" i="30" s="1"/>
  <c r="AK290" i="30" a="1"/>
  <c r="AK290" i="30" s="1"/>
  <c r="AJ290" i="30" a="1"/>
  <c r="AJ290" i="30" s="1"/>
  <c r="AH290" i="30" a="1"/>
  <c r="AH290" i="30" s="1"/>
  <c r="AG290" i="30" a="1"/>
  <c r="AG290" i="30" s="1"/>
  <c r="AF290" i="30" a="1"/>
  <c r="AF290" i="30" s="1"/>
  <c r="AE290" i="30" a="1"/>
  <c r="AE290" i="30" s="1"/>
  <c r="AD290" i="30" a="1"/>
  <c r="AD290" i="30" s="1"/>
  <c r="AI290" i="30" s="1"/>
  <c r="AC290" i="30" a="1"/>
  <c r="AC290" i="30" s="1"/>
  <c r="AB290" i="30" a="1"/>
  <c r="AB290" i="30" s="1"/>
  <c r="AA290" i="30" a="1"/>
  <c r="AA290" i="30" s="1"/>
  <c r="Z290" i="30"/>
  <c r="X290" i="30"/>
  <c r="W290" i="30"/>
  <c r="V290" i="30" a="1"/>
  <c r="V290" i="30" s="1"/>
  <c r="U290" i="30"/>
  <c r="AQ289" i="30"/>
  <c r="AO289" i="30"/>
  <c r="AN289" i="30" a="1"/>
  <c r="AN289" i="30" s="1"/>
  <c r="AM289" i="30" a="1"/>
  <c r="AM289" i="30" s="1"/>
  <c r="AL289" i="30" a="1"/>
  <c r="AL289" i="30" s="1"/>
  <c r="AK289" i="30" a="1"/>
  <c r="AK289" i="30" s="1"/>
  <c r="AJ289" i="30" a="1"/>
  <c r="AJ289" i="30" s="1"/>
  <c r="AH289" i="30" a="1"/>
  <c r="AH289" i="30" s="1"/>
  <c r="AG289" i="30" a="1"/>
  <c r="AG289" i="30" s="1"/>
  <c r="AF289" i="30" a="1"/>
  <c r="AF289" i="30" s="1"/>
  <c r="AE289" i="30" a="1"/>
  <c r="AE289" i="30" s="1"/>
  <c r="AD289" i="30" a="1"/>
  <c r="AD289" i="30" s="1"/>
  <c r="AI289" i="30" s="1"/>
  <c r="AC289" i="30" a="1"/>
  <c r="AC289" i="30" s="1"/>
  <c r="AB289" i="30" a="1"/>
  <c r="AB289" i="30" s="1"/>
  <c r="AA289" i="30" a="1"/>
  <c r="AA289" i="30" s="1"/>
  <c r="Z289" i="30"/>
  <c r="X289" i="30"/>
  <c r="W289" i="30"/>
  <c r="V289" i="30" a="1"/>
  <c r="V289" i="30" s="1"/>
  <c r="U289" i="30"/>
  <c r="AQ288" i="30"/>
  <c r="AO288" i="30"/>
  <c r="AN288" i="30" a="1"/>
  <c r="AN288" i="30" s="1"/>
  <c r="AM288" i="30" a="1"/>
  <c r="AM288" i="30" s="1"/>
  <c r="AL288" i="30" a="1"/>
  <c r="AL288" i="30" s="1"/>
  <c r="AK288" i="30" a="1"/>
  <c r="AK288" i="30" s="1"/>
  <c r="AJ288" i="30" a="1"/>
  <c r="AJ288" i="30" s="1"/>
  <c r="AH288" i="30" a="1"/>
  <c r="AH288" i="30" s="1"/>
  <c r="AG288" i="30" a="1"/>
  <c r="AG288" i="30" s="1"/>
  <c r="AF288" i="30" a="1"/>
  <c r="AF288" i="30" s="1"/>
  <c r="AE288" i="30" a="1"/>
  <c r="AE288" i="30" s="1"/>
  <c r="AD288" i="30" a="1"/>
  <c r="AD288" i="30" s="1"/>
  <c r="AI288" i="30" s="1"/>
  <c r="AC288" i="30" a="1"/>
  <c r="AC288" i="30" s="1"/>
  <c r="AB288" i="30" a="1"/>
  <c r="AB288" i="30" s="1"/>
  <c r="AA288" i="30" a="1"/>
  <c r="AA288" i="30" s="1"/>
  <c r="Z288" i="30"/>
  <c r="X288" i="30"/>
  <c r="W288" i="30"/>
  <c r="V288" i="30" a="1"/>
  <c r="V288" i="30" s="1"/>
  <c r="U288" i="30"/>
  <c r="AQ287" i="30"/>
  <c r="AO287" i="30"/>
  <c r="AN287" i="30" a="1"/>
  <c r="AN287" i="30" s="1"/>
  <c r="AM287" i="30" a="1"/>
  <c r="AM287" i="30" s="1"/>
  <c r="AL287" i="30" a="1"/>
  <c r="AL287" i="30" s="1"/>
  <c r="AK287" i="30" a="1"/>
  <c r="AK287" i="30" s="1"/>
  <c r="AJ287" i="30" a="1"/>
  <c r="AJ287" i="30" s="1"/>
  <c r="AH287" i="30" a="1"/>
  <c r="AH287" i="30" s="1"/>
  <c r="AG287" i="30" a="1"/>
  <c r="AG287" i="30" s="1"/>
  <c r="AF287" i="30" a="1"/>
  <c r="AF287" i="30" s="1"/>
  <c r="AE287" i="30" a="1"/>
  <c r="AE287" i="30" s="1"/>
  <c r="AD287" i="30" a="1"/>
  <c r="AD287" i="30" s="1"/>
  <c r="AI287" i="30" s="1"/>
  <c r="AC287" i="30" a="1"/>
  <c r="AC287" i="30" s="1"/>
  <c r="AB287" i="30" a="1"/>
  <c r="AB287" i="30" s="1"/>
  <c r="AA287" i="30" a="1"/>
  <c r="AA287" i="30" s="1"/>
  <c r="Z287" i="30"/>
  <c r="X287" i="30"/>
  <c r="W287" i="30"/>
  <c r="V287" i="30" a="1"/>
  <c r="V287" i="30" s="1"/>
  <c r="U287" i="30"/>
  <c r="AQ286" i="30"/>
  <c r="AO286" i="30"/>
  <c r="AN286" i="30" a="1"/>
  <c r="AN286" i="30" s="1"/>
  <c r="AM286" i="30" a="1"/>
  <c r="AM286" i="30" s="1"/>
  <c r="AL286" i="30" a="1"/>
  <c r="AL286" i="30" s="1"/>
  <c r="AK286" i="30" a="1"/>
  <c r="AK286" i="30" s="1"/>
  <c r="AJ286" i="30" a="1"/>
  <c r="AJ286" i="30" s="1"/>
  <c r="AH286" i="30" a="1"/>
  <c r="AH286" i="30" s="1"/>
  <c r="AG286" i="30" a="1"/>
  <c r="AG286" i="30" s="1"/>
  <c r="AF286" i="30" a="1"/>
  <c r="AF286" i="30" s="1"/>
  <c r="AE286" i="30" a="1"/>
  <c r="AE286" i="30" s="1"/>
  <c r="AD286" i="30" a="1"/>
  <c r="AD286" i="30" s="1"/>
  <c r="AI286" i="30" s="1"/>
  <c r="AC286" i="30" a="1"/>
  <c r="AC286" i="30" s="1"/>
  <c r="AB286" i="30" a="1"/>
  <c r="AB286" i="30" s="1"/>
  <c r="AA286" i="30" a="1"/>
  <c r="AA286" i="30" s="1"/>
  <c r="Z286" i="30"/>
  <c r="X286" i="30"/>
  <c r="W286" i="30"/>
  <c r="V286" i="30" a="1"/>
  <c r="V286" i="30" s="1"/>
  <c r="U286" i="30"/>
  <c r="AQ285" i="30"/>
  <c r="AO285" i="30"/>
  <c r="AN285" i="30" a="1"/>
  <c r="AN285" i="30" s="1"/>
  <c r="AM285" i="30" a="1"/>
  <c r="AM285" i="30" s="1"/>
  <c r="AL285" i="30" a="1"/>
  <c r="AL285" i="30" s="1"/>
  <c r="AK285" i="30" a="1"/>
  <c r="AK285" i="30" s="1"/>
  <c r="AJ285" i="30" a="1"/>
  <c r="AJ285" i="30" s="1"/>
  <c r="AH285" i="30" a="1"/>
  <c r="AH285" i="30" s="1"/>
  <c r="AG285" i="30" a="1"/>
  <c r="AG285" i="30" s="1"/>
  <c r="AF285" i="30" a="1"/>
  <c r="AF285" i="30" s="1"/>
  <c r="AE285" i="30" a="1"/>
  <c r="AE285" i="30" s="1"/>
  <c r="AD285" i="30" a="1"/>
  <c r="AD285" i="30" s="1"/>
  <c r="AI285" i="30" s="1"/>
  <c r="AC285" i="30" a="1"/>
  <c r="AC285" i="30" s="1"/>
  <c r="AB285" i="30" a="1"/>
  <c r="AB285" i="30" s="1"/>
  <c r="AA285" i="30" a="1"/>
  <c r="AA285" i="30" s="1"/>
  <c r="Z285" i="30"/>
  <c r="X285" i="30"/>
  <c r="W285" i="30"/>
  <c r="V285" i="30" a="1"/>
  <c r="V285" i="30" s="1"/>
  <c r="U285" i="30"/>
  <c r="AQ284" i="30"/>
  <c r="AO284" i="30"/>
  <c r="AN284" i="30" a="1"/>
  <c r="AN284" i="30" s="1"/>
  <c r="AM284" i="30" a="1"/>
  <c r="AM284" i="30" s="1"/>
  <c r="AL284" i="30" a="1"/>
  <c r="AL284" i="30" s="1"/>
  <c r="AK284" i="30" a="1"/>
  <c r="AK284" i="30" s="1"/>
  <c r="AJ284" i="30" a="1"/>
  <c r="AJ284" i="30" s="1"/>
  <c r="AH284" i="30" a="1"/>
  <c r="AH284" i="30" s="1"/>
  <c r="AG284" i="30" a="1"/>
  <c r="AG284" i="30" s="1"/>
  <c r="AF284" i="30" a="1"/>
  <c r="AF284" i="30" s="1"/>
  <c r="AE284" i="30" a="1"/>
  <c r="AE284" i="30" s="1"/>
  <c r="AD284" i="30" a="1"/>
  <c r="AD284" i="30" s="1"/>
  <c r="AI284" i="30" s="1"/>
  <c r="AC284" i="30" a="1"/>
  <c r="AC284" i="30" s="1"/>
  <c r="AB284" i="30" a="1"/>
  <c r="AB284" i="30" s="1"/>
  <c r="AA284" i="30" a="1"/>
  <c r="AA284" i="30" s="1"/>
  <c r="Z284" i="30"/>
  <c r="X284" i="30"/>
  <c r="W284" i="30"/>
  <c r="V284" i="30" a="1"/>
  <c r="V284" i="30" s="1"/>
  <c r="U284" i="30"/>
  <c r="AQ283" i="30"/>
  <c r="AO283" i="30"/>
  <c r="AN283" i="30" a="1"/>
  <c r="AN283" i="30" s="1"/>
  <c r="AM283" i="30" a="1"/>
  <c r="AM283" i="30" s="1"/>
  <c r="AL283" i="30" a="1"/>
  <c r="AL283" i="30" s="1"/>
  <c r="AK283" i="30" a="1"/>
  <c r="AK283" i="30" s="1"/>
  <c r="AJ283" i="30" a="1"/>
  <c r="AJ283" i="30" s="1"/>
  <c r="AH283" i="30" a="1"/>
  <c r="AH283" i="30" s="1"/>
  <c r="AG283" i="30" a="1"/>
  <c r="AG283" i="30" s="1"/>
  <c r="AF283" i="30" a="1"/>
  <c r="AF283" i="30" s="1"/>
  <c r="AE283" i="30" a="1"/>
  <c r="AE283" i="30" s="1"/>
  <c r="AD283" i="30" a="1"/>
  <c r="AD283" i="30" s="1"/>
  <c r="AI283" i="30" s="1"/>
  <c r="AC283" i="30" a="1"/>
  <c r="AC283" i="30" s="1"/>
  <c r="AB283" i="30" a="1"/>
  <c r="AB283" i="30" s="1"/>
  <c r="AA283" i="30" a="1"/>
  <c r="AA283" i="30" s="1"/>
  <c r="Z283" i="30"/>
  <c r="X283" i="30"/>
  <c r="W283" i="30"/>
  <c r="V283" i="30" a="1"/>
  <c r="V283" i="30" s="1"/>
  <c r="U283" i="30"/>
  <c r="AQ282" i="30"/>
  <c r="AO282" i="30"/>
  <c r="AN282" i="30" a="1"/>
  <c r="AN282" i="30" s="1"/>
  <c r="AM282" i="30" a="1"/>
  <c r="AM282" i="30" s="1"/>
  <c r="AL282" i="30" a="1"/>
  <c r="AL282" i="30" s="1"/>
  <c r="AK282" i="30" a="1"/>
  <c r="AK282" i="30" s="1"/>
  <c r="AJ282" i="30" a="1"/>
  <c r="AJ282" i="30" s="1"/>
  <c r="AH282" i="30" a="1"/>
  <c r="AH282" i="30" s="1"/>
  <c r="AG282" i="30" a="1"/>
  <c r="AG282" i="30" s="1"/>
  <c r="AF282" i="30" a="1"/>
  <c r="AF282" i="30" s="1"/>
  <c r="AE282" i="30" a="1"/>
  <c r="AE282" i="30" s="1"/>
  <c r="AD282" i="30" a="1"/>
  <c r="AD282" i="30" s="1"/>
  <c r="AI282" i="30" s="1"/>
  <c r="AC282" i="30" a="1"/>
  <c r="AC282" i="30" s="1"/>
  <c r="AB282" i="30" a="1"/>
  <c r="AB282" i="30" s="1"/>
  <c r="AA282" i="30" a="1"/>
  <c r="AA282" i="30" s="1"/>
  <c r="Z282" i="30"/>
  <c r="X282" i="30"/>
  <c r="W282" i="30"/>
  <c r="V282" i="30" a="1"/>
  <c r="V282" i="30" s="1"/>
  <c r="U282" i="30"/>
  <c r="AQ281" i="30"/>
  <c r="AO281" i="30"/>
  <c r="AN281" i="30" a="1"/>
  <c r="AN281" i="30" s="1"/>
  <c r="AM281" i="30" a="1"/>
  <c r="AM281" i="30" s="1"/>
  <c r="AL281" i="30" a="1"/>
  <c r="AL281" i="30" s="1"/>
  <c r="AK281" i="30" a="1"/>
  <c r="AK281" i="30" s="1"/>
  <c r="AJ281" i="30" a="1"/>
  <c r="AJ281" i="30" s="1"/>
  <c r="AH281" i="30" a="1"/>
  <c r="AH281" i="30" s="1"/>
  <c r="AG281" i="30" a="1"/>
  <c r="AG281" i="30" s="1"/>
  <c r="AF281" i="30" a="1"/>
  <c r="AF281" i="30" s="1"/>
  <c r="AE281" i="30" a="1"/>
  <c r="AE281" i="30" s="1"/>
  <c r="AD281" i="30" a="1"/>
  <c r="AD281" i="30" s="1"/>
  <c r="AI281" i="30" s="1"/>
  <c r="AC281" i="30" a="1"/>
  <c r="AC281" i="30" s="1"/>
  <c r="AB281" i="30" a="1"/>
  <c r="AB281" i="30" s="1"/>
  <c r="AA281" i="30" a="1"/>
  <c r="AA281" i="30" s="1"/>
  <c r="Z281" i="30"/>
  <c r="X281" i="30"/>
  <c r="W281" i="30"/>
  <c r="V281" i="30" a="1"/>
  <c r="V281" i="30" s="1"/>
  <c r="U281" i="30"/>
  <c r="AQ280" i="30"/>
  <c r="AO280" i="30"/>
  <c r="AN280" i="30" a="1"/>
  <c r="AN280" i="30" s="1"/>
  <c r="AM280" i="30" a="1"/>
  <c r="AM280" i="30" s="1"/>
  <c r="AL280" i="30" a="1"/>
  <c r="AL280" i="30" s="1"/>
  <c r="AK280" i="30" a="1"/>
  <c r="AK280" i="30" s="1"/>
  <c r="AJ280" i="30" a="1"/>
  <c r="AJ280" i="30" s="1"/>
  <c r="AH280" i="30" a="1"/>
  <c r="AH280" i="30" s="1"/>
  <c r="AG280" i="30" a="1"/>
  <c r="AG280" i="30" s="1"/>
  <c r="AF280" i="30" a="1"/>
  <c r="AF280" i="30" s="1"/>
  <c r="AE280" i="30" a="1"/>
  <c r="AE280" i="30" s="1"/>
  <c r="AD280" i="30" a="1"/>
  <c r="AD280" i="30" s="1"/>
  <c r="AI280" i="30" s="1"/>
  <c r="AC280" i="30" a="1"/>
  <c r="AC280" i="30" s="1"/>
  <c r="AB280" i="30" a="1"/>
  <c r="AB280" i="30" s="1"/>
  <c r="AA280" i="30" a="1"/>
  <c r="AA280" i="30" s="1"/>
  <c r="Z280" i="30"/>
  <c r="X280" i="30"/>
  <c r="W280" i="30"/>
  <c r="V280" i="30" a="1"/>
  <c r="V280" i="30" s="1"/>
  <c r="U280" i="30"/>
  <c r="AQ279" i="30"/>
  <c r="AO279" i="30"/>
  <c r="AN279" i="30" a="1"/>
  <c r="AN279" i="30" s="1"/>
  <c r="AM279" i="30" a="1"/>
  <c r="AM279" i="30" s="1"/>
  <c r="AL279" i="30" a="1"/>
  <c r="AL279" i="30" s="1"/>
  <c r="AK279" i="30" a="1"/>
  <c r="AK279" i="30" s="1"/>
  <c r="AJ279" i="30" a="1"/>
  <c r="AJ279" i="30" s="1"/>
  <c r="AH279" i="30" a="1"/>
  <c r="AH279" i="30" s="1"/>
  <c r="AG279" i="30" a="1"/>
  <c r="AG279" i="30" s="1"/>
  <c r="AF279" i="30" a="1"/>
  <c r="AF279" i="30" s="1"/>
  <c r="AE279" i="30" a="1"/>
  <c r="AE279" i="30" s="1"/>
  <c r="AD279" i="30" a="1"/>
  <c r="AD279" i="30" s="1"/>
  <c r="AI279" i="30" s="1"/>
  <c r="AC279" i="30" a="1"/>
  <c r="AC279" i="30" s="1"/>
  <c r="AB279" i="30" a="1"/>
  <c r="AB279" i="30" s="1"/>
  <c r="AA279" i="30" a="1"/>
  <c r="AA279" i="30" s="1"/>
  <c r="Z279" i="30"/>
  <c r="X279" i="30"/>
  <c r="W279" i="30"/>
  <c r="V279" i="30" a="1"/>
  <c r="V279" i="30" s="1"/>
  <c r="U279" i="30"/>
  <c r="AQ278" i="30"/>
  <c r="AO278" i="30"/>
  <c r="AN278" i="30" a="1"/>
  <c r="AN278" i="30" s="1"/>
  <c r="AM278" i="30" a="1"/>
  <c r="AM278" i="30" s="1"/>
  <c r="AL278" i="30" a="1"/>
  <c r="AL278" i="30" s="1"/>
  <c r="AK278" i="30" a="1"/>
  <c r="AK278" i="30" s="1"/>
  <c r="AJ278" i="30" a="1"/>
  <c r="AJ278" i="30" s="1"/>
  <c r="AH278" i="30" a="1"/>
  <c r="AH278" i="30" s="1"/>
  <c r="AG278" i="30" a="1"/>
  <c r="AG278" i="30" s="1"/>
  <c r="AF278" i="30" a="1"/>
  <c r="AF278" i="30" s="1"/>
  <c r="AE278" i="30" a="1"/>
  <c r="AE278" i="30" s="1"/>
  <c r="AD278" i="30" a="1"/>
  <c r="AD278" i="30" s="1"/>
  <c r="AI278" i="30" s="1"/>
  <c r="AC278" i="30" a="1"/>
  <c r="AC278" i="30" s="1"/>
  <c r="AB278" i="30" a="1"/>
  <c r="AB278" i="30" s="1"/>
  <c r="AA278" i="30" a="1"/>
  <c r="AA278" i="30" s="1"/>
  <c r="Z278" i="30"/>
  <c r="X278" i="30"/>
  <c r="W278" i="30"/>
  <c r="V278" i="30" a="1"/>
  <c r="V278" i="30" s="1"/>
  <c r="U278" i="30"/>
  <c r="AQ277" i="30"/>
  <c r="AO277" i="30"/>
  <c r="AN277" i="30" a="1"/>
  <c r="AN277" i="30" s="1"/>
  <c r="AM277" i="30" a="1"/>
  <c r="AM277" i="30" s="1"/>
  <c r="AL277" i="30" a="1"/>
  <c r="AL277" i="30" s="1"/>
  <c r="AK277" i="30" a="1"/>
  <c r="AK277" i="30" s="1"/>
  <c r="AJ277" i="30" a="1"/>
  <c r="AJ277" i="30" s="1"/>
  <c r="AH277" i="30" a="1"/>
  <c r="AH277" i="30" s="1"/>
  <c r="AG277" i="30" a="1"/>
  <c r="AG277" i="30" s="1"/>
  <c r="AF277" i="30" a="1"/>
  <c r="AF277" i="30" s="1"/>
  <c r="AE277" i="30" a="1"/>
  <c r="AE277" i="30" s="1"/>
  <c r="AD277" i="30" a="1"/>
  <c r="AD277" i="30" s="1"/>
  <c r="AI277" i="30" s="1"/>
  <c r="AC277" i="30" a="1"/>
  <c r="AC277" i="30" s="1"/>
  <c r="AB277" i="30" a="1"/>
  <c r="AB277" i="30" s="1"/>
  <c r="AA277" i="30" a="1"/>
  <c r="AA277" i="30" s="1"/>
  <c r="Z277" i="30"/>
  <c r="X277" i="30"/>
  <c r="W277" i="30"/>
  <c r="V277" i="30" a="1"/>
  <c r="V277" i="30" s="1"/>
  <c r="U277" i="30"/>
  <c r="AQ276" i="30"/>
  <c r="AO276" i="30"/>
  <c r="AN276" i="30" a="1"/>
  <c r="AN276" i="30" s="1"/>
  <c r="AM276" i="30" a="1"/>
  <c r="AM276" i="30" s="1"/>
  <c r="AL276" i="30" a="1"/>
  <c r="AL276" i="30" s="1"/>
  <c r="AK276" i="30" a="1"/>
  <c r="AK276" i="30" s="1"/>
  <c r="AJ276" i="30" a="1"/>
  <c r="AJ276" i="30" s="1"/>
  <c r="AH276" i="30" a="1"/>
  <c r="AH276" i="30" s="1"/>
  <c r="AG276" i="30" a="1"/>
  <c r="AG276" i="30" s="1"/>
  <c r="AF276" i="30" a="1"/>
  <c r="AF276" i="30" s="1"/>
  <c r="AE276" i="30" a="1"/>
  <c r="AE276" i="30" s="1"/>
  <c r="AD276" i="30" a="1"/>
  <c r="AD276" i="30" s="1"/>
  <c r="AI276" i="30" s="1"/>
  <c r="AC276" i="30" a="1"/>
  <c r="AC276" i="30" s="1"/>
  <c r="AB276" i="30" a="1"/>
  <c r="AB276" i="30" s="1"/>
  <c r="AA276" i="30" a="1"/>
  <c r="AA276" i="30" s="1"/>
  <c r="Z276" i="30"/>
  <c r="X276" i="30"/>
  <c r="W276" i="30"/>
  <c r="V276" i="30" a="1"/>
  <c r="V276" i="30" s="1"/>
  <c r="U276" i="30"/>
  <c r="AQ275" i="30"/>
  <c r="AO275" i="30"/>
  <c r="AN275" i="30" a="1"/>
  <c r="AN275" i="30" s="1"/>
  <c r="AM275" i="30" a="1"/>
  <c r="AM275" i="30" s="1"/>
  <c r="AL275" i="30" a="1"/>
  <c r="AL275" i="30" s="1"/>
  <c r="AK275" i="30" a="1"/>
  <c r="AK275" i="30" s="1"/>
  <c r="AJ275" i="30" a="1"/>
  <c r="AJ275" i="30" s="1"/>
  <c r="AH275" i="30" a="1"/>
  <c r="AH275" i="30" s="1"/>
  <c r="AG275" i="30" a="1"/>
  <c r="AG275" i="30" s="1"/>
  <c r="AF275" i="30" a="1"/>
  <c r="AF275" i="30" s="1"/>
  <c r="AE275" i="30" a="1"/>
  <c r="AE275" i="30" s="1"/>
  <c r="AD275" i="30" a="1"/>
  <c r="AD275" i="30" s="1"/>
  <c r="AI275" i="30" s="1"/>
  <c r="AC275" i="30" a="1"/>
  <c r="AC275" i="30" s="1"/>
  <c r="AB275" i="30" a="1"/>
  <c r="AB275" i="30" s="1"/>
  <c r="AA275" i="30" a="1"/>
  <c r="AA275" i="30" s="1"/>
  <c r="Z275" i="30"/>
  <c r="X275" i="30"/>
  <c r="W275" i="30"/>
  <c r="V275" i="30" a="1"/>
  <c r="V275" i="30" s="1"/>
  <c r="U275" i="30"/>
  <c r="AQ274" i="30"/>
  <c r="AO274" i="30"/>
  <c r="AN274" i="30" a="1"/>
  <c r="AN274" i="30" s="1"/>
  <c r="AM274" i="30" a="1"/>
  <c r="AM274" i="30" s="1"/>
  <c r="AL274" i="30" a="1"/>
  <c r="AL274" i="30" s="1"/>
  <c r="AK274" i="30" a="1"/>
  <c r="AK274" i="30" s="1"/>
  <c r="AJ274" i="30" a="1"/>
  <c r="AJ274" i="30" s="1"/>
  <c r="AH274" i="30" a="1"/>
  <c r="AH274" i="30" s="1"/>
  <c r="AG274" i="30" a="1"/>
  <c r="AG274" i="30" s="1"/>
  <c r="AF274" i="30" a="1"/>
  <c r="AF274" i="30" s="1"/>
  <c r="AE274" i="30" a="1"/>
  <c r="AE274" i="30" s="1"/>
  <c r="AD274" i="30" a="1"/>
  <c r="AD274" i="30" s="1"/>
  <c r="AI274" i="30" s="1"/>
  <c r="AC274" i="30" a="1"/>
  <c r="AC274" i="30" s="1"/>
  <c r="AB274" i="30" a="1"/>
  <c r="AB274" i="30" s="1"/>
  <c r="AA274" i="30" a="1"/>
  <c r="AA274" i="30" s="1"/>
  <c r="Z274" i="30"/>
  <c r="X274" i="30"/>
  <c r="W274" i="30"/>
  <c r="V274" i="30" a="1"/>
  <c r="V274" i="30" s="1"/>
  <c r="U274" i="30"/>
  <c r="AQ273" i="30"/>
  <c r="AO273" i="30"/>
  <c r="AN273" i="30" a="1"/>
  <c r="AN273" i="30" s="1"/>
  <c r="AM273" i="30" a="1"/>
  <c r="AM273" i="30" s="1"/>
  <c r="AL273" i="30" a="1"/>
  <c r="AL273" i="30" s="1"/>
  <c r="AK273" i="30" a="1"/>
  <c r="AK273" i="30" s="1"/>
  <c r="AJ273" i="30" a="1"/>
  <c r="AJ273" i="30" s="1"/>
  <c r="AH273" i="30" a="1"/>
  <c r="AH273" i="30" s="1"/>
  <c r="AG273" i="30" a="1"/>
  <c r="AG273" i="30" s="1"/>
  <c r="AF273" i="30" a="1"/>
  <c r="AF273" i="30" s="1"/>
  <c r="AE273" i="30" a="1"/>
  <c r="AE273" i="30" s="1"/>
  <c r="AD273" i="30" a="1"/>
  <c r="AD273" i="30" s="1"/>
  <c r="AI273" i="30" s="1"/>
  <c r="AC273" i="30" a="1"/>
  <c r="AC273" i="30" s="1"/>
  <c r="AB273" i="30" a="1"/>
  <c r="AB273" i="30" s="1"/>
  <c r="AA273" i="30" a="1"/>
  <c r="AA273" i="30" s="1"/>
  <c r="Z273" i="30"/>
  <c r="X273" i="30"/>
  <c r="W273" i="30"/>
  <c r="V273" i="30" a="1"/>
  <c r="V273" i="30" s="1"/>
  <c r="U273" i="30"/>
  <c r="AQ272" i="30"/>
  <c r="AO272" i="30"/>
  <c r="AN272" i="30" a="1"/>
  <c r="AN272" i="30" s="1"/>
  <c r="AM272" i="30" a="1"/>
  <c r="AM272" i="30" s="1"/>
  <c r="AL272" i="30" a="1"/>
  <c r="AL272" i="30" s="1"/>
  <c r="AK272" i="30" a="1"/>
  <c r="AK272" i="30" s="1"/>
  <c r="AJ272" i="30" a="1"/>
  <c r="AJ272" i="30" s="1"/>
  <c r="AH272" i="30" a="1"/>
  <c r="AH272" i="30" s="1"/>
  <c r="AG272" i="30" a="1"/>
  <c r="AG272" i="30" s="1"/>
  <c r="AF272" i="30" a="1"/>
  <c r="AF272" i="30" s="1"/>
  <c r="AE272" i="30" a="1"/>
  <c r="AE272" i="30" s="1"/>
  <c r="AD272" i="30" a="1"/>
  <c r="AD272" i="30" s="1"/>
  <c r="AI272" i="30" s="1"/>
  <c r="AC272" i="30" a="1"/>
  <c r="AC272" i="30" s="1"/>
  <c r="AB272" i="30" a="1"/>
  <c r="AB272" i="30" s="1"/>
  <c r="AA272" i="30" a="1"/>
  <c r="AA272" i="30" s="1"/>
  <c r="Z272" i="30"/>
  <c r="X272" i="30"/>
  <c r="W272" i="30"/>
  <c r="V272" i="30" a="1"/>
  <c r="V272" i="30" s="1"/>
  <c r="U272" i="30"/>
  <c r="AQ271" i="30"/>
  <c r="AO271" i="30"/>
  <c r="AN271" i="30" a="1"/>
  <c r="AN271" i="30" s="1"/>
  <c r="AM271" i="30" a="1"/>
  <c r="AM271" i="30" s="1"/>
  <c r="AL271" i="30" a="1"/>
  <c r="AL271" i="30" s="1"/>
  <c r="AK271" i="30" a="1"/>
  <c r="AK271" i="30" s="1"/>
  <c r="AJ271" i="30" a="1"/>
  <c r="AJ271" i="30" s="1"/>
  <c r="AH271" i="30" a="1"/>
  <c r="AH271" i="30" s="1"/>
  <c r="AG271" i="30" a="1"/>
  <c r="AG271" i="30" s="1"/>
  <c r="AF271" i="30" a="1"/>
  <c r="AF271" i="30" s="1"/>
  <c r="AE271" i="30" a="1"/>
  <c r="AE271" i="30" s="1"/>
  <c r="AD271" i="30" a="1"/>
  <c r="AD271" i="30" s="1"/>
  <c r="AI271" i="30" s="1"/>
  <c r="AC271" i="30" a="1"/>
  <c r="AC271" i="30" s="1"/>
  <c r="AB271" i="30" a="1"/>
  <c r="AB271" i="30" s="1"/>
  <c r="AA271" i="30" a="1"/>
  <c r="AA271" i="30" s="1"/>
  <c r="Z271" i="30"/>
  <c r="X271" i="30"/>
  <c r="W271" i="30"/>
  <c r="V271" i="30" a="1"/>
  <c r="V271" i="30" s="1"/>
  <c r="U271" i="30"/>
  <c r="R258" i="30"/>
  <c r="R259" i="30" s="1"/>
  <c r="Q258" i="30"/>
  <c r="Q259" i="30" s="1"/>
  <c r="P258" i="30"/>
  <c r="P259" i="30" s="1"/>
  <c r="T256" i="30"/>
  <c r="U256" i="30" s="1"/>
  <c r="O256" i="30"/>
  <c r="T254" i="30"/>
  <c r="U254" i="30" s="1"/>
  <c r="O254" i="30"/>
  <c r="T252" i="30"/>
  <c r="U252" i="30" s="1"/>
  <c r="O252" i="30"/>
  <c r="T250" i="30"/>
  <c r="U250" i="30" s="1"/>
  <c r="O250" i="30"/>
  <c r="X204" i="30"/>
  <c r="X205" i="30" s="1"/>
  <c r="X206" i="30" s="1"/>
  <c r="X207" i="30" s="1"/>
  <c r="X208" i="30" s="1"/>
  <c r="X209" i="30" s="1"/>
  <c r="X210" i="30" s="1"/>
  <c r="X211" i="30" s="1"/>
  <c r="X212" i="30" s="1"/>
  <c r="X213" i="30" s="1"/>
  <c r="X214" i="30" s="1"/>
  <c r="X215" i="30" s="1"/>
  <c r="X216" i="30" s="1"/>
  <c r="X217" i="30" s="1"/>
  <c r="W204" i="30"/>
  <c r="W205" i="30" s="1"/>
  <c r="W206" i="30" s="1"/>
  <c r="W207" i="30" s="1"/>
  <c r="W208" i="30" s="1"/>
  <c r="W209" i="30" s="1"/>
  <c r="W210" i="30" s="1"/>
  <c r="W211" i="30" s="1"/>
  <c r="W212" i="30" s="1"/>
  <c r="W213" i="30" s="1"/>
  <c r="W214" i="30" s="1"/>
  <c r="W215" i="30" s="1"/>
  <c r="W216" i="30" s="1"/>
  <c r="W217" i="30" s="1"/>
  <c r="V204" i="30"/>
  <c r="V205" i="30" s="1"/>
  <c r="V206" i="30" s="1"/>
  <c r="V207" i="30" s="1"/>
  <c r="V208" i="30" s="1"/>
  <c r="V209" i="30" s="1"/>
  <c r="V210" i="30" s="1"/>
  <c r="V211" i="30" s="1"/>
  <c r="V212" i="30" s="1"/>
  <c r="V213" i="30" s="1"/>
  <c r="V214" i="30" s="1"/>
  <c r="V215" i="30" s="1"/>
  <c r="V216" i="30" s="1"/>
  <c r="V217" i="30" s="1"/>
  <c r="U204" i="30"/>
  <c r="U205" i="30" s="1"/>
  <c r="U206" i="30" s="1"/>
  <c r="U207" i="30" s="1"/>
  <c r="U208" i="30" s="1"/>
  <c r="U209" i="30" s="1"/>
  <c r="U210" i="30" s="1"/>
  <c r="U211" i="30" s="1"/>
  <c r="U212" i="30" s="1"/>
  <c r="U213" i="30" s="1"/>
  <c r="U214" i="30" s="1"/>
  <c r="U215" i="30" s="1"/>
  <c r="U216" i="30" s="1"/>
  <c r="U217" i="30" s="1"/>
  <c r="T204" i="30"/>
  <c r="T205" i="30" s="1"/>
  <c r="T206" i="30" s="1"/>
  <c r="T207" i="30" s="1"/>
  <c r="T208" i="30" s="1"/>
  <c r="T209" i="30" s="1"/>
  <c r="T210" i="30" s="1"/>
  <c r="T211" i="30" s="1"/>
  <c r="T212" i="30" s="1"/>
  <c r="T213" i="30" s="1"/>
  <c r="T214" i="30" s="1"/>
  <c r="T215" i="30" s="1"/>
  <c r="T216" i="30" s="1"/>
  <c r="T217" i="30" s="1"/>
  <c r="R204" i="30"/>
  <c r="R205" i="30" s="1"/>
  <c r="R206" i="30" s="1"/>
  <c r="R207" i="30" s="1"/>
  <c r="R208" i="30" s="1"/>
  <c r="R209" i="30" s="1"/>
  <c r="R210" i="30" s="1"/>
  <c r="R211" i="30" s="1"/>
  <c r="R212" i="30" s="1"/>
  <c r="R213" i="30" s="1"/>
  <c r="R214" i="30" s="1"/>
  <c r="R215" i="30" s="1"/>
  <c r="R216" i="30" s="1"/>
  <c r="R217" i="30" s="1"/>
  <c r="Q204" i="30"/>
  <c r="Q205" i="30" s="1"/>
  <c r="Q206" i="30" s="1"/>
  <c r="Q207" i="30" s="1"/>
  <c r="Q208" i="30" s="1"/>
  <c r="Q209" i="30" s="1"/>
  <c r="Q210" i="30" s="1"/>
  <c r="Q211" i="30" s="1"/>
  <c r="Q212" i="30" s="1"/>
  <c r="Q213" i="30" s="1"/>
  <c r="Q214" i="30" s="1"/>
  <c r="Q215" i="30" s="1"/>
  <c r="Q216" i="30" s="1"/>
  <c r="Q217" i="30" s="1"/>
  <c r="P204" i="30"/>
  <c r="P205" i="30" s="1"/>
  <c r="P206" i="30" s="1"/>
  <c r="P207" i="30" s="1"/>
  <c r="P208" i="30" s="1"/>
  <c r="P209" i="30" s="1"/>
  <c r="P210" i="30" s="1"/>
  <c r="P211" i="30" s="1"/>
  <c r="P212" i="30" s="1"/>
  <c r="P213" i="30" s="1"/>
  <c r="P214" i="30" s="1"/>
  <c r="P215" i="30" s="1"/>
  <c r="P216" i="30" s="1"/>
  <c r="P217" i="30" s="1"/>
  <c r="O204" i="30"/>
  <c r="O205" i="30" s="1"/>
  <c r="O206" i="30" s="1"/>
  <c r="O207" i="30" s="1"/>
  <c r="O208" i="30" s="1"/>
  <c r="O209" i="30" s="1"/>
  <c r="O210" i="30" s="1"/>
  <c r="O211" i="30" s="1"/>
  <c r="O212" i="30" s="1"/>
  <c r="O213" i="30" s="1"/>
  <c r="O214" i="30" s="1"/>
  <c r="O215" i="30" s="1"/>
  <c r="O216" i="30" s="1"/>
  <c r="O217" i="30" s="1"/>
  <c r="N204" i="30"/>
  <c r="N205" i="30" s="1"/>
  <c r="N206" i="30" s="1"/>
  <c r="N207" i="30" s="1"/>
  <c r="N208" i="30" s="1"/>
  <c r="N209" i="30" s="1"/>
  <c r="N210" i="30" s="1"/>
  <c r="N211" i="30" s="1"/>
  <c r="N212" i="30" s="1"/>
  <c r="N213" i="30" s="1"/>
  <c r="N214" i="30" s="1"/>
  <c r="N215" i="30" s="1"/>
  <c r="N216" i="30" s="1"/>
  <c r="N217" i="30" s="1"/>
  <c r="M204" i="30"/>
  <c r="M205" i="30" s="1"/>
  <c r="M206" i="30" s="1"/>
  <c r="M207" i="30" s="1"/>
  <c r="M208" i="30" s="1"/>
  <c r="M209" i="30" s="1"/>
  <c r="M210" i="30" s="1"/>
  <c r="M211" i="30" s="1"/>
  <c r="M212" i="30" s="1"/>
  <c r="M213" i="30" s="1"/>
  <c r="M214" i="30" s="1"/>
  <c r="M215" i="30" s="1"/>
  <c r="M216" i="30" s="1"/>
  <c r="M217" i="30" s="1"/>
  <c r="L204" i="30"/>
  <c r="L205" i="30" s="1"/>
  <c r="L206" i="30" s="1"/>
  <c r="L207" i="30" s="1"/>
  <c r="L208" i="30" s="1"/>
  <c r="L209" i="30" s="1"/>
  <c r="L210" i="30" s="1"/>
  <c r="L211" i="30" s="1"/>
  <c r="L212" i="30" s="1"/>
  <c r="L213" i="30" s="1"/>
  <c r="L214" i="30" s="1"/>
  <c r="L215" i="30" s="1"/>
  <c r="L216" i="30" s="1"/>
  <c r="L217" i="30" s="1"/>
  <c r="K204" i="30"/>
  <c r="K205" i="30" s="1"/>
  <c r="K206" i="30" s="1"/>
  <c r="K207" i="30" s="1"/>
  <c r="K208" i="30" s="1"/>
  <c r="K209" i="30" s="1"/>
  <c r="K210" i="30" s="1"/>
  <c r="K211" i="30" s="1"/>
  <c r="K212" i="30" s="1"/>
  <c r="K213" i="30" s="1"/>
  <c r="K214" i="30" s="1"/>
  <c r="K215" i="30" s="1"/>
  <c r="K216" i="30" s="1"/>
  <c r="K217" i="30" s="1"/>
  <c r="G204" i="30"/>
  <c r="G205" i="30" s="1"/>
  <c r="G206" i="30" s="1"/>
  <c r="G207" i="30" s="1"/>
  <c r="G208" i="30" s="1"/>
  <c r="G209" i="30" s="1"/>
  <c r="G210" i="30" s="1"/>
  <c r="G211" i="30" s="1"/>
  <c r="G212" i="30" s="1"/>
  <c r="G213" i="30" s="1"/>
  <c r="G214" i="30" s="1"/>
  <c r="G215" i="30" s="1"/>
  <c r="G216" i="30" s="1"/>
  <c r="G217" i="30" s="1"/>
  <c r="F204" i="30"/>
  <c r="F205" i="30" s="1"/>
  <c r="F206" i="30" s="1"/>
  <c r="F207" i="30" s="1"/>
  <c r="F208" i="30" s="1"/>
  <c r="F209" i="30" s="1"/>
  <c r="F210" i="30" s="1"/>
  <c r="F211" i="30" s="1"/>
  <c r="F212" i="30" s="1"/>
  <c r="F213" i="30" s="1"/>
  <c r="F214" i="30" s="1"/>
  <c r="F215" i="30" s="1"/>
  <c r="F216" i="30" s="1"/>
  <c r="F217" i="30" s="1"/>
  <c r="E204" i="30"/>
  <c r="E205" i="30" s="1"/>
  <c r="D191" i="30"/>
  <c r="C191" i="30"/>
  <c r="C185" i="30"/>
  <c r="C184" i="30"/>
  <c r="C183" i="30"/>
  <c r="C182" i="30"/>
  <c r="H180" i="30"/>
  <c r="F30" i="10"/>
  <c r="F167" i="28" s="1"/>
  <c r="N285" i="24"/>
  <c r="N284" i="24"/>
  <c r="N283" i="24"/>
  <c r="N282" i="24"/>
  <c r="T281" i="24"/>
  <c r="T280" i="24"/>
  <c r="T279" i="24"/>
  <c r="T278" i="24"/>
  <c r="T277" i="24"/>
  <c r="T276" i="24"/>
  <c r="T275" i="24"/>
  <c r="T274" i="24"/>
  <c r="E259" i="24"/>
  <c r="E260" i="24" s="1"/>
  <c r="E261" i="24" s="1"/>
  <c r="E262" i="24" s="1"/>
  <c r="D247" i="24"/>
  <c r="C247" i="24"/>
  <c r="H9" i="24"/>
  <c r="H64" i="24"/>
  <c r="H118" i="24"/>
  <c r="H179" i="24"/>
  <c r="H426" i="24"/>
  <c r="C432" i="24" s="1"/>
  <c r="X260" i="24"/>
  <c r="X261" i="24" s="1"/>
  <c r="X262" i="24" s="1"/>
  <c r="X263" i="24" s="1"/>
  <c r="X264" i="24" s="1"/>
  <c r="X269" i="24" s="1"/>
  <c r="X270" i="24" s="1"/>
  <c r="X271" i="24" s="1"/>
  <c r="W260" i="24"/>
  <c r="W261" i="24" s="1"/>
  <c r="W262" i="24" s="1"/>
  <c r="W263" i="24" s="1"/>
  <c r="W264" i="24" s="1"/>
  <c r="W269" i="24" s="1"/>
  <c r="W270" i="24" s="1"/>
  <c r="W271" i="24" s="1"/>
  <c r="V260" i="24"/>
  <c r="V261" i="24" s="1"/>
  <c r="V262" i="24" s="1"/>
  <c r="V263" i="24" s="1"/>
  <c r="V264" i="24" s="1"/>
  <c r="V269" i="24" s="1"/>
  <c r="V270" i="24" s="1"/>
  <c r="V271" i="24" s="1"/>
  <c r="U260" i="24"/>
  <c r="U261" i="24" s="1"/>
  <c r="U262" i="24" s="1"/>
  <c r="U263" i="24" s="1"/>
  <c r="U264" i="24" s="1"/>
  <c r="U269" i="24" s="1"/>
  <c r="U270" i="24" s="1"/>
  <c r="U271" i="24" s="1"/>
  <c r="T260" i="24"/>
  <c r="T261" i="24" s="1"/>
  <c r="T262" i="24" s="1"/>
  <c r="T263" i="24" s="1"/>
  <c r="T264" i="24" s="1"/>
  <c r="T269" i="24" s="1"/>
  <c r="T270" i="24" s="1"/>
  <c r="T271" i="24" s="1"/>
  <c r="O260" i="24"/>
  <c r="O261" i="24" s="1"/>
  <c r="O262" i="24" s="1"/>
  <c r="O263" i="24" s="1"/>
  <c r="O264" i="24" s="1"/>
  <c r="O269" i="24" s="1"/>
  <c r="O270" i="24" s="1"/>
  <c r="O271" i="24" s="1"/>
  <c r="M260" i="24"/>
  <c r="M261" i="24" s="1"/>
  <c r="M262" i="24" s="1"/>
  <c r="M263" i="24" s="1"/>
  <c r="M264" i="24" s="1"/>
  <c r="M269" i="24" s="1"/>
  <c r="M270" i="24" s="1"/>
  <c r="M271" i="24" s="1"/>
  <c r="L260" i="24"/>
  <c r="L261" i="24" s="1"/>
  <c r="L262" i="24" s="1"/>
  <c r="L263" i="24" s="1"/>
  <c r="L264" i="24" s="1"/>
  <c r="L269" i="24" s="1"/>
  <c r="L270" i="24" s="1"/>
  <c r="L271" i="24" s="1"/>
  <c r="K260" i="24"/>
  <c r="K261" i="24" s="1"/>
  <c r="K262" i="24" s="1"/>
  <c r="K263" i="24" s="1"/>
  <c r="K264" i="24" s="1"/>
  <c r="K269" i="24" s="1"/>
  <c r="K270" i="24" s="1"/>
  <c r="K271" i="24" s="1"/>
  <c r="G260" i="24"/>
  <c r="G261" i="24" s="1"/>
  <c r="G262" i="24" s="1"/>
  <c r="G263" i="24" s="1"/>
  <c r="G264" i="24" s="1"/>
  <c r="G269" i="24" s="1"/>
  <c r="G270" i="24" s="1"/>
  <c r="G271" i="24" s="1"/>
  <c r="D437" i="24"/>
  <c r="C437" i="24"/>
  <c r="F86" i="25"/>
  <c r="D154" i="28" s="1"/>
  <c r="F167" i="25"/>
  <c r="B166" i="25"/>
  <c r="X163" i="25"/>
  <c r="V127" i="39" s="1"/>
  <c r="W163" i="25"/>
  <c r="U127" i="39" s="1"/>
  <c r="V163" i="25"/>
  <c r="T127" i="39" s="1"/>
  <c r="U163" i="25"/>
  <c r="S127" i="39" s="1"/>
  <c r="T163" i="25"/>
  <c r="R127" i="39" s="1"/>
  <c r="R163" i="25"/>
  <c r="P127" i="39" s="1"/>
  <c r="Q163" i="25"/>
  <c r="O127" i="39" s="1"/>
  <c r="P163" i="25"/>
  <c r="N127" i="39" s="1"/>
  <c r="O163" i="25"/>
  <c r="M127" i="39" s="1"/>
  <c r="N163" i="25"/>
  <c r="L127" i="39" s="1"/>
  <c r="M163" i="25"/>
  <c r="K127" i="39" s="1"/>
  <c r="L163" i="25"/>
  <c r="J127" i="39" s="1"/>
  <c r="K163" i="25"/>
  <c r="I127" i="39" s="1"/>
  <c r="G163" i="25"/>
  <c r="E127" i="39" s="1"/>
  <c r="F163" i="25"/>
  <c r="D127" i="39" s="1"/>
  <c r="E163" i="25"/>
  <c r="C127" i="39" s="1"/>
  <c r="D150" i="25"/>
  <c r="C150" i="25"/>
  <c r="N191" i="30" a="1"/>
  <c r="G182" i="30" a="1"/>
  <c r="E182" i="30" a="1"/>
  <c r="C186" i="30" a="1"/>
  <c r="D182" i="30" a="1"/>
  <c r="M191" i="30" a="1"/>
  <c r="F182" i="30" a="1"/>
  <c r="L191" i="30" a="1"/>
  <c r="O191" i="30" a="1"/>
  <c r="M389" i="24" l="1"/>
  <c r="K94" i="39"/>
  <c r="K94" i="28"/>
  <c r="K388" i="24"/>
  <c r="I93" i="39"/>
  <c r="I93" i="28"/>
  <c r="T389" i="24"/>
  <c r="R94" i="39"/>
  <c r="R94" i="28"/>
  <c r="D131" i="28"/>
  <c r="D131" i="39"/>
  <c r="I207" i="25"/>
  <c r="G140" i="39" s="1"/>
  <c r="C94" i="39"/>
  <c r="E389" i="24"/>
  <c r="C94" i="28"/>
  <c r="P388" i="24"/>
  <c r="N93" i="39"/>
  <c r="N93" i="28"/>
  <c r="W389" i="24"/>
  <c r="U94" i="28"/>
  <c r="U94" i="39"/>
  <c r="U389" i="24"/>
  <c r="S94" i="28"/>
  <c r="S94" i="39"/>
  <c r="R389" i="24"/>
  <c r="P94" i="39"/>
  <c r="P94" i="28"/>
  <c r="V389" i="24"/>
  <c r="T94" i="28"/>
  <c r="T94" i="39"/>
  <c r="O389" i="24"/>
  <c r="M94" i="39"/>
  <c r="M94" i="28"/>
  <c r="Q389" i="24"/>
  <c r="O94" i="39"/>
  <c r="O94" i="28"/>
  <c r="G388" i="24"/>
  <c r="E93" i="39"/>
  <c r="E93" i="28"/>
  <c r="L388" i="24"/>
  <c r="J93" i="39"/>
  <c r="J93" i="28"/>
  <c r="X389" i="24"/>
  <c r="V94" i="28"/>
  <c r="V94" i="39"/>
  <c r="G91" i="28"/>
  <c r="G91" i="39"/>
  <c r="F92" i="28"/>
  <c r="F92" i="39"/>
  <c r="H208" i="25"/>
  <c r="F141" i="39" s="1"/>
  <c r="G135" i="28"/>
  <c r="G135" i="39"/>
  <c r="E57" i="39"/>
  <c r="E54" i="39"/>
  <c r="E51" i="39"/>
  <c r="E48" i="39"/>
  <c r="E45" i="39"/>
  <c r="E42" i="39"/>
  <c r="E39" i="39"/>
  <c r="E56" i="39"/>
  <c r="E53" i="39"/>
  <c r="E50" i="39"/>
  <c r="E47" i="39"/>
  <c r="E44" i="39"/>
  <c r="E41" i="39"/>
  <c r="E38" i="39"/>
  <c r="E35" i="39"/>
  <c r="E55" i="39"/>
  <c r="E33" i="39"/>
  <c r="E52" i="39"/>
  <c r="E36" i="39"/>
  <c r="E28" i="39"/>
  <c r="E49" i="39"/>
  <c r="E34" i="39"/>
  <c r="E27" i="39"/>
  <c r="E46" i="39"/>
  <c r="E37" i="39"/>
  <c r="E40" i="39"/>
  <c r="E30" i="39"/>
  <c r="E43" i="39"/>
  <c r="E31" i="39"/>
  <c r="E29" i="39"/>
  <c r="E32" i="39"/>
  <c r="K127" i="28"/>
  <c r="M164" i="25"/>
  <c r="N127" i="28"/>
  <c r="P164" i="25"/>
  <c r="Q164" i="25"/>
  <c r="O127" i="28"/>
  <c r="L127" i="28"/>
  <c r="N164" i="25"/>
  <c r="M127" i="28"/>
  <c r="O164" i="25"/>
  <c r="R164" i="25"/>
  <c r="P127" i="28"/>
  <c r="R127" i="28"/>
  <c r="T164" i="25"/>
  <c r="T127" i="28"/>
  <c r="V164" i="25"/>
  <c r="E164" i="25"/>
  <c r="C127" i="28"/>
  <c r="S127" i="28"/>
  <c r="U164" i="25"/>
  <c r="G164" i="25"/>
  <c r="E127" i="28"/>
  <c r="U127" i="28"/>
  <c r="W164" i="25"/>
  <c r="I127" i="28"/>
  <c r="K164" i="25"/>
  <c r="X164" i="25"/>
  <c r="V127" i="28"/>
  <c r="F164" i="25"/>
  <c r="D127" i="28"/>
  <c r="J127" i="28"/>
  <c r="L164" i="25"/>
  <c r="L165" i="25"/>
  <c r="N165" i="25"/>
  <c r="O165" i="25"/>
  <c r="P165" i="25"/>
  <c r="Q165" i="25"/>
  <c r="R165" i="25"/>
  <c r="M165" i="25"/>
  <c r="T165" i="25"/>
  <c r="E165" i="25"/>
  <c r="U165" i="25"/>
  <c r="F165" i="25"/>
  <c r="V165" i="25"/>
  <c r="G165" i="25"/>
  <c r="W165" i="25"/>
  <c r="K165" i="25"/>
  <c r="X165" i="25"/>
  <c r="F387" i="24"/>
  <c r="D93" i="39" s="1"/>
  <c r="D92" i="28"/>
  <c r="N386" i="24"/>
  <c r="L92" i="39" s="1"/>
  <c r="L91" i="28"/>
  <c r="H113" i="38"/>
  <c r="I112" i="38"/>
  <c r="E117" i="38"/>
  <c r="H387" i="24"/>
  <c r="F93" i="39" s="1"/>
  <c r="I386" i="24"/>
  <c r="E247" i="24" a="1"/>
  <c r="E247" i="24" s="1"/>
  <c r="F247" i="24" a="1"/>
  <c r="F247" i="24" s="1"/>
  <c r="D248" i="24" a="1"/>
  <c r="D248" i="24" s="1"/>
  <c r="D249" i="24" s="1" a="1"/>
  <c r="D249" i="24" s="1"/>
  <c r="G247" i="24" a="1"/>
  <c r="G247" i="24" s="1"/>
  <c r="C248" i="24" a="1"/>
  <c r="C248" i="24" s="1"/>
  <c r="C249" i="24" s="1" a="1"/>
  <c r="C249" i="24" s="1"/>
  <c r="I247" i="24" a="1"/>
  <c r="I247" i="24" s="1"/>
  <c r="H247" i="24" a="1"/>
  <c r="H247" i="24" s="1"/>
  <c r="C185" i="24"/>
  <c r="C70" i="24"/>
  <c r="C124" i="24"/>
  <c r="C15" i="24"/>
  <c r="M329" i="24"/>
  <c r="M330" i="24" s="1"/>
  <c r="M331" i="24" s="1"/>
  <c r="M332" i="24" s="1"/>
  <c r="M333" i="24" s="1"/>
  <c r="M334" i="24" s="1"/>
  <c r="M335" i="24" s="1"/>
  <c r="M336" i="24" s="1"/>
  <c r="J336" i="24"/>
  <c r="J335" i="24"/>
  <c r="P329" i="24"/>
  <c r="P330" i="24" s="1"/>
  <c r="P331" i="24" s="1"/>
  <c r="P332" i="24" s="1"/>
  <c r="P333" i="24" s="1"/>
  <c r="P334" i="24" s="1"/>
  <c r="P335" i="24" s="1"/>
  <c r="P336" i="24" s="1"/>
  <c r="F329" i="24"/>
  <c r="F330" i="24" s="1"/>
  <c r="F331" i="24" s="1"/>
  <c r="F332" i="24" s="1"/>
  <c r="F333" i="24" s="1"/>
  <c r="F334" i="24" s="1"/>
  <c r="F335" i="24" s="1"/>
  <c r="F336" i="24" s="1"/>
  <c r="J331" i="24"/>
  <c r="J330" i="24"/>
  <c r="M265" i="24"/>
  <c r="E334" i="24"/>
  <c r="Y296" i="30"/>
  <c r="D296" i="30" s="1"/>
  <c r="Y275" i="30"/>
  <c r="B275" i="30" s="1"/>
  <c r="C275" i="30" s="1"/>
  <c r="E275" i="30" s="1"/>
  <c r="Y301" i="30"/>
  <c r="D301" i="30" s="1"/>
  <c r="Y288" i="30"/>
  <c r="D288" i="30" s="1"/>
  <c r="Y273" i="30"/>
  <c r="D273" i="30" s="1"/>
  <c r="Y271" i="30"/>
  <c r="D271" i="30" s="1"/>
  <c r="Y274" i="30"/>
  <c r="D274" i="30" s="1"/>
  <c r="Y278" i="30"/>
  <c r="B278" i="30" s="1"/>
  <c r="C278" i="30" s="1"/>
  <c r="E278" i="30" s="1"/>
  <c r="Y283" i="30"/>
  <c r="B283" i="30" s="1"/>
  <c r="C283" i="30" s="1"/>
  <c r="E283" i="30" s="1"/>
  <c r="Y277" i="30"/>
  <c r="D277" i="30" s="1"/>
  <c r="Y281" i="30"/>
  <c r="D281" i="30" s="1"/>
  <c r="Y272" i="30"/>
  <c r="D272" i="30" s="1"/>
  <c r="Y276" i="30"/>
  <c r="D276" i="30" s="1"/>
  <c r="Y280" i="30"/>
  <c r="B280" i="30" s="1"/>
  <c r="C280" i="30" s="1"/>
  <c r="E280" i="30" s="1"/>
  <c r="Y287" i="30"/>
  <c r="D287" i="30" s="1"/>
  <c r="Y279" i="30"/>
  <c r="D279" i="30" s="1"/>
  <c r="Y286" i="30"/>
  <c r="D286" i="30" s="1"/>
  <c r="Y293" i="30"/>
  <c r="D293" i="30" s="1"/>
  <c r="Y297" i="30"/>
  <c r="D297" i="30" s="1"/>
  <c r="Y292" i="30"/>
  <c r="B292" i="30" s="1"/>
  <c r="C292" i="30" s="1"/>
  <c r="E292" i="30" s="1"/>
  <c r="Y294" i="30"/>
  <c r="B294" i="30" s="1"/>
  <c r="C294" i="30" s="1"/>
  <c r="E294" i="30" s="1"/>
  <c r="Y295" i="30"/>
  <c r="D295" i="30" s="1"/>
  <c r="Y289" i="30"/>
  <c r="D289" i="30" s="1"/>
  <c r="Y282" i="30"/>
  <c r="D282" i="30" s="1"/>
  <c r="Y298" i="30"/>
  <c r="D298" i="30" s="1"/>
  <c r="Y290" i="30"/>
  <c r="D290" i="30" s="1"/>
  <c r="Y284" i="30"/>
  <c r="B284" i="30" s="1"/>
  <c r="C284" i="30" s="1"/>
  <c r="E284" i="30" s="1"/>
  <c r="Y291" i="30"/>
  <c r="D291" i="30" s="1"/>
  <c r="Y299" i="30"/>
  <c r="D299" i="30" s="1"/>
  <c r="Y285" i="30"/>
  <c r="B285" i="30" s="1"/>
  <c r="C285" i="30" s="1"/>
  <c r="E285" i="30" s="1"/>
  <c r="Y300" i="30"/>
  <c r="C186" i="30"/>
  <c r="D182" i="30"/>
  <c r="J208" i="30"/>
  <c r="J206" i="30"/>
  <c r="L191" i="30"/>
  <c r="J207" i="30"/>
  <c r="E182" i="30"/>
  <c r="M191" i="30"/>
  <c r="O191" i="30"/>
  <c r="F182" i="30"/>
  <c r="N191" i="30"/>
  <c r="G182" i="30"/>
  <c r="E206" i="30"/>
  <c r="J267" i="24"/>
  <c r="J269" i="24"/>
  <c r="J270" i="24"/>
  <c r="J266" i="24"/>
  <c r="J268" i="24"/>
  <c r="J271" i="24"/>
  <c r="M266" i="24"/>
  <c r="M267" i="24" s="1"/>
  <c r="M268" i="24" s="1"/>
  <c r="G265" i="24"/>
  <c r="G266" i="24" s="1"/>
  <c r="G267" i="24" s="1"/>
  <c r="G268" i="24" s="1"/>
  <c r="O265" i="24"/>
  <c r="O266" i="24" s="1"/>
  <c r="O267" i="24" s="1"/>
  <c r="O268" i="24" s="1"/>
  <c r="L265" i="24"/>
  <c r="L266" i="24" s="1"/>
  <c r="L267" i="24" s="1"/>
  <c r="L268" i="24" s="1"/>
  <c r="X265" i="24"/>
  <c r="X266" i="24" s="1"/>
  <c r="X267" i="24" s="1"/>
  <c r="X268" i="24" s="1"/>
  <c r="K265" i="24"/>
  <c r="K266" i="24" s="1"/>
  <c r="K267" i="24" s="1"/>
  <c r="K268" i="24" s="1"/>
  <c r="W265" i="24"/>
  <c r="W266" i="24" s="1"/>
  <c r="W267" i="24" s="1"/>
  <c r="W268" i="24" s="1"/>
  <c r="V265" i="24"/>
  <c r="V266" i="24" s="1"/>
  <c r="V267" i="24" s="1"/>
  <c r="V268" i="24" s="1"/>
  <c r="U265" i="24"/>
  <c r="U266" i="24" s="1"/>
  <c r="U267" i="24" s="1"/>
  <c r="U268" i="24" s="1"/>
  <c r="T265" i="24"/>
  <c r="T266" i="24" s="1"/>
  <c r="T267" i="24" s="1"/>
  <c r="T268" i="24" s="1"/>
  <c r="J264" i="24"/>
  <c r="J263" i="24"/>
  <c r="J262" i="24"/>
  <c r="J265" i="24"/>
  <c r="E263" i="24"/>
  <c r="C192" i="30" a="1"/>
  <c r="G191" i="30" a="1"/>
  <c r="D192" i="30" a="1"/>
  <c r="I191" i="30" a="1"/>
  <c r="E191" i="30" a="1"/>
  <c r="F191" i="30" a="1"/>
  <c r="H191" i="30" a="1"/>
  <c r="I129" i="28" l="1"/>
  <c r="I129" i="39"/>
  <c r="M129" i="28"/>
  <c r="M129" i="39"/>
  <c r="U129" i="28"/>
  <c r="U129" i="39"/>
  <c r="L129" i="28"/>
  <c r="L129" i="39"/>
  <c r="U128" i="28"/>
  <c r="U128" i="39"/>
  <c r="J129" i="28"/>
  <c r="J129" i="39"/>
  <c r="P128" i="28"/>
  <c r="P128" i="39"/>
  <c r="T129" i="28"/>
  <c r="T129" i="39"/>
  <c r="M128" i="28"/>
  <c r="M128" i="39"/>
  <c r="Q390" i="24"/>
  <c r="O95" i="28"/>
  <c r="O95" i="39"/>
  <c r="D129" i="28"/>
  <c r="D129" i="39"/>
  <c r="E128" i="28"/>
  <c r="E128" i="39"/>
  <c r="E129" i="28"/>
  <c r="E129" i="39"/>
  <c r="U390" i="24"/>
  <c r="S95" i="39"/>
  <c r="S95" i="28"/>
  <c r="S129" i="28"/>
  <c r="S129" i="39"/>
  <c r="J128" i="28"/>
  <c r="J128" i="39"/>
  <c r="S128" i="28"/>
  <c r="S128" i="39"/>
  <c r="L128" i="28"/>
  <c r="L128" i="39"/>
  <c r="X390" i="24"/>
  <c r="V95" i="39"/>
  <c r="V95" i="28"/>
  <c r="O390" i="24"/>
  <c r="M95" i="28"/>
  <c r="M95" i="39"/>
  <c r="W390" i="24"/>
  <c r="U95" i="39"/>
  <c r="U95" i="28"/>
  <c r="T390" i="24"/>
  <c r="R95" i="39"/>
  <c r="R95" i="28"/>
  <c r="C129" i="28"/>
  <c r="C129" i="39"/>
  <c r="R129" i="28"/>
  <c r="R129" i="39"/>
  <c r="K129" i="28"/>
  <c r="K129" i="39"/>
  <c r="D128" i="28"/>
  <c r="D128" i="39"/>
  <c r="C128" i="28"/>
  <c r="C128" i="39"/>
  <c r="O128" i="28"/>
  <c r="O128" i="39"/>
  <c r="L389" i="24"/>
  <c r="J94" i="28"/>
  <c r="J94" i="39"/>
  <c r="V390" i="24"/>
  <c r="T95" i="39"/>
  <c r="T95" i="28"/>
  <c r="P389" i="24"/>
  <c r="N94" i="39"/>
  <c r="N94" i="28"/>
  <c r="K389" i="24"/>
  <c r="I94" i="28"/>
  <c r="I94" i="39"/>
  <c r="P129" i="28"/>
  <c r="P129" i="39"/>
  <c r="T128" i="28"/>
  <c r="T128" i="39"/>
  <c r="N128" i="28"/>
  <c r="N128" i="39"/>
  <c r="O129" i="28"/>
  <c r="O129" i="39"/>
  <c r="V128" i="28"/>
  <c r="V128" i="39"/>
  <c r="C95" i="39"/>
  <c r="C95" i="28"/>
  <c r="E390" i="24"/>
  <c r="V129" i="28"/>
  <c r="V129" i="39"/>
  <c r="N129" i="28"/>
  <c r="N129" i="39"/>
  <c r="I128" i="28"/>
  <c r="I128" i="39"/>
  <c r="R128" i="28"/>
  <c r="R128" i="39"/>
  <c r="K128" i="28"/>
  <c r="K128" i="39"/>
  <c r="G389" i="24"/>
  <c r="E94" i="28"/>
  <c r="E94" i="39"/>
  <c r="R390" i="24"/>
  <c r="P95" i="28"/>
  <c r="P95" i="39"/>
  <c r="M390" i="24"/>
  <c r="K95" i="28"/>
  <c r="K95" i="39"/>
  <c r="I208" i="25"/>
  <c r="G141" i="39" s="1"/>
  <c r="G92" i="28"/>
  <c r="G92" i="39"/>
  <c r="H209" i="25"/>
  <c r="H388" i="24"/>
  <c r="F93" i="28"/>
  <c r="N387" i="24"/>
  <c r="L93" i="39" s="1"/>
  <c r="L92" i="28"/>
  <c r="F388" i="24"/>
  <c r="D93" i="28"/>
  <c r="E118" i="38"/>
  <c r="H114" i="38"/>
  <c r="I113" i="38"/>
  <c r="B274" i="30"/>
  <c r="C274" i="30" s="1"/>
  <c r="E274" i="30" s="1"/>
  <c r="I387" i="24"/>
  <c r="B288" i="30"/>
  <c r="C288" i="30" s="1"/>
  <c r="E288" i="30" s="1"/>
  <c r="G129" i="24" a="1"/>
  <c r="G129" i="24" s="1"/>
  <c r="D130" i="24" a="1"/>
  <c r="D130" i="24" s="1"/>
  <c r="C130" i="24" a="1"/>
  <c r="C130" i="24" s="1"/>
  <c r="E129" i="24" a="1"/>
  <c r="E129" i="24" s="1"/>
  <c r="F129" i="24" a="1"/>
  <c r="F129" i="24" s="1"/>
  <c r="I129" i="24" a="1"/>
  <c r="I129" i="24" s="1"/>
  <c r="H129" i="24" a="1"/>
  <c r="H129" i="24" s="1"/>
  <c r="H75" i="24" a="1"/>
  <c r="H75" i="24" s="1"/>
  <c r="G75" i="24" a="1"/>
  <c r="G75" i="24" s="1"/>
  <c r="C76" i="24" a="1"/>
  <c r="C76" i="24" s="1"/>
  <c r="D76" i="24" a="1"/>
  <c r="D76" i="24" s="1"/>
  <c r="I75" i="24" a="1"/>
  <c r="I75" i="24" s="1"/>
  <c r="E75" i="24" a="1"/>
  <c r="E75" i="24" s="1"/>
  <c r="F75" i="24" a="1"/>
  <c r="F75" i="24" s="1"/>
  <c r="G190" i="24" a="1"/>
  <c r="G190" i="24" s="1"/>
  <c r="E190" i="24" a="1"/>
  <c r="E190" i="24" s="1"/>
  <c r="I190" i="24" a="1"/>
  <c r="I190" i="24" s="1"/>
  <c r="F190" i="24" a="1"/>
  <c r="F190" i="24" s="1"/>
  <c r="C191" i="24" a="1"/>
  <c r="C191" i="24" s="1"/>
  <c r="C192" i="24" s="1" a="1"/>
  <c r="C192" i="24" s="1"/>
  <c r="H190" i="24" a="1"/>
  <c r="H190" i="24" s="1"/>
  <c r="D191" i="24" a="1"/>
  <c r="D191" i="24" s="1"/>
  <c r="D192" i="24" s="1" a="1"/>
  <c r="D192" i="24" s="1"/>
  <c r="D21" i="24" a="1"/>
  <c r="D21" i="24" s="1"/>
  <c r="D22" i="24" s="1" a="1"/>
  <c r="D22" i="24" s="1"/>
  <c r="C21" i="24" a="1"/>
  <c r="C21" i="24" s="1"/>
  <c r="I20" i="24" a="1"/>
  <c r="I20" i="24" s="1"/>
  <c r="E20" i="24" a="1"/>
  <c r="E20" i="24" s="1"/>
  <c r="G20" i="24" a="1"/>
  <c r="G20" i="24" s="1"/>
  <c r="H20" i="24" a="1"/>
  <c r="H20" i="24" s="1"/>
  <c r="F20" i="24" a="1"/>
  <c r="F20" i="24" s="1"/>
  <c r="I150" i="25" a="1"/>
  <c r="I150" i="25" s="1"/>
  <c r="F150" i="25" a="1"/>
  <c r="F150" i="25" s="1"/>
  <c r="G150" i="25" a="1"/>
  <c r="G150" i="25" s="1"/>
  <c r="E150" i="25" a="1"/>
  <c r="E150" i="25" s="1"/>
  <c r="V166" i="25" s="1"/>
  <c r="H150" i="25" a="1"/>
  <c r="H150" i="25" s="1"/>
  <c r="C151" i="25" a="1"/>
  <c r="C151" i="25" s="1"/>
  <c r="C152" i="25" s="1" a="1"/>
  <c r="C152" i="25" s="1"/>
  <c r="D151" i="25" a="1"/>
  <c r="D151" i="25" s="1"/>
  <c r="D152" i="25" s="1" a="1"/>
  <c r="D152" i="25" s="1"/>
  <c r="N330" i="24"/>
  <c r="N331" i="24" s="1"/>
  <c r="N332" i="24" s="1"/>
  <c r="N333" i="24" s="1"/>
  <c r="N334" i="24" s="1"/>
  <c r="N335" i="24" s="1"/>
  <c r="N336" i="24" s="1"/>
  <c r="D275" i="30"/>
  <c r="B301" i="30"/>
  <c r="C301" i="30" s="1"/>
  <c r="E301" i="30" s="1"/>
  <c r="B273" i="30"/>
  <c r="C273" i="30" s="1"/>
  <c r="E273" i="30" s="1"/>
  <c r="B271" i="30"/>
  <c r="C271" i="30" s="1"/>
  <c r="E271" i="30" s="1"/>
  <c r="F338" i="24"/>
  <c r="F339" i="24" s="1"/>
  <c r="F340" i="24" s="1"/>
  <c r="F341" i="24" s="1"/>
  <c r="F337" i="24"/>
  <c r="P338" i="24"/>
  <c r="P339" i="24" s="1"/>
  <c r="P340" i="24" s="1"/>
  <c r="P341" i="24" s="1"/>
  <c r="P337" i="24"/>
  <c r="M338" i="24"/>
  <c r="M339" i="24" s="1"/>
  <c r="M340" i="24" s="1"/>
  <c r="M341" i="24" s="1"/>
  <c r="M337" i="24"/>
  <c r="J337" i="24" s="1"/>
  <c r="B296" i="30"/>
  <c r="C296" i="30" s="1"/>
  <c r="E296" i="30" s="1"/>
  <c r="E335" i="24"/>
  <c r="B295" i="30"/>
  <c r="C295" i="30" s="1"/>
  <c r="E295" i="30" s="1"/>
  <c r="D278" i="30"/>
  <c r="B277" i="30"/>
  <c r="C277" i="30" s="1"/>
  <c r="D292" i="30"/>
  <c r="B297" i="30"/>
  <c r="C297" i="30" s="1"/>
  <c r="E297" i="30" s="1"/>
  <c r="D283" i="30"/>
  <c r="D294" i="30"/>
  <c r="D284" i="30"/>
  <c r="B281" i="30"/>
  <c r="C281" i="30" s="1"/>
  <c r="E281" i="30" s="1"/>
  <c r="B272" i="30"/>
  <c r="C272" i="30" s="1"/>
  <c r="E272" i="30" s="1"/>
  <c r="D280" i="30"/>
  <c r="D285" i="30"/>
  <c r="B290" i="30"/>
  <c r="C290" i="30" s="1"/>
  <c r="E290" i="30" s="1"/>
  <c r="B293" i="30"/>
  <c r="C293" i="30" s="1"/>
  <c r="E293" i="30" s="1"/>
  <c r="B286" i="30"/>
  <c r="C286" i="30" s="1"/>
  <c r="E286" i="30" s="1"/>
  <c r="B291" i="30"/>
  <c r="C291" i="30" s="1"/>
  <c r="E291" i="30" s="1"/>
  <c r="B282" i="30"/>
  <c r="C282" i="30" s="1"/>
  <c r="E282" i="30" s="1"/>
  <c r="B276" i="30"/>
  <c r="B266" i="30" s="1"/>
  <c r="B289" i="30"/>
  <c r="C289" i="30" s="1"/>
  <c r="E289" i="30" s="1"/>
  <c r="B287" i="30"/>
  <c r="C287" i="30" s="1"/>
  <c r="E287" i="30" s="1"/>
  <c r="B279" i="30"/>
  <c r="C279" i="30" s="1"/>
  <c r="E279" i="30" s="1"/>
  <c r="B299" i="30"/>
  <c r="C299" i="30" s="1"/>
  <c r="E299" i="30" s="1"/>
  <c r="B298" i="30"/>
  <c r="C298" i="30" s="1"/>
  <c r="E298" i="30" s="1"/>
  <c r="D300" i="30"/>
  <c r="B300" i="30"/>
  <c r="C300" i="30" s="1"/>
  <c r="E300" i="30" s="1"/>
  <c r="F191" i="30"/>
  <c r="G191" i="30"/>
  <c r="E191" i="30"/>
  <c r="D192" i="30"/>
  <c r="D193" i="30" s="1" a="1"/>
  <c r="I191" i="30"/>
  <c r="C192" i="30"/>
  <c r="C193" i="30" s="1" a="1"/>
  <c r="H191" i="30"/>
  <c r="J205" i="30"/>
  <c r="J204" i="30"/>
  <c r="E207" i="30"/>
  <c r="J261" i="24"/>
  <c r="J260" i="24"/>
  <c r="N259" i="24"/>
  <c r="N260" i="24" s="1"/>
  <c r="N261" i="24" s="1"/>
  <c r="N262" i="24" s="1"/>
  <c r="N263" i="24" s="1"/>
  <c r="N264" i="24" s="1"/>
  <c r="F259" i="24"/>
  <c r="F260" i="24" s="1"/>
  <c r="F261" i="24" s="1"/>
  <c r="F262" i="24" s="1"/>
  <c r="F263" i="24" s="1"/>
  <c r="F264" i="24" s="1"/>
  <c r="E264" i="24"/>
  <c r="E265" i="24" s="1"/>
  <c r="J163" i="25"/>
  <c r="J165" i="25"/>
  <c r="K390" i="24" l="1"/>
  <c r="I95" i="39"/>
  <c r="I95" i="28"/>
  <c r="T391" i="24"/>
  <c r="R96" i="28"/>
  <c r="R96" i="39"/>
  <c r="P390" i="24"/>
  <c r="N95" i="28"/>
  <c r="N95" i="39"/>
  <c r="W391" i="24"/>
  <c r="U96" i="39"/>
  <c r="U96" i="28"/>
  <c r="M391" i="24"/>
  <c r="K96" i="39"/>
  <c r="K96" i="28"/>
  <c r="H129" i="28"/>
  <c r="H129" i="39"/>
  <c r="H127" i="28"/>
  <c r="H127" i="39"/>
  <c r="Q391" i="24"/>
  <c r="O96" i="39"/>
  <c r="O96" i="28"/>
  <c r="V391" i="24"/>
  <c r="T96" i="28"/>
  <c r="T96" i="39"/>
  <c r="O391" i="24"/>
  <c r="M96" i="39"/>
  <c r="M96" i="28"/>
  <c r="R391" i="24"/>
  <c r="P96" i="39"/>
  <c r="P96" i="28"/>
  <c r="U391" i="24"/>
  <c r="S96" i="39"/>
  <c r="S96" i="28"/>
  <c r="C96" i="39"/>
  <c r="E391" i="24"/>
  <c r="C96" i="28"/>
  <c r="L390" i="24"/>
  <c r="J95" i="39"/>
  <c r="J95" i="28"/>
  <c r="X391" i="24"/>
  <c r="V96" i="39"/>
  <c r="V96" i="28"/>
  <c r="G390" i="24"/>
  <c r="E95" i="39"/>
  <c r="E95" i="28"/>
  <c r="I388" i="24"/>
  <c r="D94" i="39"/>
  <c r="F94" i="28"/>
  <c r="F94" i="39"/>
  <c r="G93" i="28"/>
  <c r="G93" i="39"/>
  <c r="H389" i="24"/>
  <c r="H390" i="24" s="1"/>
  <c r="I209" i="25"/>
  <c r="G142" i="39" s="1"/>
  <c r="F142" i="39"/>
  <c r="T130" i="28"/>
  <c r="T130" i="39"/>
  <c r="F389" i="24"/>
  <c r="D94" i="28"/>
  <c r="N388" i="24"/>
  <c r="L94" i="39" s="1"/>
  <c r="L93" i="28"/>
  <c r="H115" i="38"/>
  <c r="I114" i="38"/>
  <c r="E119" i="38"/>
  <c r="N338" i="24"/>
  <c r="N339" i="24" s="1"/>
  <c r="N340" i="24" s="1"/>
  <c r="N341" i="24" s="1"/>
  <c r="N337" i="24"/>
  <c r="B267" i="30"/>
  <c r="H329" i="24"/>
  <c r="I329" i="24" s="1"/>
  <c r="E336" i="24"/>
  <c r="E337" i="24" s="1"/>
  <c r="C265" i="30"/>
  <c r="C276" i="30"/>
  <c r="E276" i="30" s="1"/>
  <c r="E277" i="30"/>
  <c r="C266" i="30"/>
  <c r="C193" i="30"/>
  <c r="D193" i="30"/>
  <c r="E208" i="30"/>
  <c r="P259" i="24"/>
  <c r="P260" i="24" s="1"/>
  <c r="P261" i="24" s="1"/>
  <c r="P262" i="24" s="1"/>
  <c r="P263" i="24" s="1"/>
  <c r="P264" i="24" s="1"/>
  <c r="R259" i="24"/>
  <c r="R260" i="24" s="1"/>
  <c r="R261" i="24" s="1"/>
  <c r="R262" i="24" s="1"/>
  <c r="R263" i="24" s="1"/>
  <c r="R264" i="24" s="1"/>
  <c r="Q259" i="24"/>
  <c r="Q260" i="24" s="1"/>
  <c r="Q261" i="24" s="1"/>
  <c r="Q262" i="24" s="1"/>
  <c r="Q263" i="24" s="1"/>
  <c r="Q264" i="24" s="1"/>
  <c r="N269" i="24"/>
  <c r="N270" i="24" s="1"/>
  <c r="N271" i="24" s="1"/>
  <c r="N265" i="24"/>
  <c r="N266" i="24"/>
  <c r="N267" i="24"/>
  <c r="N268" i="24" s="1"/>
  <c r="F269" i="24"/>
  <c r="F270" i="24" s="1"/>
  <c r="F271" i="24" s="1"/>
  <c r="F265" i="24"/>
  <c r="F266" i="24" s="1"/>
  <c r="F267" i="24" s="1"/>
  <c r="F268" i="24" s="1"/>
  <c r="E266" i="24"/>
  <c r="E269" i="24"/>
  <c r="Q392" i="24" l="1"/>
  <c r="O97" i="39"/>
  <c r="O97" i="28"/>
  <c r="P391" i="24"/>
  <c r="N96" i="39"/>
  <c r="N96" i="28"/>
  <c r="X392" i="24"/>
  <c r="V97" i="28"/>
  <c r="V97" i="39"/>
  <c r="R392" i="24"/>
  <c r="P97" i="39"/>
  <c r="P97" i="28"/>
  <c r="T392" i="24"/>
  <c r="R97" i="39"/>
  <c r="R97" i="28"/>
  <c r="W392" i="24"/>
  <c r="U97" i="39"/>
  <c r="U97" i="28"/>
  <c r="U392" i="24"/>
  <c r="S97" i="39"/>
  <c r="S97" i="28"/>
  <c r="L391" i="24"/>
  <c r="J96" i="39"/>
  <c r="J96" i="28"/>
  <c r="O392" i="24"/>
  <c r="M97" i="39"/>
  <c r="M97" i="28"/>
  <c r="C97" i="39"/>
  <c r="C97" i="28"/>
  <c r="E392" i="24"/>
  <c r="V392" i="24"/>
  <c r="T97" i="39"/>
  <c r="T97" i="28"/>
  <c r="G391" i="24"/>
  <c r="E96" i="28"/>
  <c r="E96" i="39"/>
  <c r="M392" i="24"/>
  <c r="K97" i="39"/>
  <c r="K97" i="28"/>
  <c r="K391" i="24"/>
  <c r="I96" i="39"/>
  <c r="I96" i="28"/>
  <c r="F95" i="28"/>
  <c r="F95" i="39"/>
  <c r="I389" i="24"/>
  <c r="D95" i="39"/>
  <c r="F96" i="28"/>
  <c r="F96" i="39"/>
  <c r="G94" i="28"/>
  <c r="G94" i="39"/>
  <c r="N389" i="24"/>
  <c r="L95" i="39" s="1"/>
  <c r="L94" i="28"/>
  <c r="F390" i="24"/>
  <c r="D96" i="39" s="1"/>
  <c r="D95" i="28"/>
  <c r="E120" i="38"/>
  <c r="H116" i="38"/>
  <c r="I115" i="38"/>
  <c r="H391" i="24"/>
  <c r="H330" i="24"/>
  <c r="I330" i="24" s="1"/>
  <c r="E338" i="24"/>
  <c r="E339" i="24" s="1"/>
  <c r="C304" i="30"/>
  <c r="C308" i="30" s="1"/>
  <c r="C194" i="30"/>
  <c r="H203" i="30" s="1"/>
  <c r="H204" i="30" s="1"/>
  <c r="E209" i="30"/>
  <c r="Q269" i="24"/>
  <c r="Q270" i="24" s="1"/>
  <c r="Q271" i="24" s="1"/>
  <c r="Q265" i="24"/>
  <c r="Q266" i="24" s="1"/>
  <c r="Q267" i="24" s="1"/>
  <c r="Q268" i="24" s="1"/>
  <c r="R269" i="24"/>
  <c r="R270" i="24" s="1"/>
  <c r="R271" i="24" s="1"/>
  <c r="R265" i="24"/>
  <c r="R266" i="24" s="1"/>
  <c r="R267" i="24" s="1"/>
  <c r="R268" i="24" s="1"/>
  <c r="P269" i="24"/>
  <c r="P270" i="24" s="1"/>
  <c r="P271" i="24" s="1"/>
  <c r="P265" i="24"/>
  <c r="P266" i="24" s="1"/>
  <c r="P267" i="24" s="1"/>
  <c r="P268" i="24" s="1"/>
  <c r="E267" i="24"/>
  <c r="E270" i="24"/>
  <c r="C250" i="24"/>
  <c r="H259" i="24" s="1"/>
  <c r="C153" i="25"/>
  <c r="H162" i="25" s="1"/>
  <c r="F127" i="25"/>
  <c r="V126" i="25"/>
  <c r="V128" i="25"/>
  <c r="L392" i="24" l="1"/>
  <c r="J97" i="28"/>
  <c r="J97" i="39"/>
  <c r="G392" i="24"/>
  <c r="E97" i="39"/>
  <c r="E97" i="28"/>
  <c r="U393" i="24"/>
  <c r="S98" i="39"/>
  <c r="S98" i="28"/>
  <c r="X393" i="24"/>
  <c r="V98" i="39"/>
  <c r="V98" i="28"/>
  <c r="C98" i="39"/>
  <c r="C98" i="28"/>
  <c r="E393" i="24"/>
  <c r="R393" i="24"/>
  <c r="P98" i="28"/>
  <c r="P98" i="39"/>
  <c r="V393" i="24"/>
  <c r="T98" i="39"/>
  <c r="T98" i="28"/>
  <c r="K392" i="24"/>
  <c r="I97" i="28"/>
  <c r="I97" i="39"/>
  <c r="W393" i="24"/>
  <c r="U98" i="39"/>
  <c r="U98" i="28"/>
  <c r="P392" i="24"/>
  <c r="N97" i="39"/>
  <c r="N97" i="28"/>
  <c r="I390" i="24"/>
  <c r="M393" i="24"/>
  <c r="K98" i="39"/>
  <c r="K98" i="28"/>
  <c r="O393" i="24"/>
  <c r="M98" i="39"/>
  <c r="M98" i="28"/>
  <c r="T393" i="24"/>
  <c r="R98" i="39"/>
  <c r="R98" i="28"/>
  <c r="Q393" i="24"/>
  <c r="O98" i="28"/>
  <c r="O98" i="39"/>
  <c r="F97" i="28"/>
  <c r="F97" i="39"/>
  <c r="G96" i="28"/>
  <c r="G96" i="39"/>
  <c r="G95" i="28"/>
  <c r="G95" i="39"/>
  <c r="F391" i="24"/>
  <c r="D97" i="39" s="1"/>
  <c r="D96" i="28"/>
  <c r="N390" i="24"/>
  <c r="L96" i="39" s="1"/>
  <c r="L95" i="28"/>
  <c r="H117" i="38"/>
  <c r="I116" i="38"/>
  <c r="E121" i="38"/>
  <c r="H392" i="24"/>
  <c r="E340" i="24"/>
  <c r="H331" i="24"/>
  <c r="H332" i="24" s="1"/>
  <c r="I203" i="30"/>
  <c r="C306" i="30"/>
  <c r="E210" i="30"/>
  <c r="H205" i="30"/>
  <c r="I204" i="30"/>
  <c r="E268" i="24"/>
  <c r="H260" i="24"/>
  <c r="I259" i="24"/>
  <c r="E271" i="24"/>
  <c r="I162" i="25"/>
  <c r="H163" i="25"/>
  <c r="F127" i="39" s="1"/>
  <c r="U124" i="25"/>
  <c r="Q394" i="24" l="1"/>
  <c r="O99" i="39"/>
  <c r="O99" i="28"/>
  <c r="G393" i="24"/>
  <c r="E98" i="39"/>
  <c r="E98" i="28"/>
  <c r="U394" i="24"/>
  <c r="S99" i="39"/>
  <c r="S99" i="28"/>
  <c r="O394" i="24"/>
  <c r="M99" i="39"/>
  <c r="M99" i="28"/>
  <c r="K393" i="24"/>
  <c r="I98" i="39"/>
  <c r="I98" i="28"/>
  <c r="M394" i="24"/>
  <c r="K99" i="39"/>
  <c r="K99" i="28"/>
  <c r="P393" i="24"/>
  <c r="N98" i="39"/>
  <c r="N98" i="28"/>
  <c r="T394" i="24"/>
  <c r="R99" i="39"/>
  <c r="R99" i="28"/>
  <c r="X394" i="24"/>
  <c r="V99" i="39"/>
  <c r="V99" i="28"/>
  <c r="V394" i="24"/>
  <c r="T99" i="28"/>
  <c r="T99" i="39"/>
  <c r="R394" i="24"/>
  <c r="P99" i="39"/>
  <c r="P99" i="28"/>
  <c r="C99" i="39"/>
  <c r="E394" i="24"/>
  <c r="C99" i="28"/>
  <c r="W394" i="24"/>
  <c r="U99" i="28"/>
  <c r="U99" i="39"/>
  <c r="L393" i="24"/>
  <c r="J98" i="39"/>
  <c r="J98" i="28"/>
  <c r="I391" i="24"/>
  <c r="F98" i="28"/>
  <c r="F98" i="39"/>
  <c r="F127" i="28"/>
  <c r="H164" i="25"/>
  <c r="F128" i="39" s="1"/>
  <c r="N391" i="24"/>
  <c r="L97" i="39" s="1"/>
  <c r="L96" i="28"/>
  <c r="F392" i="24"/>
  <c r="D98" i="39" s="1"/>
  <c r="D97" i="28"/>
  <c r="E122" i="38"/>
  <c r="H118" i="38"/>
  <c r="I117" i="38"/>
  <c r="H393" i="24"/>
  <c r="E341" i="24"/>
  <c r="I331" i="24"/>
  <c r="H333" i="24"/>
  <c r="I332" i="24"/>
  <c r="H206" i="30"/>
  <c r="I205" i="30"/>
  <c r="E211" i="30"/>
  <c r="H261" i="24"/>
  <c r="I260" i="24"/>
  <c r="H165" i="25"/>
  <c r="I163" i="25"/>
  <c r="O398" i="24" l="1"/>
  <c r="M100" i="28"/>
  <c r="M100" i="39"/>
  <c r="O395" i="24"/>
  <c r="T398" i="24"/>
  <c r="R100" i="39"/>
  <c r="R100" i="28"/>
  <c r="T395" i="24"/>
  <c r="C100" i="39"/>
  <c r="C100" i="28"/>
  <c r="E395" i="24"/>
  <c r="R398" i="24"/>
  <c r="P100" i="39"/>
  <c r="P100" i="28"/>
  <c r="R395" i="24"/>
  <c r="U398" i="24"/>
  <c r="S100" i="39"/>
  <c r="S100" i="28"/>
  <c r="U395" i="24"/>
  <c r="V398" i="24"/>
  <c r="T100" i="39"/>
  <c r="T100" i="28"/>
  <c r="V395" i="24"/>
  <c r="G394" i="24"/>
  <c r="E99" i="28"/>
  <c r="W30" i="28" s="1" a="1"/>
  <c r="W30" i="28" s="1"/>
  <c r="E99" i="39"/>
  <c r="P394" i="24"/>
  <c r="N99" i="39"/>
  <c r="N99" i="28"/>
  <c r="L394" i="24"/>
  <c r="J99" i="39"/>
  <c r="J99" i="28"/>
  <c r="K100" i="39"/>
  <c r="K100" i="28"/>
  <c r="M398" i="24"/>
  <c r="M395" i="24"/>
  <c r="W398" i="24"/>
  <c r="U100" i="39"/>
  <c r="U100" i="28"/>
  <c r="W395" i="24"/>
  <c r="X398" i="24"/>
  <c r="V100" i="39"/>
  <c r="V100" i="28"/>
  <c r="X395" i="24"/>
  <c r="K394" i="24"/>
  <c r="I99" i="39"/>
  <c r="I99" i="28"/>
  <c r="Q398" i="24"/>
  <c r="O100" i="39"/>
  <c r="O100" i="28"/>
  <c r="Q395" i="24"/>
  <c r="I392" i="24"/>
  <c r="G127" i="28"/>
  <c r="G127" i="39"/>
  <c r="F99" i="28"/>
  <c r="F99" i="39"/>
  <c r="F129" i="28"/>
  <c r="F129" i="39"/>
  <c r="G97" i="28"/>
  <c r="G97" i="39"/>
  <c r="I164" i="25"/>
  <c r="F128" i="28"/>
  <c r="F393" i="24"/>
  <c r="D99" i="39" s="1"/>
  <c r="D98" i="28"/>
  <c r="N392" i="24"/>
  <c r="L98" i="39" s="1"/>
  <c r="L97" i="28"/>
  <c r="H119" i="38"/>
  <c r="I118" i="38"/>
  <c r="H394" i="24"/>
  <c r="I393" i="24"/>
  <c r="H334" i="24"/>
  <c r="I333" i="24"/>
  <c r="E212" i="30"/>
  <c r="H207" i="30"/>
  <c r="I206" i="30"/>
  <c r="H262" i="24"/>
  <c r="I261" i="24"/>
  <c r="I165" i="25"/>
  <c r="C101" i="39" l="1"/>
  <c r="E396" i="24"/>
  <c r="C101" i="28"/>
  <c r="K104" i="39"/>
  <c r="K104" i="28"/>
  <c r="M399" i="24"/>
  <c r="M402" i="24"/>
  <c r="R399" i="24"/>
  <c r="P104" i="39"/>
  <c r="P104" i="28"/>
  <c r="R402" i="24"/>
  <c r="Q399" i="24"/>
  <c r="O104" i="39"/>
  <c r="O104" i="28"/>
  <c r="Q402" i="24"/>
  <c r="V399" i="24"/>
  <c r="T104" i="39"/>
  <c r="T104" i="28"/>
  <c r="V402" i="24"/>
  <c r="T399" i="24"/>
  <c r="R104" i="39"/>
  <c r="R104" i="28"/>
  <c r="T402" i="24"/>
  <c r="M396" i="24"/>
  <c r="K101" i="39"/>
  <c r="K101" i="28"/>
  <c r="X396" i="24"/>
  <c r="V101" i="39"/>
  <c r="V101" i="28"/>
  <c r="U399" i="24"/>
  <c r="S104" i="39"/>
  <c r="S104" i="28"/>
  <c r="U402" i="24"/>
  <c r="O396" i="24"/>
  <c r="M101" i="39"/>
  <c r="M101" i="28"/>
  <c r="G395" i="24"/>
  <c r="E100" i="39"/>
  <c r="E100" i="28"/>
  <c r="K398" i="24"/>
  <c r="I100" i="39"/>
  <c r="I100" i="28"/>
  <c r="K395" i="24"/>
  <c r="U396" i="24"/>
  <c r="S101" i="28"/>
  <c r="S101" i="39"/>
  <c r="Q396" i="24"/>
  <c r="O101" i="39"/>
  <c r="O101" i="28"/>
  <c r="R396" i="24"/>
  <c r="P101" i="39"/>
  <c r="P101" i="28"/>
  <c r="W399" i="24"/>
  <c r="U104" i="39"/>
  <c r="U104" i="28"/>
  <c r="W402" i="24"/>
  <c r="V396" i="24"/>
  <c r="T101" i="39"/>
  <c r="T101" i="28"/>
  <c r="T396" i="24"/>
  <c r="R101" i="28"/>
  <c r="R101" i="39"/>
  <c r="L398" i="24"/>
  <c r="J100" i="39"/>
  <c r="J100" i="28"/>
  <c r="L395" i="24"/>
  <c r="X399" i="24"/>
  <c r="V104" i="39"/>
  <c r="V104" i="28"/>
  <c r="X402" i="24"/>
  <c r="W396" i="24"/>
  <c r="U101" i="39"/>
  <c r="U101" i="28"/>
  <c r="P398" i="24"/>
  <c r="N100" i="28"/>
  <c r="N100" i="39"/>
  <c r="P395" i="24"/>
  <c r="O399" i="24"/>
  <c r="M104" i="28"/>
  <c r="M104" i="39"/>
  <c r="O402" i="24"/>
  <c r="G99" i="28"/>
  <c r="G99" i="39"/>
  <c r="F100" i="28"/>
  <c r="F100" i="39"/>
  <c r="G128" i="28"/>
  <c r="G128" i="39"/>
  <c r="G129" i="28"/>
  <c r="G129" i="39"/>
  <c r="G98" i="28"/>
  <c r="G98" i="39"/>
  <c r="N393" i="24"/>
  <c r="L99" i="39" s="1"/>
  <c r="L98" i="28"/>
  <c r="F394" i="24"/>
  <c r="D100" i="39" s="1"/>
  <c r="D99" i="28"/>
  <c r="H120" i="38"/>
  <c r="I119" i="38"/>
  <c r="H395" i="24"/>
  <c r="H335" i="24"/>
  <c r="I334" i="24"/>
  <c r="H208" i="30"/>
  <c r="I207" i="30"/>
  <c r="E213" i="30"/>
  <c r="H263" i="24"/>
  <c r="I262" i="24"/>
  <c r="O105" i="39" l="1"/>
  <c r="O105" i="28"/>
  <c r="P108" i="39"/>
  <c r="P108" i="28"/>
  <c r="R407" i="24"/>
  <c r="R404" i="24"/>
  <c r="R102" i="39"/>
  <c r="R102" i="28"/>
  <c r="T397" i="24"/>
  <c r="T400" i="24"/>
  <c r="V105" i="39"/>
  <c r="V105" i="28"/>
  <c r="K108" i="39"/>
  <c r="K108" i="28"/>
  <c r="M407" i="24"/>
  <c r="M404" i="24"/>
  <c r="R108" i="39"/>
  <c r="R108" i="28"/>
  <c r="T407" i="24"/>
  <c r="T404" i="24"/>
  <c r="M102" i="39"/>
  <c r="M102" i="28"/>
  <c r="O400" i="24"/>
  <c r="O397" i="24"/>
  <c r="T102" i="39"/>
  <c r="T102" i="28"/>
  <c r="V397" i="24"/>
  <c r="V400" i="24"/>
  <c r="W407" i="24"/>
  <c r="U108" i="39"/>
  <c r="U108" i="28"/>
  <c r="W404" i="24"/>
  <c r="P105" i="39"/>
  <c r="P105" i="28"/>
  <c r="K396" i="24"/>
  <c r="I101" i="39"/>
  <c r="I101" i="28"/>
  <c r="K105" i="39"/>
  <c r="K105" i="28"/>
  <c r="T105" i="39"/>
  <c r="T105" i="28"/>
  <c r="R105" i="28"/>
  <c r="R105" i="39"/>
  <c r="M105" i="39"/>
  <c r="M105" i="28"/>
  <c r="S105" i="39"/>
  <c r="S105" i="28"/>
  <c r="O108" i="39"/>
  <c r="O108" i="28"/>
  <c r="Q407" i="24"/>
  <c r="Q404" i="24"/>
  <c r="K102" i="39"/>
  <c r="K102" i="28"/>
  <c r="M397" i="24"/>
  <c r="M400" i="24"/>
  <c r="O102" i="28"/>
  <c r="O102" i="39"/>
  <c r="Q397" i="24"/>
  <c r="Q400" i="24"/>
  <c r="X404" i="24"/>
  <c r="V108" i="39"/>
  <c r="V108" i="28"/>
  <c r="X407" i="24"/>
  <c r="M108" i="39"/>
  <c r="M108" i="28"/>
  <c r="O407" i="24"/>
  <c r="O404" i="24"/>
  <c r="U105" i="39"/>
  <c r="U105" i="28"/>
  <c r="V102" i="39"/>
  <c r="V102" i="28"/>
  <c r="X397" i="24"/>
  <c r="X400" i="24"/>
  <c r="P399" i="24"/>
  <c r="N104" i="39"/>
  <c r="N104" i="28"/>
  <c r="P402" i="24"/>
  <c r="P102" i="39"/>
  <c r="P102" i="28"/>
  <c r="R400" i="24"/>
  <c r="R397" i="24"/>
  <c r="C102" i="39"/>
  <c r="E397" i="24"/>
  <c r="C102" i="28"/>
  <c r="U102" i="39"/>
  <c r="U102" i="28"/>
  <c r="W397" i="24"/>
  <c r="W400" i="24"/>
  <c r="U404" i="24"/>
  <c r="S108" i="39"/>
  <c r="S108" i="28"/>
  <c r="U407" i="24"/>
  <c r="S102" i="39"/>
  <c r="S102" i="28"/>
  <c r="U397" i="24"/>
  <c r="U400" i="24"/>
  <c r="T108" i="39"/>
  <c r="T108" i="28"/>
  <c r="V404" i="24"/>
  <c r="V407" i="24"/>
  <c r="L396" i="24"/>
  <c r="J101" i="39"/>
  <c r="J101" i="28"/>
  <c r="I394" i="24"/>
  <c r="P396" i="24"/>
  <c r="N101" i="39"/>
  <c r="N101" i="28"/>
  <c r="K399" i="24"/>
  <c r="I104" i="39"/>
  <c r="I104" i="28"/>
  <c r="K402" i="24"/>
  <c r="L399" i="24"/>
  <c r="J104" i="39"/>
  <c r="J104" i="28"/>
  <c r="L402" i="24"/>
  <c r="G396" i="24"/>
  <c r="E101" i="39"/>
  <c r="E101" i="28"/>
  <c r="G100" i="28"/>
  <c r="G100" i="39"/>
  <c r="F101" i="28"/>
  <c r="F101" i="39"/>
  <c r="F395" i="24"/>
  <c r="D101" i="39" s="1"/>
  <c r="D100" i="28"/>
  <c r="N394" i="24"/>
  <c r="L100" i="39" s="1"/>
  <c r="L99" i="28"/>
  <c r="H121" i="38"/>
  <c r="I120" i="38"/>
  <c r="H396" i="24"/>
  <c r="H336" i="24"/>
  <c r="H337" i="24" s="1"/>
  <c r="I337" i="24" s="1"/>
  <c r="I335" i="24"/>
  <c r="E214" i="30"/>
  <c r="H209" i="30"/>
  <c r="I208" i="30"/>
  <c r="H264" i="24"/>
  <c r="H265" i="24" s="1"/>
  <c r="I263" i="24"/>
  <c r="S106" i="39" l="1"/>
  <c r="S106" i="28"/>
  <c r="U405" i="24"/>
  <c r="U401" i="24"/>
  <c r="V110" i="39"/>
  <c r="V110" i="28"/>
  <c r="C103" i="39"/>
  <c r="C103" i="28"/>
  <c r="E398" i="24"/>
  <c r="R106" i="39"/>
  <c r="R106" i="28"/>
  <c r="T405" i="24"/>
  <c r="T401" i="24"/>
  <c r="P106" i="39"/>
  <c r="P106" i="28"/>
  <c r="R401" i="24"/>
  <c r="R405" i="24"/>
  <c r="U408" i="24"/>
  <c r="S113" i="39"/>
  <c r="S113" i="28"/>
  <c r="V103" i="39"/>
  <c r="V103" i="28"/>
  <c r="R103" i="39"/>
  <c r="R103" i="28"/>
  <c r="G397" i="24"/>
  <c r="E102" i="39"/>
  <c r="E102" i="28"/>
  <c r="K103" i="39"/>
  <c r="K103" i="28"/>
  <c r="P110" i="39"/>
  <c r="P110" i="28"/>
  <c r="I105" i="39"/>
  <c r="I105" i="28"/>
  <c r="O106" i="39"/>
  <c r="O106" i="28"/>
  <c r="Q401" i="24"/>
  <c r="Q405" i="24"/>
  <c r="O103" i="39"/>
  <c r="O103" i="28"/>
  <c r="P103" i="28"/>
  <c r="P103" i="39"/>
  <c r="U110" i="39"/>
  <c r="U110" i="28"/>
  <c r="R408" i="24"/>
  <c r="P113" i="39"/>
  <c r="P113" i="28"/>
  <c r="S103" i="39"/>
  <c r="S103" i="28"/>
  <c r="M106" i="39"/>
  <c r="M106" i="28"/>
  <c r="O401" i="24"/>
  <c r="O405" i="24"/>
  <c r="N102" i="39"/>
  <c r="N102" i="28"/>
  <c r="P400" i="24"/>
  <c r="P397" i="24"/>
  <c r="M110" i="39"/>
  <c r="M110" i="28"/>
  <c r="P404" i="24"/>
  <c r="N108" i="39"/>
  <c r="N108" i="28"/>
  <c r="P407" i="24"/>
  <c r="W408" i="24"/>
  <c r="U113" i="39"/>
  <c r="U113" i="28"/>
  <c r="U106" i="39"/>
  <c r="U106" i="28"/>
  <c r="W401" i="24"/>
  <c r="W405" i="24"/>
  <c r="T106" i="39"/>
  <c r="T106" i="28"/>
  <c r="V401" i="24"/>
  <c r="V405" i="24"/>
  <c r="R110" i="39"/>
  <c r="R110" i="28"/>
  <c r="J108" i="39"/>
  <c r="J108" i="28"/>
  <c r="L407" i="24"/>
  <c r="L404" i="24"/>
  <c r="M408" i="24"/>
  <c r="K113" i="39"/>
  <c r="K113" i="28"/>
  <c r="T408" i="24"/>
  <c r="R113" i="39"/>
  <c r="R113" i="28"/>
  <c r="S110" i="39"/>
  <c r="S110" i="28"/>
  <c r="J105" i="39"/>
  <c r="J105" i="28"/>
  <c r="K110" i="39"/>
  <c r="K110" i="28"/>
  <c r="T110" i="39"/>
  <c r="T110" i="28"/>
  <c r="U103" i="39"/>
  <c r="U103" i="28"/>
  <c r="O110" i="39"/>
  <c r="O110" i="28"/>
  <c r="T103" i="28"/>
  <c r="T103" i="39"/>
  <c r="N105" i="39"/>
  <c r="N105" i="28"/>
  <c r="Q408" i="24"/>
  <c r="O113" i="39"/>
  <c r="O113" i="28"/>
  <c r="M103" i="39"/>
  <c r="M103" i="28"/>
  <c r="I102" i="39"/>
  <c r="I102" i="28"/>
  <c r="K397" i="24"/>
  <c r="K400" i="24"/>
  <c r="K106" i="39"/>
  <c r="K106" i="28"/>
  <c r="M401" i="24"/>
  <c r="M405" i="24"/>
  <c r="O408" i="24"/>
  <c r="M113" i="39"/>
  <c r="M113" i="28"/>
  <c r="J102" i="28"/>
  <c r="J102" i="39"/>
  <c r="L397" i="24"/>
  <c r="L400" i="24"/>
  <c r="V408" i="24"/>
  <c r="T113" i="39"/>
  <c r="T113" i="28"/>
  <c r="K404" i="24"/>
  <c r="I108" i="39"/>
  <c r="I108" i="28"/>
  <c r="K407" i="24"/>
  <c r="X408" i="24"/>
  <c r="V113" i="39"/>
  <c r="V113" i="28"/>
  <c r="V106" i="39"/>
  <c r="V106" i="28"/>
  <c r="X401" i="24"/>
  <c r="X405" i="24"/>
  <c r="F102" i="28"/>
  <c r="F102" i="39"/>
  <c r="I395" i="24"/>
  <c r="L100" i="28"/>
  <c r="N398" i="24"/>
  <c r="L104" i="39" s="1"/>
  <c r="N395" i="24"/>
  <c r="L101" i="39" s="1"/>
  <c r="F396" i="24"/>
  <c r="D102" i="39" s="1"/>
  <c r="D101" i="28"/>
  <c r="H122" i="38"/>
  <c r="I122" i="38" s="1"/>
  <c r="I121" i="38"/>
  <c r="H397" i="24"/>
  <c r="H338" i="24"/>
  <c r="H339" i="24" s="1"/>
  <c r="I336" i="24"/>
  <c r="H210" i="30"/>
  <c r="I209" i="30"/>
  <c r="E215" i="30"/>
  <c r="H266" i="24"/>
  <c r="I265" i="24"/>
  <c r="H269" i="24"/>
  <c r="I264" i="24"/>
  <c r="T107" i="39" l="1"/>
  <c r="T107" i="28"/>
  <c r="R111" i="39"/>
  <c r="R111" i="28"/>
  <c r="T406" i="24"/>
  <c r="T409" i="24"/>
  <c r="C104" i="39"/>
  <c r="E399" i="24"/>
  <c r="C104" i="28"/>
  <c r="J103" i="39"/>
  <c r="J103" i="28"/>
  <c r="O107" i="39"/>
  <c r="O107" i="28"/>
  <c r="P114" i="39"/>
  <c r="P114" i="28"/>
  <c r="V114" i="39"/>
  <c r="V114" i="28"/>
  <c r="N103" i="39"/>
  <c r="N103" i="28"/>
  <c r="N106" i="39"/>
  <c r="N106" i="28"/>
  <c r="P401" i="24"/>
  <c r="P405" i="24"/>
  <c r="U107" i="39"/>
  <c r="U107" i="28"/>
  <c r="O114" i="39"/>
  <c r="O114" i="28"/>
  <c r="R114" i="39"/>
  <c r="R114" i="28"/>
  <c r="K114" i="39"/>
  <c r="K114" i="28"/>
  <c r="P111" i="39"/>
  <c r="P111" i="28"/>
  <c r="R406" i="24"/>
  <c r="R409" i="24"/>
  <c r="N110" i="39"/>
  <c r="N110" i="28"/>
  <c r="J110" i="39"/>
  <c r="J110" i="28"/>
  <c r="I396" i="24"/>
  <c r="G102" i="28" s="1"/>
  <c r="I110" i="39"/>
  <c r="I110" i="28"/>
  <c r="M111" i="39"/>
  <c r="M111" i="28"/>
  <c r="O409" i="24"/>
  <c r="O406" i="24"/>
  <c r="P107" i="28"/>
  <c r="P107" i="39"/>
  <c r="S107" i="39"/>
  <c r="S107" i="28"/>
  <c r="U111" i="39"/>
  <c r="U111" i="28"/>
  <c r="W409" i="24"/>
  <c r="W406" i="24"/>
  <c r="M114" i="39"/>
  <c r="M114" i="28"/>
  <c r="L408" i="24"/>
  <c r="J113" i="39"/>
  <c r="J113" i="28"/>
  <c r="S114" i="39"/>
  <c r="S114" i="28"/>
  <c r="K107" i="39"/>
  <c r="K107" i="28"/>
  <c r="M107" i="39"/>
  <c r="M107" i="28"/>
  <c r="S111" i="39"/>
  <c r="S111" i="28"/>
  <c r="U406" i="24"/>
  <c r="U409" i="24"/>
  <c r="V111" i="39"/>
  <c r="V111" i="28"/>
  <c r="X409" i="24"/>
  <c r="X406" i="24"/>
  <c r="U114" i="39"/>
  <c r="U114" i="28"/>
  <c r="V107" i="39"/>
  <c r="V107" i="28"/>
  <c r="T114" i="39"/>
  <c r="T114" i="28"/>
  <c r="I106" i="39"/>
  <c r="I106" i="28"/>
  <c r="K401" i="24"/>
  <c r="K405" i="24"/>
  <c r="P408" i="24"/>
  <c r="N113" i="39"/>
  <c r="N113" i="28"/>
  <c r="K408" i="24"/>
  <c r="I113" i="39"/>
  <c r="I113" i="28"/>
  <c r="K111" i="39"/>
  <c r="K111" i="28"/>
  <c r="M409" i="24"/>
  <c r="M406" i="24"/>
  <c r="J106" i="28"/>
  <c r="J106" i="39"/>
  <c r="L405" i="24"/>
  <c r="L401" i="24"/>
  <c r="I103" i="39"/>
  <c r="I103" i="28"/>
  <c r="T111" i="39"/>
  <c r="T111" i="28"/>
  <c r="V406" i="24"/>
  <c r="V409" i="24"/>
  <c r="O111" i="39"/>
  <c r="O111" i="28"/>
  <c r="Q406" i="24"/>
  <c r="Q409" i="24"/>
  <c r="G398" i="24"/>
  <c r="E103" i="28"/>
  <c r="E103" i="39"/>
  <c r="R107" i="39"/>
  <c r="R107" i="28"/>
  <c r="F103" i="28"/>
  <c r="F103" i="39"/>
  <c r="G101" i="28"/>
  <c r="G101" i="39"/>
  <c r="F397" i="24"/>
  <c r="D103" i="39" s="1"/>
  <c r="D102" i="28"/>
  <c r="N396" i="24"/>
  <c r="L102" i="39" s="1"/>
  <c r="L101" i="28"/>
  <c r="N399" i="24"/>
  <c r="L104" i="28"/>
  <c r="N402" i="24"/>
  <c r="L108" i="39" s="1"/>
  <c r="H398" i="24"/>
  <c r="H340" i="24"/>
  <c r="I339" i="24"/>
  <c r="I338" i="24"/>
  <c r="E216" i="30"/>
  <c r="H211" i="30"/>
  <c r="I210" i="30"/>
  <c r="H267" i="24"/>
  <c r="I266" i="24"/>
  <c r="H270" i="24"/>
  <c r="I269" i="24"/>
  <c r="G102" i="39" l="1"/>
  <c r="N114" i="39"/>
  <c r="N114" i="28"/>
  <c r="G399" i="24"/>
  <c r="E104" i="39"/>
  <c r="E104" i="28"/>
  <c r="M410" i="24"/>
  <c r="K115" i="39"/>
  <c r="K115" i="28"/>
  <c r="C105" i="39"/>
  <c r="C105" i="28"/>
  <c r="E400" i="24"/>
  <c r="I111" i="39"/>
  <c r="I111" i="28"/>
  <c r="K406" i="24"/>
  <c r="K409" i="24"/>
  <c r="P112" i="39"/>
  <c r="P112" i="28"/>
  <c r="V410" i="24"/>
  <c r="T115" i="39"/>
  <c r="T115" i="28"/>
  <c r="X410" i="24"/>
  <c r="V115" i="39"/>
  <c r="V115" i="28"/>
  <c r="T410" i="24"/>
  <c r="R115" i="39"/>
  <c r="R115" i="28"/>
  <c r="J111" i="39"/>
  <c r="J111" i="28"/>
  <c r="L409" i="24"/>
  <c r="L406" i="24"/>
  <c r="W410" i="24"/>
  <c r="U115" i="39"/>
  <c r="U115" i="28"/>
  <c r="R112" i="39"/>
  <c r="R112" i="28"/>
  <c r="Q410" i="24"/>
  <c r="O115" i="28"/>
  <c r="O115" i="39"/>
  <c r="R410" i="24"/>
  <c r="P115" i="39"/>
  <c r="P115" i="28"/>
  <c r="J114" i="39"/>
  <c r="J114" i="28"/>
  <c r="M112" i="39"/>
  <c r="M112" i="28"/>
  <c r="U410" i="24"/>
  <c r="S115" i="39"/>
  <c r="S115" i="28"/>
  <c r="S112" i="39"/>
  <c r="S112" i="28"/>
  <c r="T112" i="39"/>
  <c r="T112" i="28"/>
  <c r="O112" i="39"/>
  <c r="O112" i="28"/>
  <c r="N107" i="39"/>
  <c r="N107" i="28"/>
  <c r="K112" i="39"/>
  <c r="K112" i="28"/>
  <c r="O410" i="24"/>
  <c r="M115" i="39"/>
  <c r="M115" i="28"/>
  <c r="N111" i="39"/>
  <c r="N111" i="28"/>
  <c r="P409" i="24"/>
  <c r="P406" i="24"/>
  <c r="I107" i="39"/>
  <c r="I107" i="28"/>
  <c r="U112" i="39"/>
  <c r="U112" i="28"/>
  <c r="I114" i="39"/>
  <c r="I114" i="28"/>
  <c r="J107" i="39"/>
  <c r="J107" i="28"/>
  <c r="V112" i="39"/>
  <c r="V112" i="28"/>
  <c r="I397" i="24"/>
  <c r="F104" i="28"/>
  <c r="F104" i="39"/>
  <c r="L105" i="28"/>
  <c r="L105" i="39"/>
  <c r="N404" i="24"/>
  <c r="L108" i="28"/>
  <c r="N407" i="24"/>
  <c r="L113" i="39" s="1"/>
  <c r="N397" i="24"/>
  <c r="L102" i="28"/>
  <c r="N400" i="24"/>
  <c r="L106" i="39" s="1"/>
  <c r="F398" i="24"/>
  <c r="D104" i="39" s="1"/>
  <c r="D103" i="28"/>
  <c r="H399" i="24"/>
  <c r="I398" i="24"/>
  <c r="H341" i="24"/>
  <c r="I340" i="24"/>
  <c r="H212" i="30"/>
  <c r="I211" i="30"/>
  <c r="E217" i="30"/>
  <c r="H268" i="24"/>
  <c r="I268" i="24" s="1"/>
  <c r="I267" i="24"/>
  <c r="H271" i="24"/>
  <c r="I270" i="24"/>
  <c r="S116" i="39" l="1"/>
  <c r="S116" i="28"/>
  <c r="M116" i="39"/>
  <c r="M116" i="28"/>
  <c r="C106" i="39"/>
  <c r="C106" i="28"/>
  <c r="E401" i="24"/>
  <c r="U116" i="39"/>
  <c r="U116" i="28"/>
  <c r="L410" i="24"/>
  <c r="J115" i="39"/>
  <c r="J115" i="28"/>
  <c r="R116" i="39"/>
  <c r="R116" i="28"/>
  <c r="K116" i="39"/>
  <c r="K116" i="28"/>
  <c r="T116" i="39"/>
  <c r="T116" i="28"/>
  <c r="N112" i="39"/>
  <c r="N112" i="28"/>
  <c r="G400" i="24"/>
  <c r="E105" i="39"/>
  <c r="E105" i="28"/>
  <c r="O116" i="39"/>
  <c r="O116" i="28"/>
  <c r="V116" i="39"/>
  <c r="V116" i="28"/>
  <c r="P116" i="39"/>
  <c r="P116" i="28"/>
  <c r="K410" i="24"/>
  <c r="I115" i="39"/>
  <c r="I115" i="28"/>
  <c r="I112" i="39"/>
  <c r="I112" i="28"/>
  <c r="J112" i="39"/>
  <c r="J112" i="28"/>
  <c r="P410" i="24"/>
  <c r="N115" i="39"/>
  <c r="N115" i="28"/>
  <c r="G104" i="28"/>
  <c r="G104" i="39"/>
  <c r="L103" i="28"/>
  <c r="L103" i="39"/>
  <c r="L110" i="28"/>
  <c r="L110" i="39"/>
  <c r="F105" i="28"/>
  <c r="F105" i="39"/>
  <c r="G103" i="28"/>
  <c r="G103" i="39"/>
  <c r="F399" i="24"/>
  <c r="D104" i="28"/>
  <c r="N408" i="24"/>
  <c r="L113" i="28"/>
  <c r="N401" i="24"/>
  <c r="L106" i="28"/>
  <c r="N405" i="24"/>
  <c r="L111" i="39" s="1"/>
  <c r="H400" i="24"/>
  <c r="I341" i="24"/>
  <c r="H213" i="30"/>
  <c r="I212" i="30"/>
  <c r="I271" i="24"/>
  <c r="J116" i="39" l="1"/>
  <c r="J116" i="28"/>
  <c r="G401" i="24"/>
  <c r="E106" i="39"/>
  <c r="E106" i="28"/>
  <c r="C107" i="39"/>
  <c r="C107" i="28"/>
  <c r="E402" i="24"/>
  <c r="I116" i="39"/>
  <c r="I116" i="28"/>
  <c r="N116" i="39"/>
  <c r="N116" i="28"/>
  <c r="F106" i="28"/>
  <c r="F106" i="39"/>
  <c r="L107" i="28"/>
  <c r="L107" i="39"/>
  <c r="L114" i="28"/>
  <c r="L114" i="39"/>
  <c r="I399" i="24"/>
  <c r="D105" i="39"/>
  <c r="N409" i="24"/>
  <c r="L115" i="39" s="1"/>
  <c r="L111" i="28"/>
  <c r="N406" i="24"/>
  <c r="F400" i="24"/>
  <c r="D105" i="28"/>
  <c r="H401" i="24"/>
  <c r="H214" i="30"/>
  <c r="I213" i="30"/>
  <c r="J269" i="25"/>
  <c r="J268" i="25"/>
  <c r="J267" i="25"/>
  <c r="X265" i="25"/>
  <c r="X266" i="25" s="1"/>
  <c r="X267" i="25" s="1"/>
  <c r="X268" i="25" s="1"/>
  <c r="X269" i="25" s="1"/>
  <c r="W265" i="25"/>
  <c r="W266" i="25" s="1"/>
  <c r="W267" i="25" s="1"/>
  <c r="W268" i="25" s="1"/>
  <c r="W269" i="25" s="1"/>
  <c r="V265" i="25"/>
  <c r="V266" i="25" s="1"/>
  <c r="V267" i="25" s="1"/>
  <c r="V268" i="25" s="1"/>
  <c r="V269" i="25" s="1"/>
  <c r="U265" i="25"/>
  <c r="U266" i="25" s="1"/>
  <c r="U267" i="25" s="1"/>
  <c r="U268" i="25" s="1"/>
  <c r="U269" i="25" s="1"/>
  <c r="T265" i="25"/>
  <c r="T266" i="25" s="1"/>
  <c r="T267" i="25" s="1"/>
  <c r="T268" i="25" s="1"/>
  <c r="T269" i="25" s="1"/>
  <c r="R265" i="25"/>
  <c r="R266" i="25" s="1"/>
  <c r="R267" i="25" s="1"/>
  <c r="R268" i="25" s="1"/>
  <c r="R269" i="25" s="1"/>
  <c r="Q265" i="25"/>
  <c r="Q266" i="25" s="1"/>
  <c r="Q267" i="25" s="1"/>
  <c r="Q268" i="25" s="1"/>
  <c r="Q269" i="25" s="1"/>
  <c r="P265" i="25"/>
  <c r="P266" i="25" s="1"/>
  <c r="P267" i="25" s="1"/>
  <c r="P268" i="25" s="1"/>
  <c r="P269" i="25" s="1"/>
  <c r="O265" i="25"/>
  <c r="O266" i="25" s="1"/>
  <c r="O267" i="25" s="1"/>
  <c r="O268" i="25" s="1"/>
  <c r="O269" i="25" s="1"/>
  <c r="N265" i="25"/>
  <c r="N266" i="25" s="1"/>
  <c r="N267" i="25" s="1"/>
  <c r="N268" i="25" s="1"/>
  <c r="N269" i="25" s="1"/>
  <c r="M265" i="25"/>
  <c r="M266" i="25" s="1"/>
  <c r="M267" i="25" s="1"/>
  <c r="M268" i="25" s="1"/>
  <c r="M269" i="25" s="1"/>
  <c r="L265" i="25"/>
  <c r="L266" i="25" s="1"/>
  <c r="L267" i="25" s="1"/>
  <c r="L268" i="25" s="1"/>
  <c r="L269" i="25" s="1"/>
  <c r="K265" i="25"/>
  <c r="K266" i="25" s="1"/>
  <c r="K267" i="25" s="1"/>
  <c r="K268" i="25" s="1"/>
  <c r="K269" i="25" s="1"/>
  <c r="G265" i="25"/>
  <c r="G266" i="25" s="1"/>
  <c r="G267" i="25" s="1"/>
  <c r="G268" i="25" s="1"/>
  <c r="G269" i="25" s="1"/>
  <c r="F265" i="25"/>
  <c r="F266" i="25" s="1"/>
  <c r="F267" i="25" s="1"/>
  <c r="F268" i="25" s="1"/>
  <c r="F269" i="25" s="1"/>
  <c r="E265" i="25"/>
  <c r="E266" i="25" s="1"/>
  <c r="D252" i="25"/>
  <c r="D254" i="25" s="1" a="1"/>
  <c r="D254" i="25" s="1"/>
  <c r="C252" i="25"/>
  <c r="C254" i="25" s="1" a="1"/>
  <c r="C254" i="25" s="1"/>
  <c r="J122" i="25"/>
  <c r="J121" i="25"/>
  <c r="J120" i="25"/>
  <c r="X118" i="25"/>
  <c r="X119" i="25" s="1"/>
  <c r="X120" i="25" s="1"/>
  <c r="X121" i="25" s="1"/>
  <c r="X122" i="25" s="1"/>
  <c r="W118" i="25"/>
  <c r="W119" i="25" s="1"/>
  <c r="W120" i="25" s="1"/>
  <c r="W121" i="25" s="1"/>
  <c r="W122" i="25" s="1"/>
  <c r="V118" i="25"/>
  <c r="V119" i="25" s="1"/>
  <c r="V120" i="25" s="1"/>
  <c r="V121" i="25" s="1"/>
  <c r="V122" i="25" s="1"/>
  <c r="U118" i="25"/>
  <c r="U119" i="25" s="1"/>
  <c r="U120" i="25" s="1"/>
  <c r="U121" i="25" s="1"/>
  <c r="U122" i="25" s="1"/>
  <c r="T118" i="25"/>
  <c r="T119" i="25" s="1"/>
  <c r="T120" i="25" s="1"/>
  <c r="T121" i="25" s="1"/>
  <c r="T122" i="25" s="1"/>
  <c r="R118" i="25"/>
  <c r="R119" i="25" s="1"/>
  <c r="R120" i="25" s="1"/>
  <c r="R121" i="25" s="1"/>
  <c r="R122" i="25" s="1"/>
  <c r="Q118" i="25"/>
  <c r="Q119" i="25" s="1"/>
  <c r="Q120" i="25" s="1"/>
  <c r="Q121" i="25" s="1"/>
  <c r="Q122" i="25" s="1"/>
  <c r="P118" i="25"/>
  <c r="P119" i="25" s="1"/>
  <c r="P120" i="25" s="1"/>
  <c r="P121" i="25" s="1"/>
  <c r="P122" i="25" s="1"/>
  <c r="O118" i="25"/>
  <c r="O119" i="25" s="1"/>
  <c r="O120" i="25" s="1"/>
  <c r="O121" i="25" s="1"/>
  <c r="O122" i="25" s="1"/>
  <c r="N118" i="25"/>
  <c r="N119" i="25" s="1"/>
  <c r="N120" i="25" s="1"/>
  <c r="N121" i="25" s="1"/>
  <c r="N122" i="25" s="1"/>
  <c r="M118" i="25"/>
  <c r="M119" i="25" s="1"/>
  <c r="M120" i="25" s="1"/>
  <c r="M121" i="25" s="1"/>
  <c r="M122" i="25" s="1"/>
  <c r="L118" i="25"/>
  <c r="L119" i="25" s="1"/>
  <c r="L120" i="25" s="1"/>
  <c r="L121" i="25" s="1"/>
  <c r="L122" i="25" s="1"/>
  <c r="K118" i="25"/>
  <c r="K119" i="25" s="1"/>
  <c r="K120" i="25" s="1"/>
  <c r="K121" i="25" s="1"/>
  <c r="K122" i="25" s="1"/>
  <c r="G118" i="25"/>
  <c r="G119" i="25" s="1"/>
  <c r="G120" i="25" s="1"/>
  <c r="G121" i="25" s="1"/>
  <c r="G122" i="25" s="1"/>
  <c r="F118" i="25"/>
  <c r="F119" i="25" s="1"/>
  <c r="F120" i="25" s="1"/>
  <c r="F121" i="25" s="1"/>
  <c r="F122" i="25" s="1"/>
  <c r="E118" i="25"/>
  <c r="E119" i="25" s="1"/>
  <c r="E120" i="25" s="1"/>
  <c r="D105" i="25"/>
  <c r="C105" i="25"/>
  <c r="O12" i="28"/>
  <c r="O10" i="28"/>
  <c r="O8" i="28"/>
  <c r="O6" i="28"/>
  <c r="Z55" i="28"/>
  <c r="AJ36" i="28" a="1"/>
  <c r="AJ36" i="28" s="1"/>
  <c r="AJ41" i="28" a="1"/>
  <c r="AJ41" i="28" s="1"/>
  <c r="AC36" i="28" a="1"/>
  <c r="AC36" i="28" s="1"/>
  <c r="AQ57" i="28"/>
  <c r="AO57" i="28"/>
  <c r="AQ56" i="28"/>
  <c r="AO56" i="28"/>
  <c r="AQ55" i="28"/>
  <c r="AO55" i="28"/>
  <c r="AQ54" i="28"/>
  <c r="AO54" i="28"/>
  <c r="AQ53" i="28"/>
  <c r="AO53" i="28"/>
  <c r="AQ52" i="28"/>
  <c r="AO52" i="28"/>
  <c r="Z52" i="28"/>
  <c r="AQ51" i="28"/>
  <c r="AO51" i="28"/>
  <c r="AQ50" i="28"/>
  <c r="AO50" i="28"/>
  <c r="Z50" i="28"/>
  <c r="AQ49" i="28"/>
  <c r="AO49" i="28"/>
  <c r="Z49" i="28"/>
  <c r="AQ48" i="28"/>
  <c r="AO48" i="28"/>
  <c r="AM48" i="28" a="1"/>
  <c r="AM48" i="28" s="1"/>
  <c r="AQ47" i="28"/>
  <c r="AO47" i="28"/>
  <c r="AQ46" i="28"/>
  <c r="AO46" i="28"/>
  <c r="AQ45" i="28"/>
  <c r="AO45" i="28"/>
  <c r="AL45" i="28" a="1"/>
  <c r="AL45" i="28" s="1"/>
  <c r="AQ44" i="28"/>
  <c r="AO44" i="28"/>
  <c r="AQ43" i="28"/>
  <c r="AO43" i="28"/>
  <c r="AQ42" i="28"/>
  <c r="AO42" i="28"/>
  <c r="AQ41" i="28"/>
  <c r="AO41" i="28"/>
  <c r="AC41" i="28" a="1"/>
  <c r="AC41" i="28" s="1"/>
  <c r="AQ40" i="28"/>
  <c r="AO40" i="28"/>
  <c r="Z40" i="28"/>
  <c r="AQ39" i="28"/>
  <c r="AO39" i="28"/>
  <c r="AQ38" i="28"/>
  <c r="AO38" i="28"/>
  <c r="AQ37" i="28"/>
  <c r="AO37" i="28"/>
  <c r="AQ36" i="28"/>
  <c r="AO36" i="28"/>
  <c r="AQ35" i="28"/>
  <c r="AO35" i="28"/>
  <c r="AQ34" i="28"/>
  <c r="AO34" i="28"/>
  <c r="AQ33" i="28"/>
  <c r="AO33" i="28"/>
  <c r="AQ32" i="28"/>
  <c r="AO32" i="28"/>
  <c r="AC32" i="28" a="1"/>
  <c r="AC32" i="28" s="1"/>
  <c r="AQ31" i="28"/>
  <c r="AO31" i="28"/>
  <c r="AQ30" i="28"/>
  <c r="AO30" i="28"/>
  <c r="AQ29" i="28"/>
  <c r="AO29" i="28"/>
  <c r="AC29" i="28" a="1"/>
  <c r="AC29" i="28" s="1"/>
  <c r="AQ28" i="28"/>
  <c r="AO28" i="28"/>
  <c r="AQ27" i="28"/>
  <c r="AO27" i="28"/>
  <c r="K202" i="24"/>
  <c r="X450" i="24"/>
  <c r="X451" i="24" s="1"/>
  <c r="X452" i="24" s="1"/>
  <c r="X453" i="24" s="1"/>
  <c r="X454" i="24" s="1"/>
  <c r="X455" i="24" s="1"/>
  <c r="X456" i="24" s="1"/>
  <c r="X457" i="24" s="1"/>
  <c r="X458" i="24" s="1"/>
  <c r="X459" i="24" s="1"/>
  <c r="X460" i="24" s="1"/>
  <c r="X461" i="24" s="1"/>
  <c r="X462" i="24" s="1"/>
  <c r="X463" i="24" s="1"/>
  <c r="W450" i="24"/>
  <c r="W451" i="24" s="1"/>
  <c r="W452" i="24" s="1"/>
  <c r="W453" i="24" s="1"/>
  <c r="W454" i="24" s="1"/>
  <c r="W455" i="24" s="1"/>
  <c r="W456" i="24" s="1"/>
  <c r="W457" i="24" s="1"/>
  <c r="W458" i="24" s="1"/>
  <c r="W459" i="24" s="1"/>
  <c r="W460" i="24" s="1"/>
  <c r="W461" i="24" s="1"/>
  <c r="W462" i="24" s="1"/>
  <c r="W463" i="24" s="1"/>
  <c r="V450" i="24"/>
  <c r="V451" i="24" s="1"/>
  <c r="V452" i="24" s="1"/>
  <c r="V453" i="24" s="1"/>
  <c r="V454" i="24" s="1"/>
  <c r="V455" i="24" s="1"/>
  <c r="V456" i="24" s="1"/>
  <c r="V457" i="24" s="1"/>
  <c r="V458" i="24" s="1"/>
  <c r="V459" i="24" s="1"/>
  <c r="V460" i="24" s="1"/>
  <c r="V461" i="24" s="1"/>
  <c r="V462" i="24" s="1"/>
  <c r="V463" i="24" s="1"/>
  <c r="U450" i="24"/>
  <c r="U451" i="24" s="1"/>
  <c r="U452" i="24" s="1"/>
  <c r="U453" i="24" s="1"/>
  <c r="U454" i="24" s="1"/>
  <c r="U455" i="24" s="1"/>
  <c r="U456" i="24" s="1"/>
  <c r="U457" i="24" s="1"/>
  <c r="U458" i="24" s="1"/>
  <c r="U459" i="24" s="1"/>
  <c r="U460" i="24" s="1"/>
  <c r="U461" i="24" s="1"/>
  <c r="U462" i="24" s="1"/>
  <c r="U463" i="24" s="1"/>
  <c r="T450" i="24"/>
  <c r="T451" i="24" s="1"/>
  <c r="T452" i="24" s="1"/>
  <c r="T453" i="24" s="1"/>
  <c r="T454" i="24" s="1"/>
  <c r="T455" i="24" s="1"/>
  <c r="T456" i="24" s="1"/>
  <c r="T457" i="24" s="1"/>
  <c r="T458" i="24" s="1"/>
  <c r="T459" i="24" s="1"/>
  <c r="T460" i="24" s="1"/>
  <c r="T461" i="24" s="1"/>
  <c r="T462" i="24" s="1"/>
  <c r="T463" i="24" s="1"/>
  <c r="R450" i="24"/>
  <c r="R451" i="24" s="1"/>
  <c r="R452" i="24" s="1"/>
  <c r="R453" i="24" s="1"/>
  <c r="R454" i="24" s="1"/>
  <c r="R455" i="24" s="1"/>
  <c r="R456" i="24" s="1"/>
  <c r="R457" i="24" s="1"/>
  <c r="R458" i="24" s="1"/>
  <c r="R459" i="24" s="1"/>
  <c r="R460" i="24" s="1"/>
  <c r="R461" i="24" s="1"/>
  <c r="R462" i="24" s="1"/>
  <c r="R463" i="24" s="1"/>
  <c r="Q450" i="24"/>
  <c r="Q451" i="24" s="1"/>
  <c r="Q452" i="24" s="1"/>
  <c r="Q453" i="24" s="1"/>
  <c r="Q454" i="24" s="1"/>
  <c r="Q455" i="24" s="1"/>
  <c r="Q456" i="24" s="1"/>
  <c r="Q457" i="24" s="1"/>
  <c r="Q458" i="24" s="1"/>
  <c r="Q459" i="24" s="1"/>
  <c r="Q460" i="24" s="1"/>
  <c r="Q461" i="24" s="1"/>
  <c r="Q462" i="24" s="1"/>
  <c r="Q463" i="24" s="1"/>
  <c r="P450" i="24"/>
  <c r="P451" i="24" s="1"/>
  <c r="P452" i="24" s="1"/>
  <c r="P453" i="24" s="1"/>
  <c r="P454" i="24" s="1"/>
  <c r="P455" i="24" s="1"/>
  <c r="P456" i="24" s="1"/>
  <c r="P457" i="24" s="1"/>
  <c r="P458" i="24" s="1"/>
  <c r="P459" i="24" s="1"/>
  <c r="P460" i="24" s="1"/>
  <c r="P461" i="24" s="1"/>
  <c r="P462" i="24" s="1"/>
  <c r="P463" i="24" s="1"/>
  <c r="O450" i="24"/>
  <c r="O451" i="24" s="1"/>
  <c r="O452" i="24" s="1"/>
  <c r="O453" i="24" s="1"/>
  <c r="O454" i="24" s="1"/>
  <c r="O455" i="24" s="1"/>
  <c r="O456" i="24" s="1"/>
  <c r="O457" i="24" s="1"/>
  <c r="O458" i="24" s="1"/>
  <c r="O459" i="24" s="1"/>
  <c r="O460" i="24" s="1"/>
  <c r="O461" i="24" s="1"/>
  <c r="O462" i="24" s="1"/>
  <c r="O463" i="24" s="1"/>
  <c r="N450" i="24"/>
  <c r="N451" i="24" s="1"/>
  <c r="N452" i="24" s="1"/>
  <c r="N453" i="24" s="1"/>
  <c r="N454" i="24" s="1"/>
  <c r="N455" i="24" s="1"/>
  <c r="N456" i="24" s="1"/>
  <c r="N457" i="24" s="1"/>
  <c r="N458" i="24" s="1"/>
  <c r="N459" i="24" s="1"/>
  <c r="N460" i="24" s="1"/>
  <c r="N461" i="24" s="1"/>
  <c r="N462" i="24" s="1"/>
  <c r="N463" i="24" s="1"/>
  <c r="M450" i="24"/>
  <c r="M451" i="24" s="1"/>
  <c r="M452" i="24" s="1"/>
  <c r="M453" i="24" s="1"/>
  <c r="M454" i="24" s="1"/>
  <c r="M455" i="24" s="1"/>
  <c r="M456" i="24" s="1"/>
  <c r="M457" i="24" s="1"/>
  <c r="M458" i="24" s="1"/>
  <c r="M459" i="24" s="1"/>
  <c r="M460" i="24" s="1"/>
  <c r="M461" i="24" s="1"/>
  <c r="M462" i="24" s="1"/>
  <c r="M463" i="24" s="1"/>
  <c r="L450" i="24"/>
  <c r="L451" i="24" s="1"/>
  <c r="L452" i="24" s="1"/>
  <c r="L453" i="24" s="1"/>
  <c r="L454" i="24" s="1"/>
  <c r="L455" i="24" s="1"/>
  <c r="L456" i="24" s="1"/>
  <c r="L457" i="24" s="1"/>
  <c r="L458" i="24" s="1"/>
  <c r="L459" i="24" s="1"/>
  <c r="L460" i="24" s="1"/>
  <c r="L461" i="24" s="1"/>
  <c r="L462" i="24" s="1"/>
  <c r="L463" i="24" s="1"/>
  <c r="K450" i="24"/>
  <c r="K451" i="24" s="1"/>
  <c r="K452" i="24" s="1"/>
  <c r="K453" i="24" s="1"/>
  <c r="K454" i="24" s="1"/>
  <c r="K455" i="24" s="1"/>
  <c r="K456" i="24" s="1"/>
  <c r="K457" i="24" s="1"/>
  <c r="K458" i="24" s="1"/>
  <c r="K459" i="24" s="1"/>
  <c r="K460" i="24" s="1"/>
  <c r="K461" i="24" s="1"/>
  <c r="K462" i="24" s="1"/>
  <c r="K463" i="24" s="1"/>
  <c r="G450" i="24"/>
  <c r="G451" i="24" s="1"/>
  <c r="G452" i="24" s="1"/>
  <c r="G453" i="24" s="1"/>
  <c r="G454" i="24" s="1"/>
  <c r="G455" i="24" s="1"/>
  <c r="G456" i="24" s="1"/>
  <c r="G457" i="24" s="1"/>
  <c r="G458" i="24" s="1"/>
  <c r="G459" i="24" s="1"/>
  <c r="G460" i="24" s="1"/>
  <c r="G461" i="24" s="1"/>
  <c r="G462" i="24" s="1"/>
  <c r="G463" i="24" s="1"/>
  <c r="F450" i="24"/>
  <c r="F451" i="24" s="1"/>
  <c r="F452" i="24" s="1"/>
  <c r="F453" i="24" s="1"/>
  <c r="F454" i="24" s="1"/>
  <c r="F455" i="24" s="1"/>
  <c r="F456" i="24" s="1"/>
  <c r="F457" i="24" s="1"/>
  <c r="F458" i="24" s="1"/>
  <c r="F459" i="24" s="1"/>
  <c r="F460" i="24" s="1"/>
  <c r="F461" i="24" s="1"/>
  <c r="F462" i="24" s="1"/>
  <c r="F463" i="24" s="1"/>
  <c r="E450" i="24"/>
  <c r="E451" i="24" s="1"/>
  <c r="E452" i="24" s="1"/>
  <c r="C431" i="24"/>
  <c r="C430" i="24"/>
  <c r="C429" i="24"/>
  <c r="C428" i="24"/>
  <c r="I114"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K224" i="24"/>
  <c r="A86" i="21"/>
  <c r="B86" i="21"/>
  <c r="C86" i="21"/>
  <c r="D86" i="21"/>
  <c r="E86" i="21"/>
  <c r="F86" i="21"/>
  <c r="G86" i="21"/>
  <c r="H86" i="21"/>
  <c r="I86" i="21"/>
  <c r="J86" i="21"/>
  <c r="K86" i="21"/>
  <c r="L86" i="21"/>
  <c r="M86" i="21"/>
  <c r="N86" i="21"/>
  <c r="O86" i="21"/>
  <c r="P86" i="21"/>
  <c r="Q86" i="21"/>
  <c r="R86" i="21"/>
  <c r="S86" i="21"/>
  <c r="T86" i="21"/>
  <c r="U86" i="21"/>
  <c r="V86" i="21"/>
  <c r="W86" i="21"/>
  <c r="X86" i="21"/>
  <c r="A87" i="21"/>
  <c r="B87" i="21"/>
  <c r="C87" i="21"/>
  <c r="D87" i="21"/>
  <c r="E87" i="21"/>
  <c r="F87" i="21"/>
  <c r="G87" i="21"/>
  <c r="H87" i="21"/>
  <c r="I87" i="21"/>
  <c r="J87" i="21"/>
  <c r="K87" i="21"/>
  <c r="L87" i="21"/>
  <c r="M87" i="21"/>
  <c r="N87" i="21"/>
  <c r="O87" i="21"/>
  <c r="P87" i="21"/>
  <c r="Q87" i="21"/>
  <c r="R87" i="21"/>
  <c r="S87" i="21"/>
  <c r="T87" i="21"/>
  <c r="U87" i="21"/>
  <c r="V87" i="21"/>
  <c r="W87" i="21"/>
  <c r="X87" i="21"/>
  <c r="A88" i="21"/>
  <c r="B88" i="21"/>
  <c r="D88" i="21"/>
  <c r="H88" i="21"/>
  <c r="J88" i="21"/>
  <c r="K88" i="21"/>
  <c r="N88" i="21"/>
  <c r="O88" i="21"/>
  <c r="P88" i="21"/>
  <c r="Q88" i="21"/>
  <c r="R88" i="21"/>
  <c r="S88" i="21"/>
  <c r="T88" i="21"/>
  <c r="U88" i="21"/>
  <c r="V88" i="21"/>
  <c r="W88" i="21"/>
  <c r="X88" i="21"/>
  <c r="A89" i="21"/>
  <c r="B89" i="21"/>
  <c r="K89" i="21"/>
  <c r="O89" i="21"/>
  <c r="P89" i="21"/>
  <c r="Q89" i="21"/>
  <c r="R89" i="21"/>
  <c r="S89" i="21"/>
  <c r="T89" i="21"/>
  <c r="U89" i="21"/>
  <c r="V89" i="21"/>
  <c r="W89" i="21"/>
  <c r="X89" i="21"/>
  <c r="A90" i="21"/>
  <c r="B90" i="21"/>
  <c r="K90" i="21"/>
  <c r="O90" i="21"/>
  <c r="P90" i="21"/>
  <c r="Q90" i="21"/>
  <c r="R90" i="21"/>
  <c r="S90" i="21"/>
  <c r="T90" i="21"/>
  <c r="U90" i="21"/>
  <c r="V90" i="21"/>
  <c r="W90" i="21"/>
  <c r="X90" i="21"/>
  <c r="A91" i="21"/>
  <c r="B91" i="21"/>
  <c r="K91" i="21"/>
  <c r="O91" i="21"/>
  <c r="P91" i="21"/>
  <c r="Q91" i="21"/>
  <c r="R91" i="21"/>
  <c r="S91" i="21"/>
  <c r="T91" i="21"/>
  <c r="U91" i="21"/>
  <c r="V91" i="21"/>
  <c r="W91" i="21"/>
  <c r="X91" i="21"/>
  <c r="A92" i="21"/>
  <c r="B92" i="21"/>
  <c r="K92" i="21"/>
  <c r="O92" i="21"/>
  <c r="P92" i="21"/>
  <c r="Q92" i="21"/>
  <c r="R92" i="21"/>
  <c r="S92" i="21"/>
  <c r="T92" i="21"/>
  <c r="U92" i="21"/>
  <c r="V92" i="21"/>
  <c r="W92" i="21"/>
  <c r="X92" i="21"/>
  <c r="A93" i="21"/>
  <c r="B93" i="21"/>
  <c r="K93" i="21"/>
  <c r="O93" i="21"/>
  <c r="P93" i="21"/>
  <c r="Q93" i="21"/>
  <c r="R93" i="21"/>
  <c r="S93" i="21"/>
  <c r="T93" i="21"/>
  <c r="U93" i="21"/>
  <c r="V93" i="21"/>
  <c r="W93" i="21"/>
  <c r="X93" i="21"/>
  <c r="A94" i="21"/>
  <c r="B94" i="21"/>
  <c r="K94" i="21"/>
  <c r="O94" i="21"/>
  <c r="P94" i="21"/>
  <c r="Q94" i="21"/>
  <c r="R94" i="21"/>
  <c r="S94" i="21"/>
  <c r="T94" i="21"/>
  <c r="U94" i="21"/>
  <c r="V94" i="21"/>
  <c r="W94" i="21"/>
  <c r="X94" i="21"/>
  <c r="A95" i="21"/>
  <c r="B95" i="21"/>
  <c r="K95" i="21"/>
  <c r="O95" i="21"/>
  <c r="P95" i="21"/>
  <c r="Q95" i="21"/>
  <c r="R95" i="21"/>
  <c r="S95" i="21"/>
  <c r="T95" i="21"/>
  <c r="U95" i="21"/>
  <c r="V95" i="21"/>
  <c r="W95" i="21"/>
  <c r="X95" i="21"/>
  <c r="A96" i="21"/>
  <c r="B96" i="21"/>
  <c r="K96" i="21"/>
  <c r="O96" i="21"/>
  <c r="P96" i="21"/>
  <c r="Q96" i="21"/>
  <c r="R96" i="21"/>
  <c r="S96" i="21"/>
  <c r="T96" i="21"/>
  <c r="U96" i="21"/>
  <c r="V96" i="21"/>
  <c r="W96" i="21"/>
  <c r="X96" i="21"/>
  <c r="A97" i="21"/>
  <c r="B97" i="21"/>
  <c r="K97" i="21"/>
  <c r="O97" i="21"/>
  <c r="P97" i="21"/>
  <c r="Q97" i="21"/>
  <c r="R97" i="21"/>
  <c r="S97" i="21"/>
  <c r="T97" i="21"/>
  <c r="U97" i="21"/>
  <c r="V97" i="21"/>
  <c r="W97" i="21"/>
  <c r="X97" i="21"/>
  <c r="A98" i="21"/>
  <c r="B98" i="21"/>
  <c r="K98" i="21"/>
  <c r="O98" i="21"/>
  <c r="P98" i="21"/>
  <c r="Q98" i="21"/>
  <c r="R98" i="21"/>
  <c r="S98" i="21"/>
  <c r="T98" i="21"/>
  <c r="U98" i="21"/>
  <c r="V98" i="21"/>
  <c r="W98" i="21"/>
  <c r="X98" i="21"/>
  <c r="A99" i="21"/>
  <c r="B99" i="21"/>
  <c r="K99" i="21"/>
  <c r="O99" i="21"/>
  <c r="P99" i="21"/>
  <c r="Q99" i="21"/>
  <c r="R99" i="21"/>
  <c r="S99" i="21"/>
  <c r="T99" i="21"/>
  <c r="U99" i="21"/>
  <c r="V99" i="21"/>
  <c r="W99" i="21"/>
  <c r="X99" i="21"/>
  <c r="A100" i="21"/>
  <c r="B100" i="21"/>
  <c r="K100" i="21"/>
  <c r="O100" i="21"/>
  <c r="P100" i="21"/>
  <c r="Q100" i="21"/>
  <c r="R100" i="21"/>
  <c r="S100" i="21"/>
  <c r="T100" i="21"/>
  <c r="U100" i="21"/>
  <c r="V100" i="21"/>
  <c r="W100" i="21"/>
  <c r="X100" i="21"/>
  <c r="A101" i="21"/>
  <c r="B101" i="21"/>
  <c r="K101" i="21"/>
  <c r="O101" i="21"/>
  <c r="P101" i="21"/>
  <c r="Q101" i="21"/>
  <c r="R101" i="21"/>
  <c r="S101" i="21"/>
  <c r="T101" i="21"/>
  <c r="U101" i="21"/>
  <c r="V101" i="21"/>
  <c r="W101" i="21"/>
  <c r="X101" i="21"/>
  <c r="A102" i="21"/>
  <c r="B102" i="21"/>
  <c r="K102" i="21"/>
  <c r="O102" i="21"/>
  <c r="P102" i="21"/>
  <c r="Q102" i="21"/>
  <c r="R102" i="21"/>
  <c r="S102" i="21"/>
  <c r="T102" i="21"/>
  <c r="U102" i="21"/>
  <c r="V102" i="21"/>
  <c r="W102" i="21"/>
  <c r="X102" i="21"/>
  <c r="A103" i="21"/>
  <c r="B103" i="21"/>
  <c r="K103" i="21"/>
  <c r="N103" i="21"/>
  <c r="O103" i="21"/>
  <c r="P103" i="21"/>
  <c r="Q103" i="21"/>
  <c r="R103" i="21"/>
  <c r="S103" i="21"/>
  <c r="T103" i="21"/>
  <c r="U103" i="21"/>
  <c r="V103" i="21"/>
  <c r="W103" i="21"/>
  <c r="X103" i="21"/>
  <c r="A104" i="21"/>
  <c r="B104" i="21"/>
  <c r="K104" i="21"/>
  <c r="N104" i="21"/>
  <c r="O104" i="21"/>
  <c r="P104" i="21"/>
  <c r="Q104" i="21"/>
  <c r="R104" i="21"/>
  <c r="S104" i="21"/>
  <c r="T104" i="21"/>
  <c r="U104" i="21"/>
  <c r="V104" i="21"/>
  <c r="W104" i="21"/>
  <c r="X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A106" i="21"/>
  <c r="B106" i="21"/>
  <c r="C106" i="21"/>
  <c r="D106" i="21"/>
  <c r="E106" i="21"/>
  <c r="F106" i="21"/>
  <c r="G106" i="21"/>
  <c r="H106" i="21"/>
  <c r="K106" i="21"/>
  <c r="L106" i="21"/>
  <c r="M106" i="21"/>
  <c r="N106" i="21"/>
  <c r="O106" i="21"/>
  <c r="P106" i="21"/>
  <c r="Q106" i="21"/>
  <c r="R106" i="21"/>
  <c r="S106" i="21"/>
  <c r="T106" i="21"/>
  <c r="U106" i="21"/>
  <c r="V106" i="21"/>
  <c r="W106" i="21"/>
  <c r="X106" i="21"/>
  <c r="A107" i="21"/>
  <c r="B107" i="21"/>
  <c r="C107" i="21"/>
  <c r="D107" i="21"/>
  <c r="E107" i="21"/>
  <c r="F107" i="21"/>
  <c r="G107" i="21"/>
  <c r="H107" i="21"/>
  <c r="I107" i="21"/>
  <c r="K107" i="21"/>
  <c r="L107" i="21"/>
  <c r="M107" i="21"/>
  <c r="N107" i="21"/>
  <c r="O107" i="21"/>
  <c r="P107" i="21"/>
  <c r="Q107" i="21"/>
  <c r="R107" i="21"/>
  <c r="S107" i="21"/>
  <c r="T107" i="21"/>
  <c r="U107" i="21"/>
  <c r="V107" i="21"/>
  <c r="W107" i="21"/>
  <c r="X107" i="21"/>
  <c r="A108" i="21"/>
  <c r="B108" i="21"/>
  <c r="C108" i="21"/>
  <c r="D108" i="21"/>
  <c r="E108" i="21"/>
  <c r="F108" i="21"/>
  <c r="G108" i="21"/>
  <c r="H108" i="21"/>
  <c r="I108" i="21"/>
  <c r="K108" i="21"/>
  <c r="L108" i="21"/>
  <c r="M108" i="21"/>
  <c r="N108" i="21"/>
  <c r="O108" i="21"/>
  <c r="P108" i="21"/>
  <c r="Q108" i="21"/>
  <c r="R108" i="21"/>
  <c r="S108" i="21"/>
  <c r="T108" i="21"/>
  <c r="U108" i="21"/>
  <c r="V108" i="21"/>
  <c r="W108" i="21"/>
  <c r="X108" i="21"/>
  <c r="A109" i="21"/>
  <c r="B109" i="21"/>
  <c r="C109" i="21"/>
  <c r="E109" i="21"/>
  <c r="F109" i="21"/>
  <c r="G109" i="21"/>
  <c r="H109" i="21"/>
  <c r="I109" i="21"/>
  <c r="K109" i="21"/>
  <c r="L109" i="21"/>
  <c r="M109" i="21"/>
  <c r="N109" i="21"/>
  <c r="O109" i="21"/>
  <c r="P109" i="21"/>
  <c r="Q109" i="21"/>
  <c r="R109" i="21"/>
  <c r="S109" i="21"/>
  <c r="T109" i="21"/>
  <c r="U109" i="21"/>
  <c r="V109" i="21"/>
  <c r="W109" i="21"/>
  <c r="X109" i="21"/>
  <c r="A110" i="21"/>
  <c r="B110" i="21"/>
  <c r="C110" i="21"/>
  <c r="D110" i="21"/>
  <c r="E110" i="21"/>
  <c r="F110" i="21"/>
  <c r="G110" i="21"/>
  <c r="H110" i="21"/>
  <c r="I110" i="21"/>
  <c r="J110" i="21"/>
  <c r="K110" i="21"/>
  <c r="M110" i="21"/>
  <c r="N110" i="21"/>
  <c r="O110" i="21"/>
  <c r="P110" i="21"/>
  <c r="Q110" i="21"/>
  <c r="R110" i="21"/>
  <c r="S110" i="21"/>
  <c r="T110" i="21"/>
  <c r="U110" i="21"/>
  <c r="V110" i="21"/>
  <c r="W110" i="21"/>
  <c r="X110" i="21"/>
  <c r="A111" i="21"/>
  <c r="B111" i="21"/>
  <c r="C111" i="21"/>
  <c r="D111" i="21"/>
  <c r="E111" i="21"/>
  <c r="F111" i="21"/>
  <c r="G111" i="21"/>
  <c r="H111" i="21"/>
  <c r="I111" i="21"/>
  <c r="J111" i="21"/>
  <c r="K111" i="21"/>
  <c r="M111" i="21"/>
  <c r="N111" i="21"/>
  <c r="O111" i="21"/>
  <c r="P111" i="21"/>
  <c r="Q111" i="21"/>
  <c r="R111" i="21"/>
  <c r="S111" i="21"/>
  <c r="T111" i="21"/>
  <c r="U111" i="21"/>
  <c r="V111" i="21"/>
  <c r="W111" i="21"/>
  <c r="X111" i="21"/>
  <c r="A112" i="21"/>
  <c r="B112" i="21"/>
  <c r="C112" i="21"/>
  <c r="D112" i="21"/>
  <c r="E112" i="21"/>
  <c r="F112" i="21"/>
  <c r="G112" i="21"/>
  <c r="H112" i="21"/>
  <c r="I112" i="21"/>
  <c r="J112" i="21"/>
  <c r="K112" i="21"/>
  <c r="M112" i="21"/>
  <c r="N112" i="21"/>
  <c r="O112" i="21"/>
  <c r="P112" i="21"/>
  <c r="Q112" i="21"/>
  <c r="R112" i="21"/>
  <c r="S112" i="21"/>
  <c r="T112" i="21"/>
  <c r="U112" i="21"/>
  <c r="V112" i="21"/>
  <c r="W112" i="21"/>
  <c r="X112" i="21"/>
  <c r="N225" i="24"/>
  <c r="N227" i="24" s="1"/>
  <c r="L223" i="24"/>
  <c r="J109" i="21" s="1"/>
  <c r="F223" i="24"/>
  <c r="L221" i="24"/>
  <c r="J107" i="21" s="1"/>
  <c r="P203" i="24"/>
  <c r="P204" i="24" s="1"/>
  <c r="P205" i="24" s="1"/>
  <c r="P206" i="24" s="1"/>
  <c r="P207" i="24" s="1"/>
  <c r="P208" i="24" s="1"/>
  <c r="P209" i="24" s="1"/>
  <c r="P210" i="24" s="1"/>
  <c r="P211" i="24" s="1"/>
  <c r="P212" i="24" s="1"/>
  <c r="P213" i="24" s="1"/>
  <c r="P214" i="24" s="1"/>
  <c r="P215" i="24" s="1"/>
  <c r="P216" i="24" s="1"/>
  <c r="L203" i="24"/>
  <c r="L204" i="24" s="1"/>
  <c r="L205" i="24" s="1"/>
  <c r="L206" i="24" s="1"/>
  <c r="L207" i="24" s="1"/>
  <c r="L208" i="24" s="1"/>
  <c r="L209" i="24" s="1"/>
  <c r="L210" i="24" s="1"/>
  <c r="L211" i="24" s="1"/>
  <c r="L212" i="24" s="1"/>
  <c r="L213" i="24" s="1"/>
  <c r="L214" i="24" s="1"/>
  <c r="L215" i="24" s="1"/>
  <c r="L216" i="24" s="1"/>
  <c r="J102" i="21" s="1"/>
  <c r="F203" i="24"/>
  <c r="V37" i="25"/>
  <c r="N40" i="25"/>
  <c r="N88" i="25"/>
  <c r="L156" i="28" s="1"/>
  <c r="L155" i="28"/>
  <c r="D59" i="25"/>
  <c r="C59" i="25"/>
  <c r="C20" i="25"/>
  <c r="F113" i="24"/>
  <c r="F111" i="24"/>
  <c r="F107" i="24"/>
  <c r="F109" i="24"/>
  <c r="F108" i="24"/>
  <c r="F110" i="24"/>
  <c r="F112" i="24"/>
  <c r="F106" i="24"/>
  <c r="N105" i="24"/>
  <c r="V104" i="24"/>
  <c r="F103" i="24"/>
  <c r="F102" i="24"/>
  <c r="C75" i="24"/>
  <c r="C77" i="24" s="1" a="1"/>
  <c r="C77" i="24" s="1"/>
  <c r="B57" i="24"/>
  <c r="B58" i="24"/>
  <c r="B56" i="24"/>
  <c r="N56" i="24"/>
  <c r="L112" i="37" s="1"/>
  <c r="N55" i="24"/>
  <c r="K53" i="24"/>
  <c r="F53" i="24"/>
  <c r="L46" i="24"/>
  <c r="J49" i="24"/>
  <c r="L49" i="24"/>
  <c r="E49" i="24"/>
  <c r="J47" i="24"/>
  <c r="L33" i="24"/>
  <c r="P163" i="24"/>
  <c r="P160" i="24"/>
  <c r="P159" i="24"/>
  <c r="V162" i="24"/>
  <c r="P161" i="24"/>
  <c r="K141" i="24"/>
  <c r="K150" i="24" s="1"/>
  <c r="D129" i="24"/>
  <c r="D131" i="24" s="1" a="1"/>
  <c r="D131" i="24" s="1"/>
  <c r="C129" i="24"/>
  <c r="C131" i="24" s="1" a="1"/>
  <c r="C131" i="24" s="1"/>
  <c r="E141" i="24"/>
  <c r="E154" i="24" s="1"/>
  <c r="L141" i="24"/>
  <c r="L152" i="24" s="1"/>
  <c r="E85" i="24"/>
  <c r="E97" i="24" s="1"/>
  <c r="L100" i="24"/>
  <c r="K100" i="24"/>
  <c r="L99" i="24"/>
  <c r="K99" i="24"/>
  <c r="L98" i="24"/>
  <c r="K98" i="24"/>
  <c r="L97" i="24"/>
  <c r="K97" i="24"/>
  <c r="L96" i="24"/>
  <c r="K96" i="24"/>
  <c r="L95" i="24"/>
  <c r="K95" i="24"/>
  <c r="L94" i="24"/>
  <c r="K94" i="24"/>
  <c r="L93" i="24"/>
  <c r="K93" i="24"/>
  <c r="L92" i="24"/>
  <c r="K92" i="24"/>
  <c r="L91" i="24"/>
  <c r="K91" i="24"/>
  <c r="L90" i="24"/>
  <c r="K90" i="24"/>
  <c r="L89" i="24"/>
  <c r="K89" i="24"/>
  <c r="L88" i="24"/>
  <c r="K88" i="24"/>
  <c r="L87" i="24"/>
  <c r="K87" i="24"/>
  <c r="L86" i="24"/>
  <c r="K86" i="24"/>
  <c r="L85" i="24"/>
  <c r="K85" i="24"/>
  <c r="D75" i="24"/>
  <c r="D77" i="24" s="1" a="1"/>
  <c r="D77" i="24" s="1"/>
  <c r="N54" i="24"/>
  <c r="V52" i="24"/>
  <c r="L48" i="24"/>
  <c r="J48" i="24"/>
  <c r="E48" i="24"/>
  <c r="E46" i="24"/>
  <c r="L45" i="24"/>
  <c r="E45" i="24"/>
  <c r="L44" i="24"/>
  <c r="E44" i="24"/>
  <c r="L43" i="24"/>
  <c r="E43" i="24"/>
  <c r="L42" i="24"/>
  <c r="E42" i="24"/>
  <c r="L41" i="24"/>
  <c r="E41" i="24"/>
  <c r="L47" i="24"/>
  <c r="E47" i="24"/>
  <c r="L40" i="24"/>
  <c r="E40" i="24"/>
  <c r="L39" i="24"/>
  <c r="E39" i="24"/>
  <c r="L38" i="24"/>
  <c r="E38" i="24"/>
  <c r="L37" i="24"/>
  <c r="E37" i="24"/>
  <c r="L36" i="24"/>
  <c r="E36" i="24"/>
  <c r="L35" i="24"/>
  <c r="E35" i="24"/>
  <c r="L34" i="24"/>
  <c r="E34" i="24"/>
  <c r="E33" i="24"/>
  <c r="L32" i="24"/>
  <c r="E32" i="24"/>
  <c r="C20" i="24"/>
  <c r="C22" i="24" s="1" a="1"/>
  <c r="C22" i="24" s="1"/>
  <c r="AO37" i="21"/>
  <c r="AQ37" i="21"/>
  <c r="H14" i="10"/>
  <c r="AQ57" i="21"/>
  <c r="AO57" i="21"/>
  <c r="AQ56" i="21"/>
  <c r="AO56" i="21"/>
  <c r="AQ55" i="21"/>
  <c r="AO55" i="21"/>
  <c r="AQ54" i="21"/>
  <c r="AO54" i="21"/>
  <c r="AQ53" i="21"/>
  <c r="AO53" i="21"/>
  <c r="AQ52" i="21"/>
  <c r="AO52" i="21"/>
  <c r="AQ51" i="21"/>
  <c r="AO51" i="21"/>
  <c r="AQ50" i="21"/>
  <c r="AO50" i="21"/>
  <c r="AQ49" i="21"/>
  <c r="AO49" i="21"/>
  <c r="AQ48" i="21"/>
  <c r="AO48" i="21"/>
  <c r="AQ47" i="21"/>
  <c r="AO47" i="21"/>
  <c r="AQ46" i="21"/>
  <c r="AO46" i="21"/>
  <c r="AQ45" i="21"/>
  <c r="AO45" i="21"/>
  <c r="AQ44" i="21"/>
  <c r="AO44" i="21"/>
  <c r="AQ43" i="21"/>
  <c r="AO43" i="21"/>
  <c r="AQ42" i="21"/>
  <c r="AO42" i="21"/>
  <c r="AQ41" i="21"/>
  <c r="AO41" i="21"/>
  <c r="AQ40" i="21"/>
  <c r="AO40" i="21"/>
  <c r="AQ39" i="21"/>
  <c r="AO39" i="21"/>
  <c r="AQ38" i="21"/>
  <c r="AO38" i="21"/>
  <c r="AQ36" i="21"/>
  <c r="AO36" i="21"/>
  <c r="AQ35" i="21"/>
  <c r="AO35" i="21"/>
  <c r="AQ34" i="21"/>
  <c r="AO34" i="21"/>
  <c r="AQ33" i="21"/>
  <c r="AO33" i="21"/>
  <c r="AQ32" i="21"/>
  <c r="AO32" i="21"/>
  <c r="AQ31" i="21"/>
  <c r="AO31" i="21"/>
  <c r="AQ30" i="21"/>
  <c r="AO30" i="21"/>
  <c r="AQ29" i="21"/>
  <c r="AO29" i="21"/>
  <c r="AQ28" i="21"/>
  <c r="AO28" i="21"/>
  <c r="AQ27" i="21"/>
  <c r="AO27" i="21"/>
  <c r="C108" i="39" l="1"/>
  <c r="C108" i="28"/>
  <c r="E404" i="24"/>
  <c r="G402" i="24"/>
  <c r="E107" i="39"/>
  <c r="E107" i="28"/>
  <c r="G105" i="28"/>
  <c r="G105" i="39"/>
  <c r="F107" i="28"/>
  <c r="F107" i="39"/>
  <c r="I400" i="24"/>
  <c r="D106" i="39"/>
  <c r="L112" i="28"/>
  <c r="L112" i="39"/>
  <c r="F401" i="24"/>
  <c r="D106" i="28"/>
  <c r="N410" i="24"/>
  <c r="L115" i="28"/>
  <c r="H402" i="24"/>
  <c r="C99" i="37"/>
  <c r="J95" i="37"/>
  <c r="H105" i="37"/>
  <c r="J99" i="37"/>
  <c r="J100" i="37"/>
  <c r="J101" i="37"/>
  <c r="C94" i="37"/>
  <c r="U55" i="28"/>
  <c r="C88" i="37"/>
  <c r="C95" i="37"/>
  <c r="C89" i="37"/>
  <c r="I109" i="37"/>
  <c r="C90" i="37"/>
  <c r="C91" i="37"/>
  <c r="U27" i="37" s="1"/>
  <c r="C102" i="37"/>
  <c r="U29" i="37" s="1"/>
  <c r="C101" i="37"/>
  <c r="U28" i="37" s="1"/>
  <c r="J96" i="37"/>
  <c r="C103" i="37"/>
  <c r="J91" i="37"/>
  <c r="J103" i="37"/>
  <c r="C104" i="37"/>
  <c r="C100" i="37"/>
  <c r="C96" i="37"/>
  <c r="C92" i="37"/>
  <c r="C97" i="37"/>
  <c r="H104" i="37"/>
  <c r="J89" i="37"/>
  <c r="J94" i="37"/>
  <c r="J102" i="37"/>
  <c r="AB40" i="28" a="1"/>
  <c r="AB40" i="28" s="1"/>
  <c r="J88" i="37"/>
  <c r="D109" i="37"/>
  <c r="L111" i="37"/>
  <c r="J90" i="37"/>
  <c r="J97" i="37"/>
  <c r="C93" i="37"/>
  <c r="C98" i="37"/>
  <c r="T108" i="37"/>
  <c r="C105" i="37"/>
  <c r="J92" i="37"/>
  <c r="J104" i="37"/>
  <c r="H103" i="37"/>
  <c r="J93" i="37"/>
  <c r="J98" i="37"/>
  <c r="L110" i="37"/>
  <c r="J105" i="37"/>
  <c r="Q14" i="28"/>
  <c r="Q15" i="28" s="1"/>
  <c r="E437" i="24" a="1"/>
  <c r="E437" i="24" s="1"/>
  <c r="F437" i="24" a="1"/>
  <c r="F437" i="24" s="1"/>
  <c r="D438" i="24" a="1"/>
  <c r="D438" i="24" s="1"/>
  <c r="D439" i="24" s="1" a="1"/>
  <c r="D439" i="24" s="1"/>
  <c r="C438" i="24" a="1"/>
  <c r="C438" i="24" s="1"/>
  <c r="C439" i="24" s="1" a="1"/>
  <c r="C439" i="24" s="1"/>
  <c r="H437" i="24" a="1"/>
  <c r="H437" i="24" s="1"/>
  <c r="I437" i="24" a="1"/>
  <c r="I437" i="24" s="1"/>
  <c r="G437" i="24" a="1"/>
  <c r="G437" i="24" s="1"/>
  <c r="P14" i="28"/>
  <c r="P15" i="28" s="1"/>
  <c r="R14" i="28"/>
  <c r="R15" i="28" s="1"/>
  <c r="U39" i="28"/>
  <c r="U56" i="28"/>
  <c r="U44" i="28"/>
  <c r="U49" i="28"/>
  <c r="U47" i="28"/>
  <c r="U57" i="28"/>
  <c r="U37" i="28"/>
  <c r="U45" i="28"/>
  <c r="U40" i="28"/>
  <c r="U48" i="28"/>
  <c r="N58" i="24"/>
  <c r="U43" i="28"/>
  <c r="H215" i="30"/>
  <c r="I214" i="30"/>
  <c r="E267" i="25"/>
  <c r="E121" i="25"/>
  <c r="AC56" i="28" a="1"/>
  <c r="AC56" i="28" s="1"/>
  <c r="AC33" i="28" a="1"/>
  <c r="AC33" i="28" s="1"/>
  <c r="Z39" i="28"/>
  <c r="AC40" i="28" a="1"/>
  <c r="AC40" i="28" s="1"/>
  <c r="Z47" i="28"/>
  <c r="AE50" i="28" a="1"/>
  <c r="AE50" i="28" s="1"/>
  <c r="AC52" i="28" a="1"/>
  <c r="AC52" i="28" s="1"/>
  <c r="AE40" i="28" a="1"/>
  <c r="AE40" i="28" s="1"/>
  <c r="AC47" i="28" a="1"/>
  <c r="AC47" i="28" s="1"/>
  <c r="AC27" i="28" a="1"/>
  <c r="AC27" i="28" s="1"/>
  <c r="AC30" i="28" a="1"/>
  <c r="AC30" i="28" s="1"/>
  <c r="AC39" i="28" a="1"/>
  <c r="AC39" i="28" s="1"/>
  <c r="Z43" i="28"/>
  <c r="Z54" i="28"/>
  <c r="AJ27" i="28" a="1"/>
  <c r="AJ27" i="28" s="1"/>
  <c r="AL34" i="28" a="1"/>
  <c r="AL34" i="28" s="1"/>
  <c r="AC38" i="28" a="1"/>
  <c r="AC38" i="28" s="1"/>
  <c r="AC43" i="28" a="1"/>
  <c r="AC43" i="28" s="1"/>
  <c r="Z46" i="28"/>
  <c r="AC49" i="28" a="1"/>
  <c r="AC49" i="28" s="1"/>
  <c r="AN54" i="28" a="1"/>
  <c r="AN54" i="28" s="1"/>
  <c r="AL29" i="28" a="1"/>
  <c r="AL29" i="28" s="1"/>
  <c r="AN39" i="28" a="1"/>
  <c r="AN39" i="28" s="1"/>
  <c r="V52" i="21" a="1"/>
  <c r="V52" i="21" s="1"/>
  <c r="AC31" i="28" a="1"/>
  <c r="AC31" i="28" s="1"/>
  <c r="AG38" i="28" a="1"/>
  <c r="AG38" i="28" s="1"/>
  <c r="Z42" i="28"/>
  <c r="AE46" i="28" a="1"/>
  <c r="AE46" i="28" s="1"/>
  <c r="AF49" i="28" a="1"/>
  <c r="AF49" i="28" s="1"/>
  <c r="AC34" i="28" a="1"/>
  <c r="AC34" i="28" s="1"/>
  <c r="C88" i="21"/>
  <c r="U51" i="21" s="1"/>
  <c r="AC28" i="28" a="1"/>
  <c r="AC28" i="28" s="1"/>
  <c r="AJ31" i="28" a="1"/>
  <c r="AJ31" i="28" s="1"/>
  <c r="Z37" i="28"/>
  <c r="AC51" i="28" a="1"/>
  <c r="AC51" i="28" s="1"/>
  <c r="AC35" i="28" a="1"/>
  <c r="AC35" i="28" s="1"/>
  <c r="AC42" i="28" a="1"/>
  <c r="AC42" i="28" s="1"/>
  <c r="Z45" i="28"/>
  <c r="Z48" i="28"/>
  <c r="Z53" i="28"/>
  <c r="AC37" i="28" a="1"/>
  <c r="AC37" i="28" s="1"/>
  <c r="AC45" i="28" a="1"/>
  <c r="AC45" i="28" s="1"/>
  <c r="AC48" i="28" a="1"/>
  <c r="AC48" i="28" s="1"/>
  <c r="AC53" i="28" a="1"/>
  <c r="AC53" i="28" s="1"/>
  <c r="AF30" i="28" a="1"/>
  <c r="AF30" i="28" s="1"/>
  <c r="AK54" i="28" a="1"/>
  <c r="AK54" i="28" s="1"/>
  <c r="AF33" i="28" a="1"/>
  <c r="AF33" i="28" s="1"/>
  <c r="AF27" i="28" a="1"/>
  <c r="AF27" i="28" s="1"/>
  <c r="AJ28" i="28" a="1"/>
  <c r="AJ28" i="28" s="1"/>
  <c r="AN29" i="28" a="1"/>
  <c r="AN29" i="28" s="1"/>
  <c r="AK31" i="28" a="1"/>
  <c r="AK31" i="28" s="1"/>
  <c r="AG33" i="28" a="1"/>
  <c r="AG33" i="28" s="1"/>
  <c r="AM34" i="28" a="1"/>
  <c r="AM34" i="28" s="1"/>
  <c r="AL36" i="28" a="1"/>
  <c r="AL36" i="28" s="1"/>
  <c r="AL41" i="28" a="1"/>
  <c r="AL41" i="28" s="1"/>
  <c r="AD42" i="28" a="1"/>
  <c r="AD42" i="28" s="1"/>
  <c r="AI42" i="28" s="1"/>
  <c r="AJ43" i="28" a="1"/>
  <c r="AJ43" i="28" s="1"/>
  <c r="AD44" i="28" a="1"/>
  <c r="AD44" i="28" s="1"/>
  <c r="AI44" i="28" s="1"/>
  <c r="AM45" i="28" a="1"/>
  <c r="AM45" i="28" s="1"/>
  <c r="AF46" i="28" a="1"/>
  <c r="AF46" i="28" s="1"/>
  <c r="AN48" i="28" a="1"/>
  <c r="AN48" i="28" s="1"/>
  <c r="AG49" i="28" a="1"/>
  <c r="AG49" i="28" s="1"/>
  <c r="AF50" i="28" a="1"/>
  <c r="AF50" i="28" s="1"/>
  <c r="AG51" i="28" a="1"/>
  <c r="AG51" i="28" s="1"/>
  <c r="AJ52" i="28" a="1"/>
  <c r="AJ52" i="28" s="1"/>
  <c r="AJ53" i="28" a="1"/>
  <c r="AJ53" i="28" s="1"/>
  <c r="AN56" i="28" a="1"/>
  <c r="AN56" i="28" s="1"/>
  <c r="AG27" i="28" a="1"/>
  <c r="AG27" i="28" s="1"/>
  <c r="AK28" i="28" a="1"/>
  <c r="AK28" i="28" s="1"/>
  <c r="AL31" i="28" a="1"/>
  <c r="AL31" i="28" s="1"/>
  <c r="AN34" i="28" a="1"/>
  <c r="AN34" i="28" s="1"/>
  <c r="AF35" i="28" a="1"/>
  <c r="AF35" i="28" s="1"/>
  <c r="AM36" i="28" a="1"/>
  <c r="AM36" i="28" s="1"/>
  <c r="AD37" i="28" a="1"/>
  <c r="AD37" i="28" s="1"/>
  <c r="AI37" i="28" s="1"/>
  <c r="AJ38" i="28" a="1"/>
  <c r="AJ38" i="28" s="1"/>
  <c r="AF40" i="28" a="1"/>
  <c r="AF40" i="28" s="1"/>
  <c r="AN41" i="28" a="1"/>
  <c r="AN41" i="28" s="1"/>
  <c r="AE42" i="28" a="1"/>
  <c r="AE42" i="28" s="1"/>
  <c r="AL43" i="28" a="1"/>
  <c r="AL43" i="28" s="1"/>
  <c r="AE44" i="28" a="1"/>
  <c r="AE44" i="28" s="1"/>
  <c r="AN45" i="28" a="1"/>
  <c r="AN45" i="28" s="1"/>
  <c r="AG46" i="28" a="1"/>
  <c r="AG46" i="28" s="1"/>
  <c r="AJ49" i="28" a="1"/>
  <c r="AJ49" i="28" s="1"/>
  <c r="AK52" i="28" a="1"/>
  <c r="AK52" i="28" s="1"/>
  <c r="AN53" i="28" a="1"/>
  <c r="AN53" i="28" s="1"/>
  <c r="AL28" i="28" a="1"/>
  <c r="AL28" i="28" s="1"/>
  <c r="AG30" i="28" a="1"/>
  <c r="AG30" i="28" s="1"/>
  <c r="AM31" i="28" a="1"/>
  <c r="AM31" i="28" s="1"/>
  <c r="AJ33" i="28" a="1"/>
  <c r="AJ33" i="28" s="1"/>
  <c r="AG35" i="28" a="1"/>
  <c r="AG35" i="28" s="1"/>
  <c r="AN36" i="28" a="1"/>
  <c r="AN36" i="28" s="1"/>
  <c r="AE37" i="28" a="1"/>
  <c r="AE37" i="28" s="1"/>
  <c r="AK38" i="28" a="1"/>
  <c r="AK38" i="28" s="1"/>
  <c r="AG40" i="28" a="1"/>
  <c r="AG40" i="28" s="1"/>
  <c r="AF42" i="28" a="1"/>
  <c r="AF42" i="28" s="1"/>
  <c r="AM43" i="28" a="1"/>
  <c r="AM43" i="28" s="1"/>
  <c r="AF44" i="28" a="1"/>
  <c r="AF44" i="28" s="1"/>
  <c r="AL49" i="28" a="1"/>
  <c r="AL49" i="28" s="1"/>
  <c r="AK50" i="28" a="1"/>
  <c r="AK50" i="28" s="1"/>
  <c r="AJ51" i="28" a="1"/>
  <c r="AJ51" i="28" s="1"/>
  <c r="AM28" i="28" a="1"/>
  <c r="AM28" i="28" s="1"/>
  <c r="AN31" i="28" a="1"/>
  <c r="AN31" i="28" s="1"/>
  <c r="AF32" i="28" a="1"/>
  <c r="AF32" i="28" s="1"/>
  <c r="AL33" i="28" a="1"/>
  <c r="AL33" i="28" s="1"/>
  <c r="AF37" i="28" a="1"/>
  <c r="AF37" i="28" s="1"/>
  <c r="AL38" i="28" a="1"/>
  <c r="AL38" i="28" s="1"/>
  <c r="AD39" i="28" a="1"/>
  <c r="AD39" i="28" s="1"/>
  <c r="AI39" i="28" s="1"/>
  <c r="AG42" i="28" a="1"/>
  <c r="AG42" i="28" s="1"/>
  <c r="AN43" i="28" a="1"/>
  <c r="AN43" i="28" s="1"/>
  <c r="AG44" i="28" a="1"/>
  <c r="AG44" i="28" s="1"/>
  <c r="AK46" i="28" a="1"/>
  <c r="AK46" i="28" s="1"/>
  <c r="AM49" i="28" a="1"/>
  <c r="AM49" i="28" s="1"/>
  <c r="AM50" i="28" a="1"/>
  <c r="AM50" i="28" s="1"/>
  <c r="AK27" i="28" a="1"/>
  <c r="AK27" i="28" s="1"/>
  <c r="AN28" i="28" a="1"/>
  <c r="AN28" i="28" s="1"/>
  <c r="AJ30" i="28" a="1"/>
  <c r="AJ30" i="28" s="1"/>
  <c r="AG32" i="28" a="1"/>
  <c r="AG32" i="28" s="1"/>
  <c r="AM33" i="28" a="1"/>
  <c r="AM33" i="28" s="1"/>
  <c r="AJ35" i="28" a="1"/>
  <c r="AJ35" i="28" s="1"/>
  <c r="AG37" i="28" a="1"/>
  <c r="AG37" i="28" s="1"/>
  <c r="AN38" i="28" a="1"/>
  <c r="AN38" i="28" s="1"/>
  <c r="AE39" i="28" a="1"/>
  <c r="AE39" i="28" s="1"/>
  <c r="AJ40" i="28" a="1"/>
  <c r="AJ40" i="28" s="1"/>
  <c r="AL46" i="28" a="1"/>
  <c r="AL46" i="28" s="1"/>
  <c r="AD47" i="28" a="1"/>
  <c r="AD47" i="28" s="1"/>
  <c r="AI47" i="28" s="1"/>
  <c r="AN50" i="28" a="1"/>
  <c r="AN50" i="28" s="1"/>
  <c r="AF57" i="28" a="1"/>
  <c r="AF57" i="28" s="1"/>
  <c r="AL27" i="28" a="1"/>
  <c r="AL27" i="28" s="1"/>
  <c r="AF29" i="28" a="1"/>
  <c r="AF29" i="28" s="1"/>
  <c r="AL30" i="28" a="1"/>
  <c r="AL30" i="28" s="1"/>
  <c r="AN33" i="28" a="1"/>
  <c r="AN33" i="28" s="1"/>
  <c r="AK35" i="28" a="1"/>
  <c r="AK35" i="28" s="1"/>
  <c r="AF39" i="28" a="1"/>
  <c r="AF39" i="28" s="1"/>
  <c r="AK40" i="28" a="1"/>
  <c r="AK40" i="28" s="1"/>
  <c r="AJ42" i="28" a="1"/>
  <c r="AJ42" i="28" s="1"/>
  <c r="AK44" i="28" a="1"/>
  <c r="AK44" i="28" s="1"/>
  <c r="AD45" i="28" a="1"/>
  <c r="AD45" i="28" s="1"/>
  <c r="AI45" i="28" s="1"/>
  <c r="AM46" i="28" a="1"/>
  <c r="AM46" i="28" s="1"/>
  <c r="AF47" i="28" a="1"/>
  <c r="AF47" i="28" s="1"/>
  <c r="AM27" i="28" a="1"/>
  <c r="AM27" i="28" s="1"/>
  <c r="AG29" i="28" a="1"/>
  <c r="AG29" i="28" s="1"/>
  <c r="AM30" i="28" a="1"/>
  <c r="AM30" i="28" s="1"/>
  <c r="AJ32" i="28" a="1"/>
  <c r="AJ32" i="28" s="1"/>
  <c r="AF34" i="28" a="1"/>
  <c r="AF34" i="28" s="1"/>
  <c r="AL35" i="28" a="1"/>
  <c r="AL35" i="28" s="1"/>
  <c r="AJ37" i="28" a="1"/>
  <c r="AJ37" i="28" s="1"/>
  <c r="AG39" i="28" a="1"/>
  <c r="AG39" i="28" s="1"/>
  <c r="AL40" i="28" a="1"/>
  <c r="AL40" i="28" s="1"/>
  <c r="AL42" i="28" a="1"/>
  <c r="AL42" i="28" s="1"/>
  <c r="AL44" i="28" a="1"/>
  <c r="AL44" i="28" s="1"/>
  <c r="AE45" i="28" a="1"/>
  <c r="AE45" i="28" s="1"/>
  <c r="AN46" i="28" a="1"/>
  <c r="AN46" i="28" s="1"/>
  <c r="AG47" i="28" a="1"/>
  <c r="AG47" i="28" s="1"/>
  <c r="AD48" i="28" a="1"/>
  <c r="AD48" i="28" s="1"/>
  <c r="AI48" i="28" s="1"/>
  <c r="AN27" i="28" a="1"/>
  <c r="AN27" i="28" s="1"/>
  <c r="AN30" i="28" a="1"/>
  <c r="AN30" i="28" s="1"/>
  <c r="AK32" i="28" a="1"/>
  <c r="AK32" i="28" s="1"/>
  <c r="AG34" i="28" a="1"/>
  <c r="AG34" i="28" s="1"/>
  <c r="AN35" i="28" a="1"/>
  <c r="AN35" i="28" s="1"/>
  <c r="AK37" i="28" a="1"/>
  <c r="AK37" i="28" s="1"/>
  <c r="AE41" i="28" a="1"/>
  <c r="AE41" i="28" s="1"/>
  <c r="AM42" i="28" a="1"/>
  <c r="AM42" i="28" s="1"/>
  <c r="AN44" i="28" a="1"/>
  <c r="AN44" i="28" s="1"/>
  <c r="AF45" i="28" a="1"/>
  <c r="AF45" i="28" s="1"/>
  <c r="AG48" i="28" a="1"/>
  <c r="AG48" i="28" s="1"/>
  <c r="AE55" i="28" a="1"/>
  <c r="AE55" i="28" s="1"/>
  <c r="AJ29" i="28" a="1"/>
  <c r="AJ29" i="28" s="1"/>
  <c r="AF31" i="28" a="1"/>
  <c r="AF31" i="28" s="1"/>
  <c r="AF36" i="28" a="1"/>
  <c r="AF36" i="28" s="1"/>
  <c r="AL37" i="28" a="1"/>
  <c r="AL37" i="28" s="1"/>
  <c r="AD38" i="28" a="1"/>
  <c r="AD38" i="28" s="1"/>
  <c r="AI38" i="28" s="1"/>
  <c r="AJ39" i="28" a="1"/>
  <c r="AJ39" i="28" s="1"/>
  <c r="AM40" i="28" a="1"/>
  <c r="AM40" i="28" s="1"/>
  <c r="AF41" i="28" a="1"/>
  <c r="AF41" i="28" s="1"/>
  <c r="AN42" i="28" a="1"/>
  <c r="AN42" i="28" s="1"/>
  <c r="AE43" i="28" a="1"/>
  <c r="AE43" i="28" s="1"/>
  <c r="AG45" i="28" a="1"/>
  <c r="AG45" i="28" s="1"/>
  <c r="AJ47" i="28" a="1"/>
  <c r="AJ47" i="28" s="1"/>
  <c r="AF54" i="28" a="1"/>
  <c r="AF54" i="28" s="1"/>
  <c r="AL50" i="28" a="1"/>
  <c r="AL50" i="28" s="1"/>
  <c r="AF28" i="28" a="1"/>
  <c r="AF28" i="28" s="1"/>
  <c r="AK29" i="28" a="1"/>
  <c r="AK29" i="28" s="1"/>
  <c r="AG31" i="28" a="1"/>
  <c r="AG31" i="28" s="1"/>
  <c r="AL32" i="28" a="1"/>
  <c r="AL32" i="28" s="1"/>
  <c r="AJ34" i="28" a="1"/>
  <c r="AJ34" i="28" s="1"/>
  <c r="AG36" i="28" a="1"/>
  <c r="AG36" i="28" s="1"/>
  <c r="AM37" i="28" a="1"/>
  <c r="AM37" i="28" s="1"/>
  <c r="AE38" i="28" a="1"/>
  <c r="AE38" i="28" s="1"/>
  <c r="AL39" i="28" a="1"/>
  <c r="AL39" i="28" s="1"/>
  <c r="AN40" i="28" a="1"/>
  <c r="AN40" i="28" s="1"/>
  <c r="AG41" i="28" a="1"/>
  <c r="AG41" i="28" s="1"/>
  <c r="AF43" i="28" a="1"/>
  <c r="AF43" i="28" s="1"/>
  <c r="AK47" i="28" a="1"/>
  <c r="AK47" i="28" s="1"/>
  <c r="AJ48" i="28" a="1"/>
  <c r="AJ48" i="28" s="1"/>
  <c r="AD49" i="28" a="1"/>
  <c r="AD49" i="28" s="1"/>
  <c r="AI49" i="28" s="1"/>
  <c r="AD53" i="28" a="1"/>
  <c r="AD53" i="28" s="1"/>
  <c r="AI53" i="28" s="1"/>
  <c r="AD56" i="28" a="1"/>
  <c r="AD56" i="28" s="1"/>
  <c r="AI56" i="28" s="1"/>
  <c r="AG28" i="28" a="1"/>
  <c r="AG28" i="28" s="1"/>
  <c r="AN32" i="28" a="1"/>
  <c r="AN32" i="28" s="1"/>
  <c r="AK34" i="28" a="1"/>
  <c r="AK34" i="28" s="1"/>
  <c r="AN37" i="28" a="1"/>
  <c r="AN37" i="28" s="1"/>
  <c r="AF38" i="28" a="1"/>
  <c r="AF38" i="28" s="1"/>
  <c r="AM39" i="28" a="1"/>
  <c r="AM39" i="28" s="1"/>
  <c r="AD40" i="28" a="1"/>
  <c r="AD40" i="28" s="1"/>
  <c r="AI40" i="28" s="1"/>
  <c r="AG43" i="28" a="1"/>
  <c r="AG43" i="28" s="1"/>
  <c r="AJ45" i="28" a="1"/>
  <c r="AJ45" i="28" s="1"/>
  <c r="AD46" i="28" a="1"/>
  <c r="AD46" i="28" s="1"/>
  <c r="AI46" i="28" s="1"/>
  <c r="AK48" i="28" a="1"/>
  <c r="AK48" i="28" s="1"/>
  <c r="AE49" i="28" a="1"/>
  <c r="AE49" i="28" s="1"/>
  <c r="AD50" i="28" a="1"/>
  <c r="AD50" i="28" s="1"/>
  <c r="AI50" i="28" s="1"/>
  <c r="AD52" i="28" a="1"/>
  <c r="AD52" i="28" s="1"/>
  <c r="AI52" i="28" s="1"/>
  <c r="AE53" i="28" a="1"/>
  <c r="AE53" i="28" s="1"/>
  <c r="U51" i="28"/>
  <c r="AK51" i="28" a="1"/>
  <c r="AK51" i="28" s="1"/>
  <c r="AG52" i="28" a="1"/>
  <c r="AG52" i="28" s="1"/>
  <c r="U54" i="28"/>
  <c r="AM54" i="28" a="1"/>
  <c r="AM54" i="28" s="1"/>
  <c r="AK55" i="28" a="1"/>
  <c r="AK55" i="28" s="1"/>
  <c r="AN49" i="28" a="1"/>
  <c r="AN49" i="28" s="1"/>
  <c r="AG50" i="28" a="1"/>
  <c r="AG50" i="28" s="1"/>
  <c r="Z51" i="28"/>
  <c r="U52" i="28"/>
  <c r="AN52" i="28" a="1"/>
  <c r="AN52" i="28" s="1"/>
  <c r="AG53" i="28" a="1"/>
  <c r="AG53" i="28" s="1"/>
  <c r="AG55" i="28" a="1"/>
  <c r="AG55" i="28" s="1"/>
  <c r="AC57" i="28" a="1"/>
  <c r="AC57" i="28" s="1"/>
  <c r="U50" i="28"/>
  <c r="AD51" i="28" a="1"/>
  <c r="AD51" i="28" s="1"/>
  <c r="AI51" i="28" s="1"/>
  <c r="U53" i="28"/>
  <c r="AL53" i="28" a="1"/>
  <c r="AL53" i="28" s="1"/>
  <c r="AE54" i="28" a="1"/>
  <c r="AE54" i="28" s="1"/>
  <c r="AF55" i="28" a="1"/>
  <c r="AF55" i="28" s="1"/>
  <c r="AG57" i="28" a="1"/>
  <c r="AG57" i="28" s="1"/>
  <c r="AM57" i="28" a="1"/>
  <c r="AM57" i="28" s="1"/>
  <c r="AD41" i="28" a="1"/>
  <c r="AD41" i="28" s="1"/>
  <c r="AI41" i="28" s="1"/>
  <c r="AK41" i="28" a="1"/>
  <c r="AK41" i="28" s="1"/>
  <c r="AE56" i="28" a="1"/>
  <c r="AE56" i="28" s="1"/>
  <c r="AD43" i="28" a="1"/>
  <c r="AD43" i="28" s="1"/>
  <c r="AI43" i="28" s="1"/>
  <c r="AK43" i="28" a="1"/>
  <c r="AK43" i="28" s="1"/>
  <c r="AC44" i="28" a="1"/>
  <c r="AC44" i="28" s="1"/>
  <c r="AJ44" i="28" a="1"/>
  <c r="AJ44" i="28" s="1"/>
  <c r="AJ46" i="28" a="1"/>
  <c r="AJ46" i="28" s="1"/>
  <c r="AJ50" i="28" a="1"/>
  <c r="AJ50" i="28" s="1"/>
  <c r="AL54" i="28" a="1"/>
  <c r="AL54" i="28" s="1"/>
  <c r="AJ56" i="28" a="1"/>
  <c r="AJ56" i="28" s="1"/>
  <c r="Z57" i="28"/>
  <c r="AJ55" i="28" a="1"/>
  <c r="AJ55" i="28" s="1"/>
  <c r="AG56" i="28" a="1"/>
  <c r="AG56" i="28" s="1"/>
  <c r="AD54" i="28" a="1"/>
  <c r="AD54" i="28" s="1"/>
  <c r="AI54" i="28" s="1"/>
  <c r="AE57" i="28" a="1"/>
  <c r="AE57" i="28" s="1"/>
  <c r="AM56" i="28" a="1"/>
  <c r="AM56" i="28" s="1"/>
  <c r="Z56" i="28"/>
  <c r="AJ54" i="28" a="1"/>
  <c r="AJ54" i="28" s="1"/>
  <c r="AK57" i="28" a="1"/>
  <c r="AK57" i="28" s="1"/>
  <c r="AF56" i="28" a="1"/>
  <c r="AF56" i="28" s="1"/>
  <c r="AN55" i="28" a="1"/>
  <c r="AN55" i="28" s="1"/>
  <c r="AC54" i="28" a="1"/>
  <c r="AC54" i="28" s="1"/>
  <c r="AK53" i="28" a="1"/>
  <c r="AK53" i="28" s="1"/>
  <c r="AF52" i="28" a="1"/>
  <c r="AF52" i="28" s="1"/>
  <c r="AN51" i="28" a="1"/>
  <c r="AN51" i="28" s="1"/>
  <c r="AC50" i="28" a="1"/>
  <c r="AC50" i="28" s="1"/>
  <c r="AK49" i="28" a="1"/>
  <c r="AK49" i="28" s="1"/>
  <c r="AF48" i="28" a="1"/>
  <c r="AF48" i="28" s="1"/>
  <c r="AN47" i="28" a="1"/>
  <c r="AN47" i="28" s="1"/>
  <c r="AC46" i="28" a="1"/>
  <c r="AC46" i="28" s="1"/>
  <c r="AK45" i="28" a="1"/>
  <c r="AK45" i="28" s="1"/>
  <c r="AM44" i="28" a="1"/>
  <c r="AM44" i="28" s="1"/>
  <c r="Z44" i="28"/>
  <c r="AK42" i="28" a="1"/>
  <c r="AK42" i="28" s="1"/>
  <c r="AM41" i="28" a="1"/>
  <c r="AM41" i="28" s="1"/>
  <c r="Z41" i="28"/>
  <c r="AK39" i="28" a="1"/>
  <c r="AK39" i="28" s="1"/>
  <c r="AM38" i="28" a="1"/>
  <c r="AM38" i="28" s="1"/>
  <c r="Z38" i="28"/>
  <c r="AK36" i="28" a="1"/>
  <c r="AK36" i="28" s="1"/>
  <c r="AM35" i="28" a="1"/>
  <c r="AM35" i="28" s="1"/>
  <c r="AK33" i="28" a="1"/>
  <c r="AK33" i="28" s="1"/>
  <c r="AM32" i="28" a="1"/>
  <c r="AM32" i="28" s="1"/>
  <c r="AK30" i="28" a="1"/>
  <c r="AK30" i="28" s="1"/>
  <c r="AM29" i="28" a="1"/>
  <c r="AM29" i="28" s="1"/>
  <c r="AJ57" i="28" a="1"/>
  <c r="AJ57" i="28" s="1"/>
  <c r="AE47" i="28" a="1"/>
  <c r="AE47" i="28" s="1"/>
  <c r="AL47" i="28" a="1"/>
  <c r="AL47" i="28" s="1"/>
  <c r="AE48" i="28" a="1"/>
  <c r="AE48" i="28" s="1"/>
  <c r="AL48" i="28" a="1"/>
  <c r="AL48" i="28" s="1"/>
  <c r="AE51" i="28" a="1"/>
  <c r="AE51" i="28" s="1"/>
  <c r="AL51" i="28" a="1"/>
  <c r="AL51" i="28" s="1"/>
  <c r="AE52" i="28" a="1"/>
  <c r="AE52" i="28" s="1"/>
  <c r="AL52" i="28" a="1"/>
  <c r="AL52" i="28" s="1"/>
  <c r="AC55" i="28" a="1"/>
  <c r="AC55" i="28" s="1"/>
  <c r="AL55" i="28" a="1"/>
  <c r="AL55" i="28" s="1"/>
  <c r="AK56" i="28" a="1"/>
  <c r="AK56" i="28" s="1"/>
  <c r="AN57" i="28" a="1"/>
  <c r="AN57" i="28" s="1"/>
  <c r="AM52" i="28" a="1"/>
  <c r="AM52" i="28" s="1"/>
  <c r="AF53" i="28" a="1"/>
  <c r="AF53" i="28" s="1"/>
  <c r="AM53" i="28" a="1"/>
  <c r="AM53" i="28" s="1"/>
  <c r="AG54" i="28" a="1"/>
  <c r="AG54" i="28" s="1"/>
  <c r="AD55" i="28" a="1"/>
  <c r="AD55" i="28" s="1"/>
  <c r="AI55" i="28" s="1"/>
  <c r="AM47" i="28" a="1"/>
  <c r="AM47" i="28" s="1"/>
  <c r="AF51" i="28" a="1"/>
  <c r="AF51" i="28" s="1"/>
  <c r="AM51" i="28" a="1"/>
  <c r="AM51" i="28" s="1"/>
  <c r="AM55" i="28" a="1"/>
  <c r="AM55" i="28" s="1"/>
  <c r="AL56" i="28" a="1"/>
  <c r="AL56" i="28" s="1"/>
  <c r="AD57" i="28" a="1"/>
  <c r="AD57" i="28" s="1"/>
  <c r="AI57" i="28" s="1"/>
  <c r="AL57" i="28" a="1"/>
  <c r="AL57" i="28" s="1"/>
  <c r="J454" i="24"/>
  <c r="J453" i="24"/>
  <c r="J452" i="24"/>
  <c r="E453" i="24"/>
  <c r="V40" i="21" a="1"/>
  <c r="V40" i="21" s="1"/>
  <c r="V53" i="21" a="1"/>
  <c r="V53" i="21" s="1"/>
  <c r="AB40" i="21" a="1"/>
  <c r="AB40" i="21" s="1"/>
  <c r="V48" i="21" a="1"/>
  <c r="V48" i="21" s="1"/>
  <c r="V41" i="21" a="1"/>
  <c r="V41" i="21" s="1"/>
  <c r="AC50" i="21" a="1"/>
  <c r="AC50" i="21" s="1"/>
  <c r="AG54" i="21" a="1"/>
  <c r="AG54" i="21" s="1"/>
  <c r="AN42" i="21" a="1"/>
  <c r="AN42" i="21" s="1"/>
  <c r="AG46" i="21" a="1"/>
  <c r="AG46" i="21" s="1"/>
  <c r="D89" i="21"/>
  <c r="V28" i="21" s="1" a="1"/>
  <c r="V28" i="21" s="1"/>
  <c r="AG33" i="21" a="1"/>
  <c r="AG33" i="21" s="1"/>
  <c r="AH31" i="21" a="1"/>
  <c r="AH31" i="21" s="1"/>
  <c r="AL48" i="21" a="1"/>
  <c r="AL48" i="21" s="1"/>
  <c r="AL47" i="21" a="1"/>
  <c r="AL47" i="21" s="1"/>
  <c r="AK29" i="21" a="1"/>
  <c r="AK29" i="21" s="1"/>
  <c r="AF56" i="21" a="1"/>
  <c r="AF56" i="21" s="1"/>
  <c r="AB47" i="21" a="1"/>
  <c r="AB47" i="21" s="1"/>
  <c r="AN33" i="21" a="1"/>
  <c r="AN33" i="21" s="1"/>
  <c r="L112" i="21"/>
  <c r="AM56" i="21" a="1"/>
  <c r="AM56" i="21" s="1"/>
  <c r="V47" i="21" a="1"/>
  <c r="V47" i="21" s="1"/>
  <c r="AC43" i="21" a="1"/>
  <c r="AC43" i="21" s="1"/>
  <c r="AF44" i="21" a="1"/>
  <c r="AF44" i="21" s="1"/>
  <c r="AK55" i="21" a="1"/>
  <c r="AK55" i="21" s="1"/>
  <c r="AM41" i="21" a="1"/>
  <c r="AM41" i="21" s="1"/>
  <c r="N102" i="21"/>
  <c r="AF35" i="21" s="1" a="1"/>
  <c r="AF35" i="21" s="1"/>
  <c r="N99" i="21"/>
  <c r="AF32" i="21" s="1" a="1"/>
  <c r="AF32" i="21" s="1"/>
  <c r="N96" i="21"/>
  <c r="N93" i="21"/>
  <c r="L217" i="24"/>
  <c r="V46" i="21" a="1"/>
  <c r="V46" i="21" s="1"/>
  <c r="Z56" i="21"/>
  <c r="AC39" i="21" a="1"/>
  <c r="AC39" i="21" s="1"/>
  <c r="AH42" i="21" a="1"/>
  <c r="AH42" i="21" s="1"/>
  <c r="AK54" i="21" a="1"/>
  <c r="AK54" i="21" s="1"/>
  <c r="AM40" i="21" a="1"/>
  <c r="AM40" i="21" s="1"/>
  <c r="J91" i="21"/>
  <c r="AB27" i="21" s="1" a="1"/>
  <c r="AB27" i="21" s="1"/>
  <c r="E203" i="24"/>
  <c r="V56" i="21" a="1"/>
  <c r="V56" i="21" s="1"/>
  <c r="V44" i="21" a="1"/>
  <c r="V44" i="21" s="1"/>
  <c r="Z44" i="21"/>
  <c r="AC28" i="21" a="1"/>
  <c r="AC28" i="21" s="1"/>
  <c r="AG39" i="21" a="1"/>
  <c r="AG39" i="21" s="1"/>
  <c r="AJ52" i="21" a="1"/>
  <c r="AJ52" i="21" s="1"/>
  <c r="AL38" i="21" a="1"/>
  <c r="AL38" i="21" s="1"/>
  <c r="J93" i="21"/>
  <c r="N90" i="21"/>
  <c r="L110" i="21"/>
  <c r="J89" i="21"/>
  <c r="AB28" i="21" s="1" a="1"/>
  <c r="AB28" i="21" s="1"/>
  <c r="V45" i="21" a="1"/>
  <c r="V45" i="21" s="1"/>
  <c r="AC33" i="21" a="1"/>
  <c r="AC33" i="21" s="1"/>
  <c r="AJ53" i="21" a="1"/>
  <c r="AJ53" i="21" s="1"/>
  <c r="J96" i="21"/>
  <c r="L222" i="24"/>
  <c r="V55" i="21" a="1"/>
  <c r="V55" i="21" s="1"/>
  <c r="V43" i="21" a="1"/>
  <c r="V43" i="21" s="1"/>
  <c r="Z39" i="21"/>
  <c r="AF37" i="21" a="1"/>
  <c r="AF37" i="21" s="1"/>
  <c r="AM50" i="21" a="1"/>
  <c r="AM50" i="21" s="1"/>
  <c r="AJ37" i="21" a="1"/>
  <c r="AJ37" i="21" s="1"/>
  <c r="N101" i="21"/>
  <c r="AF34" i="21" s="1" a="1"/>
  <c r="AF34" i="21" s="1"/>
  <c r="N98" i="21"/>
  <c r="N95" i="21"/>
  <c r="AF30" i="21" s="1" a="1"/>
  <c r="AF30" i="21" s="1"/>
  <c r="AN35" i="21" a="1"/>
  <c r="AN35" i="21" s="1"/>
  <c r="V57" i="21" a="1"/>
  <c r="V57" i="21" s="1"/>
  <c r="Z51" i="21"/>
  <c r="AH40" i="21" a="1"/>
  <c r="AH40" i="21" s="1"/>
  <c r="AK39" i="21" a="1"/>
  <c r="AK39" i="21" s="1"/>
  <c r="J99" i="21"/>
  <c r="V54" i="21" a="1"/>
  <c r="V54" i="21" s="1"/>
  <c r="V42" i="21" a="1"/>
  <c r="V42" i="21" s="1"/>
  <c r="AB52" i="21" a="1"/>
  <c r="AB52" i="21" s="1"/>
  <c r="AG27" i="21" a="1"/>
  <c r="AG27" i="21" s="1"/>
  <c r="AH35" i="21" a="1"/>
  <c r="AH35" i="21" s="1"/>
  <c r="AM49" i="21" a="1"/>
  <c r="AM49" i="21" s="1"/>
  <c r="AJ36" i="21" a="1"/>
  <c r="AJ36" i="21" s="1"/>
  <c r="N92" i="21"/>
  <c r="AL33" i="21" a="1"/>
  <c r="AL33" i="21" s="1"/>
  <c r="AN34" i="21" a="1"/>
  <c r="AN34" i="21" s="1"/>
  <c r="D109" i="21"/>
  <c r="J101" i="21"/>
  <c r="J98" i="21"/>
  <c r="J95" i="21"/>
  <c r="AB30" i="21" s="1" a="1"/>
  <c r="AB30" i="21" s="1"/>
  <c r="J90" i="21"/>
  <c r="AJ28" i="21" a="1"/>
  <c r="AJ28" i="21" s="1"/>
  <c r="V51" i="21" a="1"/>
  <c r="V51" i="21" s="1"/>
  <c r="V39" i="21" a="1"/>
  <c r="V39" i="21" s="1"/>
  <c r="AF52" i="21" a="1"/>
  <c r="AF52" i="21" s="1"/>
  <c r="AG29" i="21" a="1"/>
  <c r="AG29" i="21" s="1"/>
  <c r="AJ46" i="21" a="1"/>
  <c r="AJ46" i="21" s="1"/>
  <c r="AL32" i="21" a="1"/>
  <c r="AL32" i="21" s="1"/>
  <c r="N100" i="21"/>
  <c r="AF33" i="21" s="1" a="1"/>
  <c r="AF33" i="21" s="1"/>
  <c r="N97" i="21"/>
  <c r="N94" i="21"/>
  <c r="AF29" i="21" s="1" a="1"/>
  <c r="AF29" i="21" s="1"/>
  <c r="J92" i="21"/>
  <c r="N89" i="21"/>
  <c r="AF28" i="21" s="1" a="1"/>
  <c r="AF28" i="21" s="1"/>
  <c r="N226" i="24"/>
  <c r="V50" i="21" a="1"/>
  <c r="V50" i="21" s="1"/>
  <c r="V38" i="21" a="1"/>
  <c r="V38" i="21" s="1"/>
  <c r="AG50" i="21" a="1"/>
  <c r="AG50" i="21" s="1"/>
  <c r="AJ27" i="21" a="1"/>
  <c r="AJ27" i="21" s="1"/>
  <c r="AK45" i="21" a="1"/>
  <c r="AK45" i="21" s="1"/>
  <c r="AK30" i="21" a="1"/>
  <c r="AK30" i="21" s="1"/>
  <c r="V49" i="21" a="1"/>
  <c r="V49" i="21" s="1"/>
  <c r="V37" i="21" a="1"/>
  <c r="V37" i="21" s="1"/>
  <c r="AC55" i="21" a="1"/>
  <c r="AC55" i="21" s="1"/>
  <c r="AF48" i="21" a="1"/>
  <c r="AF48" i="21" s="1"/>
  <c r="AL57" i="21" a="1"/>
  <c r="AL57" i="21" s="1"/>
  <c r="AN43" i="21" a="1"/>
  <c r="AN43" i="21" s="1"/>
  <c r="J100" i="21"/>
  <c r="AB31" i="21" s="1" a="1"/>
  <c r="AB31" i="21" s="1"/>
  <c r="J97" i="21"/>
  <c r="J94" i="21"/>
  <c r="AB29" i="21" s="1" a="1"/>
  <c r="AB29" i="21" s="1"/>
  <c r="N91" i="21"/>
  <c r="AF27" i="21" s="1" a="1"/>
  <c r="AF27" i="21" s="1"/>
  <c r="J213" i="24"/>
  <c r="Z55" i="21"/>
  <c r="Z43" i="21"/>
  <c r="AB51" i="21" a="1"/>
  <c r="AB51" i="21" s="1"/>
  <c r="AC54" i="21" a="1"/>
  <c r="AC54" i="21" s="1"/>
  <c r="AC42" i="21" a="1"/>
  <c r="AC42" i="21" s="1"/>
  <c r="AC32" i="21" a="1"/>
  <c r="AC32" i="21" s="1"/>
  <c r="AH55" i="21" a="1"/>
  <c r="AH55" i="21" s="1"/>
  <c r="AH51" i="21" a="1"/>
  <c r="AH51" i="21" s="1"/>
  <c r="AH47" i="21" a="1"/>
  <c r="AH47" i="21" s="1"/>
  <c r="AG40" i="21" a="1"/>
  <c r="AG40" i="21" s="1"/>
  <c r="AH36" i="21" a="1"/>
  <c r="AH36" i="21" s="1"/>
  <c r="AK57" i="21" a="1"/>
  <c r="AK57" i="21" s="1"/>
  <c r="AJ55" i="21" a="1"/>
  <c r="AJ55" i="21" s="1"/>
  <c r="AN52" i="21" a="1"/>
  <c r="AN52" i="21" s="1"/>
  <c r="AL50" i="21" a="1"/>
  <c r="AL50" i="21" s="1"/>
  <c r="AK48" i="21" a="1"/>
  <c r="AK48" i="21" s="1"/>
  <c r="AM43" i="21" a="1"/>
  <c r="AM43" i="21" s="1"/>
  <c r="AL41" i="21" a="1"/>
  <c r="AL41" i="21" s="1"/>
  <c r="AJ39" i="21" a="1"/>
  <c r="AJ39" i="21" s="1"/>
  <c r="AN36" i="21" a="1"/>
  <c r="AN36" i="21" s="1"/>
  <c r="AM34" i="21" a="1"/>
  <c r="AM34" i="21" s="1"/>
  <c r="AK32" i="21" a="1"/>
  <c r="AK32" i="21" s="1"/>
  <c r="AJ30" i="21" a="1"/>
  <c r="AJ30" i="21" s="1"/>
  <c r="Z54" i="21"/>
  <c r="Z42" i="21"/>
  <c r="AB50" i="21" a="1"/>
  <c r="AB50" i="21" s="1"/>
  <c r="AB39" i="21" a="1"/>
  <c r="AB39" i="21" s="1"/>
  <c r="AC27" i="21" a="1"/>
  <c r="AC27" i="21" s="1"/>
  <c r="AC53" i="21" a="1"/>
  <c r="AC53" i="21" s="1"/>
  <c r="AC41" i="21" a="1"/>
  <c r="AC41" i="21" s="1"/>
  <c r="AC31" i="21" a="1"/>
  <c r="AC31" i="21" s="1"/>
  <c r="AG55" i="21" a="1"/>
  <c r="AG55" i="21" s="1"/>
  <c r="AG51" i="21" a="1"/>
  <c r="AG51" i="21" s="1"/>
  <c r="AG47" i="21" a="1"/>
  <c r="AG47" i="21" s="1"/>
  <c r="AH43" i="21" a="1"/>
  <c r="AH43" i="21" s="1"/>
  <c r="AF40" i="21" a="1"/>
  <c r="AF40" i="21" s="1"/>
  <c r="AG36" i="21" a="1"/>
  <c r="AG36" i="21" s="1"/>
  <c r="AH32" i="21" a="1"/>
  <c r="AH32" i="21" s="1"/>
  <c r="AH28" i="21" a="1"/>
  <c r="AH28" i="21" s="1"/>
  <c r="AJ57" i="21" a="1"/>
  <c r="AJ57" i="21" s="1"/>
  <c r="AN54" i="21" a="1"/>
  <c r="AN54" i="21" s="1"/>
  <c r="AM52" i="21" a="1"/>
  <c r="AM52" i="21" s="1"/>
  <c r="AK50" i="21" a="1"/>
  <c r="AK50" i="21" s="1"/>
  <c r="AJ48" i="21" a="1"/>
  <c r="AJ48" i="21" s="1"/>
  <c r="AN45" i="21" a="1"/>
  <c r="AN45" i="21" s="1"/>
  <c r="AL43" i="21" a="1"/>
  <c r="AL43" i="21" s="1"/>
  <c r="AK41" i="21" a="1"/>
  <c r="AK41" i="21" s="1"/>
  <c r="AN38" i="21" a="1"/>
  <c r="AN38" i="21" s="1"/>
  <c r="AM36" i="21" a="1"/>
  <c r="AM36" i="21" s="1"/>
  <c r="AL34" i="21" a="1"/>
  <c r="AL34" i="21" s="1"/>
  <c r="AJ32" i="21" a="1"/>
  <c r="AJ32" i="21" s="1"/>
  <c r="AN29" i="21" a="1"/>
  <c r="AN29" i="21" s="1"/>
  <c r="Z53" i="21"/>
  <c r="Z41" i="21"/>
  <c r="AB49" i="21" a="1"/>
  <c r="AB49" i="21" s="1"/>
  <c r="AB38" i="21" a="1"/>
  <c r="AB38" i="21" s="1"/>
  <c r="AC52" i="21" a="1"/>
  <c r="AC52" i="21" s="1"/>
  <c r="AC40" i="21" a="1"/>
  <c r="AC40" i="21" s="1"/>
  <c r="AC30" i="21" a="1"/>
  <c r="AC30" i="21" s="1"/>
  <c r="AF55" i="21" a="1"/>
  <c r="AF55" i="21" s="1"/>
  <c r="AF51" i="21" a="1"/>
  <c r="AF51" i="21" s="1"/>
  <c r="AF47" i="21" a="1"/>
  <c r="AF47" i="21" s="1"/>
  <c r="AG43" i="21" a="1"/>
  <c r="AG43" i="21" s="1"/>
  <c r="AF36" i="21" a="1"/>
  <c r="AF36" i="21" s="1"/>
  <c r="AG32" i="21" a="1"/>
  <c r="AG32" i="21" s="1"/>
  <c r="AG28" i="21" a="1"/>
  <c r="AG28" i="21" s="1"/>
  <c r="AN56" i="21" a="1"/>
  <c r="AN56" i="21" s="1"/>
  <c r="AM54" i="21" a="1"/>
  <c r="AM54" i="21" s="1"/>
  <c r="AL52" i="21" a="1"/>
  <c r="AL52" i="21" s="1"/>
  <c r="AJ50" i="21" a="1"/>
  <c r="AJ50" i="21" s="1"/>
  <c r="AN47" i="21" a="1"/>
  <c r="AN47" i="21" s="1"/>
  <c r="AM45" i="21" a="1"/>
  <c r="AM45" i="21" s="1"/>
  <c r="AK43" i="21" a="1"/>
  <c r="AK43" i="21" s="1"/>
  <c r="AJ41" i="21" a="1"/>
  <c r="AJ41" i="21" s="1"/>
  <c r="AL36" i="21" a="1"/>
  <c r="AL36" i="21" s="1"/>
  <c r="AK34" i="21" a="1"/>
  <c r="AK34" i="21" s="1"/>
  <c r="AN31" i="21" a="1"/>
  <c r="AN31" i="21" s="1"/>
  <c r="AM29" i="21" a="1"/>
  <c r="AM29" i="21" s="1"/>
  <c r="Z52" i="21"/>
  <c r="Z40" i="21"/>
  <c r="AB48" i="21" a="1"/>
  <c r="AB48" i="21" s="1"/>
  <c r="AB37" i="21" a="1"/>
  <c r="AB37" i="21" s="1"/>
  <c r="AC51" i="21" a="1"/>
  <c r="AC51" i="21" s="1"/>
  <c r="AC29" i="21" a="1"/>
  <c r="AC29" i="21" s="1"/>
  <c r="AH54" i="21" a="1"/>
  <c r="AH54" i="21" s="1"/>
  <c r="AH50" i="21" a="1"/>
  <c r="AH50" i="21" s="1"/>
  <c r="AH46" i="21" a="1"/>
  <c r="AH46" i="21" s="1"/>
  <c r="AF43" i="21" a="1"/>
  <c r="AF43" i="21" s="1"/>
  <c r="AH39" i="21" a="1"/>
  <c r="AH39" i="21" s="1"/>
  <c r="AL54" i="21" a="1"/>
  <c r="AL54" i="21" s="1"/>
  <c r="AK52" i="21" a="1"/>
  <c r="AK52" i="21" s="1"/>
  <c r="AN49" i="21" a="1"/>
  <c r="AN49" i="21" s="1"/>
  <c r="AM47" i="21" a="1"/>
  <c r="AM47" i="21" s="1"/>
  <c r="AL45" i="21" a="1"/>
  <c r="AL45" i="21" s="1"/>
  <c r="AJ43" i="21" a="1"/>
  <c r="AJ43" i="21" s="1"/>
  <c r="AN40" i="21" a="1"/>
  <c r="AN40" i="21" s="1"/>
  <c r="AM38" i="21" a="1"/>
  <c r="AM38" i="21" s="1"/>
  <c r="AK36" i="21" a="1"/>
  <c r="AK36" i="21" s="1"/>
  <c r="AJ34" i="21" a="1"/>
  <c r="AJ34" i="21" s="1"/>
  <c r="AM31" i="21" a="1"/>
  <c r="AM31" i="21" s="1"/>
  <c r="AL29" i="21" a="1"/>
  <c r="AL29" i="21" s="1"/>
  <c r="AF50" i="21" a="1"/>
  <c r="AF50" i="21" s="1"/>
  <c r="AK27" i="21" a="1"/>
  <c r="AK27" i="21" s="1"/>
  <c r="AN51" i="21" a="1"/>
  <c r="AN51" i="21" s="1"/>
  <c r="AJ45" i="21" a="1"/>
  <c r="AJ45" i="21" s="1"/>
  <c r="AL40" i="21" a="1"/>
  <c r="AL40" i="21" s="1"/>
  <c r="AJ29" i="21" a="1"/>
  <c r="AJ29" i="21" s="1"/>
  <c r="Z49" i="21"/>
  <c r="AC37" i="21" a="1"/>
  <c r="AC37" i="21" s="1"/>
  <c r="AH57" i="21" a="1"/>
  <c r="AH57" i="21" s="1"/>
  <c r="AF42" i="21" a="1"/>
  <c r="AF42" i="21" s="1"/>
  <c r="AN53" i="21" a="1"/>
  <c r="AN53" i="21" s="1"/>
  <c r="AN44" i="21" a="1"/>
  <c r="AN44" i="21" s="1"/>
  <c r="AK40" i="21" a="1"/>
  <c r="AK40" i="21" s="1"/>
  <c r="AN28" i="21" a="1"/>
  <c r="AN28" i="21" s="1"/>
  <c r="Z48" i="21"/>
  <c r="AB56" i="21" a="1"/>
  <c r="AB56" i="21" s="1"/>
  <c r="AB44" i="21" a="1"/>
  <c r="AB44" i="21" s="1"/>
  <c r="AC47" i="21" a="1"/>
  <c r="AC47" i="21" s="1"/>
  <c r="AC36" i="21" a="1"/>
  <c r="AC36" i="21" s="1"/>
  <c r="AG57" i="21" a="1"/>
  <c r="AG57" i="21" s="1"/>
  <c r="AG53" i="21" a="1"/>
  <c r="AG53" i="21" s="1"/>
  <c r="AG49" i="21" a="1"/>
  <c r="AG49" i="21" s="1"/>
  <c r="AG45" i="21" a="1"/>
  <c r="AG45" i="21" s="1"/>
  <c r="AG38" i="21" a="1"/>
  <c r="AG38" i="21" s="1"/>
  <c r="AH34" i="21" a="1"/>
  <c r="AH34" i="21" s="1"/>
  <c r="AH30" i="21" a="1"/>
  <c r="AH30" i="21" s="1"/>
  <c r="AM27" i="21" a="1"/>
  <c r="AM27" i="21" s="1"/>
  <c r="AJ56" i="21" a="1"/>
  <c r="AJ56" i="21" s="1"/>
  <c r="AM53" i="21" a="1"/>
  <c r="AM53" i="21" s="1"/>
  <c r="AL51" i="21" a="1"/>
  <c r="AL51" i="21" s="1"/>
  <c r="AK49" i="21" a="1"/>
  <c r="AK49" i="21" s="1"/>
  <c r="AN46" i="21" a="1"/>
  <c r="AN46" i="21" s="1"/>
  <c r="AM44" i="21" a="1"/>
  <c r="AM44" i="21" s="1"/>
  <c r="AJ40" i="21" a="1"/>
  <c r="AJ40" i="21" s="1"/>
  <c r="AN37" i="21" a="1"/>
  <c r="AN37" i="21" s="1"/>
  <c r="AL35" i="21" a="1"/>
  <c r="AL35" i="21" s="1"/>
  <c r="AK33" i="21" a="1"/>
  <c r="AK33" i="21" s="1"/>
  <c r="AJ31" i="21" a="1"/>
  <c r="AJ31" i="21" s="1"/>
  <c r="AM28" i="21" a="1"/>
  <c r="AM28" i="21" s="1"/>
  <c r="AH27" i="21" a="1"/>
  <c r="AH27" i="21" s="1"/>
  <c r="AF46" i="21" a="1"/>
  <c r="AF46" i="21" s="1"/>
  <c r="AG35" i="21" a="1"/>
  <c r="AG35" i="21" s="1"/>
  <c r="AL56" i="21" a="1"/>
  <c r="AL56" i="21" s="1"/>
  <c r="AK47" i="21" a="1"/>
  <c r="AK47" i="21" s="1"/>
  <c r="AM33" i="21" a="1"/>
  <c r="AM33" i="21" s="1"/>
  <c r="AH49" i="21" a="1"/>
  <c r="AH49" i="21" s="1"/>
  <c r="AM51" i="21" a="1"/>
  <c r="AM51" i="21" s="1"/>
  <c r="AM35" i="21" a="1"/>
  <c r="AM35" i="21" s="1"/>
  <c r="Z47" i="21"/>
  <c r="AB55" i="21" a="1"/>
  <c r="AB55" i="21" s="1"/>
  <c r="AB43" i="21" a="1"/>
  <c r="AB43" i="21" s="1"/>
  <c r="AC46" i="21" a="1"/>
  <c r="AC46" i="21" s="1"/>
  <c r="AC35" i="21" a="1"/>
  <c r="AC35" i="21" s="1"/>
  <c r="AF57" i="21" a="1"/>
  <c r="AF57" i="21" s="1"/>
  <c r="AF53" i="21" a="1"/>
  <c r="AF53" i="21" s="1"/>
  <c r="AF49" i="21" a="1"/>
  <c r="AF49" i="21" s="1"/>
  <c r="AF45" i="21" a="1"/>
  <c r="AF45" i="21" s="1"/>
  <c r="AH41" i="21" a="1"/>
  <c r="AH41" i="21" s="1"/>
  <c r="AF38" i="21" a="1"/>
  <c r="AF38" i="21" s="1"/>
  <c r="AG34" i="21" a="1"/>
  <c r="AG34" i="21" s="1"/>
  <c r="AG30" i="21" a="1"/>
  <c r="AG30" i="21" s="1"/>
  <c r="AN27" i="21" a="1"/>
  <c r="AN27" i="21" s="1"/>
  <c r="AN55" i="21" a="1"/>
  <c r="AN55" i="21" s="1"/>
  <c r="AL53" i="21" a="1"/>
  <c r="AL53" i="21" s="1"/>
  <c r="AK51" i="21" a="1"/>
  <c r="AK51" i="21" s="1"/>
  <c r="AJ49" i="21" a="1"/>
  <c r="AJ49" i="21" s="1"/>
  <c r="AM46" i="21" a="1"/>
  <c r="AM46" i="21" s="1"/>
  <c r="AL44" i="21" a="1"/>
  <c r="AL44" i="21" s="1"/>
  <c r="AK42" i="21" a="1"/>
  <c r="AK42" i="21" s="1"/>
  <c r="AN39" i="21" a="1"/>
  <c r="AN39" i="21" s="1"/>
  <c r="AM37" i="21" a="1"/>
  <c r="AM37" i="21" s="1"/>
  <c r="AK35" i="21" a="1"/>
  <c r="AK35" i="21" s="1"/>
  <c r="AJ33" i="21" a="1"/>
  <c r="AJ33" i="21" s="1"/>
  <c r="AN30" i="21" a="1"/>
  <c r="AN30" i="21" s="1"/>
  <c r="AL28" i="21" a="1"/>
  <c r="AL28" i="21" s="1"/>
  <c r="Z50" i="21"/>
  <c r="AC49" i="21" a="1"/>
  <c r="AC49" i="21" s="1"/>
  <c r="AG42" i="21" a="1"/>
  <c r="AG42" i="21" s="1"/>
  <c r="AG31" i="21" a="1"/>
  <c r="AG31" i="21" s="1"/>
  <c r="AJ54" i="21" a="1"/>
  <c r="AJ54" i="21" s="1"/>
  <c r="AM42" i="21" a="1"/>
  <c r="AM42" i="21" s="1"/>
  <c r="AK38" i="21" a="1"/>
  <c r="AK38" i="21" s="1"/>
  <c r="AL31" i="21" a="1"/>
  <c r="AL31" i="21" s="1"/>
  <c r="Z37" i="21"/>
  <c r="AB57" i="21" a="1"/>
  <c r="AB57" i="21" s="1"/>
  <c r="AH53" i="21" a="1"/>
  <c r="AH53" i="21" s="1"/>
  <c r="AH38" i="21" a="1"/>
  <c r="AH38" i="21" s="1"/>
  <c r="AK56" i="21" a="1"/>
  <c r="AK56" i="21" s="1"/>
  <c r="AL49" i="21" a="1"/>
  <c r="AL49" i="21" s="1"/>
  <c r="AL42" i="21" a="1"/>
  <c r="AL42" i="21" s="1"/>
  <c r="AJ38" i="21" a="1"/>
  <c r="AJ38" i="21" s="1"/>
  <c r="AK31" i="21" a="1"/>
  <c r="AK31" i="21" s="1"/>
  <c r="Z46" i="21"/>
  <c r="AB54" i="21" a="1"/>
  <c r="AB54" i="21" s="1"/>
  <c r="AB42" i="21" a="1"/>
  <c r="AB42" i="21" s="1"/>
  <c r="AC57" i="21" a="1"/>
  <c r="AC57" i="21" s="1"/>
  <c r="AC45" i="21" a="1"/>
  <c r="AC45" i="21" s="1"/>
  <c r="AC34" i="21" a="1"/>
  <c r="AC34" i="21" s="1"/>
  <c r="AH56" i="21" a="1"/>
  <c r="AH56" i="21" s="1"/>
  <c r="AH52" i="21" a="1"/>
  <c r="AH52" i="21" s="1"/>
  <c r="AH48" i="21" a="1"/>
  <c r="AH48" i="21" s="1"/>
  <c r="AH44" i="21" a="1"/>
  <c r="AH44" i="21" s="1"/>
  <c r="AG41" i="21" a="1"/>
  <c r="AG41" i="21" s="1"/>
  <c r="AH37" i="21" a="1"/>
  <c r="AH37" i="21" s="1"/>
  <c r="AN57" i="21" a="1"/>
  <c r="AN57" i="21" s="1"/>
  <c r="AM55" i="21" a="1"/>
  <c r="AM55" i="21" s="1"/>
  <c r="AK53" i="21" a="1"/>
  <c r="AK53" i="21" s="1"/>
  <c r="AJ51" i="21" a="1"/>
  <c r="AJ51" i="21" s="1"/>
  <c r="AN48" i="21" a="1"/>
  <c r="AN48" i="21" s="1"/>
  <c r="AL46" i="21" a="1"/>
  <c r="AL46" i="21" s="1"/>
  <c r="AK44" i="21" a="1"/>
  <c r="AK44" i="21" s="1"/>
  <c r="AJ42" i="21" a="1"/>
  <c r="AJ42" i="21" s="1"/>
  <c r="AM39" i="21" a="1"/>
  <c r="AM39" i="21" s="1"/>
  <c r="AL37" i="21" a="1"/>
  <c r="AL37" i="21" s="1"/>
  <c r="AN32" i="21" a="1"/>
  <c r="AN32" i="21" s="1"/>
  <c r="AM30" i="21" a="1"/>
  <c r="AM30" i="21" s="1"/>
  <c r="AK28" i="21" a="1"/>
  <c r="AK28" i="21" s="1"/>
  <c r="Z38" i="21"/>
  <c r="AB46" i="21" a="1"/>
  <c r="AB46" i="21" s="1"/>
  <c r="AC38" i="21" a="1"/>
  <c r="AC38" i="21" s="1"/>
  <c r="AF54" i="21" a="1"/>
  <c r="AF54" i="21" s="1"/>
  <c r="AF39" i="21" a="1"/>
  <c r="AF39" i="21" s="1"/>
  <c r="AB45" i="21" a="1"/>
  <c r="AB45" i="21" s="1"/>
  <c r="AC48" i="21" a="1"/>
  <c r="AC48" i="21" s="1"/>
  <c r="AH45" i="21" a="1"/>
  <c r="AH45" i="21" s="1"/>
  <c r="AL27" i="21" a="1"/>
  <c r="AL27" i="21" s="1"/>
  <c r="AJ47" i="21" a="1"/>
  <c r="AJ47" i="21" s="1"/>
  <c r="Z57" i="21"/>
  <c r="Z45" i="21"/>
  <c r="AB53" i="21" a="1"/>
  <c r="AB53" i="21" s="1"/>
  <c r="AB41" i="21" a="1"/>
  <c r="AB41" i="21" s="1"/>
  <c r="AC56" i="21" a="1"/>
  <c r="AC56" i="21" s="1"/>
  <c r="AC44" i="21" a="1"/>
  <c r="AC44" i="21" s="1"/>
  <c r="AG56" i="21" a="1"/>
  <c r="AG56" i="21" s="1"/>
  <c r="AG52" i="21" a="1"/>
  <c r="AG52" i="21" s="1"/>
  <c r="AG48" i="21" a="1"/>
  <c r="AG48" i="21" s="1"/>
  <c r="AG44" i="21" a="1"/>
  <c r="AG44" i="21" s="1"/>
  <c r="AF41" i="21" a="1"/>
  <c r="AF41" i="21" s="1"/>
  <c r="AG37" i="21" a="1"/>
  <c r="AG37" i="21" s="1"/>
  <c r="AH33" i="21" a="1"/>
  <c r="AH33" i="21" s="1"/>
  <c r="AH29" i="21" a="1"/>
  <c r="AH29" i="21" s="1"/>
  <c r="AM57" i="21" a="1"/>
  <c r="AM57" i="21" s="1"/>
  <c r="AL55" i="21" a="1"/>
  <c r="AL55" i="21" s="1"/>
  <c r="AN50" i="21" a="1"/>
  <c r="AN50" i="21" s="1"/>
  <c r="AM48" i="21" a="1"/>
  <c r="AM48" i="21" s="1"/>
  <c r="AK46" i="21" a="1"/>
  <c r="AK46" i="21" s="1"/>
  <c r="AJ44" i="21" a="1"/>
  <c r="AJ44" i="21" s="1"/>
  <c r="AN41" i="21" a="1"/>
  <c r="AN41" i="21" s="1"/>
  <c r="AL39" i="21" a="1"/>
  <c r="AL39" i="21" s="1"/>
  <c r="AK37" i="21" a="1"/>
  <c r="AK37" i="21" s="1"/>
  <c r="AJ35" i="21" a="1"/>
  <c r="AJ35" i="21" s="1"/>
  <c r="AM32" i="21" a="1"/>
  <c r="AM32" i="21" s="1"/>
  <c r="AL30" i="21" a="1"/>
  <c r="AL30" i="21" s="1"/>
  <c r="J218" i="24"/>
  <c r="J214" i="24"/>
  <c r="L220" i="24"/>
  <c r="K220" i="24"/>
  <c r="J217" i="24"/>
  <c r="J216" i="24"/>
  <c r="J215" i="24"/>
  <c r="J205" i="24"/>
  <c r="J206" i="24"/>
  <c r="J207" i="24"/>
  <c r="F204" i="24"/>
  <c r="T36" i="25"/>
  <c r="J91" i="24"/>
  <c r="N57" i="24"/>
  <c r="B104" i="24"/>
  <c r="K147" i="24"/>
  <c r="L151" i="24"/>
  <c r="L150" i="24"/>
  <c r="L142" i="24"/>
  <c r="L149" i="24"/>
  <c r="L148" i="24"/>
  <c r="L147" i="24"/>
  <c r="L146" i="24"/>
  <c r="L145" i="24"/>
  <c r="L144" i="24"/>
  <c r="K149" i="24"/>
  <c r="K148" i="24"/>
  <c r="K146" i="24"/>
  <c r="K145" i="24"/>
  <c r="K142" i="24"/>
  <c r="K144" i="24"/>
  <c r="K155" i="24"/>
  <c r="K143" i="24"/>
  <c r="K154" i="24"/>
  <c r="K153" i="24"/>
  <c r="L155" i="24"/>
  <c r="L143" i="24"/>
  <c r="K152" i="24"/>
  <c r="L154" i="24"/>
  <c r="K151" i="24"/>
  <c r="L153" i="24"/>
  <c r="E153" i="24"/>
  <c r="E152" i="24"/>
  <c r="E151" i="24"/>
  <c r="E150" i="24"/>
  <c r="J150" i="24"/>
  <c r="E149" i="24"/>
  <c r="E148" i="24"/>
  <c r="E147" i="24"/>
  <c r="E146" i="24"/>
  <c r="E145" i="24"/>
  <c r="E142" i="24"/>
  <c r="E144" i="24"/>
  <c r="E155" i="24"/>
  <c r="E143" i="24"/>
  <c r="T158" i="24"/>
  <c r="T157" i="24"/>
  <c r="J152" i="24"/>
  <c r="J151" i="24"/>
  <c r="J155" i="24"/>
  <c r="J154" i="24"/>
  <c r="J153" i="24"/>
  <c r="J144" i="24"/>
  <c r="J145" i="24"/>
  <c r="J146" i="24"/>
  <c r="J143" i="24"/>
  <c r="E88" i="24"/>
  <c r="E87" i="24"/>
  <c r="E91" i="24"/>
  <c r="E95" i="24"/>
  <c r="E99" i="24"/>
  <c r="E92" i="24"/>
  <c r="E96" i="24"/>
  <c r="E86" i="24"/>
  <c r="E90" i="24"/>
  <c r="E94" i="24"/>
  <c r="E98" i="24"/>
  <c r="E100" i="24"/>
  <c r="E89" i="24"/>
  <c r="E93" i="24"/>
  <c r="T6" i="28" l="1"/>
  <c r="U6" i="28" s="1"/>
  <c r="G404" i="24"/>
  <c r="E108" i="39"/>
  <c r="E108" i="28"/>
  <c r="C110" i="39"/>
  <c r="E405" i="24"/>
  <c r="C110" i="28"/>
  <c r="I401" i="24"/>
  <c r="D107" i="39"/>
  <c r="G106" i="28"/>
  <c r="G106" i="39"/>
  <c r="F108" i="28"/>
  <c r="F108" i="39"/>
  <c r="L116" i="28"/>
  <c r="L116" i="39"/>
  <c r="F402" i="24"/>
  <c r="D108" i="39" s="1"/>
  <c r="D107" i="28"/>
  <c r="H404" i="24"/>
  <c r="AB39" i="28" a="1"/>
  <c r="AB39" i="28" s="1"/>
  <c r="U49" i="21"/>
  <c r="AB38" i="28" a="1"/>
  <c r="AB38" i="28" s="1"/>
  <c r="AB44" i="28" a="1"/>
  <c r="AB44" i="28" s="1"/>
  <c r="AB54" i="28" a="1"/>
  <c r="AB54" i="28" s="1"/>
  <c r="AB37" i="28" a="1"/>
  <c r="AB37" i="28" s="1"/>
  <c r="AB56" i="28" a="1"/>
  <c r="AB56" i="28" s="1"/>
  <c r="AB53" i="28" a="1"/>
  <c r="AB53" i="28" s="1"/>
  <c r="AB52" i="28" a="1"/>
  <c r="AB52" i="28" s="1"/>
  <c r="AB29" i="28" a="1"/>
  <c r="AB29" i="28" s="1"/>
  <c r="AB30" i="28" a="1"/>
  <c r="AB30" i="28" s="1"/>
  <c r="AB27" i="28" a="1"/>
  <c r="AB27" i="28" s="1"/>
  <c r="AB57" i="28" a="1"/>
  <c r="AB57" i="28" s="1"/>
  <c r="AB51" i="28" a="1"/>
  <c r="AB51" i="28" s="1"/>
  <c r="AB33" i="28" a="1"/>
  <c r="AB33" i="28" s="1"/>
  <c r="AB55" i="28" a="1"/>
  <c r="AB55" i="28" s="1"/>
  <c r="AB50" i="28" a="1"/>
  <c r="AB50" i="28" s="1"/>
  <c r="AB42" i="28" a="1"/>
  <c r="AB42" i="28" s="1"/>
  <c r="AB43" i="28" a="1"/>
  <c r="AB43" i="28" s="1"/>
  <c r="U38" i="28"/>
  <c r="U46" i="28"/>
  <c r="AB49" i="28" a="1"/>
  <c r="AB49" i="28" s="1"/>
  <c r="U41" i="28"/>
  <c r="AB48" i="28" a="1"/>
  <c r="AB48" i="28" s="1"/>
  <c r="L114" i="37"/>
  <c r="AB56" i="37" a="1"/>
  <c r="AB56" i="37" s="1"/>
  <c r="AB30" i="37" a="1"/>
  <c r="AB30" i="37" s="1"/>
  <c r="AB36" i="37" a="1"/>
  <c r="AB36" i="37" s="1"/>
  <c r="AB32" i="37" a="1"/>
  <c r="AB32" i="37" s="1"/>
  <c r="AB34" i="37" a="1"/>
  <c r="AB34" i="37" s="1"/>
  <c r="AB27" i="37" a="1"/>
  <c r="AB27" i="37" s="1"/>
  <c r="AB43" i="37" a="1"/>
  <c r="AB43" i="37" s="1"/>
  <c r="AB29" i="37" a="1"/>
  <c r="AB29" i="37" s="1"/>
  <c r="AB40" i="37" a="1"/>
  <c r="AB40" i="37" s="1"/>
  <c r="AB33" i="37" a="1"/>
  <c r="AB33" i="37" s="1"/>
  <c r="AB41" i="37" a="1"/>
  <c r="AB41" i="37" s="1"/>
  <c r="AB31" i="37" a="1"/>
  <c r="AB31" i="37" s="1"/>
  <c r="AB28" i="37" a="1"/>
  <c r="AB28" i="37" s="1"/>
  <c r="AB47" i="37" a="1"/>
  <c r="AB47" i="37" s="1"/>
  <c r="AB35" i="37" a="1"/>
  <c r="AB35" i="37" s="1"/>
  <c r="AB46" i="37" a="1"/>
  <c r="AB46" i="37" s="1"/>
  <c r="AB49" i="37" a="1"/>
  <c r="AB49" i="37" s="1"/>
  <c r="AB45" i="37" a="1"/>
  <c r="AB45" i="37" s="1"/>
  <c r="AB55" i="37" a="1"/>
  <c r="AB55" i="37" s="1"/>
  <c r="AB51" i="37" a="1"/>
  <c r="AB51" i="37" s="1"/>
  <c r="AB39" i="37" a="1"/>
  <c r="AB39" i="37" s="1"/>
  <c r="AB57" i="37" a="1"/>
  <c r="AB57" i="37" s="1"/>
  <c r="AB38" i="37" a="1"/>
  <c r="AB38" i="37" s="1"/>
  <c r="AB50" i="37" a="1"/>
  <c r="AB50" i="37" s="1"/>
  <c r="AB53" i="37" a="1"/>
  <c r="AB53" i="37" s="1"/>
  <c r="AB42" i="37" a="1"/>
  <c r="AB42" i="37" s="1"/>
  <c r="AB52" i="37" a="1"/>
  <c r="AB52" i="37" s="1"/>
  <c r="AB48" i="37" a="1"/>
  <c r="AB48" i="37" s="1"/>
  <c r="AB54" i="37" a="1"/>
  <c r="AB54" i="37" s="1"/>
  <c r="AB44" i="37" a="1"/>
  <c r="AB44" i="37" s="1"/>
  <c r="AB37" i="37" a="1"/>
  <c r="AB37" i="37" s="1"/>
  <c r="AB47" i="28" a="1"/>
  <c r="AB47" i="28" s="1"/>
  <c r="AB28" i="28" a="1"/>
  <c r="AB28" i="28" s="1"/>
  <c r="AB41" i="28" a="1"/>
  <c r="AB41" i="28" s="1"/>
  <c r="U36" i="37"/>
  <c r="U32" i="37"/>
  <c r="U45" i="37"/>
  <c r="U33" i="37"/>
  <c r="U48" i="37"/>
  <c r="U34" i="37"/>
  <c r="U31" i="37"/>
  <c r="U55" i="37"/>
  <c r="U43" i="37"/>
  <c r="U37" i="37"/>
  <c r="U30" i="37"/>
  <c r="U49" i="37"/>
  <c r="U51" i="37"/>
  <c r="U56" i="37"/>
  <c r="U41" i="37"/>
  <c r="U46" i="37"/>
  <c r="U57" i="37"/>
  <c r="U47" i="37"/>
  <c r="U52" i="37"/>
  <c r="U44" i="37"/>
  <c r="U53" i="37"/>
  <c r="U39" i="37"/>
  <c r="U38" i="37"/>
  <c r="U40" i="37"/>
  <c r="U54" i="37"/>
  <c r="U42" i="37"/>
  <c r="U50" i="37"/>
  <c r="U35" i="37"/>
  <c r="AB46" i="28" a="1"/>
  <c r="AB46" i="28" s="1"/>
  <c r="AB32" i="28" a="1"/>
  <c r="AB32" i="28" s="1"/>
  <c r="L113" i="37"/>
  <c r="AB45" i="28" a="1"/>
  <c r="AB45" i="28" s="1"/>
  <c r="U42" i="28"/>
  <c r="T12" i="28"/>
  <c r="U12" i="28" s="1"/>
  <c r="T8" i="28"/>
  <c r="U8" i="28" s="1"/>
  <c r="T10" i="28"/>
  <c r="U10" i="28" s="1"/>
  <c r="I20" i="25" a="1"/>
  <c r="I20" i="25" s="1"/>
  <c r="G20" i="25" a="1"/>
  <c r="G20" i="25" s="1"/>
  <c r="H20" i="25" a="1"/>
  <c r="H20" i="25" s="1"/>
  <c r="F20" i="25" a="1"/>
  <c r="F20" i="25" s="1"/>
  <c r="E20" i="25" a="1"/>
  <c r="E20" i="25" s="1"/>
  <c r="H59" i="25" a="1"/>
  <c r="H59" i="25" s="1"/>
  <c r="I59" i="25" a="1"/>
  <c r="I59" i="25" s="1"/>
  <c r="G59" i="25" a="1"/>
  <c r="G59" i="25" s="1"/>
  <c r="F59" i="25" a="1"/>
  <c r="F59" i="25" s="1"/>
  <c r="E59" i="25" a="1"/>
  <c r="E59" i="25" s="1"/>
  <c r="H105" i="25" a="1"/>
  <c r="H105" i="25" s="1"/>
  <c r="I105" i="25" a="1"/>
  <c r="I105" i="25" s="1"/>
  <c r="G105" i="25" a="1"/>
  <c r="G105" i="25" s="1"/>
  <c r="F105" i="25" a="1"/>
  <c r="F105" i="25" s="1"/>
  <c r="E105" i="25" a="1"/>
  <c r="E105" i="25" s="1"/>
  <c r="C21" i="25" a="1"/>
  <c r="C21" i="25" s="1"/>
  <c r="C22" i="25" s="1" a="1"/>
  <c r="C22" i="25" s="1"/>
  <c r="D21" i="25" a="1"/>
  <c r="D21" i="25" s="1"/>
  <c r="D22" i="25" s="1" a="1"/>
  <c r="D22" i="25" s="1"/>
  <c r="C60" i="25" a="1"/>
  <c r="C60" i="25" s="1"/>
  <c r="C61" i="25" s="1" a="1"/>
  <c r="C61" i="25" s="1"/>
  <c r="D60" i="25" a="1"/>
  <c r="D60" i="25" s="1"/>
  <c r="D61" i="25" s="1" a="1"/>
  <c r="D61" i="25" s="1"/>
  <c r="D106" i="25" a="1"/>
  <c r="D106" i="25" s="1"/>
  <c r="D107" i="25" s="1" a="1"/>
  <c r="D107" i="25" s="1"/>
  <c r="C106" i="25" a="1"/>
  <c r="C106" i="25" s="1"/>
  <c r="C107" i="25" s="1" a="1"/>
  <c r="C107" i="25" s="1"/>
  <c r="U38" i="21"/>
  <c r="U44" i="21"/>
  <c r="U50" i="21"/>
  <c r="U56" i="21"/>
  <c r="U40" i="21"/>
  <c r="U52" i="21"/>
  <c r="U45" i="21"/>
  <c r="U42" i="21"/>
  <c r="U57" i="21"/>
  <c r="U54" i="21"/>
  <c r="U43" i="21"/>
  <c r="U47" i="21"/>
  <c r="U55" i="21"/>
  <c r="U39" i="21"/>
  <c r="U48" i="21"/>
  <c r="U37" i="21"/>
  <c r="U53" i="21"/>
  <c r="U41" i="21"/>
  <c r="U46" i="21"/>
  <c r="H216" i="30"/>
  <c r="I215" i="30"/>
  <c r="AF31" i="21" a="1"/>
  <c r="AF31" i="21" s="1"/>
  <c r="E268" i="25"/>
  <c r="J265" i="25"/>
  <c r="J266" i="25"/>
  <c r="E122" i="25"/>
  <c r="J118" i="25"/>
  <c r="J119" i="25"/>
  <c r="U28" i="28"/>
  <c r="Z31" i="28"/>
  <c r="Z27" i="28"/>
  <c r="Z36" i="28"/>
  <c r="Z35" i="28"/>
  <c r="Z33" i="28"/>
  <c r="Z34" i="28"/>
  <c r="Z32" i="28"/>
  <c r="J451" i="24"/>
  <c r="J450" i="24"/>
  <c r="E454" i="24"/>
  <c r="L111" i="21"/>
  <c r="E204" i="24"/>
  <c r="C89" i="21"/>
  <c r="U28" i="21" s="1"/>
  <c r="J108" i="21"/>
  <c r="J103" i="21"/>
  <c r="L218" i="24"/>
  <c r="F205" i="24"/>
  <c r="D90" i="21"/>
  <c r="H101" i="21"/>
  <c r="H102" i="21"/>
  <c r="H103" i="21"/>
  <c r="I106" i="21"/>
  <c r="H93" i="21"/>
  <c r="J106" i="21"/>
  <c r="H92" i="21"/>
  <c r="H100" i="21"/>
  <c r="H99" i="21"/>
  <c r="H91" i="21"/>
  <c r="Z27" i="21" s="1"/>
  <c r="H104" i="21"/>
  <c r="J209" i="24"/>
  <c r="J212" i="24"/>
  <c r="J211" i="24"/>
  <c r="J210" i="24"/>
  <c r="J208" i="24"/>
  <c r="J204" i="24"/>
  <c r="J203" i="24"/>
  <c r="P141" i="24"/>
  <c r="N141" i="24"/>
  <c r="F141" i="24"/>
  <c r="J142" i="24"/>
  <c r="F85" i="24"/>
  <c r="J39" i="24"/>
  <c r="J148" i="24"/>
  <c r="J149" i="24"/>
  <c r="J147" i="24"/>
  <c r="F49" i="24"/>
  <c r="R49" i="24"/>
  <c r="J97" i="24"/>
  <c r="J99" i="24"/>
  <c r="J86" i="24"/>
  <c r="C111" i="39" l="1"/>
  <c r="C111" i="28"/>
  <c r="E406" i="24"/>
  <c r="G405" i="24"/>
  <c r="E110" i="39"/>
  <c r="E110" i="28"/>
  <c r="I402" i="24"/>
  <c r="F110" i="28"/>
  <c r="F110" i="39"/>
  <c r="G107" i="28"/>
  <c r="G107" i="39"/>
  <c r="F404" i="24"/>
  <c r="D108" i="28"/>
  <c r="H405" i="24"/>
  <c r="D105" i="37"/>
  <c r="P105" i="37"/>
  <c r="H95" i="37"/>
  <c r="C132" i="24"/>
  <c r="H141" i="24" s="1"/>
  <c r="H217" i="30"/>
  <c r="I217" i="30" s="1"/>
  <c r="I216" i="30"/>
  <c r="U125" i="25"/>
  <c r="E269" i="25"/>
  <c r="AB35" i="28" a="1"/>
  <c r="AB35" i="28" s="1"/>
  <c r="AB36" i="28" a="1"/>
  <c r="AB36" i="28" s="1"/>
  <c r="AB34" i="28" a="1"/>
  <c r="AB34" i="28" s="1"/>
  <c r="AB36" i="21" a="1"/>
  <c r="AB36" i="21" s="1"/>
  <c r="Z28" i="28"/>
  <c r="AB31" i="28" a="1"/>
  <c r="AB31" i="28" s="1"/>
  <c r="Z29" i="28"/>
  <c r="Z30" i="28"/>
  <c r="Z31" i="21"/>
  <c r="Z33" i="21"/>
  <c r="AB35" i="21" a="1"/>
  <c r="AB35" i="21" s="1"/>
  <c r="AB34" i="21" a="1"/>
  <c r="AB34" i="21" s="1"/>
  <c r="E455" i="24"/>
  <c r="Z32" i="21"/>
  <c r="Z35" i="21"/>
  <c r="Z36" i="21"/>
  <c r="Z34" i="21"/>
  <c r="AB33" i="21" a="1"/>
  <c r="AB33" i="21" s="1"/>
  <c r="AB32" i="21" a="1"/>
  <c r="AB32" i="21" s="1"/>
  <c r="F206" i="24"/>
  <c r="D91" i="21"/>
  <c r="V27" i="21" s="1" a="1"/>
  <c r="V27" i="21" s="1"/>
  <c r="O203" i="24"/>
  <c r="M88" i="21"/>
  <c r="J104" i="21"/>
  <c r="C90" i="21"/>
  <c r="E205" i="24"/>
  <c r="H90" i="21"/>
  <c r="H89" i="21"/>
  <c r="Z28" i="21" s="1"/>
  <c r="G203" i="24"/>
  <c r="E88" i="21"/>
  <c r="N203" i="24"/>
  <c r="L88" i="21"/>
  <c r="K203" i="24"/>
  <c r="I88" i="21"/>
  <c r="H94" i="21"/>
  <c r="Z29" i="21" s="1"/>
  <c r="H96" i="21"/>
  <c r="H97" i="21"/>
  <c r="H98" i="21"/>
  <c r="H95" i="21"/>
  <c r="Z30" i="21" s="1"/>
  <c r="P143" i="24"/>
  <c r="P149" i="24"/>
  <c r="P155" i="24"/>
  <c r="P142" i="24"/>
  <c r="P144" i="24"/>
  <c r="P150" i="24"/>
  <c r="P145" i="24"/>
  <c r="P151" i="24"/>
  <c r="P146" i="24"/>
  <c r="P152" i="24"/>
  <c r="P147" i="24"/>
  <c r="P153" i="24"/>
  <c r="P148" i="24"/>
  <c r="P154" i="24"/>
  <c r="N143" i="24"/>
  <c r="N149" i="24"/>
  <c r="N155" i="24"/>
  <c r="N144" i="24"/>
  <c r="N150" i="24"/>
  <c r="N142" i="24"/>
  <c r="N146" i="24"/>
  <c r="N152" i="24"/>
  <c r="N145" i="24"/>
  <c r="N151" i="24"/>
  <c r="N147" i="24"/>
  <c r="N153" i="24"/>
  <c r="N148" i="24"/>
  <c r="N154" i="24"/>
  <c r="W39" i="25"/>
  <c r="W38" i="25"/>
  <c r="W85" i="25"/>
  <c r="U153" i="28" s="1"/>
  <c r="W84" i="25"/>
  <c r="U152" i="28" s="1"/>
  <c r="W83" i="25"/>
  <c r="U151" i="28" s="1"/>
  <c r="W82" i="25"/>
  <c r="U150" i="28" s="1"/>
  <c r="W81" i="25"/>
  <c r="U149" i="28" s="1"/>
  <c r="W80" i="25"/>
  <c r="U148" i="28" s="1"/>
  <c r="W79" i="25"/>
  <c r="U147" i="28" s="1"/>
  <c r="W78" i="25"/>
  <c r="U146" i="28" s="1"/>
  <c r="C78" i="24"/>
  <c r="H85" i="24" s="1"/>
  <c r="I85" i="24" s="1"/>
  <c r="F152" i="24"/>
  <c r="F153" i="24"/>
  <c r="F154" i="24"/>
  <c r="F143" i="24"/>
  <c r="F155" i="24"/>
  <c r="F144" i="24"/>
  <c r="F142" i="24"/>
  <c r="F145" i="24"/>
  <c r="F146" i="24"/>
  <c r="F150" i="24"/>
  <c r="F147" i="24"/>
  <c r="F148" i="24"/>
  <c r="F149" i="24"/>
  <c r="F151" i="24"/>
  <c r="M94" i="24"/>
  <c r="J94" i="24" s="1"/>
  <c r="M99" i="24"/>
  <c r="M87" i="24"/>
  <c r="M100" i="24"/>
  <c r="M96" i="24"/>
  <c r="M92" i="24"/>
  <c r="J92" i="24" s="1"/>
  <c r="M88" i="24"/>
  <c r="M98" i="24"/>
  <c r="M95" i="24"/>
  <c r="J95" i="24" s="1"/>
  <c r="M91" i="24"/>
  <c r="M97" i="24"/>
  <c r="M93" i="24"/>
  <c r="J93" i="24" s="1"/>
  <c r="M89" i="24"/>
  <c r="M85" i="24"/>
  <c r="M90" i="24"/>
  <c r="M86" i="24"/>
  <c r="R43" i="24"/>
  <c r="R32" i="24"/>
  <c r="R39" i="24"/>
  <c r="R47" i="24"/>
  <c r="R36" i="24"/>
  <c r="R48" i="24"/>
  <c r="R44" i="24"/>
  <c r="R41" i="24"/>
  <c r="R33" i="24"/>
  <c r="R46" i="24"/>
  <c r="R35" i="24"/>
  <c r="R45" i="24"/>
  <c r="R42" i="24"/>
  <c r="R40" i="24"/>
  <c r="R37" i="24"/>
  <c r="R34" i="24"/>
  <c r="R38" i="24"/>
  <c r="F48" i="24"/>
  <c r="F36" i="24"/>
  <c r="F45" i="24"/>
  <c r="F42" i="24"/>
  <c r="F40" i="24"/>
  <c r="F37" i="24"/>
  <c r="F34" i="24"/>
  <c r="F41" i="24"/>
  <c r="F33" i="24"/>
  <c r="F32" i="24"/>
  <c r="F46" i="24"/>
  <c r="F43" i="24"/>
  <c r="F47" i="24"/>
  <c r="F38" i="24"/>
  <c r="F35" i="24"/>
  <c r="F44" i="24"/>
  <c r="F39" i="24"/>
  <c r="K32" i="24"/>
  <c r="I88" i="37" s="1"/>
  <c r="N99" i="24"/>
  <c r="N100" i="24"/>
  <c r="N96" i="24"/>
  <c r="N92" i="24"/>
  <c r="N88" i="24"/>
  <c r="N97" i="24"/>
  <c r="N93" i="24"/>
  <c r="N89" i="24"/>
  <c r="N85" i="24"/>
  <c r="N91" i="24"/>
  <c r="N95" i="24"/>
  <c r="N98" i="24"/>
  <c r="N94" i="24"/>
  <c r="N90" i="24"/>
  <c r="N86" i="24"/>
  <c r="N87" i="24"/>
  <c r="F89" i="24"/>
  <c r="F98" i="24"/>
  <c r="F94" i="24"/>
  <c r="F90" i="24"/>
  <c r="F86" i="24"/>
  <c r="F100" i="24"/>
  <c r="F93" i="24"/>
  <c r="F96" i="24"/>
  <c r="F99" i="24"/>
  <c r="F95" i="24"/>
  <c r="F91" i="24"/>
  <c r="F87" i="24"/>
  <c r="F92" i="24"/>
  <c r="F88" i="24"/>
  <c r="F97" i="24"/>
  <c r="G406" i="24" l="1"/>
  <c r="E111" i="39"/>
  <c r="E111" i="28"/>
  <c r="C112" i="39"/>
  <c r="C112" i="28"/>
  <c r="E407" i="24"/>
  <c r="I404" i="24"/>
  <c r="D110" i="39"/>
  <c r="F111" i="28"/>
  <c r="F111" i="39"/>
  <c r="G108" i="28"/>
  <c r="G108" i="39"/>
  <c r="F405" i="24"/>
  <c r="D111" i="39" s="1"/>
  <c r="D110" i="28"/>
  <c r="H406" i="24"/>
  <c r="D94" i="37"/>
  <c r="D92" i="37"/>
  <c r="P100" i="37"/>
  <c r="D95" i="37"/>
  <c r="P102" i="37"/>
  <c r="D98" i="37"/>
  <c r="P89" i="37"/>
  <c r="D102" i="37"/>
  <c r="D93" i="37"/>
  <c r="D101" i="37"/>
  <c r="D104" i="37"/>
  <c r="D99" i="37"/>
  <c r="P90" i="37"/>
  <c r="D88" i="37"/>
  <c r="P93" i="37"/>
  <c r="P95" i="37"/>
  <c r="D90" i="37"/>
  <c r="AA35" i="37" a="1"/>
  <c r="AA35" i="37" s="1"/>
  <c r="AA31" i="37" a="1"/>
  <c r="AA31" i="37" s="1"/>
  <c r="AA34" i="37" a="1"/>
  <c r="AA34" i="37" s="1"/>
  <c r="AA42" i="37" a="1"/>
  <c r="AA42" i="37" s="1"/>
  <c r="AA30" i="37" a="1"/>
  <c r="AA30" i="37" s="1"/>
  <c r="AA52" i="37" a="1"/>
  <c r="AA52" i="37" s="1"/>
  <c r="AA46" i="37" a="1"/>
  <c r="AA46" i="37" s="1"/>
  <c r="AA36" i="37" a="1"/>
  <c r="AA36" i="37" s="1"/>
  <c r="AA32" i="37" a="1"/>
  <c r="AA32" i="37" s="1"/>
  <c r="AA40" i="37" a="1"/>
  <c r="AA40" i="37" s="1"/>
  <c r="AA33" i="37" a="1"/>
  <c r="AA33" i="37" s="1"/>
  <c r="AA53" i="37" a="1"/>
  <c r="AA53" i="37" s="1"/>
  <c r="AA45" i="37" a="1"/>
  <c r="AA45" i="37" s="1"/>
  <c r="AA38" i="37" a="1"/>
  <c r="AA38" i="37" s="1"/>
  <c r="AA37" i="37" a="1"/>
  <c r="AA37" i="37" s="1"/>
  <c r="AA44" i="37" a="1"/>
  <c r="AA44" i="37" s="1"/>
  <c r="AA48" i="37" a="1"/>
  <c r="AA48" i="37" s="1"/>
  <c r="AA39" i="37" a="1"/>
  <c r="AA39" i="37" s="1"/>
  <c r="AA50" i="37" a="1"/>
  <c r="AA50" i="37" s="1"/>
  <c r="AA49" i="37" a="1"/>
  <c r="AA49" i="37" s="1"/>
  <c r="AA55" i="37" a="1"/>
  <c r="AA55" i="37" s="1"/>
  <c r="AA51" i="37" a="1"/>
  <c r="AA51" i="37" s="1"/>
  <c r="AA54" i="37" a="1"/>
  <c r="AA54" i="37" s="1"/>
  <c r="AA56" i="37" a="1"/>
  <c r="AA56" i="37" s="1"/>
  <c r="AA41" i="37" a="1"/>
  <c r="AA41" i="37" s="1"/>
  <c r="AA43" i="37" a="1"/>
  <c r="AA43" i="37" s="1"/>
  <c r="AA47" i="37" a="1"/>
  <c r="AA47" i="37" s="1"/>
  <c r="AA57" i="37" a="1"/>
  <c r="AA57" i="37" s="1"/>
  <c r="D96" i="37"/>
  <c r="D103" i="37"/>
  <c r="P104" i="37"/>
  <c r="P94" i="37"/>
  <c r="P92" i="37"/>
  <c r="AH28" i="28" a="1"/>
  <c r="AH28" i="28" s="1"/>
  <c r="P88" i="37"/>
  <c r="P101" i="37"/>
  <c r="P91" i="37"/>
  <c r="D100" i="37"/>
  <c r="V27" i="28" a="1"/>
  <c r="V27" i="28" s="1"/>
  <c r="D91" i="37"/>
  <c r="V27" i="37" s="1" a="1"/>
  <c r="V27" i="37" s="1"/>
  <c r="P97" i="37"/>
  <c r="P103" i="37"/>
  <c r="D89" i="37"/>
  <c r="P96" i="37"/>
  <c r="D97" i="37"/>
  <c r="P98" i="37"/>
  <c r="P99" i="37"/>
  <c r="C23" i="25"/>
  <c r="C62" i="25"/>
  <c r="C193" i="24"/>
  <c r="H202" i="24" s="1"/>
  <c r="F88" i="21" s="1"/>
  <c r="C23" i="24"/>
  <c r="H49" i="24" s="1"/>
  <c r="F105" i="37" s="1"/>
  <c r="C255" i="25"/>
  <c r="W37" i="21"/>
  <c r="W42" i="21"/>
  <c r="W50" i="21"/>
  <c r="W49" i="21"/>
  <c r="W41" i="21"/>
  <c r="W52" i="21"/>
  <c r="W38" i="21"/>
  <c r="W48" i="21"/>
  <c r="W47" i="21"/>
  <c r="W43" i="21"/>
  <c r="W54" i="21"/>
  <c r="W55" i="21"/>
  <c r="W53" i="21"/>
  <c r="W46" i="21"/>
  <c r="W39" i="21"/>
  <c r="W44" i="21"/>
  <c r="W57" i="21"/>
  <c r="W45" i="21"/>
  <c r="W56" i="21"/>
  <c r="W40" i="21"/>
  <c r="W51" i="21"/>
  <c r="V28" i="28" a="1"/>
  <c r="V28" i="28" s="1"/>
  <c r="V52" i="28" a="1"/>
  <c r="V52" i="28" s="1"/>
  <c r="V54" i="28" a="1"/>
  <c r="V54" i="28" s="1"/>
  <c r="V41" i="28" a="1"/>
  <c r="V41" i="28" s="1"/>
  <c r="V49" i="28" a="1"/>
  <c r="V49" i="28" s="1"/>
  <c r="V47" i="28" a="1"/>
  <c r="V47" i="28" s="1"/>
  <c r="V45" i="28" a="1"/>
  <c r="V45" i="28" s="1"/>
  <c r="V43" i="28" a="1"/>
  <c r="V43" i="28" s="1"/>
  <c r="V37" i="28" a="1"/>
  <c r="V37" i="28" s="1"/>
  <c r="V51" i="28" a="1"/>
  <c r="V51" i="28" s="1"/>
  <c r="V39" i="28" a="1"/>
  <c r="V39" i="28" s="1"/>
  <c r="V53" i="28" a="1"/>
  <c r="V53" i="28" s="1"/>
  <c r="V42" i="28" a="1"/>
  <c r="V42" i="28" s="1"/>
  <c r="V55" i="28" a="1"/>
  <c r="V55" i="28" s="1"/>
  <c r="V48" i="28" a="1"/>
  <c r="V48" i="28" s="1"/>
  <c r="V46" i="28" a="1"/>
  <c r="V46" i="28" s="1"/>
  <c r="V44" i="28" a="1"/>
  <c r="V44" i="28" s="1"/>
  <c r="V50" i="28" a="1"/>
  <c r="V50" i="28" s="1"/>
  <c r="V40" i="28" a="1"/>
  <c r="V40" i="28" s="1"/>
  <c r="V38" i="28" a="1"/>
  <c r="V38" i="28" s="1"/>
  <c r="V56" i="28" a="1"/>
  <c r="V56" i="28" s="1"/>
  <c r="V57" i="28" a="1"/>
  <c r="V57" i="28" s="1"/>
  <c r="AH53" i="28" a="1"/>
  <c r="AH53" i="28" s="1"/>
  <c r="K33" i="24"/>
  <c r="I89" i="37" s="1"/>
  <c r="C440" i="24"/>
  <c r="H449" i="24" s="1"/>
  <c r="C108" i="25"/>
  <c r="H117" i="25" s="1"/>
  <c r="H118" i="25" s="1"/>
  <c r="AD28" i="28" a="1"/>
  <c r="AD28" i="28" s="1"/>
  <c r="AE28" i="28" a="1"/>
  <c r="AE28" i="28" s="1"/>
  <c r="U27" i="28"/>
  <c r="E456" i="24"/>
  <c r="AD46" i="21" a="1"/>
  <c r="AD46" i="21" s="1"/>
  <c r="AI46" i="21" s="1"/>
  <c r="AD54" i="21" a="1"/>
  <c r="AD54" i="21" s="1"/>
  <c r="AI54" i="21" s="1"/>
  <c r="AD42" i="21" a="1"/>
  <c r="AD42" i="21" s="1"/>
  <c r="AD50" i="21" a="1"/>
  <c r="AD50" i="21" s="1"/>
  <c r="AI50" i="21" s="1"/>
  <c r="AD53" i="21" a="1"/>
  <c r="AD53" i="21" s="1"/>
  <c r="AI53" i="21" s="1"/>
  <c r="AD38" i="21" a="1"/>
  <c r="AD38" i="21" s="1"/>
  <c r="AI38" i="21" s="1"/>
  <c r="AD47" i="21" a="1"/>
  <c r="AD47" i="21" s="1"/>
  <c r="AD41" i="21" a="1"/>
  <c r="AD41" i="21" s="1"/>
  <c r="AD56" i="21" a="1"/>
  <c r="AD56" i="21" s="1"/>
  <c r="AI56" i="21" s="1"/>
  <c r="AD44" i="21" a="1"/>
  <c r="AD44" i="21" s="1"/>
  <c r="AD49" i="21" a="1"/>
  <c r="AD49" i="21" s="1"/>
  <c r="AI49" i="21" s="1"/>
  <c r="AD55" i="21" a="1"/>
  <c r="AD55" i="21" s="1"/>
  <c r="AI55" i="21" s="1"/>
  <c r="AD37" i="21" a="1"/>
  <c r="AD37" i="21" s="1"/>
  <c r="AI37" i="21" s="1"/>
  <c r="AD43" i="21" a="1"/>
  <c r="AD43" i="21" s="1"/>
  <c r="AD52" i="21" a="1"/>
  <c r="AD52" i="21" s="1"/>
  <c r="AI52" i="21" s="1"/>
  <c r="AD40" i="21" a="1"/>
  <c r="AD40" i="21" s="1"/>
  <c r="AI40" i="21" s="1"/>
  <c r="AD51" i="21" a="1"/>
  <c r="AD51" i="21" s="1"/>
  <c r="AI51" i="21" s="1"/>
  <c r="AD48" i="21" a="1"/>
  <c r="AD48" i="21" s="1"/>
  <c r="AD57" i="21" a="1"/>
  <c r="AD57" i="21" s="1"/>
  <c r="AI57" i="21" s="1"/>
  <c r="AD39" i="21" a="1"/>
  <c r="AD39" i="21" s="1"/>
  <c r="AI39" i="21" s="1"/>
  <c r="AD45" i="21" a="1"/>
  <c r="AD45" i="21" s="1"/>
  <c r="AI45" i="21" s="1"/>
  <c r="AE48" i="21" a="1"/>
  <c r="AE48" i="21" s="1"/>
  <c r="AE51" i="21" a="1"/>
  <c r="AE51" i="21" s="1"/>
  <c r="AE44" i="21" a="1"/>
  <c r="AE44" i="21" s="1"/>
  <c r="AE57" i="21" a="1"/>
  <c r="AE57" i="21" s="1"/>
  <c r="AE47" i="21" a="1"/>
  <c r="AE47" i="21" s="1"/>
  <c r="AE46" i="21" a="1"/>
  <c r="AE46" i="21" s="1"/>
  <c r="AE41" i="21" a="1"/>
  <c r="AE41" i="21" s="1"/>
  <c r="AE37" i="21" a="1"/>
  <c r="AE37" i="21" s="1"/>
  <c r="AE49" i="21" a="1"/>
  <c r="AE49" i="21" s="1"/>
  <c r="AE56" i="21" a="1"/>
  <c r="AE56" i="21" s="1"/>
  <c r="AE52" i="21" a="1"/>
  <c r="AE52" i="21" s="1"/>
  <c r="AE38" i="21" a="1"/>
  <c r="AE38" i="21" s="1"/>
  <c r="AE45" i="21" a="1"/>
  <c r="AE45" i="21" s="1"/>
  <c r="AE40" i="21" a="1"/>
  <c r="AE40" i="21" s="1"/>
  <c r="AE53" i="21" a="1"/>
  <c r="AE53" i="21" s="1"/>
  <c r="AE42" i="21" a="1"/>
  <c r="AE42" i="21" s="1"/>
  <c r="AE50" i="21" a="1"/>
  <c r="AE50" i="21" s="1"/>
  <c r="AE54" i="21" a="1"/>
  <c r="AE54" i="21" s="1"/>
  <c r="AE39" i="21" a="1"/>
  <c r="AE39" i="21" s="1"/>
  <c r="AE43" i="21" a="1"/>
  <c r="AE43" i="21" s="1"/>
  <c r="AE55" i="21" a="1"/>
  <c r="AE55" i="21" s="1"/>
  <c r="E206" i="24"/>
  <c r="C91" i="21"/>
  <c r="U27" i="21" s="1"/>
  <c r="M89" i="21"/>
  <c r="AE28" i="21" s="1" a="1"/>
  <c r="AE28" i="21" s="1"/>
  <c r="O204" i="24"/>
  <c r="F207" i="24"/>
  <c r="D92" i="21"/>
  <c r="G204" i="24"/>
  <c r="E89" i="21"/>
  <c r="W28" i="21" s="1"/>
  <c r="AA37" i="21" a="1"/>
  <c r="AA37" i="21" s="1"/>
  <c r="AA41" i="21" a="1"/>
  <c r="AA41" i="21" s="1"/>
  <c r="AA46" i="21" a="1"/>
  <c r="AA46" i="21" s="1"/>
  <c r="AA51" i="21" a="1"/>
  <c r="AA51" i="21" s="1"/>
  <c r="AA57" i="21" a="1"/>
  <c r="AA57" i="21" s="1"/>
  <c r="AA54" i="21" a="1"/>
  <c r="AA54" i="21" s="1"/>
  <c r="AA48" i="21" a="1"/>
  <c r="AA48" i="21" s="1"/>
  <c r="AA47" i="21" a="1"/>
  <c r="AA47" i="21" s="1"/>
  <c r="AA43" i="21" a="1"/>
  <c r="AA43" i="21" s="1"/>
  <c r="AA52" i="21" a="1"/>
  <c r="AA52" i="21" s="1"/>
  <c r="AA39" i="21" a="1"/>
  <c r="AA39" i="21" s="1"/>
  <c r="AA38" i="21" a="1"/>
  <c r="AA38" i="21" s="1"/>
  <c r="AA44" i="21" a="1"/>
  <c r="AA44" i="21" s="1"/>
  <c r="AA42" i="21" a="1"/>
  <c r="AA42" i="21" s="1"/>
  <c r="AA56" i="21" a="1"/>
  <c r="AA56" i="21" s="1"/>
  <c r="AA50" i="21" a="1"/>
  <c r="AA50" i="21" s="1"/>
  <c r="AA40" i="21" a="1"/>
  <c r="AA40" i="21" s="1"/>
  <c r="AA55" i="21" a="1"/>
  <c r="AA55" i="21" s="1"/>
  <c r="AA45" i="21" a="1"/>
  <c r="AA45" i="21" s="1"/>
  <c r="AA49" i="21" a="1"/>
  <c r="AA49" i="21" s="1"/>
  <c r="AA53" i="21" a="1"/>
  <c r="AA53" i="21" s="1"/>
  <c r="N204" i="24"/>
  <c r="L89" i="21"/>
  <c r="AD28" i="21" s="1" a="1"/>
  <c r="AD28" i="21" s="1"/>
  <c r="K204" i="24"/>
  <c r="I89" i="21"/>
  <c r="AA28" i="21" s="1" a="1"/>
  <c r="AA28" i="21" s="1"/>
  <c r="H97" i="24"/>
  <c r="I97" i="24" s="1"/>
  <c r="H88" i="24"/>
  <c r="I88" i="24" s="1"/>
  <c r="H96" i="24"/>
  <c r="I96" i="24" s="1"/>
  <c r="H100" i="24"/>
  <c r="I100" i="24" s="1"/>
  <c r="H93" i="24"/>
  <c r="I93" i="24" s="1"/>
  <c r="H91" i="24"/>
  <c r="I91" i="24" s="1"/>
  <c r="H86" i="24"/>
  <c r="I86" i="24" s="1"/>
  <c r="H90" i="24"/>
  <c r="I90" i="24" s="1"/>
  <c r="H94" i="24"/>
  <c r="I94" i="24" s="1"/>
  <c r="H98" i="24"/>
  <c r="I98" i="24" s="1"/>
  <c r="H89" i="24"/>
  <c r="I89" i="24" s="1"/>
  <c r="H92" i="24"/>
  <c r="I92" i="24" s="1"/>
  <c r="H99" i="24"/>
  <c r="I99" i="24" s="1"/>
  <c r="H87" i="24"/>
  <c r="I87" i="24" s="1"/>
  <c r="H95" i="24"/>
  <c r="I95" i="24" s="1"/>
  <c r="H143" i="24"/>
  <c r="I143" i="24" s="1"/>
  <c r="H155" i="24"/>
  <c r="I155" i="24" s="1"/>
  <c r="H144" i="24"/>
  <c r="I144" i="24" s="1"/>
  <c r="H142" i="24"/>
  <c r="I142" i="24" s="1"/>
  <c r="H145" i="24"/>
  <c r="I145" i="24" s="1"/>
  <c r="H146" i="24"/>
  <c r="I146" i="24" s="1"/>
  <c r="H147" i="24"/>
  <c r="I147" i="24" s="1"/>
  <c r="H148" i="24"/>
  <c r="I148" i="24" s="1"/>
  <c r="H149" i="24"/>
  <c r="I149" i="24" s="1"/>
  <c r="H150" i="24"/>
  <c r="I150" i="24" s="1"/>
  <c r="H153" i="24"/>
  <c r="I153" i="24" s="1"/>
  <c r="H151" i="24"/>
  <c r="I151" i="24" s="1"/>
  <c r="H152" i="24"/>
  <c r="I152" i="24" s="1"/>
  <c r="H154" i="24"/>
  <c r="I154" i="24" s="1"/>
  <c r="I141" i="24"/>
  <c r="I405" i="24" l="1"/>
  <c r="V28" i="37" a="1"/>
  <c r="V28" i="37" s="1"/>
  <c r="H203" i="24"/>
  <c r="C113" i="39"/>
  <c r="C113" i="28"/>
  <c r="E408" i="24"/>
  <c r="G407" i="24"/>
  <c r="E112" i="39"/>
  <c r="E112" i="28"/>
  <c r="F112" i="28"/>
  <c r="F112" i="39"/>
  <c r="G111" i="28"/>
  <c r="G111" i="39"/>
  <c r="G110" i="28"/>
  <c r="G110" i="39"/>
  <c r="H36" i="24"/>
  <c r="F92" i="37" s="1"/>
  <c r="H34" i="24"/>
  <c r="F90" i="37" s="1"/>
  <c r="I202" i="24"/>
  <c r="H42" i="24"/>
  <c r="F98" i="37" s="1"/>
  <c r="H40" i="24"/>
  <c r="F96" i="37" s="1"/>
  <c r="H46" i="24"/>
  <c r="F102" i="37" s="1"/>
  <c r="X29" i="37" s="1"/>
  <c r="H41" i="24"/>
  <c r="F97" i="37" s="1"/>
  <c r="H35" i="24"/>
  <c r="F91" i="37" s="1"/>
  <c r="X27" i="37" s="1"/>
  <c r="Y27" i="37" s="1"/>
  <c r="D27" i="37" s="1"/>
  <c r="H37" i="24"/>
  <c r="F93" i="37" s="1"/>
  <c r="H33" i="24"/>
  <c r="F89" i="37" s="1"/>
  <c r="F406" i="24"/>
  <c r="D111" i="28"/>
  <c r="H407" i="24"/>
  <c r="AH41" i="28" a="1"/>
  <c r="AH41" i="28" s="1"/>
  <c r="AH47" i="28" a="1"/>
  <c r="AH47" i="28" s="1"/>
  <c r="AH33" i="28" a="1"/>
  <c r="AH33" i="28" s="1"/>
  <c r="AH32" i="28" a="1"/>
  <c r="AH32" i="28" s="1"/>
  <c r="AH38" i="28" a="1"/>
  <c r="AH38" i="28" s="1"/>
  <c r="AH43" i="28" a="1"/>
  <c r="AH43" i="28" s="1"/>
  <c r="AH34" i="28" a="1"/>
  <c r="AH34" i="28" s="1"/>
  <c r="AH35" i="28" a="1"/>
  <c r="AH35" i="28" s="1"/>
  <c r="AH55" i="28" a="1"/>
  <c r="AH55" i="28" s="1"/>
  <c r="AH31" i="28" a="1"/>
  <c r="AH31" i="28" s="1"/>
  <c r="AH49" i="28" a="1"/>
  <c r="AH49" i="28" s="1"/>
  <c r="AH48" i="28" a="1"/>
  <c r="AH48" i="28" s="1"/>
  <c r="AH40" i="28" a="1"/>
  <c r="AH40" i="28" s="1"/>
  <c r="AH54" i="28" a="1"/>
  <c r="AH54" i="28" s="1"/>
  <c r="AH57" i="28" a="1"/>
  <c r="AH57" i="28" s="1"/>
  <c r="AH44" i="28" a="1"/>
  <c r="AH44" i="28" s="1"/>
  <c r="AH45" i="28" a="1"/>
  <c r="AH45" i="28" s="1"/>
  <c r="AH51" i="28" a="1"/>
  <c r="AH51" i="28" s="1"/>
  <c r="AH46" i="28" a="1"/>
  <c r="AH46" i="28" s="1"/>
  <c r="AH37" i="28" a="1"/>
  <c r="AH37" i="28" s="1"/>
  <c r="AH52" i="28" a="1"/>
  <c r="AH52" i="28" s="1"/>
  <c r="AH36" i="28" a="1"/>
  <c r="AH36" i="28" s="1"/>
  <c r="AH42" i="28" a="1"/>
  <c r="AH42" i="28" s="1"/>
  <c r="AH56" i="28" a="1"/>
  <c r="AH56" i="28" s="1"/>
  <c r="AH39" i="28" a="1"/>
  <c r="AH39" i="28" s="1"/>
  <c r="AH50" i="28" a="1"/>
  <c r="AH50" i="28" s="1"/>
  <c r="AH29" i="28" a="1"/>
  <c r="AH29" i="28" s="1"/>
  <c r="AH30" i="28" a="1"/>
  <c r="AH30" i="28" s="1"/>
  <c r="AH27" i="28" a="1"/>
  <c r="AH27" i="28" s="1"/>
  <c r="V40" i="37" a="1"/>
  <c r="V40" i="37" s="1"/>
  <c r="V39" i="37" a="1"/>
  <c r="V39" i="37" s="1"/>
  <c r="V32" i="37" a="1"/>
  <c r="V32" i="37" s="1"/>
  <c r="V35" i="37" a="1"/>
  <c r="V35" i="37" s="1"/>
  <c r="V33" i="37" a="1"/>
  <c r="V33" i="37" s="1"/>
  <c r="V45" i="37" a="1"/>
  <c r="V45" i="37" s="1"/>
  <c r="V48" i="37" a="1"/>
  <c r="V48" i="37" s="1"/>
  <c r="V31" i="37" a="1"/>
  <c r="V31" i="37" s="1"/>
  <c r="V37" i="37" a="1"/>
  <c r="V37" i="37" s="1"/>
  <c r="V30" i="37" a="1"/>
  <c r="V30" i="37" s="1"/>
  <c r="V49" i="37" a="1"/>
  <c r="V49" i="37" s="1"/>
  <c r="V38" i="37" a="1"/>
  <c r="V38" i="37" s="1"/>
  <c r="V36" i="37" a="1"/>
  <c r="V36" i="37" s="1"/>
  <c r="V46" i="37" a="1"/>
  <c r="V46" i="37" s="1"/>
  <c r="V44" i="37" a="1"/>
  <c r="V44" i="37" s="1"/>
  <c r="V34" i="37" a="1"/>
  <c r="V34" i="37" s="1"/>
  <c r="V54" i="37" a="1"/>
  <c r="V54" i="37" s="1"/>
  <c r="V50" i="37" a="1"/>
  <c r="V50" i="37" s="1"/>
  <c r="V42" i="37" a="1"/>
  <c r="V42" i="37" s="1"/>
  <c r="V43" i="37" a="1"/>
  <c r="V43" i="37" s="1"/>
  <c r="V56" i="37" a="1"/>
  <c r="V56" i="37" s="1"/>
  <c r="V52" i="37" a="1"/>
  <c r="V52" i="37" s="1"/>
  <c r="V55" i="37" a="1"/>
  <c r="V55" i="37" s="1"/>
  <c r="V57" i="37" a="1"/>
  <c r="V57" i="37" s="1"/>
  <c r="V41" i="37" a="1"/>
  <c r="V41" i="37" s="1"/>
  <c r="V51" i="37" a="1"/>
  <c r="V51" i="37" s="1"/>
  <c r="V47" i="37" a="1"/>
  <c r="V47" i="37" s="1"/>
  <c r="V53" i="37" a="1"/>
  <c r="V53" i="37" s="1"/>
  <c r="V29" i="37" a="1"/>
  <c r="V29" i="37" s="1"/>
  <c r="Y29" i="37" s="1"/>
  <c r="AH32" i="37" a="1"/>
  <c r="AH32" i="37" s="1"/>
  <c r="AH31" i="37" a="1"/>
  <c r="AH31" i="37" s="1"/>
  <c r="AH28" i="37" a="1"/>
  <c r="AH28" i="37" s="1"/>
  <c r="AH43" i="37" a="1"/>
  <c r="AH43" i="37" s="1"/>
  <c r="AH35" i="37" a="1"/>
  <c r="AH35" i="37" s="1"/>
  <c r="AH36" i="37" a="1"/>
  <c r="AH36" i="37" s="1"/>
  <c r="AH33" i="37" a="1"/>
  <c r="AH33" i="37" s="1"/>
  <c r="AH50" i="37" a="1"/>
  <c r="AH50" i="37" s="1"/>
  <c r="AH37" i="37" a="1"/>
  <c r="AH37" i="37" s="1"/>
  <c r="AH38" i="37" a="1"/>
  <c r="AH38" i="37" s="1"/>
  <c r="AH30" i="37" a="1"/>
  <c r="AH30" i="37" s="1"/>
  <c r="AH27" i="37" a="1"/>
  <c r="AH27" i="37" s="1"/>
  <c r="AH41" i="37" a="1"/>
  <c r="AH41" i="37" s="1"/>
  <c r="AH44" i="37" a="1"/>
  <c r="AH44" i="37" s="1"/>
  <c r="AH29" i="37" a="1"/>
  <c r="AH29" i="37" s="1"/>
  <c r="AI29" i="37" s="1"/>
  <c r="AH34" i="37" a="1"/>
  <c r="AH34" i="37" s="1"/>
  <c r="AH49" i="37" a="1"/>
  <c r="AH49" i="37" s="1"/>
  <c r="AH55" i="37" a="1"/>
  <c r="AH55" i="37" s="1"/>
  <c r="AH51" i="37" a="1"/>
  <c r="AH51" i="37" s="1"/>
  <c r="AH47" i="37" a="1"/>
  <c r="AH47" i="37" s="1"/>
  <c r="AH46" i="37" a="1"/>
  <c r="AH46" i="37" s="1"/>
  <c r="AH57" i="37" a="1"/>
  <c r="AH57" i="37" s="1"/>
  <c r="AH54" i="37" a="1"/>
  <c r="AH54" i="37" s="1"/>
  <c r="AH42" i="37" a="1"/>
  <c r="AH42" i="37" s="1"/>
  <c r="AH56" i="37" a="1"/>
  <c r="AH56" i="37" s="1"/>
  <c r="AH40" i="37" a="1"/>
  <c r="AH40" i="37" s="1"/>
  <c r="AH52" i="37" a="1"/>
  <c r="AH52" i="37" s="1"/>
  <c r="AH48" i="37" a="1"/>
  <c r="AH48" i="37" s="1"/>
  <c r="AH53" i="37" a="1"/>
  <c r="AH53" i="37" s="1"/>
  <c r="AH39" i="37" a="1"/>
  <c r="AH39" i="37" s="1"/>
  <c r="AH45" i="37" a="1"/>
  <c r="AH45" i="37" s="1"/>
  <c r="H47" i="24"/>
  <c r="F103" i="37" s="1"/>
  <c r="H43" i="24"/>
  <c r="F99" i="37" s="1"/>
  <c r="H48" i="24"/>
  <c r="H38" i="24"/>
  <c r="F94" i="37" s="1"/>
  <c r="H44" i="24"/>
  <c r="H32" i="24"/>
  <c r="H39" i="24"/>
  <c r="H45" i="24"/>
  <c r="H264" i="25"/>
  <c r="I264" i="25" s="1"/>
  <c r="X40" i="21"/>
  <c r="Y40" i="21" s="1"/>
  <c r="X42" i="21"/>
  <c r="X51" i="21"/>
  <c r="Y51" i="21" s="1"/>
  <c r="X48" i="21"/>
  <c r="Y48" i="21" s="1"/>
  <c r="X43" i="21"/>
  <c r="X44" i="21"/>
  <c r="X47" i="21"/>
  <c r="Y47" i="21" s="1"/>
  <c r="X45" i="21"/>
  <c r="X50" i="21"/>
  <c r="Y50" i="21" s="1"/>
  <c r="X38" i="21"/>
  <c r="X37" i="21"/>
  <c r="X55" i="21"/>
  <c r="Y55" i="21" s="1"/>
  <c r="X49" i="21"/>
  <c r="Y49" i="21" s="1"/>
  <c r="X53" i="21"/>
  <c r="Y53" i="21" s="1"/>
  <c r="X52" i="21"/>
  <c r="Y52" i="21" s="1"/>
  <c r="X41" i="21"/>
  <c r="X54" i="21"/>
  <c r="Y54" i="21" s="1"/>
  <c r="X46" i="21"/>
  <c r="Y46" i="21" s="1"/>
  <c r="X39" i="21"/>
  <c r="X57" i="21"/>
  <c r="Y57" i="21" s="1"/>
  <c r="X56" i="21"/>
  <c r="Y56" i="21" s="1"/>
  <c r="I34" i="24"/>
  <c r="I40" i="24"/>
  <c r="I33" i="24"/>
  <c r="I42" i="24"/>
  <c r="AA44" i="28" a="1"/>
  <c r="AA44" i="28" s="1"/>
  <c r="AA37" i="28" a="1"/>
  <c r="AA37" i="28" s="1"/>
  <c r="AA53" i="28" a="1"/>
  <c r="AA53" i="28" s="1"/>
  <c r="AA54" i="28" a="1"/>
  <c r="AA54" i="28" s="1"/>
  <c r="AA56" i="28" a="1"/>
  <c r="AA56" i="28" s="1"/>
  <c r="AA49" i="28" a="1"/>
  <c r="AA49" i="28" s="1"/>
  <c r="AA45" i="28" a="1"/>
  <c r="AA45" i="28" s="1"/>
  <c r="AA57" i="28" a="1"/>
  <c r="AA57" i="28" s="1"/>
  <c r="AA38" i="28" a="1"/>
  <c r="AA38" i="28" s="1"/>
  <c r="AA48" i="28" a="1"/>
  <c r="AA48" i="28" s="1"/>
  <c r="AA41" i="28" a="1"/>
  <c r="AA41" i="28" s="1"/>
  <c r="AA39" i="28" a="1"/>
  <c r="AA39" i="28" s="1"/>
  <c r="AA47" i="28" a="1"/>
  <c r="AA47" i="28" s="1"/>
  <c r="AA55" i="28" a="1"/>
  <c r="AA55" i="28" s="1"/>
  <c r="AA42" i="28" a="1"/>
  <c r="AA42" i="28" s="1"/>
  <c r="AA52" i="28" a="1"/>
  <c r="AA52" i="28" s="1"/>
  <c r="AA43" i="28" a="1"/>
  <c r="AA43" i="28" s="1"/>
  <c r="AA46" i="28" a="1"/>
  <c r="AA46" i="28" s="1"/>
  <c r="AA50" i="28" a="1"/>
  <c r="AA50" i="28" s="1"/>
  <c r="AA51" i="28" a="1"/>
  <c r="AA51" i="28" s="1"/>
  <c r="AA40" i="28" a="1"/>
  <c r="AA40" i="28" s="1"/>
  <c r="I49" i="24"/>
  <c r="K34" i="24"/>
  <c r="I90" i="37" s="1"/>
  <c r="I46" i="24"/>
  <c r="I36" i="24"/>
  <c r="I449" i="24"/>
  <c r="H450" i="24"/>
  <c r="I117" i="25"/>
  <c r="H119" i="25"/>
  <c r="I118" i="25"/>
  <c r="AI28" i="28"/>
  <c r="E457" i="24"/>
  <c r="AI28" i="21"/>
  <c r="O205" i="24"/>
  <c r="M90" i="21"/>
  <c r="F208" i="24"/>
  <c r="D93" i="21"/>
  <c r="C92" i="21"/>
  <c r="E207" i="24"/>
  <c r="G205" i="24"/>
  <c r="E90" i="21"/>
  <c r="F89" i="21"/>
  <c r="X28" i="21" s="1"/>
  <c r="G88" i="21"/>
  <c r="K205" i="24"/>
  <c r="I90" i="21"/>
  <c r="N205" i="24"/>
  <c r="L90" i="21"/>
  <c r="H204" i="24"/>
  <c r="I203" i="24"/>
  <c r="AI42" i="21"/>
  <c r="AI41" i="21"/>
  <c r="G408" i="24" l="1"/>
  <c r="E113" i="39"/>
  <c r="E113" i="28"/>
  <c r="C114" i="39"/>
  <c r="E409" i="24"/>
  <c r="C114" i="28"/>
  <c r="I37" i="24"/>
  <c r="G93" i="37" s="1"/>
  <c r="I41" i="24"/>
  <c r="I35" i="24"/>
  <c r="G91" i="37" s="1"/>
  <c r="F113" i="28"/>
  <c r="F113" i="39"/>
  <c r="I406" i="24"/>
  <c r="D112" i="39"/>
  <c r="F407" i="24"/>
  <c r="D112" i="28"/>
  <c r="I38" i="24"/>
  <c r="G94" i="37" s="1"/>
  <c r="H408" i="24"/>
  <c r="B27" i="37"/>
  <c r="I43" i="24"/>
  <c r="I47" i="24"/>
  <c r="G98" i="37"/>
  <c r="G97" i="37"/>
  <c r="I44" i="24"/>
  <c r="F100" i="37"/>
  <c r="D29" i="37"/>
  <c r="B29" i="37"/>
  <c r="G102" i="37"/>
  <c r="G89" i="37"/>
  <c r="I48" i="24"/>
  <c r="F104" i="37"/>
  <c r="I45" i="24"/>
  <c r="F101" i="37"/>
  <c r="X28" i="37" s="1"/>
  <c r="Y28" i="37" s="1"/>
  <c r="G105" i="37"/>
  <c r="X40" i="28"/>
  <c r="Y40" i="28" s="1"/>
  <c r="F88" i="37"/>
  <c r="G96" i="37"/>
  <c r="G92" i="37"/>
  <c r="G90" i="37"/>
  <c r="I39" i="24"/>
  <c r="F95" i="37"/>
  <c r="I32" i="24"/>
  <c r="X28" i="28"/>
  <c r="H265" i="25"/>
  <c r="B50" i="21"/>
  <c r="C50" i="21" s="1"/>
  <c r="D50" i="21"/>
  <c r="D54" i="21"/>
  <c r="B54" i="21"/>
  <c r="C54" i="21" s="1"/>
  <c r="D51" i="21"/>
  <c r="B51" i="21"/>
  <c r="C51" i="21" s="1"/>
  <c r="B56" i="21"/>
  <c r="C56" i="21" s="1"/>
  <c r="D56" i="21"/>
  <c r="B53" i="21"/>
  <c r="C53" i="21" s="1"/>
  <c r="D53" i="21"/>
  <c r="D57" i="21"/>
  <c r="B57" i="21"/>
  <c r="C57" i="21" s="1"/>
  <c r="B49" i="21"/>
  <c r="C49" i="21" s="1"/>
  <c r="D49" i="21"/>
  <c r="D52" i="21"/>
  <c r="B52" i="21"/>
  <c r="C52" i="21" s="1"/>
  <c r="D55" i="21"/>
  <c r="B55" i="21"/>
  <c r="C55" i="21" s="1"/>
  <c r="K35" i="24"/>
  <c r="I91" i="37" s="1"/>
  <c r="AA27" i="37" s="1" a="1"/>
  <c r="AA27" i="37" s="1"/>
  <c r="C27" i="37" s="1"/>
  <c r="X50" i="28"/>
  <c r="Y50" i="28" s="1"/>
  <c r="X52" i="28"/>
  <c r="Y52" i="28" s="1"/>
  <c r="I450" i="24"/>
  <c r="H451" i="24"/>
  <c r="H120" i="25"/>
  <c r="I119" i="25"/>
  <c r="AE27" i="28" a="1"/>
  <c r="AE27" i="28" s="1"/>
  <c r="V29" i="28" a="1"/>
  <c r="V29" i="28" s="1"/>
  <c r="AD27" i="28" a="1"/>
  <c r="AD27" i="28" s="1"/>
  <c r="E458" i="24"/>
  <c r="C93" i="21"/>
  <c r="E208" i="24"/>
  <c r="F209" i="24"/>
  <c r="D94" i="21"/>
  <c r="V29" i="21" s="1" a="1"/>
  <c r="V29" i="21" s="1"/>
  <c r="O206" i="24"/>
  <c r="M91" i="21"/>
  <c r="AE27" i="21" s="1" a="1"/>
  <c r="AE27" i="21" s="1"/>
  <c r="N206" i="24"/>
  <c r="L91" i="21"/>
  <c r="AD27" i="21" s="1" a="1"/>
  <c r="AD27" i="21" s="1"/>
  <c r="K206" i="24"/>
  <c r="I91" i="21"/>
  <c r="AA27" i="21" s="1" a="1"/>
  <c r="AA27" i="21" s="1"/>
  <c r="G89" i="21"/>
  <c r="F90" i="21"/>
  <c r="G206" i="24"/>
  <c r="E91" i="21"/>
  <c r="W27" i="21" s="1"/>
  <c r="H205" i="24"/>
  <c r="I204" i="24"/>
  <c r="B46" i="21"/>
  <c r="C46" i="21" s="1"/>
  <c r="D46" i="21"/>
  <c r="D40" i="21"/>
  <c r="B40" i="21"/>
  <c r="C40" i="21" s="1"/>
  <c r="C115" i="39" l="1"/>
  <c r="C115" i="28"/>
  <c r="E410" i="24"/>
  <c r="G409" i="24"/>
  <c r="E114" i="39"/>
  <c r="E114" i="28"/>
  <c r="F114" i="28"/>
  <c r="F114" i="39"/>
  <c r="I407" i="24"/>
  <c r="D113" i="39"/>
  <c r="G112" i="28"/>
  <c r="G112" i="39"/>
  <c r="Y28" i="28"/>
  <c r="D28" i="28" s="1"/>
  <c r="F408" i="24"/>
  <c r="D114" i="39" s="1"/>
  <c r="D113" i="28"/>
  <c r="X46" i="28"/>
  <c r="X42" i="28"/>
  <c r="X45" i="28"/>
  <c r="G99" i="37"/>
  <c r="X55" i="28"/>
  <c r="X48" i="28"/>
  <c r="X57" i="28"/>
  <c r="X56" i="28"/>
  <c r="X41" i="28"/>
  <c r="X54" i="28"/>
  <c r="X38" i="28"/>
  <c r="X51" i="28"/>
  <c r="G103" i="37"/>
  <c r="X53" i="28"/>
  <c r="X44" i="28"/>
  <c r="X37" i="28"/>
  <c r="X43" i="28"/>
  <c r="X49" i="28"/>
  <c r="X47" i="28"/>
  <c r="X39" i="28"/>
  <c r="H409" i="24"/>
  <c r="G95" i="37"/>
  <c r="G88" i="37"/>
  <c r="G101" i="37"/>
  <c r="X47" i="37"/>
  <c r="Y47" i="37" s="1"/>
  <c r="X33" i="37"/>
  <c r="Y33" i="37" s="1"/>
  <c r="X51" i="37"/>
  <c r="Y51" i="37" s="1"/>
  <c r="X30" i="37"/>
  <c r="Y30" i="37" s="1"/>
  <c r="X31" i="37"/>
  <c r="Y31" i="37" s="1"/>
  <c r="X42" i="37"/>
  <c r="Y42" i="37" s="1"/>
  <c r="X48" i="37"/>
  <c r="Y48" i="37" s="1"/>
  <c r="X38" i="37"/>
  <c r="Y38" i="37" s="1"/>
  <c r="X32" i="37"/>
  <c r="Y32" i="37" s="1"/>
  <c r="X44" i="37"/>
  <c r="Y44" i="37" s="1"/>
  <c r="X36" i="37"/>
  <c r="Y36" i="37" s="1"/>
  <c r="X39" i="37"/>
  <c r="Y39" i="37" s="1"/>
  <c r="X49" i="37"/>
  <c r="Y49" i="37" s="1"/>
  <c r="X54" i="37"/>
  <c r="Y54" i="37" s="1"/>
  <c r="X45" i="37"/>
  <c r="Y45" i="37" s="1"/>
  <c r="X34" i="37"/>
  <c r="Y34" i="37" s="1"/>
  <c r="X41" i="37"/>
  <c r="Y41" i="37" s="1"/>
  <c r="X57" i="37"/>
  <c r="Y57" i="37" s="1"/>
  <c r="X50" i="37"/>
  <c r="Y50" i="37" s="1"/>
  <c r="X55" i="37"/>
  <c r="Y55" i="37" s="1"/>
  <c r="X40" i="37"/>
  <c r="Y40" i="37" s="1"/>
  <c r="X37" i="37"/>
  <c r="Y37" i="37" s="1"/>
  <c r="X56" i="37"/>
  <c r="Y56" i="37" s="1"/>
  <c r="X46" i="37"/>
  <c r="Y46" i="37" s="1"/>
  <c r="X52" i="37"/>
  <c r="Y52" i="37" s="1"/>
  <c r="X53" i="37"/>
  <c r="Y53" i="37" s="1"/>
  <c r="X43" i="37"/>
  <c r="Y43" i="37" s="1"/>
  <c r="X35" i="37"/>
  <c r="Y35" i="37" s="1"/>
  <c r="D28" i="37"/>
  <c r="B28" i="37"/>
  <c r="G100" i="37"/>
  <c r="G104" i="37"/>
  <c r="I265" i="25"/>
  <c r="H266" i="25"/>
  <c r="AI27" i="28"/>
  <c r="D52" i="28"/>
  <c r="B52" i="28"/>
  <c r="C52" i="28" s="1"/>
  <c r="B40" i="28"/>
  <c r="C40" i="28" s="1"/>
  <c r="D40" i="28"/>
  <c r="B50" i="28"/>
  <c r="C50" i="28" s="1"/>
  <c r="D50" i="28"/>
  <c r="K36" i="24"/>
  <c r="I92" i="37" s="1"/>
  <c r="AA27" i="28" a="1"/>
  <c r="AA27" i="28" s="1"/>
  <c r="H452" i="24"/>
  <c r="I451" i="24"/>
  <c r="H121" i="25"/>
  <c r="I120" i="25"/>
  <c r="V30" i="28" a="1"/>
  <c r="V30" i="28" s="1"/>
  <c r="U29" i="28"/>
  <c r="X27" i="28"/>
  <c r="Y27" i="28" s="1"/>
  <c r="E459" i="24"/>
  <c r="AI27" i="21"/>
  <c r="M92" i="21"/>
  <c r="O207" i="24"/>
  <c r="F210" i="24"/>
  <c r="D95" i="21"/>
  <c r="V30" i="21" s="1" a="1"/>
  <c r="V30" i="21" s="1"/>
  <c r="C94" i="21"/>
  <c r="U29" i="21" s="1"/>
  <c r="E209" i="24"/>
  <c r="G207" i="24"/>
  <c r="E92" i="21"/>
  <c r="G90" i="21"/>
  <c r="K207" i="24"/>
  <c r="I92" i="21"/>
  <c r="F91" i="21"/>
  <c r="X27" i="21" s="1"/>
  <c r="N207" i="24"/>
  <c r="L92" i="21"/>
  <c r="H206" i="24"/>
  <c r="I205" i="24"/>
  <c r="AI44" i="21"/>
  <c r="G410" i="24" l="1"/>
  <c r="E115" i="39"/>
  <c r="E115" i="28"/>
  <c r="C116" i="28"/>
  <c r="C116" i="39"/>
  <c r="B28" i="28"/>
  <c r="Y42" i="28"/>
  <c r="D42" i="28" s="1"/>
  <c r="Y38" i="28"/>
  <c r="D38" i="28" s="1"/>
  <c r="Y53" i="28"/>
  <c r="B53" i="28" s="1"/>
  <c r="C53" i="28" s="1"/>
  <c r="I408" i="24"/>
  <c r="Y54" i="28"/>
  <c r="B54" i="28" s="1"/>
  <c r="C54" i="28" s="1"/>
  <c r="F115" i="28"/>
  <c r="F115" i="39"/>
  <c r="Y41" i="28"/>
  <c r="B41" i="28" s="1"/>
  <c r="C41" i="28" s="1"/>
  <c r="Y46" i="28"/>
  <c r="D46" i="28" s="1"/>
  <c r="Y39" i="28"/>
  <c r="B39" i="28" s="1"/>
  <c r="C39" i="28" s="1"/>
  <c r="Y56" i="28"/>
  <c r="D56" i="28" s="1"/>
  <c r="Y47" i="28"/>
  <c r="D47" i="28" s="1"/>
  <c r="Y57" i="28"/>
  <c r="B57" i="28" s="1"/>
  <c r="C57" i="28" s="1"/>
  <c r="Y51" i="28"/>
  <c r="B51" i="28" s="1"/>
  <c r="C51" i="28" s="1"/>
  <c r="Y49" i="28"/>
  <c r="D49" i="28" s="1"/>
  <c r="Y48" i="28"/>
  <c r="B48" i="28" s="1"/>
  <c r="C48" i="28" s="1"/>
  <c r="Y43" i="28"/>
  <c r="D43" i="28" s="1"/>
  <c r="Y55" i="28"/>
  <c r="D55" i="28" s="1"/>
  <c r="G113" i="28"/>
  <c r="G113" i="39"/>
  <c r="Y37" i="28"/>
  <c r="B37" i="28" s="1"/>
  <c r="C37" i="28" s="1"/>
  <c r="Y44" i="28"/>
  <c r="B44" i="28" s="1"/>
  <c r="C44" i="28" s="1"/>
  <c r="Y45" i="28"/>
  <c r="B45" i="28" s="1"/>
  <c r="C45" i="28" s="1"/>
  <c r="F409" i="24"/>
  <c r="D115" i="39" s="1"/>
  <c r="D114" i="28"/>
  <c r="H410" i="24"/>
  <c r="F116" i="39" s="1"/>
  <c r="B41" i="37"/>
  <c r="C41" i="37" s="1"/>
  <c r="D41" i="37"/>
  <c r="D31" i="37"/>
  <c r="B31" i="37"/>
  <c r="C31" i="37" s="1"/>
  <c r="B30" i="37"/>
  <c r="C30" i="37" s="1"/>
  <c r="D30" i="37"/>
  <c r="D52" i="37"/>
  <c r="B52" i="37"/>
  <c r="C52" i="37" s="1"/>
  <c r="D49" i="37"/>
  <c r="B49" i="37"/>
  <c r="C49" i="37" s="1"/>
  <c r="D47" i="37"/>
  <c r="B47" i="37"/>
  <c r="C47" i="37" s="1"/>
  <c r="D46" i="37"/>
  <c r="B46" i="37"/>
  <c r="C46" i="37" s="1"/>
  <c r="D39" i="37"/>
  <c r="B39" i="37"/>
  <c r="C39" i="37" s="1"/>
  <c r="D56" i="37"/>
  <c r="B56" i="37"/>
  <c r="C56" i="37" s="1"/>
  <c r="D36" i="37"/>
  <c r="B36" i="37"/>
  <c r="C36" i="37" s="1"/>
  <c r="B35" i="37"/>
  <c r="C35" i="37" s="1"/>
  <c r="D35" i="37"/>
  <c r="D43" i="37"/>
  <c r="B43" i="37"/>
  <c r="C43" i="37" s="1"/>
  <c r="D33" i="37"/>
  <c r="B33" i="37"/>
  <c r="C33" i="37" s="1"/>
  <c r="D37" i="37"/>
  <c r="B37" i="37"/>
  <c r="C37" i="37" s="1"/>
  <c r="D44" i="37"/>
  <c r="B44" i="37"/>
  <c r="C44" i="37" s="1"/>
  <c r="D45" i="37"/>
  <c r="B45" i="37"/>
  <c r="C45" i="37" s="1"/>
  <c r="D40" i="37"/>
  <c r="B40" i="37"/>
  <c r="C40" i="37" s="1"/>
  <c r="D32" i="37"/>
  <c r="B32" i="37"/>
  <c r="C32" i="37" s="1"/>
  <c r="D34" i="37"/>
  <c r="B34" i="37"/>
  <c r="C34" i="37" s="1"/>
  <c r="B54" i="37"/>
  <c r="C54" i="37" s="1"/>
  <c r="D54" i="37"/>
  <c r="D55" i="37"/>
  <c r="B55" i="37"/>
  <c r="C55" i="37" s="1"/>
  <c r="B38" i="37"/>
  <c r="C38" i="37" s="1"/>
  <c r="D38" i="37"/>
  <c r="D53" i="37"/>
  <c r="B53" i="37"/>
  <c r="C53" i="37" s="1"/>
  <c r="B50" i="37"/>
  <c r="C50" i="37" s="1"/>
  <c r="D50" i="37"/>
  <c r="B48" i="37"/>
  <c r="C48" i="37" s="1"/>
  <c r="D48" i="37"/>
  <c r="B51" i="37"/>
  <c r="C51" i="37" s="1"/>
  <c r="D51" i="37"/>
  <c r="D57" i="37"/>
  <c r="B57" i="37"/>
  <c r="C57" i="37" s="1"/>
  <c r="B42" i="37"/>
  <c r="C42" i="37" s="1"/>
  <c r="D42" i="37"/>
  <c r="I266" i="25"/>
  <c r="H267" i="25"/>
  <c r="K37" i="24"/>
  <c r="I93" i="37" s="1"/>
  <c r="I452" i="24"/>
  <c r="H453" i="24"/>
  <c r="H122" i="25"/>
  <c r="I121" i="25"/>
  <c r="B27" i="28"/>
  <c r="C27" i="28" s="1"/>
  <c r="D27" i="28"/>
  <c r="U30" i="28"/>
  <c r="E460" i="24"/>
  <c r="C95" i="21"/>
  <c r="U30" i="21" s="1"/>
  <c r="E210" i="24"/>
  <c r="F211" i="24"/>
  <c r="D96" i="21"/>
  <c r="O208" i="24"/>
  <c r="M93" i="21"/>
  <c r="K208" i="24"/>
  <c r="I93" i="21"/>
  <c r="G91" i="21"/>
  <c r="N208" i="24"/>
  <c r="L93" i="21"/>
  <c r="F92" i="21"/>
  <c r="G208" i="24"/>
  <c r="E93" i="21"/>
  <c r="H207" i="24"/>
  <c r="I206" i="24"/>
  <c r="AI47" i="21"/>
  <c r="AI48" i="21"/>
  <c r="E116" i="39" l="1"/>
  <c r="E116" i="28"/>
  <c r="D53" i="28"/>
  <c r="B42" i="28"/>
  <c r="C42" i="28" s="1"/>
  <c r="B49" i="28"/>
  <c r="C49" i="28" s="1"/>
  <c r="B56" i="28"/>
  <c r="C56" i="28" s="1"/>
  <c r="D45" i="28"/>
  <c r="D44" i="28"/>
  <c r="D37" i="28"/>
  <c r="D39" i="28"/>
  <c r="D48" i="28"/>
  <c r="B43" i="28"/>
  <c r="C43" i="28" s="1"/>
  <c r="D51" i="28"/>
  <c r="D41" i="28"/>
  <c r="B46" i="28"/>
  <c r="C46" i="28" s="1"/>
  <c r="D57" i="28"/>
  <c r="G114" i="28"/>
  <c r="G114" i="39"/>
  <c r="B47" i="28"/>
  <c r="C47" i="28" s="1"/>
  <c r="B55" i="28"/>
  <c r="C55" i="28" s="1"/>
  <c r="D54" i="28"/>
  <c r="I409" i="24"/>
  <c r="B38" i="28"/>
  <c r="C38" i="28" s="1"/>
  <c r="F116" i="28"/>
  <c r="F410" i="24"/>
  <c r="D115" i="28"/>
  <c r="H268" i="25"/>
  <c r="I267" i="25"/>
  <c r="K38" i="24"/>
  <c r="I94" i="37" s="1"/>
  <c r="I453" i="24"/>
  <c r="H454" i="24"/>
  <c r="I122" i="25"/>
  <c r="AE29" i="28" a="1"/>
  <c r="AE29" i="28" s="1"/>
  <c r="AD29" i="28" a="1"/>
  <c r="AD29" i="28" s="1"/>
  <c r="AI29" i="28" s="1"/>
  <c r="E461" i="24"/>
  <c r="O209" i="24"/>
  <c r="M94" i="21"/>
  <c r="AE29" i="21" s="1" a="1"/>
  <c r="AE29" i="21" s="1"/>
  <c r="F212" i="24"/>
  <c r="D97" i="21"/>
  <c r="C96" i="21"/>
  <c r="E211" i="24"/>
  <c r="N209" i="24"/>
  <c r="L94" i="21"/>
  <c r="AD29" i="21" s="1" a="1"/>
  <c r="AD29" i="21" s="1"/>
  <c r="AI29" i="21" s="1"/>
  <c r="G92" i="21"/>
  <c r="F93" i="21"/>
  <c r="G209" i="24"/>
  <c r="E94" i="21"/>
  <c r="W29" i="21" s="1"/>
  <c r="K209" i="24"/>
  <c r="I94" i="21"/>
  <c r="AA29" i="21" s="1" a="1"/>
  <c r="AA29" i="21" s="1"/>
  <c r="H208" i="24"/>
  <c r="I207" i="24"/>
  <c r="D48" i="21"/>
  <c r="B48" i="21"/>
  <c r="C48" i="21" s="1"/>
  <c r="B47" i="21"/>
  <c r="C47" i="21" s="1"/>
  <c r="D47" i="21"/>
  <c r="AI43" i="21"/>
  <c r="D116" i="28" l="1"/>
  <c r="D116" i="39"/>
  <c r="G115" i="28"/>
  <c r="G115" i="39"/>
  <c r="I410" i="24"/>
  <c r="H269" i="25"/>
  <c r="I269" i="25" s="1"/>
  <c r="I268" i="25"/>
  <c r="K39" i="24"/>
  <c r="I95" i="37" s="1"/>
  <c r="H455" i="24"/>
  <c r="I454" i="24"/>
  <c r="AD30" i="28" a="1"/>
  <c r="AD30" i="28" s="1"/>
  <c r="AI30" i="28" s="1"/>
  <c r="AE30" i="28" a="1"/>
  <c r="AE30" i="28" s="1"/>
  <c r="X29" i="28"/>
  <c r="Y29" i="28" s="1"/>
  <c r="AA30" i="28" a="1"/>
  <c r="AA30" i="28" s="1"/>
  <c r="E462" i="24"/>
  <c r="C97" i="21"/>
  <c r="E212" i="24"/>
  <c r="F213" i="24"/>
  <c r="D98" i="21"/>
  <c r="O210" i="24"/>
  <c r="M95" i="21"/>
  <c r="AE30" i="21" s="1" a="1"/>
  <c r="AE30" i="21" s="1"/>
  <c r="K210" i="24"/>
  <c r="I95" i="21"/>
  <c r="AA30" i="21" s="1" a="1"/>
  <c r="AA30" i="21" s="1"/>
  <c r="G210" i="24"/>
  <c r="E95" i="21"/>
  <c r="W30" i="21" s="1"/>
  <c r="G93" i="21"/>
  <c r="F94" i="21"/>
  <c r="X29" i="21" s="1"/>
  <c r="Y29" i="21" s="1"/>
  <c r="N210" i="24"/>
  <c r="L95" i="21"/>
  <c r="AD30" i="21" s="1" a="1"/>
  <c r="AD30" i="21" s="1"/>
  <c r="AI30" i="21" s="1"/>
  <c r="H209" i="24"/>
  <c r="I208" i="24"/>
  <c r="Y45" i="21"/>
  <c r="D45" i="21" s="1"/>
  <c r="Y41" i="21"/>
  <c r="B41" i="21" s="1"/>
  <c r="C41" i="21" s="1"/>
  <c r="Y39" i="21"/>
  <c r="Y44" i="21"/>
  <c r="Y27" i="21"/>
  <c r="Y43" i="21"/>
  <c r="Y37" i="21"/>
  <c r="Y38" i="21"/>
  <c r="G116" i="28" l="1"/>
  <c r="G116" i="39"/>
  <c r="K40" i="24"/>
  <c r="I96" i="37" s="1"/>
  <c r="H456" i="24"/>
  <c r="I455" i="24"/>
  <c r="D29" i="28"/>
  <c r="B29" i="28"/>
  <c r="V32" i="28" a="1"/>
  <c r="V32" i="28" s="1"/>
  <c r="X30" i="28"/>
  <c r="Y30" i="28" s="1"/>
  <c r="E463" i="24"/>
  <c r="O211" i="24"/>
  <c r="M96" i="21"/>
  <c r="F214" i="24"/>
  <c r="D99" i="21"/>
  <c r="C98" i="21"/>
  <c r="E213" i="24"/>
  <c r="D29" i="21"/>
  <c r="B29" i="21"/>
  <c r="C29" i="21" s="1"/>
  <c r="G94" i="21"/>
  <c r="G211" i="24"/>
  <c r="E96" i="21"/>
  <c r="F95" i="21"/>
  <c r="X30" i="21" s="1"/>
  <c r="Y30" i="21" s="1"/>
  <c r="N211" i="24"/>
  <c r="L96" i="21"/>
  <c r="K211" i="24"/>
  <c r="I96" i="21"/>
  <c r="H210" i="24"/>
  <c r="I209" i="24"/>
  <c r="B45" i="21"/>
  <c r="C45" i="21" s="1"/>
  <c r="D41" i="21"/>
  <c r="Y42" i="21"/>
  <c r="D42" i="21" s="1"/>
  <c r="B37" i="21"/>
  <c r="D37" i="21"/>
  <c r="D38" i="21"/>
  <c r="B38" i="21"/>
  <c r="C38" i="21" s="1"/>
  <c r="D44" i="21"/>
  <c r="B44" i="21"/>
  <c r="C44" i="21" s="1"/>
  <c r="B43" i="21"/>
  <c r="C43" i="21" s="1"/>
  <c r="D43" i="21"/>
  <c r="D39" i="21"/>
  <c r="B39" i="21"/>
  <c r="C39" i="21" s="1"/>
  <c r="Y28" i="21"/>
  <c r="B28" i="21" s="1"/>
  <c r="C28" i="21" s="1"/>
  <c r="D27" i="21"/>
  <c r="B27" i="21"/>
  <c r="C27" i="21" s="1"/>
  <c r="K47" i="24" l="1"/>
  <c r="I103" i="37" s="1"/>
  <c r="I456" i="24"/>
  <c r="H457" i="24"/>
  <c r="B30" i="28"/>
  <c r="C30" i="28" s="1"/>
  <c r="D30" i="28"/>
  <c r="U32" i="28"/>
  <c r="V33" i="28" a="1"/>
  <c r="V33" i="28" s="1"/>
  <c r="F215" i="24"/>
  <c r="D100" i="21"/>
  <c r="V32" i="21" s="1" a="1"/>
  <c r="V32" i="21" s="1"/>
  <c r="C99" i="21"/>
  <c r="E214" i="24"/>
  <c r="M97" i="21"/>
  <c r="O212" i="24"/>
  <c r="B30" i="21"/>
  <c r="C30" i="21" s="1"/>
  <c r="D30" i="21"/>
  <c r="N212" i="24"/>
  <c r="L97" i="21"/>
  <c r="G95" i="21"/>
  <c r="K212" i="24"/>
  <c r="I97" i="21"/>
  <c r="F96" i="21"/>
  <c r="G212" i="24"/>
  <c r="E97" i="21"/>
  <c r="H211" i="24"/>
  <c r="I210" i="24"/>
  <c r="B42" i="21"/>
  <c r="C42" i="21" s="1"/>
  <c r="C37" i="21"/>
  <c r="D28" i="21"/>
  <c r="K49" i="24" l="1"/>
  <c r="K41" i="24"/>
  <c r="I97" i="37" s="1"/>
  <c r="H458" i="24"/>
  <c r="I457" i="24"/>
  <c r="U33" i="28"/>
  <c r="V34" i="28" a="1"/>
  <c r="V34" i="28" s="1"/>
  <c r="V31" i="21" a="1"/>
  <c r="V31" i="21" s="1"/>
  <c r="O213" i="24"/>
  <c r="M98" i="21"/>
  <c r="F216" i="24"/>
  <c r="D101" i="21"/>
  <c r="V33" i="21" s="1" a="1"/>
  <c r="V33" i="21" s="1"/>
  <c r="C100" i="21"/>
  <c r="U32" i="21" s="1"/>
  <c r="E215" i="24"/>
  <c r="G213" i="24"/>
  <c r="E98" i="21"/>
  <c r="G96" i="21"/>
  <c r="F97" i="21"/>
  <c r="K213" i="24"/>
  <c r="I98" i="21"/>
  <c r="N213" i="24"/>
  <c r="L98" i="21"/>
  <c r="H212" i="24"/>
  <c r="I211" i="24"/>
  <c r="I105" i="37" l="1"/>
  <c r="K42" i="24"/>
  <c r="I98" i="37" s="1"/>
  <c r="H459" i="24"/>
  <c r="I458" i="24"/>
  <c r="V35" i="28" a="1"/>
  <c r="V35" i="28" s="1"/>
  <c r="AE32" i="28" a="1"/>
  <c r="AE32" i="28" s="1"/>
  <c r="AD32" i="28" a="1"/>
  <c r="AD32" i="28" s="1"/>
  <c r="AI32" i="28" s="1"/>
  <c r="U34" i="28"/>
  <c r="AA32" i="28" a="1"/>
  <c r="AA32" i="28" s="1"/>
  <c r="U31" i="21"/>
  <c r="F217" i="24"/>
  <c r="D102" i="21"/>
  <c r="V34" i="21" s="1" a="1"/>
  <c r="V34" i="21" s="1"/>
  <c r="E216" i="24"/>
  <c r="C101" i="21"/>
  <c r="U33" i="21" s="1"/>
  <c r="O214" i="24"/>
  <c r="M99" i="21"/>
  <c r="N214" i="24"/>
  <c r="L99" i="21"/>
  <c r="AD32" i="21" s="1" a="1"/>
  <c r="AD32" i="21" s="1"/>
  <c r="K214" i="24"/>
  <c r="I99" i="21"/>
  <c r="G97" i="21"/>
  <c r="F98" i="21"/>
  <c r="G214" i="24"/>
  <c r="E99" i="21"/>
  <c r="H213" i="24"/>
  <c r="I212" i="24"/>
  <c r="K43" i="24" l="1"/>
  <c r="I99" i="37" s="1"/>
  <c r="H460" i="24"/>
  <c r="I459" i="24"/>
  <c r="V36" i="28" a="1"/>
  <c r="V36" i="28" s="1"/>
  <c r="AD33" i="28" a="1"/>
  <c r="AD33" i="28" s="1"/>
  <c r="AE33" i="28" a="1"/>
  <c r="AE33" i="28" s="1"/>
  <c r="U35" i="28"/>
  <c r="X32" i="28"/>
  <c r="Y32" i="28" s="1"/>
  <c r="AA33" i="28" a="1"/>
  <c r="AA33" i="28" s="1"/>
  <c r="AE31" i="21" a="1"/>
  <c r="AE31" i="21" s="1"/>
  <c r="M100" i="21"/>
  <c r="AE32" i="21" s="1" a="1"/>
  <c r="AE32" i="21" s="1"/>
  <c r="AI32" i="21" s="1"/>
  <c r="O215" i="24"/>
  <c r="E217" i="24"/>
  <c r="C102" i="21"/>
  <c r="U34" i="21" s="1"/>
  <c r="D103" i="21"/>
  <c r="F218" i="24"/>
  <c r="G215" i="24"/>
  <c r="E100" i="21"/>
  <c r="W32" i="21" s="1"/>
  <c r="K215" i="24"/>
  <c r="I100" i="21"/>
  <c r="AA32" i="21" s="1" a="1"/>
  <c r="AA32" i="21" s="1"/>
  <c r="G98" i="21"/>
  <c r="F99" i="21"/>
  <c r="N215" i="24"/>
  <c r="L100" i="21"/>
  <c r="H214" i="24"/>
  <c r="I213" i="24"/>
  <c r="K44" i="24" l="1"/>
  <c r="I100" i="37" s="1"/>
  <c r="I460" i="24"/>
  <c r="H461" i="24"/>
  <c r="AE34" i="28" a="1"/>
  <c r="AE34" i="28" s="1"/>
  <c r="D32" i="28"/>
  <c r="B32" i="28"/>
  <c r="C32" i="28" s="1"/>
  <c r="AI33" i="28"/>
  <c r="AD34" i="28" a="1"/>
  <c r="AD34" i="28" s="1"/>
  <c r="AI34" i="28" s="1"/>
  <c r="V31" i="28" a="1"/>
  <c r="V31" i="28" s="1"/>
  <c r="U36" i="28"/>
  <c r="X33" i="28"/>
  <c r="Y33" i="28" s="1"/>
  <c r="AA34" i="28" a="1"/>
  <c r="AA34" i="28" s="1"/>
  <c r="AD31" i="21" a="1"/>
  <c r="AD31" i="21" s="1"/>
  <c r="AI31" i="21" s="1"/>
  <c r="AD33" i="21" a="1"/>
  <c r="AD33" i="21" s="1"/>
  <c r="V35" i="21" a="1"/>
  <c r="V35" i="21" s="1"/>
  <c r="V36" i="21" a="1"/>
  <c r="V36" i="21" s="1"/>
  <c r="AA31" i="21" a="1"/>
  <c r="AA31" i="21" s="1"/>
  <c r="W31" i="21"/>
  <c r="D104" i="21"/>
  <c r="E218" i="24"/>
  <c r="C103" i="21"/>
  <c r="M101" i="21"/>
  <c r="AE33" i="21" s="1" a="1"/>
  <c r="AE33" i="21" s="1"/>
  <c r="O216" i="24"/>
  <c r="N216" i="24"/>
  <c r="L101" i="21"/>
  <c r="AD34" i="21" s="1" a="1"/>
  <c r="AD34" i="21" s="1"/>
  <c r="K216" i="24"/>
  <c r="I101" i="21"/>
  <c r="AA33" i="21" s="1" a="1"/>
  <c r="AA33" i="21" s="1"/>
  <c r="G99" i="21"/>
  <c r="F100" i="21"/>
  <c r="X32" i="21" s="1"/>
  <c r="Y32" i="21" s="1"/>
  <c r="G216" i="24"/>
  <c r="E101" i="21"/>
  <c r="W33" i="21" s="1"/>
  <c r="H215" i="24"/>
  <c r="I214" i="24"/>
  <c r="K45" i="24" l="1"/>
  <c r="I101" i="37" s="1"/>
  <c r="AA28" i="37" s="1" a="1"/>
  <c r="AA28" i="37" s="1"/>
  <c r="C28" i="37" s="1"/>
  <c r="D33" i="28"/>
  <c r="H462" i="24"/>
  <c r="I461" i="24"/>
  <c r="B33" i="28"/>
  <c r="C33" i="28" s="1"/>
  <c r="U31" i="28"/>
  <c r="AD35" i="28" a="1"/>
  <c r="AD35" i="28" s="1"/>
  <c r="AE35" i="28" a="1"/>
  <c r="AE35" i="28" s="1"/>
  <c r="X34" i="28"/>
  <c r="Y34" i="28" s="1"/>
  <c r="AA35" i="28" a="1"/>
  <c r="AA35" i="28" s="1"/>
  <c r="AI33" i="21"/>
  <c r="X31" i="21"/>
  <c r="Y31" i="21" s="1"/>
  <c r="U35" i="21"/>
  <c r="U36" i="21"/>
  <c r="O217" i="24"/>
  <c r="M102" i="21"/>
  <c r="AE34" i="21" s="1" a="1"/>
  <c r="AE34" i="21" s="1"/>
  <c r="AI34" i="21" s="1"/>
  <c r="C104" i="21"/>
  <c r="D32" i="21"/>
  <c r="B32" i="21"/>
  <c r="C32" i="21" s="1"/>
  <c r="G217" i="24"/>
  <c r="E102" i="21"/>
  <c r="W34" i="21" s="1"/>
  <c r="K217" i="24"/>
  <c r="I102" i="21"/>
  <c r="AA34" i="21" s="1" a="1"/>
  <c r="AA34" i="21" s="1"/>
  <c r="G100" i="21"/>
  <c r="F101" i="21"/>
  <c r="X33" i="21" s="1"/>
  <c r="Y33" i="21" s="1"/>
  <c r="N217" i="24"/>
  <c r="L102" i="21"/>
  <c r="AD35" i="21" s="1" a="1"/>
  <c r="AD35" i="21" s="1"/>
  <c r="H216" i="24"/>
  <c r="I215" i="24"/>
  <c r="J16" i="4"/>
  <c r="L11" i="4"/>
  <c r="K46" i="24" l="1"/>
  <c r="I102" i="37" s="1"/>
  <c r="AA29" i="37" s="1" a="1"/>
  <c r="AA29" i="37" s="1"/>
  <c r="C29" i="37" s="1"/>
  <c r="AA28" i="28" a="1"/>
  <c r="AA28" i="28" s="1"/>
  <c r="C28" i="28" s="1"/>
  <c r="H463" i="24"/>
  <c r="I463" i="24" s="1"/>
  <c r="I462" i="24"/>
  <c r="D34" i="28"/>
  <c r="B34" i="28"/>
  <c r="C34" i="28" s="1"/>
  <c r="AD36" i="28" a="1"/>
  <c r="AD36" i="28" s="1"/>
  <c r="AE36" i="28" a="1"/>
  <c r="AE36" i="28" s="1"/>
  <c r="AI35" i="28"/>
  <c r="X35" i="28"/>
  <c r="Y35" i="28" s="1"/>
  <c r="AA36" i="28" a="1"/>
  <c r="AA36" i="28" s="1"/>
  <c r="D31" i="21"/>
  <c r="B31" i="21"/>
  <c r="C31" i="21" s="1"/>
  <c r="O218" i="24"/>
  <c r="M103" i="21"/>
  <c r="D33" i="21"/>
  <c r="B33" i="21"/>
  <c r="C33" i="21" s="1"/>
  <c r="C22" i="21" s="1"/>
  <c r="N218" i="24"/>
  <c r="L103" i="21"/>
  <c r="AD36" i="21" s="1" a="1"/>
  <c r="AD36" i="21" s="1"/>
  <c r="G101" i="21"/>
  <c r="K218" i="24"/>
  <c r="I103" i="21"/>
  <c r="F102" i="21"/>
  <c r="X34" i="21" s="1"/>
  <c r="Y34" i="21" s="1"/>
  <c r="G218" i="24"/>
  <c r="E103" i="21"/>
  <c r="I216" i="24"/>
  <c r="H217" i="24"/>
  <c r="C60" i="37" l="1"/>
  <c r="K48" i="24"/>
  <c r="AA29" i="28" a="1"/>
  <c r="AA29" i="28" s="1"/>
  <c r="C29" i="28" s="1"/>
  <c r="B35" i="28"/>
  <c r="C35" i="28" s="1"/>
  <c r="D35" i="28"/>
  <c r="AI36" i="28"/>
  <c r="AD31" i="28" a="1"/>
  <c r="AD31" i="28" s="1"/>
  <c r="AI31" i="28" s="1"/>
  <c r="AE31" i="28" a="1"/>
  <c r="AE31" i="28" s="1"/>
  <c r="X36" i="28"/>
  <c r="Y36" i="28" s="1"/>
  <c r="AA31" i="28" a="1"/>
  <c r="AA31" i="28" s="1"/>
  <c r="W35" i="21"/>
  <c r="W36" i="21"/>
  <c r="AE35" i="21" a="1"/>
  <c r="AE35" i="21" s="1"/>
  <c r="AI35" i="21" s="1"/>
  <c r="AE36" i="21" a="1"/>
  <c r="AE36" i="21" s="1"/>
  <c r="AI36" i="21" s="1"/>
  <c r="AA35" i="21" a="1"/>
  <c r="AA35" i="21" s="1"/>
  <c r="AA36" i="21" a="1"/>
  <c r="AA36" i="21" s="1"/>
  <c r="M104" i="21"/>
  <c r="B34" i="21"/>
  <c r="C34" i="21" s="1"/>
  <c r="D34" i="21"/>
  <c r="I104" i="21"/>
  <c r="E104" i="21"/>
  <c r="F103" i="21"/>
  <c r="G102" i="21"/>
  <c r="L104" i="21"/>
  <c r="I217" i="24"/>
  <c r="H218" i="24"/>
  <c r="I104" i="37" l="1"/>
  <c r="C64" i="37"/>
  <c r="C62" i="37"/>
  <c r="B36" i="28"/>
  <c r="C36" i="28" s="1"/>
  <c r="D36" i="28"/>
  <c r="X31" i="28"/>
  <c r="Y31" i="28" s="1"/>
  <c r="X35" i="21"/>
  <c r="Y35" i="21" s="1"/>
  <c r="B35" i="21" s="1"/>
  <c r="C35" i="21" s="1"/>
  <c r="X36" i="21"/>
  <c r="Y36" i="21" s="1"/>
  <c r="I218" i="24"/>
  <c r="F104" i="21"/>
  <c r="G103" i="21"/>
  <c r="E27" i="37" l="1"/>
  <c r="E56" i="37"/>
  <c r="E34" i="37"/>
  <c r="E35" i="37"/>
  <c r="E50" i="37"/>
  <c r="E33" i="37"/>
  <c r="E36" i="37"/>
  <c r="E40" i="37"/>
  <c r="E46" i="37"/>
  <c r="E52" i="37"/>
  <c r="E45" i="37"/>
  <c r="E48" i="37"/>
  <c r="E32" i="37"/>
  <c r="E57" i="37"/>
  <c r="E41" i="37"/>
  <c r="E49" i="37"/>
  <c r="E30" i="37"/>
  <c r="E38" i="37"/>
  <c r="E37" i="37"/>
  <c r="E42" i="37"/>
  <c r="E54" i="37"/>
  <c r="E43" i="37"/>
  <c r="E39" i="37"/>
  <c r="E51" i="37"/>
  <c r="E55" i="37"/>
  <c r="E53" i="37"/>
  <c r="E31" i="37"/>
  <c r="E44" i="37"/>
  <c r="E47" i="37"/>
  <c r="E28" i="37"/>
  <c r="E29" i="37"/>
  <c r="D31" i="28"/>
  <c r="B31" i="28"/>
  <c r="C31" i="28" s="1"/>
  <c r="D35" i="21"/>
  <c r="D36" i="21"/>
  <c r="B36" i="21"/>
  <c r="C36" i="21" s="1"/>
  <c r="C61" i="21" s="1"/>
  <c r="C20" i="21"/>
  <c r="G104" i="21"/>
  <c r="C60" i="28" l="1"/>
  <c r="E44" i="21"/>
  <c r="E29" i="21"/>
  <c r="E40" i="21"/>
  <c r="E36" i="21"/>
  <c r="E27" i="21"/>
  <c r="E34" i="21"/>
  <c r="E30" i="21"/>
  <c r="E28" i="21"/>
  <c r="E42" i="21"/>
  <c r="E38" i="21"/>
  <c r="E37" i="21"/>
  <c r="E41" i="21"/>
  <c r="E39" i="21"/>
  <c r="E43" i="21"/>
  <c r="E32" i="21"/>
  <c r="E45" i="21"/>
  <c r="E31" i="21"/>
  <c r="E33" i="21"/>
  <c r="E35" i="21"/>
  <c r="C64" i="28" l="1"/>
  <c r="C62" i="28"/>
  <c r="E29" i="28" s="1"/>
  <c r="E31" i="28" l="1"/>
  <c r="E38" i="28"/>
  <c r="E33" i="28"/>
  <c r="E44" i="28"/>
  <c r="E27" i="28"/>
  <c r="E42" i="28"/>
  <c r="E28" i="28"/>
  <c r="E40" i="28"/>
  <c r="E35" i="28"/>
  <c r="E30" i="28"/>
  <c r="E41" i="28"/>
  <c r="E37" i="28"/>
  <c r="E32" i="28"/>
  <c r="E43" i="28"/>
  <c r="E48" i="28"/>
  <c r="E49" i="28"/>
  <c r="E50" i="28"/>
  <c r="E55" i="28"/>
  <c r="E51" i="28"/>
  <c r="E54" i="28"/>
  <c r="E52" i="28"/>
  <c r="E57" i="28"/>
  <c r="E53" i="28"/>
  <c r="E46" i="28"/>
  <c r="E56" i="28"/>
  <c r="E47" i="28"/>
  <c r="E34" i="28"/>
  <c r="E36" i="28"/>
  <c r="E45" i="28"/>
  <c r="E39" i="2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<sst xmlns="http://schemas.openxmlformats.org/spreadsheetml/2006/main" count="5707" uniqueCount="1487">
  <si>
    <t>详细机制请看</t>
    <phoneticPr fontId="1" type="noConversion"/>
  </si>
  <si>
    <t>https://shimo.im/docs/htrCFTqetCEpUXpM</t>
  </si>
  <si>
    <t>异常伤害= 基础伤害区* 暴击区* 伤害加成区* 伤害减免区* 易伤区* 增幅区* 虚弱区* 庇护区* 脆弱区* 防御区* 失衡易伤区* 抗性区* 特殊乘区* 等级系数区* 源石技艺强度区</t>
    <phoneticPr fontId="1" type="noConversion"/>
  </si>
  <si>
    <t>常规伤害= 基础伤害区* 暴击区* 伤害加成区* 伤害减免区*  易伤区*增幅区* 虚弱区* 庇护区* 脆弱区* 防御区* 失衡易伤区* 抗性区* 特殊乘区* 非主控减伤区* 连击增伤区</t>
    <phoneticPr fontId="1" type="noConversion"/>
  </si>
  <si>
    <t>异常伤害详解</t>
    <phoneticPr fontId="1" type="noConversion"/>
  </si>
  <si>
    <t>常规伤害详解</t>
    <phoneticPr fontId="1" type="noConversion"/>
  </si>
  <si>
    <t>「法术异常和法术爆发」</t>
  </si>
  <si>
    <t>[法术附着]：一些技能会对敌人施加[法术附着]，根据敌人身上已有的[法术附着]和本次施加的[法术附着]会触发对应的[法术异常]和[法术爆发]效果。</t>
    <phoneticPr fontId="1" type="noConversion"/>
  </si>
  <si>
    <t>[导电]：对处于其他[法术附着]状态下的敌人施加电磁附着时，会消耗所有的[法术附着]层数触发[导电]，根据异常等级，造成电磁伤害，敌人受到的法术伤害提高 12%/16%/20%/24%，[导电]状态初始持续时间为 12/18/24/30 秒。</t>
  </si>
  <si>
    <t>[腐蚀]：对处于其他[法术附着]状态下的敌人施加自然附着时，会消耗所有的[法术附着]层数触发[腐蚀]，根据异常等级，造成自然伤害，敌人初始降低 3.6/4.8/6/7.2 点全属性抗性，每秒降低 0.84/1.12/1.4/1.68 点全属性抗性，至多降低 12/16/20/24 点全属性抗性，[腐蚀]状态初始持续时间为 15 秒。如果刷新[腐蚀]状态，会维持之前的抗性下降。</t>
  </si>
  <si>
    <t>[燃烧]：对处于其他[法术附着]状态下的敌人施加灼热附着时，会消耗所有的[法术附着]层数触发[燃烧]，根据异常等级，造成灼热伤害，敌人每秒受到一次持续伤害，[燃烧]状态初始持续时间为 10 秒。</t>
  </si>
  <si>
    <t>[冻结]：对处于其他[法术附着]状态下的敌人施加寒冷附着时，会消耗所有的[法术附着]层数触发[冻结]，根据异常等级，造成寒冷伤害，并使弱小的敌人无法行动，[冻结]状态初始持续时间依次为 6/7/8/9 秒。</t>
  </si>
  <si>
    <t>[碎冰]：对处于[冻结]状态下的敌人施加[破防]或物理异常时会触发[碎冰]，消耗敌人的[冻结]状态，并造成大量物理伤害。</t>
  </si>
  <si>
    <t>[法术爆发]：对处于[法术附着]状态下的敌人施加相同属性[法术附着]时，会叠加一次对应属性[法术附着]（最多为 4 层），并对敌人造成一次对应属性伤害。</t>
  </si>
  <si>
    <t>[导电]、[腐蚀]、[燃烧]和[冻结]的初始伤害倍率= 80%* (1+ 异常等级)</t>
    <phoneticPr fontId="1" type="noConversion"/>
  </si>
  <si>
    <t>[燃烧]的持续伤害倍率= 12%* (1+ 异常等级)</t>
  </si>
  <si>
    <t>[碎冰]的伤害倍率= 120%* (1+ 异常等级)</t>
  </si>
  <si>
    <t>任意[法术爆发]的伤害倍率= 160%</t>
  </si>
  <si>
    <t>注意：默认情况下，强制施加的法术异常没有初始伤害。[碎冰]虽然造成的是物理伤害但其属于法术异常，[碎冰]伤害取决于触发[碎冰]的干员的属性，计算异常等级区时按照法术异常的算法计算。</t>
  </si>
  <si>
    <t>2.2「物理异常」</t>
  </si>
  <si>
    <t>[破防]：敌人首次受到物理异常时，不会直接触发异常效果，而是进入[破防]状态。破防状态可以被[倒地]和[击飞]叠加（至多 4 层），且会被[碎甲]和[猛击]消耗。注意[破防]不属于物理异常。</t>
  </si>
  <si>
    <t>[倒地]：对已经带有[破防]的敌人释放带有倒地的技能会触发[倒地]，叠加 1 层[破防]，造成物理伤害，累积 10 点失衡值，并使弱小的敌人倒地。</t>
  </si>
  <si>
    <t>[击飞]：对已经带有[破防]的敌人释放带有击飞的技能会触发[击飞]，叠加 1 层[破防]，造成物理伤害，累积 10 点失衡值，并使弱小的敌人浮空。</t>
  </si>
  <si>
    <t>[碎甲]：对已经带有[破防]的敌人释放带有碎甲的技能会消耗所有[破防]层数并触发[碎甲]，根据异常等级，造成物理伤害，并使敌人受到的物理伤害提高 12%/16%/20%/24%，[碎甲]状态初始持续时间为 12/18/24/30 秒。</t>
  </si>
  <si>
    <t>[猛击]：对已经带有[破防]的敌人释放带有猛击的技能会消耗所有[破防]层数并触发[猛击]，根据异常等级，造成大量物理伤害。</t>
  </si>
  <si>
    <t>[击飞]和[倒地]的伤害倍率= 120%</t>
  </si>
  <si>
    <t>[碎甲]的伤害倍率= 50%* (1+ 异常等级)</t>
  </si>
  <si>
    <t>[猛击]的伤害倍率= 150%* (1+ 异常等级)</t>
  </si>
  <si>
    <t>常规伤害看着有这么多乘区。实际上我们可以分为三个部分。一个是主c面板区，一个是拐区，一个是固定区</t>
    <phoneticPr fontId="1" type="noConversion"/>
  </si>
  <si>
    <t>拐区：易伤区*增幅区*脆弱区*抗性区*连击增伤区。这是先有大多角色可以改变的乘区</t>
    <phoneticPr fontId="1" type="noConversion"/>
  </si>
  <si>
    <t>主c面板区：基础伤害区*伤害加成区。实际上就是面板攻击力*技能倍率*伤害加成</t>
    <phoneticPr fontId="1" type="noConversion"/>
  </si>
  <si>
    <t>与伤害无关区：伤害减免区*虚弱区*庇护区*非主控减伤区</t>
    <phoneticPr fontId="1" type="noConversion"/>
  </si>
  <si>
    <t>固定区：防御区*暴击区*失衡易伤区*特殊副本乘区</t>
    <phoneticPr fontId="1" type="noConversion"/>
  </si>
  <si>
    <t>伤害乘区</t>
    <phoneticPr fontId="1" type="noConversion"/>
  </si>
  <si>
    <t>基础伤害区</t>
  </si>
  <si>
    <t>伤害加成区</t>
  </si>
  <si>
    <t>暴击区</t>
  </si>
  <si>
    <t>伤害减免区</t>
  </si>
  <si>
    <t>增幅区</t>
  </si>
  <si>
    <t>虚弱区</t>
  </si>
  <si>
    <t>庇护区</t>
    <phoneticPr fontId="1" type="noConversion"/>
  </si>
  <si>
    <t>脆弱区</t>
  </si>
  <si>
    <t>易伤区</t>
  </si>
  <si>
    <t>防御区</t>
  </si>
  <si>
    <t>失衡易伤区</t>
  </si>
  <si>
    <t>抗性区</t>
  </si>
  <si>
    <t>非主控减伤区</t>
    <phoneticPr fontId="1" type="noConversion"/>
  </si>
  <si>
    <t>连击增伤区</t>
  </si>
  <si>
    <t>特殊乘区</t>
  </si>
  <si>
    <t>对敌方</t>
    <phoneticPr fontId="1" type="noConversion"/>
  </si>
  <si>
    <t>攻击力*伤害倍率+基础伤害提升值</t>
    <phoneticPr fontId="1" type="noConversion"/>
  </si>
  <si>
    <t>1+伤害类型+技能类型+失衡+其他</t>
    <phoneticPr fontId="1" type="noConversion"/>
  </si>
  <si>
    <t>1+暴击率*暴击伤害</t>
    <phoneticPr fontId="1" type="noConversion"/>
  </si>
  <si>
    <t>武器本效果</t>
    <phoneticPr fontId="1" type="noConversion"/>
  </si>
  <si>
    <t>增幅效果</t>
    <phoneticPr fontId="1" type="noConversion"/>
  </si>
  <si>
    <t>脆弱效果</t>
    <phoneticPr fontId="1" type="noConversion"/>
  </si>
  <si>
    <t>受到伤害</t>
    <phoneticPr fontId="1" type="noConversion"/>
  </si>
  <si>
    <t>1-抗性/100+无视抗性/100</t>
    <phoneticPr fontId="1" type="noConversion"/>
  </si>
  <si>
    <t>连击增伤</t>
    <phoneticPr fontId="1" type="noConversion"/>
  </si>
  <si>
    <t>怪物特殊机制</t>
    <phoneticPr fontId="1" type="noConversion"/>
  </si>
  <si>
    <t>对友方</t>
    <phoneticPr fontId="1" type="noConversion"/>
  </si>
  <si>
    <t>卡契尔的终结技</t>
    <phoneticPr fontId="1" type="noConversion"/>
  </si>
  <si>
    <t>昼雪和卡契尔的战技</t>
    <phoneticPr fontId="1" type="noConversion"/>
  </si>
  <si>
    <t>1/(0.001*敏捷/智识+1）</t>
    <phoneticPr fontId="1" type="noConversion"/>
  </si>
  <si>
    <t>纯伤害计算</t>
    <phoneticPr fontId="1" type="noConversion"/>
  </si>
  <si>
    <t>武器副本效果</t>
    <phoneticPr fontId="1" type="noConversion"/>
  </si>
  <si>
    <t>异常伤害</t>
    <phoneticPr fontId="1" type="noConversion"/>
  </si>
  <si>
    <t>异常等级</t>
    <phoneticPr fontId="1" type="noConversion"/>
  </si>
  <si>
    <t>等级系数区</t>
    <phoneticPr fontId="1" type="noConversion"/>
  </si>
  <si>
    <t>源石技艺强度区</t>
    <phoneticPr fontId="1" type="noConversion"/>
  </si>
  <si>
    <t>法术</t>
    <phoneticPr fontId="1" type="noConversion"/>
  </si>
  <si>
    <t>1+(触发者等级-1)/196</t>
    <phoneticPr fontId="1" type="noConversion"/>
  </si>
  <si>
    <t>1+源石技艺强度/100</t>
    <phoneticPr fontId="1" type="noConversion"/>
  </si>
  <si>
    <t>物理</t>
    <phoneticPr fontId="1" type="noConversion"/>
  </si>
  <si>
    <t>1+(触发者等级-1)/392</t>
    <phoneticPr fontId="1" type="noConversion"/>
  </si>
  <si>
    <t>武器</t>
    <phoneticPr fontId="1" type="noConversion"/>
  </si>
  <si>
    <t>战技</t>
    <phoneticPr fontId="1" type="noConversion"/>
  </si>
  <si>
    <t>连携</t>
    <phoneticPr fontId="1" type="noConversion"/>
  </si>
  <si>
    <t>大招</t>
    <phoneticPr fontId="1" type="noConversion"/>
  </si>
  <si>
    <t>易伤</t>
    <phoneticPr fontId="1" type="noConversion"/>
  </si>
  <si>
    <t>增幅</t>
    <phoneticPr fontId="1" type="noConversion"/>
  </si>
  <si>
    <t>佩里卡</t>
    <phoneticPr fontId="1" type="noConversion"/>
  </si>
  <si>
    <t>小羊</t>
    <phoneticPr fontId="1" type="noConversion"/>
  </si>
  <si>
    <t>脆弱</t>
    <phoneticPr fontId="1" type="noConversion"/>
  </si>
  <si>
    <t>别礼</t>
    <phoneticPr fontId="1" type="noConversion"/>
  </si>
  <si>
    <t>护甲</t>
    <phoneticPr fontId="1" type="noConversion"/>
  </si>
  <si>
    <t>护手</t>
    <phoneticPr fontId="1" type="noConversion"/>
  </si>
  <si>
    <t>配件1</t>
    <phoneticPr fontId="1" type="noConversion"/>
  </si>
  <si>
    <t>配件2</t>
    <phoneticPr fontId="1" type="noConversion"/>
  </si>
  <si>
    <t>套装效果</t>
    <phoneticPr fontId="1" type="noConversion"/>
  </si>
  <si>
    <t>武器效果</t>
    <phoneticPr fontId="1" type="noConversion"/>
  </si>
  <si>
    <t>名称</t>
    <phoneticPr fontId="1" type="noConversion"/>
  </si>
  <si>
    <t>基础攻击力</t>
    <phoneticPr fontId="1" type="noConversion"/>
  </si>
  <si>
    <t>能力值加成</t>
    <phoneticPr fontId="1" type="noConversion"/>
  </si>
  <si>
    <t>百分比</t>
    <phoneticPr fontId="1" type="noConversion"/>
  </si>
  <si>
    <t>固定数值</t>
    <phoneticPr fontId="1" type="noConversion"/>
  </si>
  <si>
    <t>总攻击力</t>
    <phoneticPr fontId="1" type="noConversion"/>
  </si>
  <si>
    <t>词条1</t>
    <phoneticPr fontId="1" type="noConversion"/>
  </si>
  <si>
    <t>词条2</t>
    <phoneticPr fontId="1" type="noConversion"/>
  </si>
  <si>
    <t>词条3</t>
    <phoneticPr fontId="1" type="noConversion"/>
  </si>
  <si>
    <t>拓荒护甲</t>
    <phoneticPr fontId="1" type="noConversion"/>
  </si>
  <si>
    <t>拓荒护甲一</t>
    <phoneticPr fontId="1" type="noConversion"/>
  </si>
  <si>
    <t>生物辅助接驳器一</t>
    <phoneticPr fontId="1" type="noConversion"/>
  </si>
  <si>
    <t>长息护手</t>
    <phoneticPr fontId="1" type="noConversion"/>
  </si>
  <si>
    <t>力量113</t>
    <phoneticPr fontId="1" type="noConversion"/>
  </si>
  <si>
    <t>智识75</t>
    <phoneticPr fontId="1" type="noConversion"/>
  </si>
  <si>
    <t>力量</t>
    <phoneticPr fontId="1" type="noConversion"/>
  </si>
  <si>
    <t>副能力</t>
    <phoneticPr fontId="1" type="noConversion"/>
  </si>
  <si>
    <t>意志</t>
    <phoneticPr fontId="1" type="noConversion"/>
  </si>
  <si>
    <t>大剑</t>
    <phoneticPr fontId="1" type="noConversion"/>
  </si>
  <si>
    <t>赫拉芬格</t>
    <phoneticPr fontId="1" type="noConversion"/>
  </si>
  <si>
    <t>攻击力39</t>
    <phoneticPr fontId="1" type="noConversion"/>
  </si>
  <si>
    <t>装备者通过战技施加寒冷附着时，获得寒冷伤害+16.0%，持续15秒。装备者对寒冷附着的敌人造成连携技伤害时，获得寒冷伤害+32.0%，持续15秒。</t>
    <phoneticPr fontId="1" type="noConversion"/>
  </si>
  <si>
    <t>拓荒</t>
    <phoneticPr fontId="1" type="noConversion"/>
  </si>
  <si>
    <t>应龙</t>
    <phoneticPr fontId="1" type="noConversion"/>
  </si>
  <si>
    <t>碾骨</t>
    <phoneticPr fontId="1" type="noConversion"/>
  </si>
  <si>
    <t>潮涌</t>
    <phoneticPr fontId="1" type="noConversion"/>
  </si>
  <si>
    <t>警用</t>
    <phoneticPr fontId="1" type="noConversion"/>
  </si>
  <si>
    <t>动火</t>
    <phoneticPr fontId="1" type="noConversion"/>
  </si>
  <si>
    <t>生物</t>
    <phoneticPr fontId="1" type="noConversion"/>
  </si>
  <si>
    <t>点剑</t>
    <phoneticPr fontId="1" type="noConversion"/>
  </si>
  <si>
    <t>脉冲</t>
    <phoneticPr fontId="1" type="noConversion"/>
  </si>
  <si>
    <t>长息</t>
    <phoneticPr fontId="1" type="noConversion"/>
  </si>
  <si>
    <t>默认满级0潜能,满珠子</t>
    <phoneticPr fontId="1" type="noConversion"/>
  </si>
  <si>
    <t>M1</t>
  </si>
  <si>
    <t>M2</t>
  </si>
  <si>
    <t>M3</t>
  </si>
  <si>
    <t>普攻第一段倍率</t>
  </si>
  <si>
    <t>普攻第二段倍率</t>
  </si>
  <si>
    <t>普攻第三段倍率</t>
  </si>
  <si>
    <t>普攻第四段倍率</t>
  </si>
  <si>
    <t>处决攻击倍率</t>
  </si>
  <si>
    <t>下落攻击倍率</t>
  </si>
  <si>
    <t>幻影追击伤害倍率</t>
  </si>
  <si>
    <t>返还技力</t>
  </si>
  <si>
    <t>持续时间（秒）</t>
  </si>
  <si>
    <t>获得终结技能量</t>
  </si>
  <si>
    <t>冷却时间</t>
  </si>
  <si>
    <t>9s</t>
  </si>
  <si>
    <t>8s</t>
  </si>
  <si>
    <t>冰刺伤害倍率</t>
  </si>
  <si>
    <t>斩击基础伤害倍率</t>
  </si>
  <si>
    <t>斩击失衡值</t>
  </si>
  <si>
    <t>消耗每层附着额外伤害倍率</t>
  </si>
  <si>
    <t>基础获得终结技能量</t>
  </si>
  <si>
    <t>消耗每层附着额外获得终结技能量</t>
  </si>
  <si>
    <t>所需终结技能量</t>
  </si>
  <si>
    <t>第一段伤害倍率</t>
  </si>
  <si>
    <t>第一段失衡值</t>
  </si>
  <si>
    <t>第二段伤害倍率</t>
  </si>
  <si>
    <t>第二段失衡值</t>
  </si>
  <si>
    <t>第三段伤害倍率</t>
  </si>
  <si>
    <t>第三段失衡值</t>
  </si>
  <si>
    <t>普攻</t>
    <phoneticPr fontId="1" type="noConversion"/>
  </si>
  <si>
    <t>伤害加成</t>
    <phoneticPr fontId="1" type="noConversion"/>
  </si>
  <si>
    <t>失衡值</t>
  </si>
  <si>
    <t>小羊连携</t>
    <phoneticPr fontId="1" type="noConversion"/>
  </si>
  <si>
    <t>战技</t>
  </si>
  <si>
    <t>大招</t>
  </si>
  <si>
    <t>佩里卡连携</t>
    <phoneticPr fontId="1" type="noConversion"/>
  </si>
  <si>
    <t>伤害倍率</t>
  </si>
  <si>
    <t>拐</t>
    <phoneticPr fontId="1" type="noConversion"/>
  </si>
  <si>
    <t>智识</t>
    <phoneticPr fontId="1" type="noConversion"/>
  </si>
  <si>
    <t>源石技艺</t>
    <phoneticPr fontId="1" type="noConversion"/>
  </si>
  <si>
    <t>角色</t>
    <phoneticPr fontId="1" type="noConversion"/>
  </si>
  <si>
    <t>装备</t>
    <phoneticPr fontId="1" type="noConversion"/>
  </si>
  <si>
    <t>总计</t>
    <phoneticPr fontId="1" type="noConversion"/>
  </si>
  <si>
    <t>施术单元</t>
    <phoneticPr fontId="1" type="noConversion"/>
  </si>
  <si>
    <t>爆破单元</t>
    <phoneticPr fontId="1" type="noConversion"/>
  </si>
  <si>
    <t>装备者造成法术爆发时，使目标敌人受到的法术伤害+14.4%，持续15秒。</t>
    <phoneticPr fontId="1" type="noConversion"/>
  </si>
  <si>
    <t xml:space="preserve">	副能力16.0</t>
    <phoneticPr fontId="1" type="noConversion"/>
  </si>
  <si>
    <t>基础治疗值</t>
  </si>
  <si>
    <t>每点意志增加的治疗值</t>
  </si>
  <si>
    <t>支援晶体持续时间（秒）</t>
  </si>
  <si>
    <t>法术增幅效果</t>
  </si>
  <si>
    <t>法术增幅持续时间（秒）</t>
  </si>
  <si>
    <t>基础寒冷增幅效果</t>
  </si>
  <si>
    <t>基础自然增幅效果</t>
  </si>
  <si>
    <t>每点智识提升的增幅效果</t>
  </si>
  <si>
    <t>智识提升增幅上限</t>
  </si>
  <si>
    <t>源石技艺+30。当装备者施加导电后，电磁伤害+50%，持续10秒，该效果无法叠加；当装备者施加冻结后，寒冷伤害+50%，持续10秒，该效果无法叠加。</t>
    <phoneticPr fontId="1" type="noConversion"/>
  </si>
  <si>
    <t>生命值+1000。装备者施加增幅、庇护、脆弱、虚弱后，使其他队友造成的伤害+16%，持续15秒。该效果无法叠加。</t>
    <phoneticPr fontId="1" type="noConversion"/>
  </si>
  <si>
    <t>悼亡诗</t>
    <phoneticPr fontId="1" type="noConversion"/>
  </si>
  <si>
    <t>等级</t>
    <phoneticPr fontId="1" type="noConversion"/>
  </si>
  <si>
    <t>沧溟星梦</t>
    <phoneticPr fontId="1" type="noConversion"/>
  </si>
  <si>
    <t xml:space="preserve">	副能力25.6</t>
    <phoneticPr fontId="1" type="noConversion"/>
  </si>
  <si>
    <t>装备者消耗腐蚀后，使目标敌人受到的法术伤害+16.0%，持续25秒。</t>
    <phoneticPr fontId="1" type="noConversion"/>
  </si>
  <si>
    <t>主能力值132</t>
    <phoneticPr fontId="1" type="noConversion"/>
  </si>
  <si>
    <t>源石技艺78</t>
    <phoneticPr fontId="1" type="noConversion"/>
  </si>
  <si>
    <t>攻击力31.2</t>
    <phoneticPr fontId="1" type="noConversion"/>
  </si>
  <si>
    <t>治疗效率46.4</t>
    <phoneticPr fontId="1" type="noConversion"/>
  </si>
  <si>
    <t>智识156</t>
    <phoneticPr fontId="1" type="noConversion"/>
  </si>
  <si>
    <t>潜能</t>
    <phoneticPr fontId="1" type="noConversion"/>
  </si>
  <si>
    <t>脆弱效果</t>
  </si>
  <si>
    <t>脆弱持续时间（秒）</t>
  </si>
  <si>
    <t>技能倍率</t>
    <phoneticPr fontId="1" type="noConversion"/>
  </si>
  <si>
    <t>攻击力</t>
    <phoneticPr fontId="1" type="noConversion"/>
  </si>
  <si>
    <t>失衡</t>
    <phoneticPr fontId="1" type="noConversion"/>
  </si>
  <si>
    <t xml:space="preserve">金色 </t>
  </si>
  <si>
    <t xml:space="preserve">紫色 </t>
  </si>
  <si>
    <t>使用后，增加9%暴击率，造成的所有伤害增加18%，持续300秒。</t>
  </si>
  <si>
    <t>使用后，造成的所有伤害增加25%，持续300秒。</t>
  </si>
  <si>
    <t>使用后，增加27%攻击力，持续300秒。</t>
  </si>
  <si>
    <t xml:space="preserve">蓝色 </t>
  </si>
  <si>
    <t>使用后，增加7%攻击力，增加3%暴击率，造成的所有伤害增加7%，持续300秒。</t>
  </si>
  <si>
    <t>使用后，增加12%攻击力，持续300秒。</t>
  </si>
  <si>
    <t>使用后，造成的物理伤害增加21%，持续300秒。</t>
  </si>
  <si>
    <t>使用后，造成的所有伤害增加18%，持续300秒。</t>
  </si>
  <si>
    <t xml:space="preserve">绿色 </t>
  </si>
  <si>
    <t>使用后，增加15点全能力，持续300秒。</t>
  </si>
  <si>
    <t>清炖兽排参须汤</t>
    <phoneticPr fontId="1" type="noConversion"/>
  </si>
  <si>
    <t>正本补元汤剂</t>
    <phoneticPr fontId="1" type="noConversion"/>
  </si>
  <si>
    <t>清炖息壤球</t>
    <phoneticPr fontId="1" type="noConversion"/>
  </si>
  <si>
    <t>附术铁瓶</t>
    <phoneticPr fontId="1" type="noConversion"/>
  </si>
  <si>
    <t>雅各布的遗产</t>
    <phoneticPr fontId="1" type="noConversion"/>
  </si>
  <si>
    <t>可食用巢雕</t>
    <phoneticPr fontId="1" type="noConversion"/>
  </si>
  <si>
    <t>小糖画</t>
    <phoneticPr fontId="1" type="noConversion"/>
  </si>
  <si>
    <t>开工日肉汤</t>
    <phoneticPr fontId="1" type="noConversion"/>
  </si>
  <si>
    <t>约翰老爹汉堡</t>
    <phoneticPr fontId="1" type="noConversion"/>
  </si>
  <si>
    <t>附术瓶</t>
    <phoneticPr fontId="1" type="noConversion"/>
  </si>
  <si>
    <t>塞什卡风肉排</t>
    <phoneticPr fontId="1" type="noConversion"/>
  </si>
  <si>
    <t>无药</t>
    <phoneticPr fontId="1" type="noConversion"/>
  </si>
  <si>
    <t>爆发轴</t>
    <phoneticPr fontId="1" type="noConversion"/>
  </si>
  <si>
    <t>使用后，增加180点攻击力，增加11%暴击率，持续300秒。</t>
    <phoneticPr fontId="1" type="noConversion"/>
  </si>
  <si>
    <t>使用后，增加21%暴击率，持续300秒。</t>
    <phoneticPr fontId="1" type="noConversion"/>
  </si>
  <si>
    <t>使用后，增加18%攻击力，增加9%暴击率，持续300秒。</t>
    <phoneticPr fontId="1" type="noConversion"/>
  </si>
  <si>
    <t>敏捷113</t>
  </si>
  <si>
    <t>敏捷65</t>
  </si>
  <si>
    <t>智识43</t>
  </si>
  <si>
    <t>敏捷71</t>
  </si>
  <si>
    <t>智识47</t>
  </si>
  <si>
    <t>敏捷78</t>
  </si>
  <si>
    <t>智识51</t>
  </si>
  <si>
    <t>敏捷84</t>
  </si>
  <si>
    <t>智识55</t>
  </si>
  <si>
    <t>拓荒护服</t>
  </si>
  <si>
    <t>智识87</t>
  </si>
  <si>
    <t>敏捷58</t>
  </si>
  <si>
    <t>智识95</t>
  </si>
  <si>
    <t>敏捷63</t>
  </si>
  <si>
    <t>智识104</t>
  </si>
  <si>
    <t>敏捷69</t>
  </si>
  <si>
    <t>智识113</t>
  </si>
  <si>
    <t>敏捷75</t>
  </si>
  <si>
    <t>战技34.5</t>
  </si>
  <si>
    <t>战技38.0</t>
  </si>
  <si>
    <t>战技41.4</t>
  </si>
  <si>
    <t>战技44.9</t>
  </si>
  <si>
    <t>拓荒护甲</t>
  </si>
  <si>
    <t>力量65</t>
  </si>
  <si>
    <t>终结技25.9</t>
  </si>
  <si>
    <t>力量71</t>
  </si>
  <si>
    <t>力量78</t>
  </si>
  <si>
    <t>终结技31.1</t>
  </si>
  <si>
    <t>力量84</t>
  </si>
  <si>
    <t>终结技33.6</t>
  </si>
  <si>
    <t>终结技28.5</t>
    <phoneticPr fontId="1" type="noConversion"/>
  </si>
  <si>
    <t>力量87</t>
  </si>
  <si>
    <t>力量87</t>
    <phoneticPr fontId="1" type="noConversion"/>
  </si>
  <si>
    <t>力量95</t>
  </si>
  <si>
    <t>力量95</t>
    <phoneticPr fontId="1" type="noConversion"/>
  </si>
  <si>
    <t>力量104</t>
  </si>
  <si>
    <t>力量104</t>
    <phoneticPr fontId="1" type="noConversion"/>
  </si>
  <si>
    <t>力量113</t>
  </si>
  <si>
    <t>智识58</t>
  </si>
  <si>
    <t>智识58</t>
    <phoneticPr fontId="1" type="noConversion"/>
  </si>
  <si>
    <t>智识63</t>
  </si>
  <si>
    <t>智识63</t>
    <phoneticPr fontId="1" type="noConversion"/>
  </si>
  <si>
    <t>智识69</t>
  </si>
  <si>
    <t>智识69</t>
    <phoneticPr fontId="1" type="noConversion"/>
  </si>
  <si>
    <t>智识75</t>
  </si>
  <si>
    <t>战技20.7</t>
  </si>
  <si>
    <t>战技22.8</t>
  </si>
  <si>
    <t>战技24.8</t>
  </si>
  <si>
    <t>战技26.9</t>
  </si>
  <si>
    <t>拓荒护甲二</t>
  </si>
  <si>
    <t>敏捷87</t>
  </si>
  <si>
    <t>敏捷95</t>
  </si>
  <si>
    <t>敏捷104</t>
  </si>
  <si>
    <t>拓荒护甲三</t>
  </si>
  <si>
    <t>副能力10.4</t>
  </si>
  <si>
    <t>副能力11.4</t>
  </si>
  <si>
    <t>副能力12.4</t>
  </si>
  <si>
    <t>副能力13.5</t>
  </si>
  <si>
    <t>充能12.3</t>
  </si>
  <si>
    <t>充能13.6</t>
  </si>
  <si>
    <t>充能14.8</t>
  </si>
  <si>
    <t>充能16.0</t>
  </si>
  <si>
    <t>拓荒耐蚀手套</t>
  </si>
  <si>
    <t>拓荒纤维手套</t>
  </si>
  <si>
    <t>意志65</t>
  </si>
  <si>
    <t>力量43</t>
  </si>
  <si>
    <t>全技伤23.0</t>
  </si>
  <si>
    <t>意志71</t>
  </si>
  <si>
    <t>力量47</t>
  </si>
  <si>
    <t>全技伤25.3</t>
  </si>
  <si>
    <t>意志78</t>
  </si>
  <si>
    <t>力量51</t>
  </si>
  <si>
    <t>全技伤27.6</t>
  </si>
  <si>
    <t>意志84</t>
  </si>
  <si>
    <t>力量55</t>
  </si>
  <si>
    <t>全技伤29.9</t>
  </si>
  <si>
    <t>拓荒增量供氧栓</t>
  </si>
  <si>
    <t>敏捷32</t>
  </si>
  <si>
    <t>智识21</t>
  </si>
  <si>
    <t>副能力20.7</t>
  </si>
  <si>
    <t>敏捷35</t>
  </si>
  <si>
    <t>智识23</t>
  </si>
  <si>
    <t>副能力22.8</t>
  </si>
  <si>
    <t>敏捷38</t>
  </si>
  <si>
    <t>智识25</t>
  </si>
  <si>
    <t>副能力24.8</t>
  </si>
  <si>
    <t>敏捷41</t>
  </si>
  <si>
    <t>智识27</t>
  </si>
  <si>
    <t>副能力26.9</t>
  </si>
  <si>
    <t>拓荒通信器一</t>
  </si>
  <si>
    <t>力量32</t>
  </si>
  <si>
    <t>冰电伤23.0</t>
  </si>
  <si>
    <t>力量35</t>
  </si>
  <si>
    <t>冰电伤25.3</t>
  </si>
  <si>
    <t>力量38</t>
  </si>
  <si>
    <t>冰电伤27.6</t>
  </si>
  <si>
    <t>力量41</t>
  </si>
  <si>
    <t>冰电伤29.9</t>
  </si>
  <si>
    <t>拓荒通信器</t>
  </si>
  <si>
    <t>敏捷21</t>
  </si>
  <si>
    <t>连携伤41.4</t>
  </si>
  <si>
    <t>敏捷23</t>
  </si>
  <si>
    <t>连携伤45.5</t>
  </si>
  <si>
    <t>敏捷25</t>
  </si>
  <si>
    <t>连携伤49.7</t>
  </si>
  <si>
    <t>敏捷27</t>
  </si>
  <si>
    <t>连携伤53.8</t>
  </si>
  <si>
    <t>拓荒分析仪</t>
  </si>
  <si>
    <t>终结技51.7</t>
  </si>
  <si>
    <t>力量45</t>
  </si>
  <si>
    <t>终结技56.9</t>
  </si>
  <si>
    <t>力量49</t>
  </si>
  <si>
    <t>终结技62.1</t>
  </si>
  <si>
    <t>力量53</t>
  </si>
  <si>
    <t>终结技67.3</t>
  </si>
  <si>
    <t>拓荒供氧栓</t>
  </si>
  <si>
    <t>意志41</t>
  </si>
  <si>
    <t>物伤23.0</t>
  </si>
  <si>
    <t>意志45</t>
  </si>
  <si>
    <t>物伤25.3</t>
  </si>
  <si>
    <t>意志49</t>
  </si>
  <si>
    <t>物伤27.6</t>
  </si>
  <si>
    <t>意志53</t>
  </si>
  <si>
    <t>物伤29.9</t>
  </si>
  <si>
    <t>应龙重甲</t>
  </si>
  <si>
    <t>意志58</t>
  </si>
  <si>
    <t>物伤11.5</t>
  </si>
  <si>
    <t>意志63</t>
  </si>
  <si>
    <t>物伤12.7</t>
  </si>
  <si>
    <t>意志69</t>
  </si>
  <si>
    <t>物伤13.8</t>
  </si>
  <si>
    <t>意志75</t>
  </si>
  <si>
    <t>物伤14.9</t>
  </si>
  <si>
    <t>应龙重甲一</t>
  </si>
  <si>
    <t>力量58</t>
  </si>
  <si>
    <t>力量63</t>
  </si>
  <si>
    <t>力量69</t>
  </si>
  <si>
    <t>力量75</t>
  </si>
  <si>
    <t>应龙重甲二</t>
  </si>
  <si>
    <t>连携伤20.7</t>
  </si>
  <si>
    <t>连携伤22.8</t>
  </si>
  <si>
    <t>连携伤24.8</t>
  </si>
  <si>
    <t>连携伤26.9</t>
  </si>
  <si>
    <t>应龙轻甲</t>
  </si>
  <si>
    <t>意志87</t>
  </si>
  <si>
    <t>全技伤13.8</t>
  </si>
  <si>
    <t>意志95</t>
  </si>
  <si>
    <t>全技伤15.2</t>
  </si>
  <si>
    <t>意志104</t>
  </si>
  <si>
    <t>全技伤16.6</t>
  </si>
  <si>
    <t>意志113</t>
  </si>
  <si>
    <t>全技伤17.9</t>
  </si>
  <si>
    <t>应龙护手一</t>
  </si>
  <si>
    <t>敏捷43</t>
  </si>
  <si>
    <t>连携伤34.5</t>
  </si>
  <si>
    <t>敏捷47</t>
  </si>
  <si>
    <t>连携伤38.0</t>
  </si>
  <si>
    <t>敏捷51</t>
  </si>
  <si>
    <t>敏捷55</t>
  </si>
  <si>
    <t>连携伤44.9</t>
  </si>
  <si>
    <t>应龙护手</t>
  </si>
  <si>
    <t>应龙短刃</t>
  </si>
  <si>
    <t>意志32</t>
  </si>
  <si>
    <t>意志35</t>
  </si>
  <si>
    <t>意志38</t>
  </si>
  <si>
    <t>应龙短刃一</t>
  </si>
  <si>
    <t>智识32</t>
  </si>
  <si>
    <t>力量21</t>
  </si>
  <si>
    <t>智识35</t>
  </si>
  <si>
    <t>力量23</t>
  </si>
  <si>
    <t>全技伤30.4</t>
  </si>
  <si>
    <t>智识38</t>
  </si>
  <si>
    <t>力量25</t>
  </si>
  <si>
    <t>全技伤33.1</t>
  </si>
  <si>
    <t>智识41</t>
  </si>
  <si>
    <t>力量27</t>
  </si>
  <si>
    <t>全技伤35.9</t>
  </si>
  <si>
    <t>应龙雷达</t>
  </si>
  <si>
    <t>意志21</t>
  </si>
  <si>
    <t>意志23</t>
  </si>
  <si>
    <t>意志25</t>
  </si>
  <si>
    <t>意志27</t>
  </si>
  <si>
    <t>应龙雷达一</t>
  </si>
  <si>
    <t>应龙雷达二</t>
  </si>
  <si>
    <t>碾骨披巾</t>
  </si>
  <si>
    <t>碾骨披巾一</t>
  </si>
  <si>
    <t>碾骨重护甲二</t>
  </si>
  <si>
    <t>冰电伤11.5</t>
  </si>
  <si>
    <t>冰电伤12.7</t>
  </si>
  <si>
    <t>冰电伤13.8</t>
  </si>
  <si>
    <t>冰电伤14.9</t>
  </si>
  <si>
    <t>碾骨重护甲</t>
  </si>
  <si>
    <t>碾骨重护甲一</t>
  </si>
  <si>
    <t>碾骨腕带一</t>
  </si>
  <si>
    <t>冰电伤19.2</t>
  </si>
  <si>
    <t>冰电伤21.1</t>
  </si>
  <si>
    <t>冰电伤24.9</t>
  </si>
  <si>
    <t>碾骨腕带</t>
  </si>
  <si>
    <t>灼自伤19.2</t>
  </si>
  <si>
    <t>灼自伤21.1</t>
  </si>
  <si>
    <t>灼自伤23.0</t>
  </si>
  <si>
    <t>灼自伤24.9</t>
  </si>
  <si>
    <t>碾骨小雕像</t>
  </si>
  <si>
    <t>战技45.5</t>
  </si>
  <si>
    <t>战技49.7</t>
  </si>
  <si>
    <t>战技53.8</t>
  </si>
  <si>
    <t>碾骨面具</t>
  </si>
  <si>
    <t>失衡伤41.4</t>
  </si>
  <si>
    <t>失衡伤45.5</t>
  </si>
  <si>
    <t>失衡伤49.7</t>
  </si>
  <si>
    <t>失衡伤53.8</t>
  </si>
  <si>
    <t>碾骨面具一</t>
  </si>
  <si>
    <t>暴击10.3</t>
  </si>
  <si>
    <t>暴击11.4</t>
  </si>
  <si>
    <t>暴击12.4</t>
  </si>
  <si>
    <t>暴击13.5</t>
  </si>
  <si>
    <t>碾骨小雕像一</t>
  </si>
  <si>
    <t>碾骨面具二</t>
  </si>
  <si>
    <t>潮涌手甲</t>
  </si>
  <si>
    <t>意志43</t>
  </si>
  <si>
    <t>意志47</t>
  </si>
  <si>
    <t>意志51</t>
  </si>
  <si>
    <t>意志55</t>
  </si>
  <si>
    <t>普攻27.6</t>
  </si>
  <si>
    <t>普攻30.4</t>
  </si>
  <si>
    <t>普攻33.1</t>
  </si>
  <si>
    <t>普攻35.9</t>
  </si>
  <si>
    <t>警用罩衣</t>
  </si>
  <si>
    <t>普攻13.8</t>
  </si>
  <si>
    <t>普攻15.2</t>
  </si>
  <si>
    <t>普攻16.6</t>
  </si>
  <si>
    <t>普攻17.9</t>
  </si>
  <si>
    <t>警用罩衣一</t>
  </si>
  <si>
    <t>暴击5.2</t>
  </si>
  <si>
    <t>暴击5.7</t>
  </si>
  <si>
    <t>暴击6.2</t>
  </si>
  <si>
    <t>暴击6.7</t>
  </si>
  <si>
    <t>警用罩衣二</t>
  </si>
  <si>
    <t>警用护甲</t>
  </si>
  <si>
    <t>技艺20</t>
  </si>
  <si>
    <t>技艺22</t>
  </si>
  <si>
    <t>技艺24</t>
  </si>
  <si>
    <t>技艺26</t>
  </si>
  <si>
    <t>警用护甲一</t>
  </si>
  <si>
    <t>警用手套</t>
  </si>
  <si>
    <t>警用手套一</t>
  </si>
  <si>
    <t>终结技43.1</t>
  </si>
  <si>
    <t>终结技47.4</t>
  </si>
  <si>
    <t>终结技56.1</t>
  </si>
  <si>
    <t>警用手环</t>
  </si>
  <si>
    <t>智识65</t>
  </si>
  <si>
    <t>普攻23.0</t>
  </si>
  <si>
    <t>智识71</t>
  </si>
  <si>
    <t>普攻25.3</t>
  </si>
  <si>
    <t>智识78</t>
  </si>
  <si>
    <t>智识84</t>
  </si>
  <si>
    <t>普攻29.9</t>
  </si>
  <si>
    <t>警用手环一</t>
  </si>
  <si>
    <t>暴击8.6</t>
  </si>
  <si>
    <t>暴击9.5</t>
  </si>
  <si>
    <t>暴击11.2</t>
  </si>
  <si>
    <t>警用刺刃</t>
  </si>
  <si>
    <t>灼自伤25.3</t>
  </si>
  <si>
    <t>灼自伤27.6</t>
  </si>
  <si>
    <t>灼自伤29.9</t>
  </si>
  <si>
    <t>警用刺刃一</t>
  </si>
  <si>
    <t>警用臂环</t>
  </si>
  <si>
    <t>警用瞄具</t>
  </si>
  <si>
    <t>警用瞄具一</t>
  </si>
  <si>
    <t>警用工具组</t>
  </si>
  <si>
    <t>动火用外骨骼</t>
  </si>
  <si>
    <t>灼自伤11.5</t>
  </si>
  <si>
    <t>灼自伤12.7</t>
  </si>
  <si>
    <t>灼自伤13.8</t>
  </si>
  <si>
    <t>灼自伤14.9</t>
  </si>
  <si>
    <t>动火用辅助骨骼</t>
  </si>
  <si>
    <t>动火用手甲</t>
  </si>
  <si>
    <t>动火用手套</t>
  </si>
  <si>
    <t>技艺34</t>
  </si>
  <si>
    <t>技艺37</t>
  </si>
  <si>
    <t>技艺41</t>
  </si>
  <si>
    <t>技艺44</t>
  </si>
  <si>
    <t>动火用手甲一</t>
  </si>
  <si>
    <t>动火用储能匣</t>
  </si>
  <si>
    <t>技艺45</t>
  </si>
  <si>
    <t>技艺49</t>
  </si>
  <si>
    <t>技艺53</t>
  </si>
  <si>
    <t>动火用测温镜</t>
  </si>
  <si>
    <t>智识45</t>
  </si>
  <si>
    <t>智识49</t>
  </si>
  <si>
    <t>智识53</t>
  </si>
  <si>
    <t>动火用电力匣</t>
  </si>
  <si>
    <t>生物辅助胸甲</t>
  </si>
  <si>
    <t>治疗10.3</t>
  </si>
  <si>
    <t>治疗11.4</t>
  </si>
  <si>
    <t>治疗12.4</t>
  </si>
  <si>
    <t>治疗13.5</t>
  </si>
  <si>
    <t>生物辅助重甲</t>
  </si>
  <si>
    <t>生物辅助手甲</t>
  </si>
  <si>
    <t>治疗17.3</t>
  </si>
  <si>
    <t>治疗19.0</t>
  </si>
  <si>
    <t>治疗20.7</t>
  </si>
  <si>
    <t>治疗22.4</t>
  </si>
  <si>
    <t>生物辅助臂甲</t>
  </si>
  <si>
    <t>充能20.5</t>
  </si>
  <si>
    <t>充能22.6</t>
  </si>
  <si>
    <t>充能24.6</t>
  </si>
  <si>
    <t>充能26.7</t>
  </si>
  <si>
    <t>生物辅助接驳器</t>
  </si>
  <si>
    <t>全减17.1</t>
  </si>
  <si>
    <t>全减18.5</t>
  </si>
  <si>
    <t>全减19.9</t>
  </si>
  <si>
    <t>全减21.2</t>
  </si>
  <si>
    <t>生物辅助护盾针</t>
  </si>
  <si>
    <t>治疗22.8</t>
  </si>
  <si>
    <t>治疗24.8</t>
  </si>
  <si>
    <t>治疗26.9</t>
  </si>
  <si>
    <t>生物辅助护板</t>
  </si>
  <si>
    <t>主能力20.7</t>
  </si>
  <si>
    <t>主能力22.8</t>
  </si>
  <si>
    <t>主能力24.8</t>
  </si>
  <si>
    <t>主能力26.9</t>
  </si>
  <si>
    <t>生命41.4</t>
  </si>
  <si>
    <t>生命45.5</t>
  </si>
  <si>
    <t>生命49.7</t>
  </si>
  <si>
    <t>生命53.8</t>
  </si>
  <si>
    <t>生物辅助接驳器二</t>
  </si>
  <si>
    <t>点剑轻装甲</t>
    <phoneticPr fontId="1" type="noConversion"/>
  </si>
  <si>
    <t>点剑重装甲</t>
  </si>
  <si>
    <t>点剑战术手甲</t>
  </si>
  <si>
    <t>点剑战术手套</t>
  </si>
  <si>
    <t>物伤19.2</t>
  </si>
  <si>
    <t>物伤21.1</t>
  </si>
  <si>
    <t>物伤24.9</t>
  </si>
  <si>
    <t>点剑定位信标</t>
  </si>
  <si>
    <t>点剑微型滤芯</t>
  </si>
  <si>
    <t>点剑火石</t>
  </si>
  <si>
    <t>轻超域护板</t>
  </si>
  <si>
    <t>失衡伤20.7</t>
  </si>
  <si>
    <t>失衡伤22.8</t>
  </si>
  <si>
    <t>失衡伤24.8</t>
  </si>
  <si>
    <t>失衡伤26.9</t>
  </si>
  <si>
    <t>轻超域轻护手</t>
  </si>
  <si>
    <t>轻超域护手</t>
  </si>
  <si>
    <t>轻超域腕表</t>
  </si>
  <si>
    <t>轻超域稳定盘一</t>
  </si>
  <si>
    <t>轻超域分析环</t>
  </si>
  <si>
    <t>轻超域稳定盘</t>
  </si>
  <si>
    <t>脉冲式干扰服</t>
  </si>
  <si>
    <t>脉冲式手套</t>
  </si>
  <si>
    <t>脉冲式侵入核</t>
  </si>
  <si>
    <t>脉冲式校准器</t>
  </si>
  <si>
    <t>脉冲式探针</t>
  </si>
  <si>
    <t>长息装甲</t>
  </si>
  <si>
    <t>长息护手一</t>
  </si>
  <si>
    <t>长息护手</t>
  </si>
  <si>
    <t>长息辅助臂</t>
  </si>
  <si>
    <t>充能27.1</t>
  </si>
  <si>
    <t>充能29.6</t>
  </si>
  <si>
    <t>充能32.0</t>
  </si>
  <si>
    <t>长息蓄电核一</t>
  </si>
  <si>
    <t>长息蓄电核</t>
  </si>
  <si>
    <t>纾难印章</t>
  </si>
  <si>
    <t>充能25.7</t>
  </si>
  <si>
    <t>充能28.3</t>
  </si>
  <si>
    <t>充能30.9</t>
  </si>
  <si>
    <t>充能33.4</t>
  </si>
  <si>
    <t>纾难印章一</t>
  </si>
  <si>
    <t>暴击10.8</t>
  </si>
  <si>
    <t>暴击11.9</t>
  </si>
  <si>
    <t>暴击13.0</t>
  </si>
  <si>
    <t>暴击14.0</t>
  </si>
  <si>
    <t>纾难识别牌</t>
  </si>
  <si>
    <t>全减17.8</t>
  </si>
  <si>
    <t>全减19.2</t>
  </si>
  <si>
    <t>全减20.6</t>
  </si>
  <si>
    <t>全减21.9</t>
  </si>
  <si>
    <t>纾难识别牌一</t>
  </si>
  <si>
    <t>连携伤43.2</t>
  </si>
  <si>
    <t>连携伤47.5</t>
  </si>
  <si>
    <t>连携伤51.8</t>
  </si>
  <si>
    <t>连携伤56.2</t>
  </si>
  <si>
    <t>纾难护甲</t>
  </si>
  <si>
    <t>智识115</t>
  </si>
  <si>
    <t>充能12.9</t>
  </si>
  <si>
    <t>智识126</t>
  </si>
  <si>
    <t>充能14.1</t>
  </si>
  <si>
    <t>智识138</t>
  </si>
  <si>
    <t>充能15.4</t>
  </si>
  <si>
    <t>智识149</t>
  </si>
  <si>
    <t>充能16.7</t>
  </si>
  <si>
    <t>纾难重甲</t>
  </si>
  <si>
    <t>敏捷115</t>
  </si>
  <si>
    <t>普攻14.4</t>
  </si>
  <si>
    <t>敏捷126</t>
  </si>
  <si>
    <t>普攻15.8</t>
  </si>
  <si>
    <t>敏捷138</t>
  </si>
  <si>
    <t>普攻17.3</t>
  </si>
  <si>
    <t>敏捷149</t>
  </si>
  <si>
    <t>普攻18.7</t>
  </si>
  <si>
    <t>纾难护手</t>
  </si>
  <si>
    <t>敏捷86</t>
  </si>
  <si>
    <t>终结技45.0</t>
  </si>
  <si>
    <t>敏捷94</t>
  </si>
  <si>
    <t>终结技49.5</t>
  </si>
  <si>
    <t>敏捷103</t>
  </si>
  <si>
    <t>终结技54.0</t>
  </si>
  <si>
    <t>敏捷111</t>
  </si>
  <si>
    <t>终结技58.5</t>
  </si>
  <si>
    <t>纾难手套</t>
  </si>
  <si>
    <t>力量86</t>
  </si>
  <si>
    <t>全技伤24.0</t>
  </si>
  <si>
    <t>力量94</t>
  </si>
  <si>
    <t>全技伤26.4</t>
  </si>
  <si>
    <t>力量103</t>
  </si>
  <si>
    <t>全技伤28.8</t>
  </si>
  <si>
    <t>力量111</t>
  </si>
  <si>
    <t>全技伤31.2</t>
  </si>
  <si>
    <t>技艺</t>
    <phoneticPr fontId="1" type="noConversion"/>
  </si>
  <si>
    <t>M3</t>
    <phoneticPr fontId="1" type="noConversion"/>
  </si>
  <si>
    <t>冰电伤</t>
    <phoneticPr fontId="1" type="noConversion"/>
  </si>
  <si>
    <t>全技伤</t>
    <phoneticPr fontId="1" type="noConversion"/>
  </si>
  <si>
    <t>全技伤32.0</t>
    <phoneticPr fontId="1" type="noConversion"/>
  </si>
  <si>
    <t>终结技</t>
    <phoneticPr fontId="1" type="noConversion"/>
  </si>
  <si>
    <t>别礼战技</t>
    <phoneticPr fontId="1" type="noConversion"/>
  </si>
  <si>
    <t>充能</t>
    <phoneticPr fontId="1" type="noConversion"/>
  </si>
  <si>
    <t>汤汤</t>
    <phoneticPr fontId="1" type="noConversion"/>
  </si>
  <si>
    <t>落草</t>
    <phoneticPr fontId="1" type="noConversion"/>
  </si>
  <si>
    <t>手铳</t>
    <phoneticPr fontId="1" type="noConversion"/>
  </si>
  <si>
    <r>
      <t>装备者通过战技或终结技施加</t>
    </r>
    <r>
      <rPr>
        <u/>
        <sz val="11"/>
        <color theme="1"/>
        <rFont val="等线"/>
        <family val="3"/>
        <charset val="134"/>
        <scheme val="minor"/>
      </rPr>
      <t>寒冷附着</t>
    </r>
    <r>
      <rPr>
        <sz val="11"/>
        <color theme="1"/>
        <rFont val="等线"/>
        <family val="2"/>
        <scheme val="minor"/>
      </rPr>
      <t>时，获得寒冷伤害+32.0%，持续20秒。装备者通过战技或终结技施加</t>
    </r>
    <r>
      <rPr>
        <u/>
        <sz val="11"/>
        <color theme="1"/>
        <rFont val="等线"/>
        <family val="3"/>
        <charset val="134"/>
        <scheme val="minor"/>
      </rPr>
      <t>法术脆弱</t>
    </r>
    <r>
      <rPr>
        <sz val="11"/>
        <color theme="1"/>
        <rFont val="等线"/>
        <family val="2"/>
        <scheme val="minor"/>
      </rPr>
      <t>时，使目标敌人受到的法术伤害+9.6%，持续20秒。</t>
    </r>
  </si>
  <si>
    <t>装备者施放连携技后，战技造成的寒冷和自然伤害+12.8%，持续20秒。</t>
  </si>
  <si>
    <t>望乡</t>
    <phoneticPr fontId="1" type="noConversion"/>
  </si>
  <si>
    <t>攻击力11.2</t>
    <phoneticPr fontId="1" type="noConversion"/>
  </si>
  <si>
    <t>敏捷</t>
    <phoneticPr fontId="1" type="noConversion"/>
  </si>
  <si>
    <t>普攻第五段倍率</t>
  </si>
  <si>
    <t>射击伤害倍率</t>
  </si>
  <si>
    <t>射击失衡值</t>
  </si>
  <si>
    <t>单个水龙卷伤害倍率</t>
  </si>
  <si>
    <t>水龙卷持续时间（秒）</t>
  </si>
  <si>
    <t>每处涡流技力返还</t>
  </si>
  <si>
    <t>两个水龙卷法术脆弱</t>
  </si>
  <si>
    <t>三个水龙卷法术脆弱</t>
  </si>
  <si>
    <t>法术脆弱持续时间（秒）</t>
  </si>
  <si>
    <t>14s</t>
  </si>
  <si>
    <t>13s</t>
  </si>
  <si>
    <t>12s</t>
  </si>
  <si>
    <t>涡流持续时间（秒）</t>
  </si>
  <si>
    <t>持续伤害总倍率</t>
  </si>
  <si>
    <t>古老图形持续时间（秒）</t>
  </si>
  <si>
    <t>巨浪伤害倍率</t>
  </si>
  <si>
    <t>提前降下巨浪伤害倍率</t>
  </si>
  <si>
    <t>巨浪失衡值</t>
  </si>
  <si>
    <t>提前降下巨浪失衡值</t>
  </si>
  <si>
    <t>敏捷156</t>
    <phoneticPr fontId="1" type="noConversion"/>
  </si>
  <si>
    <t>佩里卡连携导电</t>
    <phoneticPr fontId="1" type="noConversion"/>
  </si>
  <si>
    <t xml:space="preserve">	最大生命值+16.0%。</t>
    <phoneticPr fontId="1" type="noConversion"/>
  </si>
  <si>
    <t>汤汤连携</t>
    <phoneticPr fontId="1" type="noConversion"/>
  </si>
  <si>
    <t>赛希连携</t>
    <phoneticPr fontId="1" type="noConversion"/>
  </si>
  <si>
    <t>赛希战技</t>
    <phoneticPr fontId="1" type="noConversion"/>
  </si>
  <si>
    <t>别礼大招</t>
    <phoneticPr fontId="1" type="noConversion"/>
  </si>
  <si>
    <t>列1</t>
  </si>
  <si>
    <t>碾骨面具二</t>
    <phoneticPr fontId="1" type="noConversion"/>
  </si>
  <si>
    <t>倍率</t>
  </si>
  <si>
    <t>暴击率</t>
  </si>
  <si>
    <t>暴击伤害</t>
  </si>
  <si>
    <t>抗性</t>
  </si>
  <si>
    <t>特殊加成</t>
  </si>
  <si>
    <t>失衡易伤</t>
    <phoneticPr fontId="1" type="noConversion"/>
  </si>
  <si>
    <t>连击</t>
    <phoneticPr fontId="1" type="noConversion"/>
  </si>
  <si>
    <t>面板</t>
    <phoneticPr fontId="1" type="noConversion"/>
  </si>
  <si>
    <t>别礼专武战技后</t>
    <phoneticPr fontId="1" type="noConversion"/>
  </si>
  <si>
    <t>别礼专武连携后</t>
    <phoneticPr fontId="1" type="noConversion"/>
  </si>
  <si>
    <t>赛希</t>
    <phoneticPr fontId="1" type="noConversion"/>
  </si>
  <si>
    <t>小羊强化战技</t>
    <phoneticPr fontId="1" type="noConversion"/>
  </si>
  <si>
    <t>详细队伍数据</t>
    <phoneticPr fontId="1" type="noConversion"/>
  </si>
  <si>
    <t>普攻</t>
  </si>
  <si>
    <t>连携</t>
  </si>
  <si>
    <t>总伤害加成</t>
    <phoneticPr fontId="1" type="noConversion"/>
  </si>
  <si>
    <t>技能名称</t>
    <phoneticPr fontId="1" type="noConversion"/>
  </si>
  <si>
    <t>寒冷伤害25.6</t>
    <phoneticPr fontId="1" type="noConversion"/>
  </si>
  <si>
    <t>寒冷伤害</t>
    <phoneticPr fontId="1" type="noConversion"/>
  </si>
  <si>
    <t>基础伤害加成</t>
    <phoneticPr fontId="1" type="noConversion"/>
  </si>
  <si>
    <t>技能等级</t>
  </si>
  <si>
    <t>1级</t>
  </si>
  <si>
    <t>2级</t>
  </si>
  <si>
    <t>3级</t>
  </si>
  <si>
    <t>4级</t>
  </si>
  <si>
    <t>5级</t>
  </si>
  <si>
    <t>6级</t>
  </si>
  <si>
    <t>7级</t>
  </si>
  <si>
    <t>8级</t>
  </si>
  <si>
    <t>9级</t>
  </si>
  <si>
    <t>专1</t>
  </si>
  <si>
    <t>专2</t>
  </si>
  <si>
    <t>专3</t>
  </si>
  <si>
    <t>20秒</t>
  </si>
  <si>
    <t>力场持续时间（秒）</t>
  </si>
  <si>
    <t>缓速效果</t>
  </si>
  <si>
    <t>基础法术脆弱效果</t>
  </si>
  <si>
    <t>每层破防提升法术脆弱</t>
  </si>
  <si>
    <t>洛茜</t>
    <phoneticPr fontId="1" type="noConversion"/>
  </si>
  <si>
    <t>15s</t>
  </si>
  <si>
    <t>暴击率提升</t>
  </si>
  <si>
    <t>暴击伤害提升</t>
  </si>
  <si>
    <t>增益效果的持续时间（秒）</t>
  </si>
  <si>
    <t>戳击总伤害倍率</t>
  </si>
  <si>
    <t>第一段斩击伤害倍率</t>
  </si>
  <si>
    <t>第二段斩击伤害倍率</t>
  </si>
  <si>
    <t>管理员</t>
    <phoneticPr fontId="1" type="noConversion"/>
  </si>
  <si>
    <t>击碎结晶伤害倍率</t>
  </si>
  <si>
    <t>封印时间（秒）</t>
  </si>
  <si>
    <t>额外伤害倍率</t>
  </si>
  <si>
    <t>单手剑</t>
    <phoneticPr fontId="1" type="noConversion"/>
  </si>
  <si>
    <t>宏愿</t>
    <phoneticPr fontId="1" type="noConversion"/>
  </si>
  <si>
    <r>
      <t>装备者施加</t>
    </r>
    <r>
      <rPr>
        <u/>
        <sz val="11"/>
        <color theme="1"/>
        <rFont val="等线"/>
        <family val="3"/>
        <charset val="134"/>
        <scheme val="minor"/>
      </rPr>
      <t>源石结晶</t>
    </r>
    <r>
      <rPr>
        <sz val="11"/>
        <color theme="1"/>
        <rFont val="等线"/>
        <family val="2"/>
        <scheme val="minor"/>
      </rPr>
      <t>或</t>
    </r>
    <r>
      <rPr>
        <u/>
        <sz val="11"/>
        <color theme="1"/>
        <rFont val="等线"/>
        <family val="3"/>
        <charset val="134"/>
        <scheme val="minor"/>
      </rPr>
      <t>冻结</t>
    </r>
    <r>
      <rPr>
        <sz val="11"/>
        <color theme="1"/>
        <rFont val="等线"/>
        <family val="2"/>
        <scheme val="minor"/>
      </rPr>
      <t>时，20秒内的下次战技或终结技期间，造成的物理伤害+57.6%。</t>
    </r>
  </si>
  <si>
    <t>狼之绯</t>
    <phoneticPr fontId="1" type="noConversion"/>
  </si>
  <si>
    <t>装备者造成暴击伤害后，获得1层狼血，物理和灼热伤害+1.6%，最多叠加16层。当狼血叠加至16层后，物理和灼热伤害额外+38.4%，持续20秒。持续时间结束后，清空所有狼血叠加层数。</t>
  </si>
  <si>
    <t>暴击</t>
    <phoneticPr fontId="1" type="noConversion"/>
  </si>
  <si>
    <t>攻击力25.6</t>
    <phoneticPr fontId="1" type="noConversion"/>
  </si>
  <si>
    <t>洛茜天赋战技斫痕</t>
    <phoneticPr fontId="1" type="noConversion"/>
  </si>
  <si>
    <t>洛茜二段连携</t>
    <phoneticPr fontId="1" type="noConversion"/>
  </si>
  <si>
    <t>洛茜大招</t>
    <phoneticPr fontId="1" type="noConversion"/>
  </si>
  <si>
    <t>洛茜普攻</t>
    <phoneticPr fontId="1" type="noConversion"/>
  </si>
  <si>
    <t>洛茜战技</t>
    <phoneticPr fontId="1" type="noConversion"/>
  </si>
  <si>
    <t>点剑重装甲</t>
    <phoneticPr fontId="1" type="noConversion"/>
  </si>
  <si>
    <t>技艺48</t>
    <phoneticPr fontId="1" type="noConversion"/>
  </si>
  <si>
    <t>失衡效率</t>
    <phoneticPr fontId="1" type="noConversion"/>
  </si>
  <si>
    <t>管理员天赋碎结晶拐他人</t>
    <phoneticPr fontId="1" type="noConversion"/>
  </si>
  <si>
    <t>管理员专武连携后</t>
    <phoneticPr fontId="1" type="noConversion"/>
  </si>
  <si>
    <t>攻击计算器</t>
    <phoneticPr fontId="1" type="noConversion"/>
  </si>
  <si>
    <t>管理员普攻</t>
    <phoneticPr fontId="1" type="noConversion"/>
  </si>
  <si>
    <t>管理员战技</t>
    <phoneticPr fontId="1" type="noConversion"/>
  </si>
  <si>
    <t>管理员连携</t>
    <phoneticPr fontId="1" type="noConversion"/>
  </si>
  <si>
    <t>管理员大招</t>
    <phoneticPr fontId="1" type="noConversion"/>
  </si>
  <si>
    <t>长息装甲</t>
    <phoneticPr fontId="1" type="noConversion"/>
  </si>
  <si>
    <t>治疗效率</t>
    <phoneticPr fontId="1" type="noConversion"/>
  </si>
  <si>
    <t>抗性</t>
    <phoneticPr fontId="1" type="noConversion"/>
  </si>
  <si>
    <t>洁哥</t>
    <phoneticPr fontId="1" type="noConversion"/>
  </si>
  <si>
    <t>使命必达</t>
    <phoneticPr fontId="1" type="noConversion"/>
  </si>
  <si>
    <t>意志+156</t>
  </si>
  <si>
    <r>
      <t>装备者通过自身连携技造成</t>
    </r>
    <r>
      <rPr>
        <u/>
        <sz val="11"/>
        <color theme="1"/>
        <rFont val="等线"/>
        <family val="3"/>
        <charset val="134"/>
        <scheme val="minor"/>
      </rPr>
      <t>击飞</t>
    </r>
    <r>
      <rPr>
        <sz val="11"/>
        <color theme="1"/>
        <rFont val="等线"/>
        <family val="2"/>
        <scheme val="minor"/>
      </rPr>
      <t>后，全队造成的法术伤害+19.2%，持续15秒。每有一个被</t>
    </r>
    <r>
      <rPr>
        <u/>
        <sz val="11"/>
        <color theme="1"/>
        <rFont val="等线"/>
        <family val="3"/>
        <charset val="134"/>
        <scheme val="minor"/>
      </rPr>
      <t>击飞</t>
    </r>
    <r>
      <rPr>
        <sz val="11"/>
        <color theme="1"/>
        <rFont val="等线"/>
        <family val="2"/>
        <scheme val="minor"/>
      </rPr>
      <t>的敌人，全队造成的法术伤害额外+5.6%，最多+16.8%。</t>
    </r>
  </si>
  <si>
    <t>充能46.4</t>
    <phoneticPr fontId="1" type="noConversion"/>
  </si>
  <si>
    <t>自然伤害</t>
    <phoneticPr fontId="1" type="noConversion"/>
  </si>
  <si>
    <t>自然伤害+25.6</t>
    <phoneticPr fontId="1" type="noConversion"/>
  </si>
  <si>
    <t>增益5</t>
  </si>
  <si>
    <t>增益6</t>
  </si>
  <si>
    <t>增益7</t>
  </si>
  <si>
    <t>增益8</t>
  </si>
  <si>
    <t>增益9</t>
  </si>
  <si>
    <t>增益10</t>
  </si>
  <si>
    <t>增益11</t>
  </si>
  <si>
    <t>增益12</t>
  </si>
  <si>
    <t>增益13</t>
  </si>
  <si>
    <t>增益14</t>
  </si>
  <si>
    <t>增益15</t>
  </si>
  <si>
    <t>增益2</t>
    <phoneticPr fontId="1" type="noConversion"/>
  </si>
  <si>
    <t>增益3</t>
    <phoneticPr fontId="1" type="noConversion"/>
  </si>
  <si>
    <t>增益4</t>
    <phoneticPr fontId="1" type="noConversion"/>
  </si>
  <si>
    <t>buff图标</t>
    <phoneticPr fontId="1" type="noConversion"/>
  </si>
  <si>
    <t>面板乘区</t>
    <phoneticPr fontId="1" type="noConversion"/>
  </si>
  <si>
    <t>伤害占比</t>
    <phoneticPr fontId="1" type="noConversion"/>
  </si>
  <si>
    <t>小羊强化战技脆弱</t>
  </si>
  <si>
    <t>小羊强化战技易伤</t>
  </si>
  <si>
    <t>防御区</t>
    <phoneticPr fontId="1" type="noConversion"/>
  </si>
  <si>
    <t>各属性抗性区在开发</t>
    <phoneticPr fontId="1" type="noConversion"/>
  </si>
  <si>
    <t>否</t>
  </si>
  <si>
    <t>暴击期望伤害</t>
    <phoneticPr fontId="1" type="noConversion"/>
  </si>
  <si>
    <t>不暴击伤害</t>
    <phoneticPr fontId="1" type="noConversion"/>
  </si>
  <si>
    <t>暴击伤害</t>
    <phoneticPr fontId="1" type="noConversion"/>
  </si>
  <si>
    <t>敌人减伤区</t>
    <phoneticPr fontId="1" type="noConversion"/>
  </si>
  <si>
    <t>敌人乘区</t>
    <phoneticPr fontId="1" type="noConversion"/>
  </si>
  <si>
    <t>热启动爆发轴</t>
    <phoneticPr fontId="1" type="noConversion"/>
  </si>
  <si>
    <t>冲能轴</t>
    <phoneticPr fontId="1" type="noConversion"/>
  </si>
  <si>
    <t xml:space="preserve">智识105	</t>
    <phoneticPr fontId="1" type="noConversion"/>
  </si>
  <si>
    <t>洁哥悼亡诗</t>
  </si>
  <si>
    <t>小羊长息</t>
  </si>
  <si>
    <t>管理员重击普攻</t>
    <phoneticPr fontId="1" type="noConversion"/>
  </si>
  <si>
    <t>管理员处决普攻</t>
    <phoneticPr fontId="1" type="noConversion"/>
  </si>
  <si>
    <t>洛茜处决普攻</t>
    <phoneticPr fontId="1" type="noConversion"/>
  </si>
  <si>
    <t>N/a</t>
    <phoneticPr fontId="1" type="noConversion"/>
  </si>
  <si>
    <t>管理员结晶敌人易伤</t>
    <phoneticPr fontId="1" type="noConversion"/>
  </si>
  <si>
    <t>即时攻击力</t>
    <phoneticPr fontId="1" type="noConversion"/>
  </si>
  <si>
    <t>列2</t>
  </si>
  <si>
    <t>列3</t>
  </si>
  <si>
    <t>列4</t>
  </si>
  <si>
    <t>列5</t>
  </si>
  <si>
    <t>列6</t>
  </si>
  <si>
    <t>列7</t>
  </si>
  <si>
    <t>列8</t>
  </si>
  <si>
    <t>列9</t>
  </si>
  <si>
    <t>列10</t>
  </si>
  <si>
    <t>列11</t>
  </si>
  <si>
    <t>列12</t>
  </si>
  <si>
    <t>列13</t>
  </si>
  <si>
    <t>列14</t>
  </si>
  <si>
    <t>列15</t>
  </si>
  <si>
    <t>列16</t>
  </si>
  <si>
    <t>列17</t>
  </si>
  <si>
    <t>列18</t>
  </si>
  <si>
    <t>列19</t>
  </si>
  <si>
    <t>列20</t>
  </si>
  <si>
    <t>列21</t>
  </si>
  <si>
    <t>列22</t>
  </si>
  <si>
    <t>列23</t>
  </si>
  <si>
    <t>列24</t>
  </si>
  <si>
    <t>列25</t>
  </si>
  <si>
    <t>列26</t>
  </si>
  <si>
    <t>列27</t>
  </si>
  <si>
    <t>列28</t>
  </si>
  <si>
    <t>列29</t>
  </si>
  <si>
    <t>列30</t>
  </si>
  <si>
    <t>列31</t>
  </si>
  <si>
    <t>列32</t>
  </si>
  <si>
    <t>列33</t>
  </si>
  <si>
    <t>列34</t>
  </si>
  <si>
    <t>列35</t>
  </si>
  <si>
    <t>列36</t>
  </si>
  <si>
    <t>列37</t>
  </si>
  <si>
    <t>列38</t>
  </si>
  <si>
    <t>列39</t>
  </si>
  <si>
    <t>洛茜重击普攻</t>
    <phoneticPr fontId="1" type="noConversion"/>
  </si>
  <si>
    <t>洛茜前段普攻</t>
    <phoneticPr fontId="1" type="noConversion"/>
  </si>
  <si>
    <t>洛茜面板</t>
    <phoneticPr fontId="1" type="noConversion"/>
  </si>
  <si>
    <t>管理员前段普攻</t>
    <phoneticPr fontId="1" type="noConversion"/>
  </si>
  <si>
    <t>洛茜下落普攻</t>
    <phoneticPr fontId="1" type="noConversion"/>
  </si>
  <si>
    <t>管理员下落普攻</t>
    <phoneticPr fontId="1" type="noConversion"/>
  </si>
  <si>
    <t>管理员碎连携结晶</t>
    <phoneticPr fontId="1" type="noConversion"/>
  </si>
  <si>
    <t>洁哥战技</t>
    <phoneticPr fontId="1" type="noConversion"/>
  </si>
  <si>
    <t>洁哥连携</t>
    <phoneticPr fontId="1" type="noConversion"/>
  </si>
  <si>
    <t>洁哥大招</t>
    <phoneticPr fontId="1" type="noConversion"/>
  </si>
  <si>
    <t>管理员天赋碎结晶拐自己</t>
    <phoneticPr fontId="1" type="noConversion"/>
  </si>
  <si>
    <t>敏捷+156</t>
    <phoneticPr fontId="1" type="noConversion"/>
  </si>
  <si>
    <t>暴击19.5</t>
    <phoneticPr fontId="1" type="noConversion"/>
  </si>
  <si>
    <t>攻击力+39.0%</t>
    <phoneticPr fontId="1" type="noConversion"/>
  </si>
  <si>
    <t>物伤</t>
    <phoneticPr fontId="1" type="noConversion"/>
  </si>
  <si>
    <t>暴击率</t>
    <phoneticPr fontId="1" type="noConversion"/>
  </si>
  <si>
    <t>能力值</t>
    <phoneticPr fontId="1" type="noConversion"/>
  </si>
  <si>
    <t>攻击百分比</t>
    <phoneticPr fontId="1" type="noConversion"/>
  </si>
  <si>
    <t>固定攻击力</t>
    <phoneticPr fontId="1" type="noConversion"/>
  </si>
  <si>
    <t>洁哥专武连携</t>
  </si>
  <si>
    <t>洛茜天赋沸血</t>
    <phoneticPr fontId="1" type="noConversion"/>
  </si>
  <si>
    <t>吃药</t>
    <phoneticPr fontId="1" type="noConversion"/>
  </si>
  <si>
    <t>洁哥大招零破防</t>
    <phoneticPr fontId="1" type="noConversion"/>
  </si>
  <si>
    <t>洁哥大招一破防</t>
  </si>
  <si>
    <t>洁哥大招二破防</t>
  </si>
  <si>
    <t>洁哥大招三破防</t>
  </si>
  <si>
    <t>洁哥大招四破防</t>
  </si>
  <si>
    <t>洁哥一腐蚀满腐蚀</t>
  </si>
  <si>
    <t>洁哥二腐蚀满腐蚀</t>
  </si>
  <si>
    <t>洁哥一腐蚀未满</t>
  </si>
  <si>
    <t>洁哥三腐蚀未满</t>
  </si>
  <si>
    <t>洁哥三腐蚀满腐蚀</t>
  </si>
  <si>
    <t>洁哥四腐蚀未满</t>
  </si>
  <si>
    <t>洁哥四腐蚀满腐蚀</t>
  </si>
  <si>
    <t>小羊连携未满腐蚀</t>
  </si>
  <si>
    <t>小羊连携满腐蚀</t>
  </si>
  <si>
    <t>洛茜套装五次暴击后</t>
    <phoneticPr fontId="1" type="noConversion"/>
  </si>
  <si>
    <t>汤汤普攻</t>
  </si>
  <si>
    <t>汤汤前段普攻</t>
  </si>
  <si>
    <t>汤汤重击普攻</t>
  </si>
  <si>
    <t>汤汤处决普攻</t>
  </si>
  <si>
    <t>汤汤下落普攻</t>
  </si>
  <si>
    <t>汤汤双龙卷脆弱</t>
    <phoneticPr fontId="1" type="noConversion"/>
  </si>
  <si>
    <t>汤汤三龙卷脆弱</t>
    <phoneticPr fontId="1" type="noConversion"/>
  </si>
  <si>
    <t>力量156</t>
    <phoneticPr fontId="1" type="noConversion"/>
  </si>
  <si>
    <t>汤汤面板</t>
    <phoneticPr fontId="1" type="noConversion"/>
  </si>
  <si>
    <t>持续时间/s</t>
    <phoneticPr fontId="1" type="noConversion"/>
  </si>
  <si>
    <t>汤汤落草上寒冷</t>
    <phoneticPr fontId="1" type="noConversion"/>
  </si>
  <si>
    <t>汤汤落草上脆弱</t>
    <phoneticPr fontId="1" type="noConversion"/>
  </si>
  <si>
    <t>汤汤碾骨一连携</t>
    <phoneticPr fontId="1" type="noConversion"/>
  </si>
  <si>
    <t>汤汤碾骨二连携</t>
    <phoneticPr fontId="1" type="noConversion"/>
  </si>
  <si>
    <t>汤汤望乡连携后</t>
    <phoneticPr fontId="1" type="noConversion"/>
  </si>
  <si>
    <t>洛茜狼之绯叠满暴击前</t>
    <phoneticPr fontId="1" type="noConversion"/>
  </si>
  <si>
    <t>洛茜狼之绯叠满暴击后</t>
    <phoneticPr fontId="1" type="noConversion"/>
  </si>
  <si>
    <t>洛茜斫痕额外物理倍率</t>
    <phoneticPr fontId="1" type="noConversion"/>
  </si>
  <si>
    <t>洛茜天赋燃烧沸血</t>
    <phoneticPr fontId="1" type="noConversion"/>
  </si>
  <si>
    <t>光荣记忆</t>
    <phoneticPr fontId="1" type="noConversion"/>
  </si>
  <si>
    <t>敏捷+156</t>
  </si>
  <si>
    <t>攻击力12.6</t>
    <phoneticPr fontId="1" type="noConversion"/>
  </si>
  <si>
    <r>
      <t>装备者通过技能施加</t>
    </r>
    <r>
      <rPr>
        <u/>
        <sz val="11"/>
        <color theme="1"/>
        <rFont val="等线"/>
        <family val="3"/>
        <charset val="134"/>
        <scheme val="minor"/>
      </rPr>
      <t>破防</t>
    </r>
    <r>
      <rPr>
        <sz val="11"/>
        <color theme="1"/>
        <rFont val="等线"/>
        <family val="2"/>
        <scheme val="minor"/>
      </rPr>
      <t>时，30秒内的下次终结技期间造成的伤害+21.6%。</t>
    </r>
  </si>
  <si>
    <t>额外词条</t>
    <phoneticPr fontId="1" type="noConversion"/>
  </si>
  <si>
    <t>洛茜光荣记忆一战技</t>
    <phoneticPr fontId="1" type="noConversion"/>
  </si>
  <si>
    <t>洛茜光荣记忆二战技</t>
    <phoneticPr fontId="1" type="noConversion"/>
  </si>
  <si>
    <t>洛茜光荣记忆三战技</t>
    <phoneticPr fontId="1" type="noConversion"/>
  </si>
  <si>
    <t>显赫声名</t>
    <phoneticPr fontId="1" type="noConversion"/>
  </si>
  <si>
    <t>主能力值+132</t>
  </si>
  <si>
    <t>攻击力+16.0</t>
    <phoneticPr fontId="1" type="noConversion"/>
  </si>
  <si>
    <r>
      <t>装备者</t>
    </r>
    <r>
      <rPr>
        <u/>
        <sz val="11"/>
        <color theme="1"/>
        <rFont val="等线"/>
        <family val="3"/>
        <charset val="134"/>
        <scheme val="minor"/>
      </rPr>
      <t>消耗破防</t>
    </r>
    <r>
      <rPr>
        <sz val="11"/>
        <color theme="1"/>
        <rFont val="等线"/>
        <family val="2"/>
        <scheme val="minor"/>
      </rPr>
      <t>层数后，自身攻击力+[7.0%+3.5%×</t>
    </r>
    <r>
      <rPr>
        <u/>
        <sz val="11"/>
        <color theme="1"/>
        <rFont val="等线"/>
        <family val="3"/>
        <charset val="134"/>
        <scheme val="minor"/>
      </rPr>
      <t>消耗层数]</t>
    </r>
    <r>
      <rPr>
        <sz val="11"/>
        <color theme="1"/>
        <rFont val="等线"/>
        <family val="2"/>
        <scheme val="minor"/>
      </rPr>
      <t>，小队内其他干员获得一半的效果，持续20秒。</t>
    </r>
  </si>
  <si>
    <t>物伤43.3</t>
    <phoneticPr fontId="1" type="noConversion"/>
  </si>
  <si>
    <t>管理员显赫一猛击拐自己</t>
    <phoneticPr fontId="1" type="noConversion"/>
  </si>
  <si>
    <t>管理员显赫一猛击拐他人</t>
    <phoneticPr fontId="1" type="noConversion"/>
  </si>
  <si>
    <t>管理员显赫二猛击拐自己</t>
    <phoneticPr fontId="1" type="noConversion"/>
  </si>
  <si>
    <t>管理员显赫二猛击拐他人</t>
    <phoneticPr fontId="1" type="noConversion"/>
  </si>
  <si>
    <t>管理员显赫三猛击拐自己</t>
    <phoneticPr fontId="1" type="noConversion"/>
  </si>
  <si>
    <t>管理员显赫三猛击拐他人</t>
    <phoneticPr fontId="1" type="noConversion"/>
  </si>
  <si>
    <t>管理员显赫四猛击拐自己</t>
    <phoneticPr fontId="1" type="noConversion"/>
  </si>
  <si>
    <t>管理员显赫四猛击拐他人</t>
    <phoneticPr fontId="1" type="noConversion"/>
  </si>
  <si>
    <t>洁哥obj连携或法术爆发</t>
  </si>
  <si>
    <t>寒冷伤害+43.3</t>
    <phoneticPr fontId="1" type="noConversion"/>
  </si>
  <si>
    <t>伊冯</t>
    <phoneticPr fontId="1" type="noConversion"/>
  </si>
  <si>
    <t>艺术暴君</t>
    <phoneticPr fontId="1" type="noConversion"/>
  </si>
  <si>
    <t>智识+156</t>
  </si>
  <si>
    <t>寒冷伤害+25.6</t>
    <phoneticPr fontId="1" type="noConversion"/>
  </si>
  <si>
    <t>楔子</t>
    <phoneticPr fontId="1" type="noConversion"/>
  </si>
  <si>
    <t>法术伤害+19.2</t>
  </si>
  <si>
    <r>
      <t>装备者施放战技时，获得法术伤害+12.8%，持续15秒。装备者通过自身战技施加</t>
    </r>
    <r>
      <rPr>
        <u/>
        <sz val="8"/>
        <rFont val="Arial"/>
        <family val="2"/>
      </rPr>
      <t>法术异常</t>
    </r>
    <r>
      <rPr>
        <sz val="8"/>
        <rFont val="Arial"/>
        <family val="2"/>
      </rPr>
      <t>时，获得法术伤害+25.6%，持续15秒</t>
    </r>
  </si>
  <si>
    <r>
      <rPr>
        <sz val="8"/>
        <rFont val="微软雅黑"/>
        <family val="2"/>
        <charset val="134"/>
      </rPr>
      <t>暴击</t>
    </r>
    <r>
      <rPr>
        <sz val="8"/>
        <rFont val="Arial"/>
        <family val="2"/>
      </rPr>
      <t>+19.5</t>
    </r>
    <phoneticPr fontId="1" type="noConversion"/>
  </si>
  <si>
    <t>装备者的战技或连携技造成暴击伤害后，寒冷+伤害+22.4%，持续30秒</t>
    <phoneticPr fontId="1" type="noConversion"/>
  </si>
  <si>
    <t>基础伤害倍率</t>
  </si>
  <si>
    <t>施加冻结伤害倍率</t>
  </si>
  <si>
    <t>施加冻结获得终结技能量</t>
  </si>
  <si>
    <t>20s</t>
  </si>
  <si>
    <t>19s</t>
  </si>
  <si>
    <t>18s</t>
  </si>
  <si>
    <t>施放能量次数</t>
  </si>
  <si>
    <t>能量伤害倍率</t>
  </si>
  <si>
    <t>爆炸伤害倍率</t>
  </si>
  <si>
    <t>爆炸失衡值</t>
  </si>
  <si>
    <t>额外获得终结技能量</t>
  </si>
  <si>
    <t>普通攻击伤害倍率</t>
  </si>
  <si>
    <t>强力攻击伤害倍率</t>
  </si>
  <si>
    <t>额外攻击伤害倍率</t>
  </si>
  <si>
    <t>强力攻击失衡值</t>
  </si>
  <si>
    <t>最大叠加层数</t>
  </si>
  <si>
    <t>每层暴击率增加</t>
  </si>
  <si>
    <t>满层暴击伤害增加</t>
  </si>
  <si>
    <t>伊冯面板</t>
  </si>
  <si>
    <t>伊冯普攻</t>
  </si>
  <si>
    <t>伊冯前段普攻</t>
  </si>
  <si>
    <t>伊冯重击普攻</t>
  </si>
  <si>
    <t>伊冯处决普攻</t>
  </si>
  <si>
    <t>伊冯下落普攻</t>
  </si>
  <si>
    <t>伊冯连携</t>
    <phoneticPr fontId="1" type="noConversion"/>
  </si>
  <si>
    <t>立即部署小嘀嗒进行辅助，并切换至主控干员。</t>
  </si>
  <si>
    <r>
      <t>在接下来一定时间内，伊冯的普通攻击会得到</t>
    </r>
    <r>
      <rPr>
        <sz val="8"/>
        <color rgb="FF33C2FF"/>
        <rFont val="Arial"/>
        <family val="2"/>
      </rPr>
      <t>强化</t>
    </r>
    <r>
      <rPr>
        <sz val="8"/>
        <color theme="1"/>
        <rFont val="Arial"/>
        <family val="2"/>
      </rPr>
      <t>，每次普通攻击都会增加自己的暴击率。当叠加至最大层数后，自身暴击伤害增加。持续时间结束前的最后一次强力攻击会变为</t>
    </r>
    <r>
      <rPr>
        <u/>
        <sz val="8"/>
        <color theme="1"/>
        <rFont val="Arial"/>
        <family val="2"/>
      </rPr>
      <t>重击</t>
    </r>
    <r>
      <rPr>
        <sz val="8"/>
        <color theme="1"/>
        <rFont val="Arial"/>
        <family val="2"/>
      </rPr>
      <t>，造成大量</t>
    </r>
    <r>
      <rPr>
        <sz val="8"/>
        <color rgb="FF30D6E0"/>
        <rFont val="Arial"/>
        <family val="2"/>
      </rPr>
      <t>寒冷伤害</t>
    </r>
    <r>
      <rPr>
        <sz val="8"/>
        <color theme="1"/>
        <rFont val="Arial"/>
        <family val="2"/>
      </rPr>
      <t>。</t>
    </r>
  </si>
  <si>
    <t>装备栏</t>
    <phoneticPr fontId="1" type="noConversion"/>
  </si>
  <si>
    <t>角色面板栏</t>
    <phoneticPr fontId="1" type="noConversion"/>
  </si>
  <si>
    <t>看华法林wiki</t>
    <phoneticPr fontId="1" type="noConversion"/>
  </si>
  <si>
    <t>录入武器词条</t>
    <phoneticPr fontId="1" type="noConversion"/>
  </si>
  <si>
    <t>穿好装备</t>
    <phoneticPr fontId="1" type="noConversion"/>
  </si>
  <si>
    <t>录入技能倍率</t>
    <phoneticPr fontId="1" type="noConversion"/>
  </si>
  <si>
    <t>整理装备带给角色的面板</t>
    <phoneticPr fontId="1" type="noConversion"/>
  </si>
  <si>
    <t>技能倍率栏</t>
    <phoneticPr fontId="1" type="noConversion"/>
  </si>
  <si>
    <t>伤害数值栏</t>
    <phoneticPr fontId="1" type="noConversion"/>
  </si>
  <si>
    <t>调整自定义公式的范围</t>
    <phoneticPr fontId="1" type="noConversion"/>
  </si>
  <si>
    <t>先录入角色面板</t>
    <phoneticPr fontId="1" type="noConversion"/>
  </si>
  <si>
    <t>填写技能相关倍率</t>
    <phoneticPr fontId="1" type="noConversion"/>
  </si>
  <si>
    <t>填写角色相关buff</t>
    <phoneticPr fontId="1" type="noConversion"/>
  </si>
  <si>
    <t>根据天赋完善技能倍率和buff</t>
    <phoneticPr fontId="1" type="noConversion"/>
  </si>
  <si>
    <t>根据潜能完善倍率</t>
    <phoneticPr fontId="1" type="noConversion"/>
  </si>
  <si>
    <t>根据武器添加新buff</t>
    <phoneticPr fontId="1" type="noConversion"/>
  </si>
  <si>
    <t>excel</t>
    <phoneticPr fontId="1" type="noConversion"/>
  </si>
  <si>
    <t>数值栏</t>
    <phoneticPr fontId="1" type="noConversion"/>
  </si>
  <si>
    <t>观前提示</t>
    <phoneticPr fontId="1" type="noConversion"/>
  </si>
  <si>
    <t>制作一个主c的技能伤害倍率和buff数值表，他需要对zmd的伤害计算有一定的理解</t>
    <phoneticPr fontId="1" type="noConversion"/>
  </si>
  <si>
    <t>为了制作这个表，我想要不管你的角色什么练度，潜能，技能等级，都能计算出伤害，而不是只能算满潜满级的这种一次性伤害计算器</t>
    <phoneticPr fontId="1" type="noConversion"/>
  </si>
  <si>
    <t>正因为为了这个灵活性，所以对excel也有一定的门槛，而如果解释这些的话视频就会很长。</t>
    <phoneticPr fontId="1" type="noConversion"/>
  </si>
  <si>
    <t>制作这个视频真的花费了我大量的精力，也希望你们能快速的使用这个计算器为了自己喜欢的角色排轴算伤害，为终末地的社区建设出一份力</t>
    <phoneticPr fontId="1" type="noConversion"/>
  </si>
  <si>
    <t>面板属性和buff</t>
    <phoneticPr fontId="1" type="noConversion"/>
  </si>
  <si>
    <t>面板属性是入场是指没有任何buff图标加成的</t>
    <phoneticPr fontId="1" type="noConversion"/>
  </si>
  <si>
    <t>buff</t>
    <phoneticPr fontId="1" type="noConversion"/>
  </si>
  <si>
    <t>有触发条件，触发后在一段时间内生效，有buff图标</t>
    <phoneticPr fontId="1" type="noConversion"/>
  </si>
  <si>
    <t>佩科5</t>
    <phoneticPr fontId="1" type="noConversion"/>
  </si>
  <si>
    <t>主能力值+10</t>
  </si>
  <si>
    <t>主能力值</t>
    <phoneticPr fontId="1" type="noConversion"/>
  </si>
  <si>
    <t>buff名称</t>
    <phoneticPr fontId="1" type="noConversion"/>
  </si>
  <si>
    <t>干员</t>
    <phoneticPr fontId="1" type="noConversion"/>
  </si>
  <si>
    <t>干员面板</t>
  </si>
  <si>
    <t>干员普攻</t>
  </si>
  <si>
    <t>干员前段普攻</t>
  </si>
  <si>
    <t>干员重击普攻</t>
  </si>
  <si>
    <t>干员处决普攻</t>
  </si>
  <si>
    <t>干员下落普攻</t>
  </si>
  <si>
    <t>复制模板</t>
    <phoneticPr fontId="1" type="noConversion"/>
  </si>
  <si>
    <r>
      <t>如果敌人处于</t>
    </r>
    <r>
      <rPr>
        <u/>
        <sz val="8"/>
        <color rgb="FF30D6E0"/>
        <rFont val="Arial"/>
        <family val="2"/>
      </rPr>
      <t>冻结</t>
    </r>
    <r>
      <rPr>
        <sz val="8"/>
        <color theme="1"/>
        <rFont val="Arial"/>
        <family val="2"/>
      </rPr>
      <t>状态，额外造成一次</t>
    </r>
    <r>
      <rPr>
        <sz val="8"/>
        <color rgb="FF30D6E0"/>
        <rFont val="Arial"/>
        <family val="2"/>
      </rPr>
      <t>寒冷伤害</t>
    </r>
    <r>
      <rPr>
        <sz val="8"/>
        <color theme="1"/>
        <rFont val="Arial"/>
        <family val="2"/>
      </rPr>
      <t>后，</t>
    </r>
    <r>
      <rPr>
        <u/>
        <sz val="8"/>
        <color theme="1"/>
        <rFont val="Arial"/>
        <family val="2"/>
      </rPr>
      <t>消耗</t>
    </r>
    <r>
      <rPr>
        <sz val="8"/>
        <color theme="1"/>
        <rFont val="Arial"/>
        <family val="2"/>
      </rPr>
      <t>其</t>
    </r>
    <r>
      <rPr>
        <u/>
        <sz val="8"/>
        <color rgb="FF30D6E0"/>
        <rFont val="Arial"/>
        <family val="2"/>
      </rPr>
      <t>冻结</t>
    </r>
    <r>
      <rPr>
        <sz val="8"/>
        <color theme="1"/>
        <rFont val="Arial"/>
        <family val="2"/>
      </rPr>
      <t>状态</t>
    </r>
  </si>
  <si>
    <r>
      <t>当主控干员对处于</t>
    </r>
    <r>
      <rPr>
        <u/>
        <sz val="8"/>
        <color rgb="FF30D6E0"/>
        <rFont val="Arial"/>
        <family val="2"/>
      </rPr>
      <t>冻结</t>
    </r>
    <r>
      <rPr>
        <sz val="8"/>
        <color theme="1"/>
        <rFont val="Arial"/>
        <family val="2"/>
      </rPr>
      <t>状态的敌人造成</t>
    </r>
    <r>
      <rPr>
        <u/>
        <sz val="8"/>
        <color theme="1"/>
        <rFont val="Arial"/>
        <family val="2"/>
      </rPr>
      <t>重击</t>
    </r>
    <r>
      <rPr>
        <sz val="8"/>
        <color theme="1"/>
        <rFont val="Arial"/>
        <family val="2"/>
      </rPr>
      <t>时可以发动。</t>
    </r>
  </si>
  <si>
    <r>
      <t>立即在敌人旁部署一个速冻仔，速冻仔会不断施放能量攻击周围的敌人，造成</t>
    </r>
    <r>
      <rPr>
        <sz val="8"/>
        <color rgb="FF30D6E0"/>
        <rFont val="Arial"/>
        <family val="2"/>
      </rPr>
      <t>寒冷伤害</t>
    </r>
    <r>
      <rPr>
        <sz val="8"/>
        <color theme="1"/>
        <rFont val="Arial"/>
        <family val="2"/>
      </rPr>
      <t>并持续向中心</t>
    </r>
    <r>
      <rPr>
        <sz val="8"/>
        <color rgb="FF33C2FF"/>
        <rFont val="Arial"/>
        <family val="2"/>
      </rPr>
      <t>牵引</t>
    </r>
    <r>
      <rPr>
        <sz val="8"/>
        <color theme="1"/>
        <rFont val="Arial"/>
        <family val="2"/>
      </rPr>
      <t>。持续时间结束后，速冻仔自爆，对周围敌人强制施加</t>
    </r>
    <r>
      <rPr>
        <u/>
        <sz val="8"/>
        <color rgb="FF30D6E0"/>
        <rFont val="Arial"/>
        <family val="2"/>
      </rPr>
      <t>冻结</t>
    </r>
    <r>
      <rPr>
        <sz val="8"/>
        <color theme="1"/>
        <rFont val="Arial"/>
        <family val="2"/>
      </rPr>
      <t>并造成</t>
    </r>
    <r>
      <rPr>
        <sz val="8"/>
        <color rgb="FF30D6E0"/>
        <rFont val="Arial"/>
        <family val="2"/>
      </rPr>
      <t>寒冷伤害</t>
    </r>
    <r>
      <rPr>
        <sz val="8"/>
        <color theme="1"/>
        <rFont val="Arial"/>
        <family val="2"/>
      </rPr>
      <t>。</t>
    </r>
  </si>
  <si>
    <t>连携技成功命中敌人后，会额外获得终结技能量，命中多名目标时仅获得1次。</t>
  </si>
  <si>
    <r>
      <t>向前发射一颗制冷弹。制冷弹碰到敌人后会发生爆炸，造成</t>
    </r>
    <r>
      <rPr>
        <sz val="8"/>
        <color rgb="FF30D6E0"/>
        <rFont val="Arial"/>
        <family val="2"/>
      </rPr>
      <t>寒冷伤害</t>
    </r>
    <r>
      <rPr>
        <sz val="8"/>
        <color theme="1"/>
        <rFont val="Arial"/>
        <family val="2"/>
      </rPr>
      <t>。命中处于</t>
    </r>
    <r>
      <rPr>
        <u/>
        <sz val="8"/>
        <color rgb="FF30D6E0"/>
        <rFont val="Arial"/>
        <family val="2"/>
      </rPr>
      <t>寒冷附着</t>
    </r>
    <r>
      <rPr>
        <sz val="8"/>
        <color theme="1"/>
        <rFont val="Arial"/>
        <family val="2"/>
      </rPr>
      <t>或</t>
    </r>
    <r>
      <rPr>
        <u/>
        <sz val="8"/>
        <color rgb="FFB4D945"/>
        <rFont val="Arial"/>
        <family val="2"/>
      </rPr>
      <t>自然附着</t>
    </r>
    <r>
      <rPr>
        <sz val="8"/>
        <color theme="1"/>
        <rFont val="Arial"/>
        <family val="2"/>
      </rPr>
      <t>的敌人时，</t>
    </r>
    <r>
      <rPr>
        <u/>
        <sz val="8"/>
        <color theme="1"/>
        <rFont val="Arial"/>
        <family val="2"/>
      </rPr>
      <t>消耗</t>
    </r>
    <r>
      <rPr>
        <sz val="8"/>
        <color theme="1"/>
        <rFont val="Arial"/>
        <family val="2"/>
      </rPr>
      <t>掉目标身上所有的</t>
    </r>
    <r>
      <rPr>
        <u/>
        <sz val="8"/>
        <color theme="1"/>
        <rFont val="Arial"/>
        <family val="2"/>
      </rPr>
      <t>法术附着</t>
    </r>
    <r>
      <rPr>
        <sz val="8"/>
        <color theme="1"/>
        <rFont val="Arial"/>
        <family val="2"/>
      </rPr>
      <t>，对其强制施加</t>
    </r>
    <r>
      <rPr>
        <u/>
        <sz val="8"/>
        <color rgb="FF30D6E0"/>
        <rFont val="Arial"/>
        <family val="2"/>
      </rPr>
      <t>冻结</t>
    </r>
    <r>
      <rPr>
        <sz val="8"/>
        <color theme="1"/>
        <rFont val="Arial"/>
        <family val="2"/>
      </rPr>
      <t>，并基于</t>
    </r>
    <r>
      <rPr>
        <u/>
        <sz val="8"/>
        <color theme="1"/>
        <rFont val="Arial"/>
        <family val="2"/>
      </rPr>
      <t>消耗</t>
    </r>
    <r>
      <rPr>
        <sz val="8"/>
        <color theme="1"/>
        <rFont val="Arial"/>
        <family val="2"/>
      </rPr>
      <t>的层数造成</t>
    </r>
    <r>
      <rPr>
        <sz val="8"/>
        <color rgb="FF30D6E0"/>
        <rFont val="Arial"/>
        <family val="2"/>
      </rPr>
      <t>寒冷伤害</t>
    </r>
    <r>
      <rPr>
        <sz val="8"/>
        <color theme="1"/>
        <rFont val="Arial"/>
        <family val="2"/>
      </rPr>
      <t>。</t>
    </r>
  </si>
  <si>
    <r>
      <t>战技成功施加</t>
    </r>
    <r>
      <rPr>
        <u/>
        <sz val="8"/>
        <color rgb="FF30D6E0"/>
        <rFont val="Arial"/>
        <family val="2"/>
      </rPr>
      <t>冻结</t>
    </r>
    <r>
      <rPr>
        <sz val="8"/>
        <color theme="1"/>
        <rFont val="Arial"/>
        <family val="2"/>
      </rPr>
      <t>后，会基于</t>
    </r>
    <r>
      <rPr>
        <u/>
        <sz val="8"/>
        <color theme="1"/>
        <rFont val="Arial"/>
        <family val="2"/>
      </rPr>
      <t>消耗</t>
    </r>
    <r>
      <rPr>
        <sz val="8"/>
        <color theme="1"/>
        <rFont val="Arial"/>
        <family val="2"/>
      </rPr>
      <t>的层数，额外获得终结技能量，命中多名目标时仅获得1次。</t>
    </r>
  </si>
  <si>
    <t>伊冯战技一冰</t>
  </si>
  <si>
    <t>伊冯战技一冰</t>
    <phoneticPr fontId="1" type="noConversion"/>
  </si>
  <si>
    <t>伊冯战技零冰</t>
  </si>
  <si>
    <t>伊冯战技零冰</t>
    <phoneticPr fontId="1" type="noConversion"/>
  </si>
  <si>
    <t>伊冯战技二冰</t>
    <phoneticPr fontId="1" type="noConversion"/>
  </si>
  <si>
    <t>伊冯战技三冰</t>
    <phoneticPr fontId="1" type="noConversion"/>
  </si>
  <si>
    <t>伊冯战技四冰</t>
    <phoneticPr fontId="1" type="noConversion"/>
  </si>
  <si>
    <t>伊冯大招叠满十次暴击</t>
  </si>
  <si>
    <t>伊冯大招叠满十次暴击</t>
    <phoneticPr fontId="1" type="noConversion"/>
  </si>
  <si>
    <t>伊冯战技上冰冻后重击</t>
    <phoneticPr fontId="1" type="noConversion"/>
  </si>
  <si>
    <t>伊冯对寒冷敌人爆伤</t>
  </si>
  <si>
    <t>伊冯对寒冷敌人爆伤</t>
    <phoneticPr fontId="1" type="noConversion"/>
  </si>
  <si>
    <t>伊冯对冰冻敌人爆伤</t>
  </si>
  <si>
    <t>伊冯对冰冻敌人爆伤</t>
    <phoneticPr fontId="1" type="noConversion"/>
  </si>
  <si>
    <t>伊冯潜能五大招攻击爆伤加</t>
    <phoneticPr fontId="1" type="noConversion"/>
  </si>
  <si>
    <t>伊冯专武触发一次</t>
    <phoneticPr fontId="1" type="noConversion"/>
  </si>
  <si>
    <t>伊冯专武触发二次</t>
    <phoneticPr fontId="1" type="noConversion"/>
  </si>
  <si>
    <t>伊冯专武触发三次</t>
  </si>
  <si>
    <t>伊冯专武触发三次</t>
    <phoneticPr fontId="1" type="noConversion"/>
  </si>
  <si>
    <t>伊冯警用套叠满暴击</t>
  </si>
  <si>
    <t>伊冯警用套叠满暴击</t>
    <phoneticPr fontId="1" type="noConversion"/>
  </si>
  <si>
    <t>伊冯大招转身后普攻</t>
    <phoneticPr fontId="1" type="noConversion"/>
  </si>
  <si>
    <t>伊冯大招转身前普攻</t>
  </si>
  <si>
    <t>伊冯大招转身前普攻</t>
    <phoneticPr fontId="1" type="noConversion"/>
  </si>
  <si>
    <t>伊冯大招强化击普攻</t>
    <phoneticPr fontId="1" type="noConversion"/>
  </si>
  <si>
    <t>伊冯大招强化击爆冰冻普攻</t>
    <phoneticPr fontId="1" type="noConversion"/>
  </si>
  <si>
    <t>改名字</t>
    <phoneticPr fontId="1" type="noConversion"/>
  </si>
  <si>
    <r>
      <rPr>
        <sz val="8"/>
        <rFont val="微软雅黑"/>
        <family val="2"/>
        <charset val="134"/>
      </rPr>
      <t>攻击力值</t>
    </r>
    <r>
      <rPr>
        <sz val="8"/>
        <rFont val="Arial"/>
        <family val="2"/>
      </rPr>
      <t>+12</t>
    </r>
    <phoneticPr fontId="1" type="noConversion"/>
  </si>
  <si>
    <t>总伤</t>
    <phoneticPr fontId="1" type="noConversion"/>
  </si>
  <si>
    <t>dps</t>
    <phoneticPr fontId="1" type="noConversion"/>
  </si>
  <si>
    <t>轴长/s</t>
    <phoneticPr fontId="1" type="noConversion"/>
  </si>
  <si>
    <t>消耗技力</t>
    <phoneticPr fontId="1" type="noConversion"/>
  </si>
  <si>
    <t>dpsp</t>
    <phoneticPr fontId="1" type="noConversion"/>
  </si>
  <si>
    <t>释放战技数</t>
    <phoneticPr fontId="1" type="noConversion"/>
  </si>
  <si>
    <t>释放连携数</t>
    <phoneticPr fontId="1" type="noConversion"/>
  </si>
  <si>
    <t>干员一战技</t>
    <phoneticPr fontId="1" type="noConversion"/>
  </si>
  <si>
    <t>干员二战技</t>
    <phoneticPr fontId="1" type="noConversion"/>
  </si>
  <si>
    <t>干员三战技</t>
    <phoneticPr fontId="1" type="noConversion"/>
  </si>
  <si>
    <t>干员四战技</t>
    <phoneticPr fontId="1" type="noConversion"/>
  </si>
  <si>
    <t>充能轴</t>
    <phoneticPr fontId="1" type="noConversion"/>
  </si>
  <si>
    <t>干员战技返还技力</t>
    <phoneticPr fontId="1" type="noConversion"/>
  </si>
  <si>
    <t>队伍消耗技力</t>
    <phoneticPr fontId="1" type="noConversion"/>
  </si>
  <si>
    <t>全队回复能量</t>
    <phoneticPr fontId="1" type="noConversion"/>
  </si>
  <si>
    <t>干员所需大招能量</t>
    <phoneticPr fontId="1" type="noConversion"/>
  </si>
  <si>
    <t>干员实际回能</t>
    <phoneticPr fontId="1" type="noConversion"/>
  </si>
  <si>
    <t>干员充能阈值</t>
    <phoneticPr fontId="1" type="noConversion"/>
  </si>
  <si>
    <t>普通干员充能阈值计算</t>
    <phoneticPr fontId="1" type="noConversion"/>
  </si>
  <si>
    <t>单位/次数</t>
    <phoneticPr fontId="1" type="noConversion"/>
  </si>
  <si>
    <t>副能力值</t>
    <phoneticPr fontId="1" type="noConversion"/>
  </si>
  <si>
    <r>
      <t>召唤</t>
    </r>
    <r>
      <rPr>
        <sz val="8"/>
        <color rgb="FF33C2FF"/>
        <rFont val="Arial"/>
        <family val="2"/>
      </rPr>
      <t>支援晶体</t>
    </r>
    <r>
      <rPr>
        <sz val="8"/>
        <color theme="1"/>
        <rFont val="Arial"/>
        <family val="2"/>
      </rPr>
      <t>在一段时间内环绕主控干员。</t>
    </r>
  </si>
  <si>
    <r>
      <t>当主控干员对敌人造成</t>
    </r>
    <r>
      <rPr>
        <u/>
        <sz val="8"/>
        <color theme="1"/>
        <rFont val="Arial"/>
        <family val="2"/>
      </rPr>
      <t>重击</t>
    </r>
    <r>
      <rPr>
        <sz val="8"/>
        <color theme="1"/>
        <rFont val="Arial"/>
        <family val="2"/>
      </rPr>
      <t>后</t>
    </r>
    <r>
      <rPr>
        <sz val="8"/>
        <color rgb="FF33C2FF"/>
        <rFont val="Arial"/>
        <family val="2"/>
      </rPr>
      <t>支援晶体</t>
    </r>
    <r>
      <rPr>
        <sz val="8"/>
        <color theme="1"/>
        <rFont val="Arial"/>
        <family val="2"/>
      </rPr>
      <t>为其回复生命值，该效果最多可触发2次。意志可以额外提高治疗量。</t>
    </r>
  </si>
  <si>
    <r>
      <t>若触发回复时主控干员生命值已满，则额外对其施加一段时间的</t>
    </r>
    <r>
      <rPr>
        <u/>
        <sz val="8"/>
        <color theme="1"/>
        <rFont val="Arial"/>
        <family val="2"/>
      </rPr>
      <t>法术增幅</t>
    </r>
    <r>
      <rPr>
        <sz val="8"/>
        <color theme="1"/>
        <rFont val="Arial"/>
        <family val="2"/>
      </rPr>
      <t>，该效果无法叠加。</t>
    </r>
  </si>
  <si>
    <t>赛希大招</t>
    <phoneticPr fontId="1" type="noConversion"/>
  </si>
  <si>
    <t>赛希爆破连携且法术爆发</t>
    <phoneticPr fontId="1" type="noConversion"/>
  </si>
  <si>
    <t>赛希天赋连携寒冷易伤</t>
    <phoneticPr fontId="1" type="noConversion"/>
  </si>
  <si>
    <t>骑士精神</t>
    <phoneticPr fontId="1" type="noConversion"/>
  </si>
  <si>
    <t>最大生命值+78.0</t>
  </si>
  <si>
    <t>治疗效率+16.0</t>
  </si>
  <si>
    <t>装备者通过自身技能治疗后，全队攻击力+14.4%，持续15秒</t>
  </si>
  <si>
    <t>赛希骑士战技治疗</t>
    <phoneticPr fontId="1" type="noConversion"/>
  </si>
  <si>
    <t>赛希战技治疗主控满血后</t>
    <phoneticPr fontId="1" type="noConversion"/>
  </si>
  <si>
    <t>佩里卡大招</t>
    <phoneticPr fontId="1" type="noConversion"/>
  </si>
  <si>
    <t>佩里卡悼亡诗大招</t>
    <phoneticPr fontId="1" type="noConversion"/>
  </si>
  <si>
    <t>装备者施放终结技时，和自身属性不同的干员获得攻击力12.8，持续20秒。</t>
    <phoneticPr fontId="1" type="noConversion"/>
  </si>
  <si>
    <t>潮涌落潮轻甲</t>
    <phoneticPr fontId="1" type="noConversion"/>
  </si>
  <si>
    <t>潮涌浊流切割炬</t>
    <phoneticPr fontId="1" type="noConversion"/>
  </si>
  <si>
    <t>潮涌悬河供氧栓</t>
  </si>
  <si>
    <t>潮涌悬河供氧栓</t>
    <phoneticPr fontId="1" type="noConversion"/>
  </si>
  <si>
    <r>
      <t>当有敌人进入3层及以上</t>
    </r>
    <r>
      <rPr>
        <u/>
        <sz val="8"/>
        <color rgb="FF30D6E0"/>
        <rFont val="Arial"/>
        <family val="2"/>
      </rPr>
      <t>寒冷附着</t>
    </r>
    <r>
      <rPr>
        <sz val="8"/>
        <color theme="1"/>
        <rFont val="Arial"/>
        <family val="2"/>
      </rPr>
      <t>状态时可以发动。</t>
    </r>
  </si>
  <si>
    <r>
      <t>在目标敌人身上凝结冰锥，随后将其斩碎，</t>
    </r>
    <r>
      <rPr>
        <u/>
        <sz val="8"/>
        <color theme="1"/>
        <rFont val="Arial"/>
        <family val="2"/>
      </rPr>
      <t>消耗</t>
    </r>
    <r>
      <rPr>
        <sz val="8"/>
        <color theme="1"/>
        <rFont val="Arial"/>
        <family val="2"/>
      </rPr>
      <t>敌人身上的所有</t>
    </r>
    <r>
      <rPr>
        <u/>
        <sz val="8"/>
        <color rgb="FF30D6E0"/>
        <rFont val="Arial"/>
        <family val="2"/>
      </rPr>
      <t>寒冷附着</t>
    </r>
    <r>
      <rPr>
        <sz val="8"/>
        <color theme="1"/>
        <rFont val="Arial"/>
        <family val="2"/>
      </rPr>
      <t>，对其造成基于其</t>
    </r>
    <r>
      <rPr>
        <u/>
        <sz val="8"/>
        <color rgb="FF30D6E0"/>
        <rFont val="Arial"/>
        <family val="2"/>
      </rPr>
      <t>寒冷附着</t>
    </r>
    <r>
      <rPr>
        <sz val="8"/>
        <color theme="1"/>
        <rFont val="Arial"/>
        <family val="2"/>
      </rPr>
      <t>层数的</t>
    </r>
    <r>
      <rPr>
        <sz val="8"/>
        <color rgb="FF30D6E0"/>
        <rFont val="Arial"/>
        <family val="2"/>
      </rPr>
      <t>寒冷伤害</t>
    </r>
    <r>
      <rPr>
        <sz val="8"/>
        <color theme="1"/>
        <rFont val="Arial"/>
        <family val="2"/>
      </rPr>
      <t>，并且根据</t>
    </r>
    <r>
      <rPr>
        <u/>
        <sz val="8"/>
        <color theme="1"/>
        <rFont val="Arial"/>
        <family val="2"/>
      </rPr>
      <t>消耗</t>
    </r>
    <r>
      <rPr>
        <sz val="8"/>
        <color theme="1"/>
        <rFont val="Arial"/>
        <family val="2"/>
      </rPr>
      <t>的层数获得终结技能量。</t>
    </r>
  </si>
  <si>
    <r>
      <t>对主控干员的武器进行</t>
    </r>
    <r>
      <rPr>
        <sz val="8"/>
        <color rgb="FF33C2FF"/>
        <rFont val="Arial"/>
        <family val="2"/>
      </rPr>
      <t>低温灌注</t>
    </r>
    <r>
      <rPr>
        <sz val="8"/>
        <color theme="1"/>
        <rFont val="Arial"/>
        <family val="2"/>
      </rPr>
      <t>，并</t>
    </r>
    <r>
      <rPr>
        <u/>
        <sz val="8"/>
        <color theme="1"/>
        <rFont val="Arial"/>
        <family val="2"/>
      </rPr>
      <t>返还</t>
    </r>
    <r>
      <rPr>
        <sz val="8"/>
        <color theme="1"/>
        <rFont val="Arial"/>
        <family val="2"/>
      </rPr>
      <t>一定技力。</t>
    </r>
  </si>
  <si>
    <r>
      <t>一段时间内，当前主控干员接下来的1次</t>
    </r>
    <r>
      <rPr>
        <u/>
        <sz val="8"/>
        <color theme="1"/>
        <rFont val="Arial"/>
        <family val="2"/>
      </rPr>
      <t>重击</t>
    </r>
    <r>
      <rPr>
        <sz val="8"/>
        <color theme="1"/>
        <rFont val="Arial"/>
        <family val="2"/>
      </rPr>
      <t>会生成别礼的幻影，对目标进行追击，造成</t>
    </r>
    <r>
      <rPr>
        <sz val="8"/>
        <color rgb="FF30D6E0"/>
        <rFont val="Arial"/>
        <family val="2"/>
      </rPr>
      <t>寒冷伤害</t>
    </r>
    <r>
      <rPr>
        <sz val="8"/>
        <color theme="1"/>
        <rFont val="Arial"/>
        <family val="2"/>
      </rPr>
      <t>，施加</t>
    </r>
    <r>
      <rPr>
        <u/>
        <sz val="8"/>
        <color rgb="FF30D6E0"/>
        <rFont val="Arial"/>
        <family val="2"/>
      </rPr>
      <t>寒冷附着</t>
    </r>
    <r>
      <rPr>
        <sz val="8"/>
        <color theme="1"/>
        <rFont val="Arial"/>
        <family val="2"/>
      </rPr>
      <t>。</t>
    </r>
  </si>
  <si>
    <t>披着霜铠，凝结冰镰，对前方进行三次斩击，该状态下免疫所有伤害。</t>
  </si>
  <si>
    <r>
      <t>每次斩击造成大量</t>
    </r>
    <r>
      <rPr>
        <sz val="8"/>
        <color rgb="FF30D6E0"/>
        <rFont val="Arial"/>
        <family val="2"/>
      </rPr>
      <t>寒冷伤害</t>
    </r>
    <r>
      <rPr>
        <sz val="8"/>
        <color theme="1"/>
        <rFont val="Arial"/>
        <family val="2"/>
      </rPr>
      <t>。</t>
    </r>
  </si>
  <si>
    <t>别礼面板</t>
  </si>
  <si>
    <t>别礼普攻</t>
  </si>
  <si>
    <t>别礼前段普攻</t>
  </si>
  <si>
    <t>别礼重击普攻</t>
  </si>
  <si>
    <t>别礼处决普攻</t>
  </si>
  <si>
    <t>别礼下落普攻</t>
  </si>
  <si>
    <t>别礼零冰连携</t>
    <phoneticPr fontId="1" type="noConversion"/>
  </si>
  <si>
    <t>别礼一冰连携</t>
    <phoneticPr fontId="1" type="noConversion"/>
  </si>
  <si>
    <t>别礼二冰连携</t>
    <phoneticPr fontId="1" type="noConversion"/>
  </si>
  <si>
    <t>别礼三冰连携</t>
    <phoneticPr fontId="1" type="noConversion"/>
  </si>
  <si>
    <t>别礼四冰连携</t>
    <phoneticPr fontId="1" type="noConversion"/>
  </si>
  <si>
    <t>别礼连携消耗一豆</t>
    <phoneticPr fontId="1" type="noConversion"/>
  </si>
  <si>
    <t>别礼连携消耗二豆</t>
    <phoneticPr fontId="1" type="noConversion"/>
  </si>
  <si>
    <t>别礼连携消耗三豆</t>
    <phoneticPr fontId="1" type="noConversion"/>
  </si>
  <si>
    <t>别礼连携消耗四豆</t>
    <phoneticPr fontId="1" type="noConversion"/>
  </si>
  <si>
    <t>别礼大招对寒冷脆弱一</t>
    <phoneticPr fontId="1" type="noConversion"/>
  </si>
  <si>
    <t>别礼一潜能战技对重击加成</t>
    <phoneticPr fontId="1" type="noConversion"/>
  </si>
  <si>
    <t>别礼潮涌战技法术爆发后</t>
    <phoneticPr fontId="1" type="noConversion"/>
  </si>
  <si>
    <t>版本号</t>
  </si>
  <si>
    <t>编号</t>
  </si>
  <si>
    <t>描述</t>
  </si>
  <si>
    <t>主c角色库添加5名干员：洛茜、管理、汤汤、伊冯、别礼</t>
    <phoneticPr fontId="1" type="noConversion"/>
  </si>
  <si>
    <t>拐力角色库添加4名干员：小羊、洁哥、赛希、佩里卡</t>
    <phoneticPr fontId="1" type="noConversion"/>
  </si>
  <si>
    <t>校对了大部分的角色独特天赋的数值结算</t>
    <phoneticPr fontId="1" type="noConversion"/>
  </si>
  <si>
    <t>制作干员模板的主能力的最终数值已经结算了，所穿装备，无需额外计算</t>
    <phoneticPr fontId="1" type="noConversion"/>
  </si>
  <si>
    <t>计算器模板测试完成</t>
  </si>
  <si>
    <t>优化了干员模板的制作引导</t>
    <phoneticPr fontId="1" type="noConversion"/>
  </si>
  <si>
    <t>主c角色库的分区规划，计算器的分区，功能设计</t>
    <phoneticPr fontId="1" type="noConversion"/>
  </si>
  <si>
    <t>计算公式，装备库，武器库，药物库的添加</t>
    <phoneticPr fontId="1" type="noConversion"/>
  </si>
  <si>
    <t>修正bug</t>
    <phoneticPr fontId="1" type="noConversion"/>
  </si>
  <si>
    <t>添加了干员技能描述</t>
    <phoneticPr fontId="1" type="noConversion"/>
  </si>
  <si>
    <t>制作使用教程（附带伊冯技能测试）</t>
    <phoneticPr fontId="1" type="noConversion"/>
  </si>
  <si>
    <t>简单添加充能计算，伤害计算与总结</t>
    <phoneticPr fontId="1" type="noConversion"/>
  </si>
  <si>
    <t>添加excel的文本使用教程</t>
    <phoneticPr fontId="1" type="noConversion"/>
  </si>
  <si>
    <t>添加更多干员</t>
    <phoneticPr fontId="1" type="noConversion"/>
  </si>
  <si>
    <t>添加技能失衡计算器</t>
    <phoneticPr fontId="1" type="noConversion"/>
  </si>
  <si>
    <t>根据游戏更新装备库</t>
    <phoneticPr fontId="1" type="noConversion"/>
  </si>
  <si>
    <t>更多的自定义公式，使得计算器更加方便</t>
    <phoneticPr fontId="1" type="noConversion"/>
  </si>
  <si>
    <t>未来规划</t>
    <phoneticPr fontId="1" type="noConversion"/>
  </si>
  <si>
    <t>bilibili@莫奈路遥</t>
  </si>
  <si>
    <t>汤汤使用教程</t>
    <phoneticPr fontId="1" type="noConversion"/>
  </si>
  <si>
    <t>从c列的某个单元格，值为数值栏开始，将整个数值栏按下ctrl+c复制，如图下</t>
    <phoneticPr fontId="1" type="noConversion"/>
  </si>
  <si>
    <t>点击计算器模板，往下拖到a86单元格，按右键，选择链接复制</t>
    <phoneticPr fontId="1" type="noConversion"/>
  </si>
  <si>
    <t>进阶教学·陈千语都能学会</t>
    <phoneticPr fontId="1" type="noConversion"/>
  </si>
  <si>
    <t>只要你保证第三步操作正确，你是链接复制到计算器的</t>
    <phoneticPr fontId="1" type="noConversion"/>
  </si>
  <si>
    <t>管理员都能学会</t>
    <phoneticPr fontId="1" type="noConversion"/>
  </si>
  <si>
    <t>返回主c角色库，调整精锻等级，技能等级</t>
    <phoneticPr fontId="1" type="noConversion"/>
  </si>
  <si>
    <t>调整武器和装备时，要注意到绿色词条有所变化，随着角色面板的词条也有所变化</t>
    <phoneticPr fontId="1" type="noConversion"/>
  </si>
  <si>
    <t>你是个合格的汤汤，这么复杂的计算器都能独自掌握</t>
    <phoneticPr fontId="1" type="noConversion"/>
  </si>
  <si>
    <t>到了这一步，说明你对伤害计算有一定了解了，向zmd高手进军。一起来制作你喜欢的干员吧</t>
    <phoneticPr fontId="1" type="noConversion"/>
  </si>
  <si>
    <t>恭喜你,你已经完全掌握了灵活使用计算器了</t>
    <phoneticPr fontId="1" type="noConversion"/>
  </si>
  <si>
    <t>用完之后可以用994武器库直接覆盖，不用一个个还原</t>
    <phoneticPr fontId="1" type="noConversion"/>
  </si>
  <si>
    <t>首先你要对zmd的出伤逻辑有概念，还不清楚的，可以打开计算公式简单学习一下</t>
    <phoneticPr fontId="1" type="noConversion"/>
  </si>
  <si>
    <t>复制角色库最下方的干员模板，建议拖动A：A列的最左边列往下拖动复制，直接右键,选择插入复制单元格</t>
    <phoneticPr fontId="1" type="noConversion"/>
  </si>
  <si>
    <t>从左上往右下一次填写，装备栏，角色面板栏，技能倍率栏，的其中蓝色单元格和绿色单元格</t>
    <phoneticPr fontId="1" type="noConversion"/>
  </si>
  <si>
    <t>其中装备所带来的主能力值，主能力百分比提升已经自动计算了，无需管理员额外计算。</t>
    <phoneticPr fontId="1" type="noConversion"/>
  </si>
  <si>
    <t>加固定攻击力值的词条点击绿色单元格下一格，将公式最后的/100手动删除</t>
    <phoneticPr fontId="1" type="noConversion"/>
  </si>
  <si>
    <t>录制单人打罗丹的视频素材，对角色大部分的出伤情况和上拐的个数有参考依据，以及打开网页华法琳wiki</t>
    <phoneticPr fontId="1" type="noConversion"/>
  </si>
  <si>
    <t>技能倍率栏，需要你对excel有一定了解，在角色库的最右边放着对应角色的技能倍率，查询华法琳wiki，将倍率一一复制到对应角色，</t>
    <phoneticPr fontId="1" type="noConversion"/>
  </si>
  <si>
    <t>再对技能倍率栏的蓝色单元格下一格的公式的第二参数进行修改，一定要是整行的数据，不懂的可以查询之前做好的干员进行查询</t>
    <phoneticPr fontId="1" type="noConversion"/>
  </si>
  <si>
    <t>所有工作准备好了，到了最重要的数值栏的填写了</t>
    <phoneticPr fontId="1" type="noConversion"/>
  </si>
  <si>
    <t>首先根据角色面板栏的绿色单元格，来填写角色面板的绿色单元格</t>
    <phoneticPr fontId="1" type="noConversion"/>
  </si>
  <si>
    <t>填写角色面板</t>
    <phoneticPr fontId="1" type="noConversion"/>
  </si>
  <si>
    <t>之后填写技能名称和伤害倍率，利用各种sum和product公式结合技能倍率栏填写相关倍率</t>
    <phoneticPr fontId="1" type="noConversion"/>
  </si>
  <si>
    <t>例如伊冯的大招持续7s，加尾端伤害持续8.3s，超过了杰哥大招的覆盖，且大招转身前在叠层暴击暴伤，所以要分段描述技能</t>
    <phoneticPr fontId="1" type="noConversion"/>
  </si>
  <si>
    <t>技能名称和拐名称填写顺序，普攻(5段的自动填写了，4段的需要手动修改）  -&gt;战技  -&gt;连携  -&gt; 大招 -&gt; 天赋的额外倍率  -&gt; 潜能  -&gt; 套装 -&gt; 武器</t>
    <phoneticPr fontId="1" type="noConversion"/>
  </si>
  <si>
    <t>填写技能名称</t>
    <phoneticPr fontId="1" type="noConversion"/>
  </si>
  <si>
    <t>填写buff名称</t>
    <phoneticPr fontId="1" type="noConversion"/>
  </si>
  <si>
    <t>技能描述尽可能是全中文，拐名称最好附带触发条件</t>
    <phoneticPr fontId="1" type="noConversion"/>
  </si>
  <si>
    <t>也就是说技能分的越多段，buff就更好填写，伤害计算就越精准</t>
    <phoneticPr fontId="1" type="noConversion"/>
  </si>
  <si>
    <t>使用计算器时，建议新建一个工作表叫做****队伍，将队伍4人所有信息复制粘贴。再复制出一个计算器</t>
    <phoneticPr fontId="1" type="noConversion"/>
  </si>
  <si>
    <t>有bug可以找版本信息的作者投诉交流。由于最后的总伤计算与管理员对终末地的buff与技能的理解，我不敢保证最后的结果一定是对的。</t>
    <phoneticPr fontId="1" type="noConversion"/>
  </si>
  <si>
    <t>一切以实际游戏为准。有时候不一定是计算器公式出错了。</t>
    <phoneticPr fontId="1" type="noConversion"/>
  </si>
  <si>
    <t>至于为什么大多数时候单次伤害和计算器不一致，因为yj把装备词条的两位小数点后面的数字隐藏掉了。也就是说buff上的越多误差就越大</t>
    <phoneticPr fontId="1" type="noConversion"/>
  </si>
  <si>
    <t>作者不会解包数据，能力有限。</t>
    <phoneticPr fontId="1" type="noConversion"/>
  </si>
  <si>
    <t>完结撒花！！！</t>
    <phoneticPr fontId="1" type="noConversion"/>
  </si>
  <si>
    <t>计算器模板</t>
    <phoneticPr fontId="1" type="noConversion"/>
  </si>
  <si>
    <t>干员模板</t>
    <phoneticPr fontId="1" type="noConversion"/>
  </si>
  <si>
    <t>洛茜连携四层</t>
  </si>
  <si>
    <t>熔铸火焰</t>
    <phoneticPr fontId="1" type="noConversion"/>
  </si>
  <si>
    <t>攻击力+39.0</t>
  </si>
  <si>
    <t>装备者施放终结技时，获得普通攻击伤害+120.0%，持续20秒</t>
  </si>
  <si>
    <t>灼热伤害</t>
    <phoneticPr fontId="1" type="noConversion"/>
  </si>
  <si>
    <t>灼自伤</t>
    <phoneticPr fontId="1" type="noConversion"/>
  </si>
  <si>
    <r>
      <rPr>
        <sz val="8"/>
        <rFont val="微软雅黑"/>
        <family val="2"/>
        <charset val="134"/>
      </rPr>
      <t>灼热伤害</t>
    </r>
    <r>
      <rPr>
        <sz val="8"/>
        <rFont val="Arial"/>
        <family val="2"/>
      </rPr>
      <t>+25.6</t>
    </r>
    <phoneticPr fontId="1" type="noConversion"/>
  </si>
  <si>
    <r>
      <t>召唤熔核碎片持续攻击前方敌人，造成</t>
    </r>
    <r>
      <rPr>
        <sz val="8"/>
        <color rgb="FFFF8E59"/>
        <rFont val="Arial"/>
        <family val="2"/>
      </rPr>
      <t>灼热伤害</t>
    </r>
    <r>
      <rPr>
        <sz val="8"/>
        <color theme="1"/>
        <rFont val="Arial"/>
        <family val="2"/>
      </rPr>
      <t>。如果命中敌人，会获得1层</t>
    </r>
    <r>
      <rPr>
        <sz val="8"/>
        <color rgb="FF33C2FF"/>
        <rFont val="Arial"/>
        <family val="2"/>
      </rPr>
      <t>熔火</t>
    </r>
    <r>
      <rPr>
        <sz val="8"/>
        <color theme="1"/>
        <rFont val="Arial"/>
        <family val="2"/>
      </rPr>
      <t>。</t>
    </r>
  </si>
  <si>
    <r>
      <t>如果施放时已拥有4层</t>
    </r>
    <r>
      <rPr>
        <sz val="8"/>
        <color rgb="FF33C2FF"/>
        <rFont val="Arial"/>
        <family val="2"/>
      </rPr>
      <t>熔火</t>
    </r>
    <r>
      <rPr>
        <sz val="8"/>
        <color theme="1"/>
        <rFont val="Arial"/>
        <family val="2"/>
      </rPr>
      <t>，则最后会消耗所有层数，对大范围内敌人追加1次攻击，造成</t>
    </r>
    <r>
      <rPr>
        <sz val="8"/>
        <color rgb="FFFF8E59"/>
        <rFont val="Arial"/>
        <family val="2"/>
      </rPr>
      <t>灼热伤害</t>
    </r>
    <r>
      <rPr>
        <sz val="8"/>
        <color theme="1"/>
        <rFont val="Arial"/>
        <family val="2"/>
      </rPr>
      <t>并强制施加短暂的</t>
    </r>
    <r>
      <rPr>
        <u/>
        <sz val="8"/>
        <color rgb="FFFF8E59"/>
        <rFont val="Arial"/>
        <family val="2"/>
      </rPr>
      <t>燃烧</t>
    </r>
    <r>
      <rPr>
        <sz val="8"/>
        <color theme="1"/>
        <rFont val="Arial"/>
        <family val="2"/>
      </rPr>
      <t>。</t>
    </r>
  </si>
  <si>
    <t>追加攻击命中敌人会额外获得终结技能量。</t>
  </si>
  <si>
    <t>初始爆炸伤害倍率</t>
  </si>
  <si>
    <t>初始爆炸失衡值</t>
  </si>
  <si>
    <t>持续伤害每段倍率</t>
  </si>
  <si>
    <t>追加伤害倍率</t>
  </si>
  <si>
    <t>追加失衡值</t>
  </si>
  <si>
    <t>燃烧时长（秒）</t>
  </si>
  <si>
    <t>追加攻击获得终结技能量</t>
  </si>
  <si>
    <t>终结技期间第一段倍率</t>
  </si>
  <si>
    <t>终结技期间第一段失衡值</t>
  </si>
  <si>
    <t>终结技期间第二段倍率</t>
  </si>
  <si>
    <t>终结技期间第二段失衡值</t>
  </si>
  <si>
    <t>终结技期间追加攻击倍率</t>
  </si>
  <si>
    <t>终结技期间追加攻击失衡值</t>
  </si>
  <si>
    <t>终结技期间燃烧时长（秒）</t>
  </si>
  <si>
    <r>
      <rPr>
        <sz val="8"/>
        <color theme="1"/>
        <rFont val="等线"/>
        <family val="2"/>
      </rPr>
      <t>连携</t>
    </r>
    <phoneticPr fontId="1" type="noConversion"/>
  </si>
  <si>
    <r>
      <t>当有敌人进入</t>
    </r>
    <r>
      <rPr>
        <u/>
        <sz val="8"/>
        <color rgb="FFFF8E59"/>
        <rFont val="Arial"/>
        <family val="2"/>
      </rPr>
      <t>燃烧</t>
    </r>
    <r>
      <rPr>
        <sz val="8"/>
        <color theme="1"/>
        <rFont val="Arial"/>
        <family val="2"/>
      </rPr>
      <t>或</t>
    </r>
    <r>
      <rPr>
        <u/>
        <sz val="8"/>
        <color rgb="FFB4D945"/>
        <rFont val="Arial"/>
        <family val="2"/>
      </rPr>
      <t>腐蚀</t>
    </r>
    <r>
      <rPr>
        <sz val="8"/>
        <color theme="1"/>
        <rFont val="Arial"/>
        <family val="2"/>
      </rPr>
      <t>状态时可以发动。</t>
    </r>
  </si>
  <si>
    <r>
      <t>让所有处于</t>
    </r>
    <r>
      <rPr>
        <u/>
        <sz val="8"/>
        <color rgb="FFFF8E59"/>
        <rFont val="Arial"/>
        <family val="2"/>
      </rPr>
      <t>燃烧</t>
    </r>
    <r>
      <rPr>
        <sz val="8"/>
        <color theme="1"/>
        <rFont val="Arial"/>
        <family val="2"/>
      </rPr>
      <t>或</t>
    </r>
    <r>
      <rPr>
        <u/>
        <sz val="8"/>
        <color rgb="FFB4D945"/>
        <rFont val="Arial"/>
        <family val="2"/>
      </rPr>
      <t>腐蚀</t>
    </r>
    <r>
      <rPr>
        <sz val="8"/>
        <color theme="1"/>
        <rFont val="Arial"/>
        <family val="2"/>
      </rPr>
      <t>状态的敌人脚下喷出火焰，对其造成</t>
    </r>
    <r>
      <rPr>
        <sz val="8"/>
        <color rgb="FFFF8E59"/>
        <rFont val="Arial"/>
        <family val="2"/>
      </rPr>
      <t>灼热伤害</t>
    </r>
    <r>
      <rPr>
        <sz val="8"/>
        <color theme="1"/>
        <rFont val="Arial"/>
        <family val="2"/>
      </rPr>
      <t>。</t>
    </r>
  </si>
  <si>
    <r>
      <t>如果命中敌人，会获得1层</t>
    </r>
    <r>
      <rPr>
        <sz val="8"/>
        <color rgb="FF33C2FF"/>
        <rFont val="Arial"/>
        <family val="2"/>
      </rPr>
      <t>熔火</t>
    </r>
    <r>
      <rPr>
        <sz val="8"/>
        <color theme="1"/>
        <rFont val="Arial"/>
        <family val="2"/>
      </rPr>
      <t>。每命中1个敌人，还会额外获得终结技能量。</t>
    </r>
  </si>
  <si>
    <t>10s</t>
  </si>
  <si>
    <t>命中1个敌人获得终结技能量</t>
  </si>
  <si>
    <t>命中2个敌人获得终结技能量</t>
  </si>
  <si>
    <t>命中3个或以上敌人获得终结技能量</t>
  </si>
  <si>
    <r>
      <rPr>
        <sz val="8"/>
        <color theme="1"/>
        <rFont val="等线"/>
        <family val="2"/>
      </rPr>
      <t>大招</t>
    </r>
    <phoneticPr fontId="1" type="noConversion"/>
  </si>
  <si>
    <t>召唤烈焰魔剑并切换为主控角色。</t>
  </si>
  <si>
    <r>
      <t>一段时间内，普通攻击得到强化，烈焰魔剑会协同莱万汀发动攻击，每次攻击造成</t>
    </r>
    <r>
      <rPr>
        <sz val="8"/>
        <color rgb="FFFF8E59"/>
        <rFont val="Arial"/>
        <family val="2"/>
      </rPr>
      <t>灼热伤害</t>
    </r>
    <r>
      <rPr>
        <sz val="8"/>
        <color theme="1"/>
        <rFont val="Arial"/>
        <family val="2"/>
      </rPr>
      <t>。此外，普通攻击第3段会施加</t>
    </r>
    <r>
      <rPr>
        <u/>
        <sz val="8"/>
        <color rgb="FFFF8E59"/>
        <rFont val="Arial"/>
        <family val="2"/>
      </rPr>
      <t>灼热附着</t>
    </r>
    <r>
      <rPr>
        <sz val="8"/>
        <color theme="1"/>
        <rFont val="Arial"/>
        <family val="2"/>
      </rPr>
      <t>。</t>
    </r>
  </si>
  <si>
    <t>强化普攻第一段倍率</t>
  </si>
  <si>
    <t>强化普攻第二段倍率</t>
  </si>
  <si>
    <t>强化普攻第三段倍率</t>
  </si>
  <si>
    <t>强化普攻第四段倍率</t>
  </si>
  <si>
    <t>莱万汀面板</t>
  </si>
  <si>
    <t>莱万汀前段普攻</t>
  </si>
  <si>
    <t>莱万汀重击普攻</t>
  </si>
  <si>
    <t>莱万汀处决普攻</t>
  </si>
  <si>
    <t>莱万汀下落普攻</t>
  </si>
  <si>
    <t>找血狼</t>
    <phoneticPr fontId="1" type="noConversion"/>
  </si>
  <si>
    <t>莱万汀非强化战技</t>
    <phoneticPr fontId="1" type="noConversion"/>
  </si>
  <si>
    <t>莱万汀强化战技</t>
    <phoneticPr fontId="1" type="noConversion"/>
  </si>
  <si>
    <t>莱万汀连携</t>
    <phoneticPr fontId="1" type="noConversion"/>
  </si>
  <si>
    <t>莱万汀大招普攻</t>
    <phoneticPr fontId="1" type="noConversion"/>
  </si>
  <si>
    <t>莱万汀普攻</t>
    <phoneticPr fontId="1" type="noConversion"/>
  </si>
  <si>
    <t>莱万汀大招非强化战技</t>
    <phoneticPr fontId="1" type="noConversion"/>
  </si>
  <si>
    <t>莱万汀大招强化战技</t>
    <phoneticPr fontId="1" type="noConversion"/>
  </si>
  <si>
    <t>莱万汀强化战技的燃烧</t>
    <phoneticPr fontId="1" type="noConversion"/>
  </si>
  <si>
    <t>莱万汀四层熔火</t>
    <phoneticPr fontId="1" type="noConversion"/>
  </si>
  <si>
    <t>莱万汀专武大招普攻加成</t>
    <phoneticPr fontId="1" type="noConversion"/>
  </si>
  <si>
    <t>莱万汀动火上燃烧</t>
    <phoneticPr fontId="1" type="noConversion"/>
  </si>
  <si>
    <t>白夜新星</t>
    <phoneticPr fontId="1" type="noConversion"/>
  </si>
  <si>
    <r>
      <rPr>
        <sz val="8"/>
        <rFont val="微软雅黑"/>
        <family val="2"/>
        <charset val="134"/>
      </rPr>
      <t>源石技艺</t>
    </r>
    <r>
      <rPr>
        <sz val="8"/>
        <rFont val="Arial"/>
        <family val="2"/>
      </rPr>
      <t>+78</t>
    </r>
    <phoneticPr fontId="1" type="noConversion"/>
  </si>
  <si>
    <r>
      <rPr>
        <sz val="8"/>
        <rFont val="微软雅黑"/>
        <family val="2"/>
        <charset val="134"/>
      </rPr>
      <t>装备者施加</t>
    </r>
    <r>
      <rPr>
        <u/>
        <sz val="8"/>
        <rFont val="微软雅黑"/>
        <family val="2"/>
        <charset val="134"/>
      </rPr>
      <t>燃烧</t>
    </r>
    <r>
      <rPr>
        <sz val="8"/>
        <rFont val="微软雅黑"/>
        <family val="2"/>
        <charset val="134"/>
      </rPr>
      <t>或</t>
    </r>
    <r>
      <rPr>
        <u/>
        <sz val="8"/>
        <rFont val="微软雅黑"/>
        <family val="2"/>
        <charset val="134"/>
      </rPr>
      <t>导电</t>
    </r>
    <r>
      <rPr>
        <sz val="8"/>
        <rFont val="微软雅黑"/>
        <family val="2"/>
        <charset val="134"/>
      </rPr>
      <t>后，法术</t>
    </r>
    <r>
      <rPr>
        <sz val="8"/>
        <rFont val="Arial"/>
        <family val="2"/>
      </rPr>
      <t>+</t>
    </r>
    <r>
      <rPr>
        <sz val="8"/>
        <rFont val="微软雅黑"/>
        <family val="2"/>
        <charset val="134"/>
      </rPr>
      <t>伤害</t>
    </r>
    <r>
      <rPr>
        <sz val="8"/>
        <rFont val="Arial"/>
        <family val="2"/>
      </rPr>
      <t>+19.2</t>
    </r>
    <r>
      <rPr>
        <sz val="8"/>
        <rFont val="微软雅黑"/>
        <family val="2"/>
        <charset val="134"/>
      </rPr>
      <t>，源石技艺强度</t>
    </r>
    <r>
      <rPr>
        <sz val="8"/>
        <rFont val="Arial"/>
        <family val="2"/>
      </rPr>
      <t>+40</t>
    </r>
    <r>
      <rPr>
        <sz val="8"/>
        <rFont val="微软雅黑"/>
        <family val="2"/>
        <charset val="134"/>
      </rPr>
      <t>，持续</t>
    </r>
    <r>
      <rPr>
        <sz val="8"/>
        <rFont val="Arial"/>
        <family val="2"/>
      </rPr>
      <t>15</t>
    </r>
    <r>
      <rPr>
        <sz val="8"/>
        <rFont val="微软雅黑"/>
        <family val="2"/>
        <charset val="134"/>
      </rPr>
      <t>秒。</t>
    </r>
    <phoneticPr fontId="1" type="noConversion"/>
  </si>
  <si>
    <t>莱万汀白夜燃烧</t>
    <phoneticPr fontId="1" type="noConversion"/>
  </si>
  <si>
    <t>从主c角色库或者拐角色库选择角色</t>
    <phoneticPr fontId="1" type="noConversion"/>
  </si>
  <si>
    <t>滚轮往上到超级表，只用编辑技能名称和增益栏（也就是红字列），然后就是自由的出招算伤害了</t>
    <phoneticPr fontId="1" type="noConversion"/>
  </si>
  <si>
    <t>发现武器的珠子对应不上（默认994珠子），直接跳转武器库直接修改数值，再在数值栏的下方buff栏修改武器数值</t>
    <phoneticPr fontId="1" type="noConversion"/>
  </si>
  <si>
    <t>点剑火石</t>
    <phoneticPr fontId="1" type="noConversion"/>
  </si>
  <si>
    <t>警用护甲一</t>
    <phoneticPr fontId="1" type="noConversion"/>
  </si>
  <si>
    <t>警用瞄具一</t>
    <phoneticPr fontId="1" type="noConversion"/>
  </si>
  <si>
    <t>不想看文档版可以看链接</t>
    <phoneticPr fontId="1" type="noConversion"/>
  </si>
  <si>
    <t>终末地计算器变得这么方便了，你居然没用过！！</t>
  </si>
  <si>
    <t>精锻等级</t>
    <phoneticPr fontId="1" type="noConversion"/>
  </si>
  <si>
    <t>装备栏</t>
  </si>
  <si>
    <t>武器</t>
  </si>
  <si>
    <t>护甲</t>
  </si>
  <si>
    <t>护手</t>
  </si>
  <si>
    <t>配件1</t>
  </si>
  <si>
    <t>配件2</t>
  </si>
  <si>
    <t>套装效果</t>
  </si>
  <si>
    <t>潜能</t>
  </si>
  <si>
    <t>名称</t>
  </si>
  <si>
    <t>等级</t>
  </si>
  <si>
    <t>词条1</t>
  </si>
  <si>
    <t>词条2</t>
  </si>
  <si>
    <t>词条3</t>
  </si>
  <si>
    <t>武器效果</t>
  </si>
  <si>
    <t>添加护甲，护手，配件套装库，删除装备库</t>
    <phoneticPr fontId="1" type="noConversion"/>
  </si>
  <si>
    <t>修改xlsm为xlsx后缀，</t>
    <phoneticPr fontId="1" type="noConversion"/>
  </si>
  <si>
    <t>源石技艺30。当装备者施加燃烧后，灼热+伤害+50%，持续10秒，该效果无法叠加；当装备者施加腐蚀后，自然伤害+50%，持续10秒，该效果无法叠加。</t>
    <phoneticPr fontId="1" type="noConversion"/>
  </si>
  <si>
    <t>间隔</t>
    <phoneticPr fontId="1" type="noConversion"/>
  </si>
  <si>
    <t>隔行上色</t>
    <phoneticPr fontId="1" type="noConversion"/>
  </si>
  <si>
    <t>干员1战技数</t>
    <phoneticPr fontId="1" type="noConversion"/>
  </si>
  <si>
    <t>连携数</t>
    <phoneticPr fontId="1" type="noConversion"/>
  </si>
  <si>
    <t>干员2战技数</t>
  </si>
  <si>
    <t>干员3战技数</t>
  </si>
  <si>
    <t>干员4战技数</t>
  </si>
  <si>
    <t>战技返还</t>
    <phoneticPr fontId="1" type="noConversion"/>
  </si>
  <si>
    <t>所需大招能量</t>
    <phoneticPr fontId="1" type="noConversion"/>
  </si>
  <si>
    <t>实际获得能量</t>
    <phoneticPr fontId="1" type="noConversion"/>
  </si>
  <si>
    <t>充能阈值</t>
    <phoneticPr fontId="1" type="noConversion"/>
  </si>
  <si>
    <t>全队恢复能量</t>
    <phoneticPr fontId="1" type="noConversion"/>
  </si>
  <si>
    <t>主控重击回技力</t>
    <phoneticPr fontId="1" type="noConversion"/>
  </si>
  <si>
    <t>主控实际重击轮数</t>
    <phoneticPr fontId="1" type="noConversion"/>
  </si>
  <si>
    <t>完美闪避次数</t>
    <phoneticPr fontId="1" type="noConversion"/>
  </si>
  <si>
    <t>主控重击耗时/s</t>
    <phoneticPr fontId="1" type="noConversion"/>
  </si>
  <si>
    <t>重击结束回能</t>
    <phoneticPr fontId="1" type="noConversion"/>
  </si>
  <si>
    <t>大招总时长</t>
    <phoneticPr fontId="1" type="noConversion"/>
  </si>
  <si>
    <t>冷启动充能轴</t>
    <phoneticPr fontId="1" type="noConversion"/>
  </si>
  <si>
    <t>充能表和耗时表</t>
    <phoneticPr fontId="1" type="noConversion"/>
  </si>
  <si>
    <t>添加充能计算表和耗时表</t>
    <phoneticPr fontId="1" type="noConversion"/>
  </si>
  <si>
    <t>理想耗时</t>
    <phoneticPr fontId="1" type="noConversion"/>
  </si>
  <si>
    <t>总次数</t>
    <phoneticPr fontId="1" type="noConversion"/>
  </si>
  <si>
    <t>总耗时</t>
    <phoneticPr fontId="1" type="noConversion"/>
  </si>
  <si>
    <t>循环轴耗时</t>
    <phoneticPr fontId="1" type="noConversion"/>
  </si>
  <si>
    <t>主控实际重击次数</t>
    <phoneticPr fontId="1" type="noConversion"/>
  </si>
  <si>
    <t>理想耗时为，重击时间+暂停时间+大招时间+不满技力仍需耗时</t>
    <phoneticPr fontId="1" type="noConversion"/>
  </si>
  <si>
    <t>如果队伍有杰哥，记得减去7%阈值</t>
    <phoneticPr fontId="1" type="noConversion"/>
  </si>
  <si>
    <t>洛茜战技数</t>
    <phoneticPr fontId="1" type="noConversion"/>
  </si>
  <si>
    <t>管理员战技数</t>
    <phoneticPr fontId="1" type="noConversion"/>
  </si>
  <si>
    <t>小羊战技数</t>
    <phoneticPr fontId="1" type="noConversion"/>
  </si>
  <si>
    <t>杰哥战技数</t>
    <phoneticPr fontId="1" type="noConversion"/>
  </si>
  <si>
    <t>庄方宜</t>
    <phoneticPr fontId="1" type="noConversion"/>
  </si>
  <si>
    <t>孤舟</t>
    <phoneticPr fontId="1" type="noConversion"/>
  </si>
  <si>
    <t>拓荒增量供氧栓一</t>
  </si>
  <si>
    <t>拓荒纤维手套一</t>
  </si>
  <si>
    <t>碾骨小雕像二</t>
  </si>
  <si>
    <t>碾骨手套</t>
  </si>
  <si>
    <t>点剑短刃</t>
  </si>
  <si>
    <t>点剑战术手甲一</t>
  </si>
  <si>
    <t>点剑重装甲一</t>
  </si>
  <si>
    <t>壤流轻甲</t>
  </si>
  <si>
    <t>壤流护手</t>
  </si>
  <si>
    <t>壤流短棍</t>
  </si>
  <si>
    <t>清波重甲</t>
  </si>
  <si>
    <t>清波轻甲</t>
  </si>
  <si>
    <t>清波手甲</t>
  </si>
  <si>
    <t>清波护手</t>
  </si>
  <si>
    <t>清波水罐</t>
  </si>
  <si>
    <t>清波定位仪</t>
  </si>
  <si>
    <t>清波竹刃</t>
  </si>
  <si>
    <t>壤流</t>
    <phoneticPr fontId="1" type="noConversion"/>
  </si>
  <si>
    <t>清波</t>
    <phoneticPr fontId="1" type="noConversion"/>
  </si>
  <si>
    <t>电磁伤害+25.6</t>
  </si>
  <si>
    <t>装备者通过战技消耗法术异常时，战技造成的电磁+伤害+32.0%，持续20秒。该效果最多叠加2层。装备者施放终结技后，战技造成的电磁+伤害+64.0%，持续25秒。</t>
    <phoneticPr fontId="1" type="noConversion"/>
  </si>
  <si>
    <t>BATK SEQ 1 Multiplier</t>
  </si>
  <si>
    <t>BATK SEQ 2 Multiplier</t>
  </si>
  <si>
    <t>BATK SEQ 3 Multiplier</t>
  </si>
  <si>
    <t>BATK SEQ 4 Multiplier</t>
  </si>
  <si>
    <t>BATK SEQ 5 Multiplier</t>
  </si>
  <si>
    <t>Finisher ATK Multiplier</t>
  </si>
  <si>
    <t>Dive ATK Multiplier</t>
  </si>
  <si>
    <t>雷击伤害倍率</t>
    <phoneticPr fontId="1" type="noConversion"/>
  </si>
  <si>
    <t>失衡值</t>
    <phoneticPr fontId="1" type="noConversion"/>
  </si>
  <si>
    <t>消耗每级导电额外伤害倍率</t>
  </si>
  <si>
    <t>每次雷击额外终结技能量</t>
  </si>
  <si>
    <t>青霆剑数量限制</t>
  </si>
  <si>
    <t>青霆剑存在时间（秒）</t>
    <phoneticPr fontId="1" type="noConversion"/>
  </si>
  <si>
    <t xml:space="preserve">终结技期间雷击伤害倍率 </t>
    <phoneticPr fontId="1" type="noConversion"/>
  </si>
  <si>
    <t>终结技期间消耗每级导电额外伤害倍率</t>
  </si>
  <si>
    <t>17s</t>
  </si>
  <si>
    <t>伤害倍率</t>
    <phoneticPr fontId="1" type="noConversion"/>
  </si>
  <si>
    <t>获得终结技能量</t>
    <phoneticPr fontId="1" type="noConversion"/>
  </si>
  <si>
    <t>消耗每层附着额外终结技能量</t>
  </si>
  <si>
    <t xml:space="preserve">终结技期间伤害倍率 </t>
    <phoneticPr fontId="1" type="noConversion"/>
  </si>
  <si>
    <t>终结技期间普攻第一段倍率</t>
  </si>
  <si>
    <t>终结技期间普攻第二段倍率</t>
    <phoneticPr fontId="1" type="noConversion"/>
  </si>
  <si>
    <t>终结技期间普攻第三段倍率</t>
    <phoneticPr fontId="1" type="noConversion"/>
  </si>
  <si>
    <t>持续时间</t>
    <phoneticPr fontId="1" type="noConversion"/>
  </si>
  <si>
    <t>攻击力10。装备者每次消耗法术异常，根据异常等级获得相同层数的强化状态，每层使自身法术伤害+15%，持续25秒。强化状态最多存在3层，每层单独计算持续时间。</t>
    <phoneticPr fontId="1" type="noConversion"/>
  </si>
  <si>
    <t>连携技冷却缩减+15。装备者通过技能恢复技力后，全队造成的伤害+16%，持续15秒，该效果无法叠加。</t>
    <phoneticPr fontId="1" type="noConversion"/>
  </si>
  <si>
    <t>攻击力15。当小队内任意干员施放战技时，装备者获得一层应龙之锐，使得该干员下一次连携技伤害+20%，应龙之锐最多叠加3层</t>
    <phoneticPr fontId="1" type="noConversion"/>
  </si>
  <si>
    <t>攻击力15。当装备者施放连携技时，获得一层碾骨重压，下一次的战技伤害+30%，碾骨重压最多可叠加2层。</t>
    <phoneticPr fontId="1" type="noConversion"/>
  </si>
  <si>
    <t>全技伤20。装备者使敌人达到2层及以上法术附着后，造成的法术伤害+35%，持续15秒，该效果无法叠加。</t>
    <phoneticPr fontId="1" type="noConversion"/>
  </si>
  <si>
    <t>连携技冷却缩减+15。当装备者施放连携技时，所有技能伤害+20.0%，持续15秒。该效果最多叠加2层，每层单独计算持续时间。</t>
    <phoneticPr fontId="1" type="noConversion"/>
  </si>
  <si>
    <t>暴击05。当触发暴击后，5秒内+5%攻击力，该效果最多叠加5层。层数叠满后，额外+5%暴击率，该效果无法叠加。</t>
    <phoneticPr fontId="1" type="noConversion"/>
  </si>
  <si>
    <t>失衡效率20。当装备者造成物理异常后，额外造成一次250%攻击力的物理伤害[10点失衡值]。该效果每15秒最多触发一次。</t>
    <phoneticPr fontId="1" type="noConversion"/>
  </si>
  <si>
    <t>治疗效率20。当装备者治疗我方目标后，使该目标在10秒内受到的所有类型伤害-15%；如果该目标受到的治疗量溢出，则受到的所有类型伤害-30%。上述效果无法叠加。</t>
    <phoneticPr fontId="1" type="noConversion"/>
  </si>
  <si>
    <t>攻击力+8。装备者施加破防后，物理伤害+8%，持续15秒，最多可叠加4层。若使目标达到4层破防，物理伤害额外+16%，持续10秒，该效果无法叠加。</t>
    <phoneticPr fontId="1" type="noConversion"/>
  </si>
  <si>
    <t>轻超</t>
    <phoneticPr fontId="1" type="noConversion"/>
  </si>
  <si>
    <t>庄方宜面板</t>
  </si>
  <si>
    <t>庄方宜普攻</t>
  </si>
  <si>
    <t>庄方宜前段普攻</t>
  </si>
  <si>
    <t>庄方宜重击普攻</t>
  </si>
  <si>
    <t>庄方宜处决普攻</t>
  </si>
  <si>
    <t>庄方宜下落普攻</t>
  </si>
  <si>
    <t>消耗目标的导电状态，使本次战技伤害倍率提高，并生成相当于所消耗导电的异常等级+1柄青霆剑，若现存的青霆剑少于3柄，即使未消耗目标的导电状态仍能生成1柄青霆剑。</t>
  </si>
  <si>
    <t>随后引导附近的青霆剑依次雷击目标，造成电磁伤害并额外获得终结技能量，最后一次雷击造成6倍伤害。</t>
  </si>
  <si>
    <r>
      <t>主控干员的重击或处决，命中处于</t>
    </r>
    <r>
      <rPr>
        <b/>
        <u/>
        <sz val="11"/>
        <rFont val="等线"/>
        <family val="3"/>
        <charset val="134"/>
        <scheme val="minor"/>
      </rPr>
      <t>电磁附着</t>
    </r>
    <r>
      <rPr>
        <sz val="11"/>
        <rFont val="等线"/>
        <family val="3"/>
        <charset val="134"/>
        <scheme val="minor"/>
      </rPr>
      <t>状态的敌人后可以发动。</t>
    </r>
  </si>
  <si>
    <r>
      <t>构造息雷阵法攻击敌人，造成电磁伤害。命中处于</t>
    </r>
    <r>
      <rPr>
        <b/>
        <u/>
        <sz val="11"/>
        <rFont val="等线"/>
        <family val="3"/>
        <charset val="134"/>
        <scheme val="minor"/>
      </rPr>
      <t>电磁附着</t>
    </r>
    <r>
      <rPr>
        <sz val="11"/>
        <rFont val="等线"/>
        <family val="3"/>
        <charset val="134"/>
        <scheme val="minor"/>
      </rPr>
      <t>的敌人时，消耗其</t>
    </r>
    <r>
      <rPr>
        <b/>
        <u/>
        <sz val="11"/>
        <rFont val="等线"/>
        <family val="3"/>
        <charset val="134"/>
        <scheme val="minor"/>
      </rPr>
      <t>电磁附着</t>
    </r>
    <r>
      <rPr>
        <sz val="11"/>
        <rFont val="等线"/>
        <family val="3"/>
        <charset val="134"/>
        <scheme val="minor"/>
      </rPr>
      <t>，强制施加</t>
    </r>
    <r>
      <rPr>
        <b/>
        <u/>
        <sz val="11"/>
        <rFont val="等线"/>
        <family val="3"/>
        <charset val="134"/>
        <scheme val="minor"/>
      </rPr>
      <t>导电</t>
    </r>
    <r>
      <rPr>
        <sz val="11"/>
        <rFont val="等线"/>
        <family val="3"/>
        <charset val="134"/>
        <scheme val="minor"/>
      </rPr>
      <t>，并基于消耗的层数额外获得终结技能量。</t>
    </r>
  </si>
  <si>
    <r>
      <t>若强制施加</t>
    </r>
    <r>
      <rPr>
        <b/>
        <u/>
        <sz val="11"/>
        <rFont val="等线"/>
        <family val="3"/>
        <charset val="134"/>
        <scheme val="minor"/>
      </rPr>
      <t>导电</t>
    </r>
    <r>
      <rPr>
        <sz val="11"/>
        <rFont val="等线"/>
        <family val="3"/>
        <charset val="134"/>
        <scheme val="minor"/>
      </rPr>
      <t>时，敌人已处于</t>
    </r>
    <r>
      <rPr>
        <b/>
        <u/>
        <sz val="11"/>
        <rFont val="等线"/>
        <family val="3"/>
        <charset val="134"/>
        <scheme val="minor"/>
      </rPr>
      <t>导电</t>
    </r>
    <r>
      <rPr>
        <sz val="11"/>
        <rFont val="等线"/>
        <family val="3"/>
        <charset val="134"/>
        <scheme val="minor"/>
      </rPr>
      <t>状态，则所施加</t>
    </r>
    <r>
      <rPr>
        <b/>
        <u/>
        <sz val="11"/>
        <rFont val="等线"/>
        <family val="3"/>
        <charset val="134"/>
        <scheme val="minor"/>
      </rPr>
      <t>导电</t>
    </r>
    <r>
      <rPr>
        <sz val="11"/>
        <rFont val="等线"/>
        <family val="3"/>
        <charset val="134"/>
        <scheme val="minor"/>
      </rPr>
      <t>的异常等级+1。</t>
    </r>
  </si>
  <si>
    <r>
      <t>进入</t>
    </r>
    <r>
      <rPr>
        <b/>
        <sz val="11"/>
        <rFont val="等线"/>
        <family val="3"/>
        <charset val="134"/>
        <scheme val="minor"/>
      </rPr>
      <t>天理合真</t>
    </r>
    <r>
      <rPr>
        <sz val="11"/>
        <rFont val="等线"/>
        <family val="3"/>
        <charset val="134"/>
        <scheme val="minor"/>
      </rPr>
      <t>状态： 普通攻击得到强化。自身行动更不容易被打断。</t>
    </r>
  </si>
  <si>
    <r>
      <t>战技</t>
    </r>
    <r>
      <rPr>
        <b/>
        <sz val="11"/>
        <rFont val="等线"/>
        <family val="3"/>
        <charset val="134"/>
        <scheme val="minor"/>
      </rPr>
      <t>惊霆诀</t>
    </r>
    <r>
      <rPr>
        <sz val="11"/>
        <rFont val="等线"/>
        <family val="3"/>
        <charset val="134"/>
        <scheme val="minor"/>
      </rPr>
      <t>伤害倍率提高，伤害范围扩大，最后一次雷击命中时施加</t>
    </r>
    <r>
      <rPr>
        <b/>
        <u/>
        <sz val="11"/>
        <rFont val="等线"/>
        <family val="3"/>
        <charset val="134"/>
        <scheme val="minor"/>
      </rPr>
      <t>电磁附着</t>
    </r>
    <r>
      <rPr>
        <sz val="11"/>
        <rFont val="等线"/>
        <family val="3"/>
        <charset val="134"/>
        <scheme val="minor"/>
      </rPr>
      <t>。</t>
    </r>
  </si>
  <si>
    <r>
      <t>连携技</t>
    </r>
    <r>
      <rPr>
        <b/>
        <sz val="11"/>
        <rFont val="等线"/>
        <family val="3"/>
        <charset val="134"/>
        <scheme val="minor"/>
      </rPr>
      <t>一息万变</t>
    </r>
    <r>
      <rPr>
        <sz val="11"/>
        <rFont val="等线"/>
        <family val="3"/>
        <charset val="134"/>
        <scheme val="minor"/>
      </rPr>
      <t>对一定范围内的敌人生效，伤害倍率提高，冷却恢复速度提升至原本的4倍。</t>
    </r>
  </si>
  <si>
    <r>
      <t>首次施放战技</t>
    </r>
    <r>
      <rPr>
        <b/>
        <sz val="11"/>
        <rFont val="等线"/>
        <family val="3"/>
        <charset val="134"/>
        <scheme val="minor"/>
      </rPr>
      <t>惊霆诀</t>
    </r>
    <r>
      <rPr>
        <sz val="11"/>
        <rFont val="等线"/>
        <family val="3"/>
        <charset val="134"/>
        <scheme val="minor"/>
      </rPr>
      <t>不消耗技力与</t>
    </r>
    <r>
      <rPr>
        <b/>
        <u/>
        <sz val="11"/>
        <rFont val="等线"/>
        <family val="3"/>
        <charset val="134"/>
        <scheme val="minor"/>
      </rPr>
      <t>导电</t>
    </r>
    <r>
      <rPr>
        <sz val="11"/>
        <rFont val="等线"/>
        <family val="3"/>
        <charset val="134"/>
        <scheme val="minor"/>
      </rPr>
      <t>，若存在目标，则无论其是否处于</t>
    </r>
    <r>
      <rPr>
        <b/>
        <u/>
        <sz val="11"/>
        <rFont val="等线"/>
        <family val="3"/>
        <charset val="134"/>
        <scheme val="minor"/>
      </rPr>
      <t>导电</t>
    </r>
    <r>
      <rPr>
        <sz val="11"/>
        <rFont val="等线"/>
        <family val="3"/>
        <charset val="134"/>
        <scheme val="minor"/>
      </rPr>
      <t>状态，必定生成3柄</t>
    </r>
    <r>
      <rPr>
        <b/>
        <sz val="11"/>
        <rFont val="等线"/>
        <family val="3"/>
        <charset val="134"/>
        <scheme val="minor"/>
      </rPr>
      <t>青霆剑</t>
    </r>
    <r>
      <rPr>
        <sz val="11"/>
        <rFont val="等线"/>
        <family val="3"/>
        <charset val="134"/>
        <scheme val="minor"/>
      </rPr>
      <t>。</t>
    </r>
  </si>
  <si>
    <t>吉米尼12</t>
    <phoneticPr fontId="1" type="noConversion"/>
  </si>
  <si>
    <t>庄方宜连携</t>
    <phoneticPr fontId="1" type="noConversion"/>
  </si>
  <si>
    <t>庄方宜大招普攻</t>
    <phoneticPr fontId="1" type="noConversion"/>
  </si>
  <si>
    <t>庄方宜大招连携</t>
    <phoneticPr fontId="1" type="noConversion"/>
  </si>
  <si>
    <t>汤汤一龙卷战技</t>
    <phoneticPr fontId="1" type="noConversion"/>
  </si>
  <si>
    <t>汤汤二龙卷战技</t>
    <phoneticPr fontId="1" type="noConversion"/>
  </si>
  <si>
    <t>汤汤三龙卷战技</t>
    <phoneticPr fontId="1" type="noConversion"/>
  </si>
  <si>
    <t>汤汤未提前大招</t>
    <phoneticPr fontId="1" type="noConversion"/>
  </si>
  <si>
    <t>汤汤提前大招</t>
    <phoneticPr fontId="1" type="noConversion"/>
  </si>
  <si>
    <t>汤汤大招后一龙卷战技</t>
    <phoneticPr fontId="1" type="noConversion"/>
  </si>
  <si>
    <t>汤汤大招后二龙卷战技</t>
    <phoneticPr fontId="1" type="noConversion"/>
  </si>
  <si>
    <t>汤汤大招后三龙卷战技</t>
    <phoneticPr fontId="1" type="noConversion"/>
  </si>
  <si>
    <t>管理员碎结晶大招</t>
    <phoneticPr fontId="1" type="noConversion"/>
  </si>
  <si>
    <t>管理员一猛击战技</t>
    <phoneticPr fontId="1" type="noConversion"/>
  </si>
  <si>
    <t>管理员二猛击战技</t>
    <phoneticPr fontId="1" type="noConversion"/>
  </si>
  <si>
    <t>管理员三猛击战技</t>
    <phoneticPr fontId="1" type="noConversion"/>
  </si>
  <si>
    <t>管理员四猛击战技</t>
    <phoneticPr fontId="1" type="noConversion"/>
  </si>
  <si>
    <t>管理员前段连携</t>
    <phoneticPr fontId="1" type="noConversion"/>
  </si>
  <si>
    <t>洛茜前段战技</t>
    <phoneticPr fontId="1" type="noConversion"/>
  </si>
  <si>
    <t>洛茜狼之珀战技</t>
    <phoneticPr fontId="1" type="noConversion"/>
  </si>
  <si>
    <t>洛茜零层连携</t>
    <phoneticPr fontId="1" type="noConversion"/>
  </si>
  <si>
    <t>洛茜一层连携</t>
    <phoneticPr fontId="1" type="noConversion"/>
  </si>
  <si>
    <t>洛茜二层连携</t>
    <phoneticPr fontId="1" type="noConversion"/>
  </si>
  <si>
    <t>洛茜三层连携</t>
    <phoneticPr fontId="1" type="noConversion"/>
  </si>
  <si>
    <t>洛茜四层连携</t>
    <phoneticPr fontId="1" type="noConversion"/>
  </si>
  <si>
    <t>庄方宜一剑零导电战技</t>
    <phoneticPr fontId="1" type="noConversion"/>
  </si>
  <si>
    <t>庄方宜二剑一导电战技</t>
    <phoneticPr fontId="1" type="noConversion"/>
  </si>
  <si>
    <t>庄方宜三剑二导电战技</t>
    <phoneticPr fontId="1" type="noConversion"/>
  </si>
  <si>
    <t>庄方宜四剑一导电战技</t>
    <phoneticPr fontId="1" type="noConversion"/>
  </si>
  <si>
    <t>庄方宜五剑一导电战技</t>
    <phoneticPr fontId="1" type="noConversion"/>
  </si>
  <si>
    <t>庄方宜五剑二导电战技</t>
    <phoneticPr fontId="1" type="noConversion"/>
  </si>
  <si>
    <t>庄方宜六剑一导电战技</t>
    <phoneticPr fontId="1" type="noConversion"/>
  </si>
  <si>
    <t>庄方宜六剑二导电战技</t>
    <phoneticPr fontId="1" type="noConversion"/>
  </si>
  <si>
    <t>庄方宜七剑一导电战技</t>
    <phoneticPr fontId="1" type="noConversion"/>
  </si>
  <si>
    <t>庄方宜八剑一导电战技</t>
    <phoneticPr fontId="1" type="noConversion"/>
  </si>
  <si>
    <t>庄方宜九剑一导电战技</t>
    <phoneticPr fontId="1" type="noConversion"/>
  </si>
  <si>
    <t>庄方宜九剑二导电战技</t>
    <phoneticPr fontId="1" type="noConversion"/>
  </si>
  <si>
    <t>庄方宜二剑零导电战技</t>
    <phoneticPr fontId="1" type="noConversion"/>
  </si>
  <si>
    <t>庄方宜大招九剑一导电战技</t>
    <phoneticPr fontId="1" type="noConversion"/>
  </si>
  <si>
    <t>庄方宜大招六剑一导电战技</t>
    <phoneticPr fontId="1" type="noConversion"/>
  </si>
  <si>
    <t>庄方宜大招九剑零导电战技</t>
    <phoneticPr fontId="1" type="noConversion"/>
  </si>
  <si>
    <t>庄方宜大招九剑二导电战技</t>
    <phoneticPr fontId="1" type="noConversion"/>
  </si>
  <si>
    <t>庄方宜三剑一导电战技</t>
    <phoneticPr fontId="1" type="noConversion"/>
  </si>
  <si>
    <t>庄方宜大招三剑零导电战技</t>
    <phoneticPr fontId="1" type="noConversion"/>
  </si>
  <si>
    <t>N/a</t>
  </si>
  <si>
    <t>庄方宜连携一导电</t>
    <phoneticPr fontId="1" type="noConversion"/>
  </si>
  <si>
    <t>庄方宜连携二导电</t>
    <phoneticPr fontId="1" type="noConversion"/>
  </si>
  <si>
    <t>庄方宜天赋战技后增幅</t>
    <phoneticPr fontId="1" type="noConversion"/>
  </si>
  <si>
    <t>电磁伤害</t>
    <phoneticPr fontId="1" type="noConversion"/>
  </si>
  <si>
    <t>庄方宜专武消耗一次导电</t>
    <phoneticPr fontId="1" type="noConversion"/>
  </si>
  <si>
    <t>庄方宜专武消耗两次导电</t>
    <phoneticPr fontId="1" type="noConversion"/>
  </si>
  <si>
    <t>庄方宜专武开大</t>
  </si>
  <si>
    <t>庄方宜专武开大</t>
    <phoneticPr fontId="1" type="noConversion"/>
  </si>
  <si>
    <t>庄方宜壤流套一层</t>
    <phoneticPr fontId="1" type="noConversion"/>
  </si>
  <si>
    <t>庄方宜壤流套二层</t>
    <phoneticPr fontId="1" type="noConversion"/>
  </si>
  <si>
    <t>庄方宜壤流套三层</t>
    <phoneticPr fontId="1" type="noConversion"/>
  </si>
  <si>
    <t>雾中微光</t>
    <phoneticPr fontId="1" type="noConversion"/>
  </si>
  <si>
    <t>电磁伤害+43.3</t>
  </si>
  <si>
    <t>攻击力+11.2</t>
  </si>
  <si>
    <r>
      <t>装备者获得</t>
    </r>
    <r>
      <rPr>
        <u/>
        <sz val="8"/>
        <rFont val="Arial"/>
        <family val="2"/>
      </rPr>
      <t>电磁增幅</t>
    </r>
    <r>
      <rPr>
        <sz val="8"/>
        <rFont val="Arial"/>
        <family val="2"/>
      </rPr>
      <t>时，电磁伤害+8.8%，持续30秒。</t>
    </r>
  </si>
  <si>
    <t>庄方宜月卡武消耗导电</t>
    <phoneticPr fontId="1" type="noConversion"/>
  </si>
  <si>
    <t>弧光</t>
    <phoneticPr fontId="1" type="noConversion"/>
  </si>
  <si>
    <t>热熔切割器</t>
    <phoneticPr fontId="1" type="noConversion"/>
  </si>
  <si>
    <r>
      <rPr>
        <sz val="8"/>
        <rFont val="微软雅黑"/>
        <family val="2"/>
        <charset val="134"/>
      </rPr>
      <t>攻击力</t>
    </r>
    <r>
      <rPr>
        <sz val="8"/>
        <rFont val="Arial"/>
        <family val="2"/>
      </rPr>
      <t>+39.0</t>
    </r>
    <phoneticPr fontId="1" type="noConversion"/>
  </si>
  <si>
    <t>攻击力+16.0</t>
  </si>
  <si>
    <r>
      <t>装备者通过自身技能恢复技力或获得</t>
    </r>
    <r>
      <rPr>
        <u/>
        <sz val="8"/>
        <rFont val="Arial"/>
        <family val="2"/>
      </rPr>
      <t>连击</t>
    </r>
    <r>
      <rPr>
        <sz val="8"/>
        <rFont val="Arial"/>
        <family val="2"/>
      </rPr>
      <t>状态后，全队攻击力+8.0%，持续20秒</t>
    </r>
  </si>
  <si>
    <t>OBJ轻芒</t>
    <phoneticPr fontId="1" type="noConversion"/>
  </si>
  <si>
    <t>敏捷+124</t>
  </si>
  <si>
    <t>攻击力+31.2</t>
  </si>
  <si>
    <t>副能力+8.0</t>
  </si>
  <si>
    <t>装备者通过自身技能恢复技力后，全队造成的灼热和电磁伤害+4.8%，持续20秒。</t>
  </si>
  <si>
    <t>弧光面板</t>
  </si>
  <si>
    <t>弧光战技</t>
    <phoneticPr fontId="1" type="noConversion"/>
  </si>
  <si>
    <t>弧光连携</t>
    <phoneticPr fontId="1" type="noConversion"/>
  </si>
  <si>
    <t>弧光大招</t>
    <phoneticPr fontId="1" type="noConversion"/>
  </si>
  <si>
    <t>弧光热熔回技力</t>
    <phoneticPr fontId="1" type="noConversion"/>
  </si>
  <si>
    <t>弧光轻芒回技力</t>
    <phoneticPr fontId="1" type="noConversion"/>
  </si>
  <si>
    <t>钓鱼</t>
  </si>
  <si>
    <t>M1</t>
    <phoneticPr fontId="1" type="noConversion"/>
  </si>
  <si>
    <t>钓鱼面板</t>
  </si>
  <si>
    <t>钓鱼战技</t>
  </si>
  <si>
    <t>钓鱼连携</t>
  </si>
  <si>
    <t>钓鱼大招</t>
  </si>
  <si>
    <t>钓鱼热熔回技力</t>
  </si>
  <si>
    <t>钓鱼轻芒回技力</t>
  </si>
  <si>
    <t>钓鱼天赋钓金鱼</t>
    <phoneticPr fontId="1" type="noConversion"/>
  </si>
  <si>
    <t>拓荒增量供氧栓一</t>
    <phoneticPr fontId="1" type="noConversion"/>
  </si>
  <si>
    <t>副能力20.7</t>
    <phoneticPr fontId="1" type="noConversion"/>
  </si>
  <si>
    <t>副能力22.8</t>
    <phoneticPr fontId="1" type="noConversion"/>
  </si>
  <si>
    <t>副能力24.8</t>
    <phoneticPr fontId="1" type="noConversion"/>
  </si>
  <si>
    <t>副能力26.9</t>
    <phoneticPr fontId="1" type="noConversion"/>
  </si>
  <si>
    <t>火自伤23.0</t>
    <phoneticPr fontId="1" type="noConversion"/>
  </si>
  <si>
    <t>火自伤25.3</t>
    <phoneticPr fontId="1" type="noConversion"/>
  </si>
  <si>
    <t>火自伤27.6</t>
    <phoneticPr fontId="1" type="noConversion"/>
  </si>
  <si>
    <t>火自伤29.9</t>
    <phoneticPr fontId="1" type="noConversion"/>
  </si>
  <si>
    <t>新增角色庄方宜，先锋角色库，弧光，钓鱼</t>
    <phoneticPr fontId="1" type="noConversion"/>
  </si>
  <si>
    <t>添加1.2版本更新装备</t>
    <phoneticPr fontId="1" type="noConversion"/>
  </si>
  <si>
    <t>庄方宜大招</t>
    <phoneticPr fontId="1" type="noConversion"/>
  </si>
  <si>
    <t>佩里卡战技</t>
    <phoneticPr fontId="1" type="noConversion"/>
  </si>
  <si>
    <t>迷失荒野</t>
    <phoneticPr fontId="1" type="noConversion"/>
  </si>
  <si>
    <t>智识+124</t>
  </si>
  <si>
    <t>电磁伤害+34.7</t>
  </si>
  <si>
    <r>
      <t>装备者施加</t>
    </r>
    <r>
      <rPr>
        <u/>
        <sz val="8"/>
        <rFont val="Arial"/>
        <family val="2"/>
      </rPr>
      <t>导电</t>
    </r>
    <r>
      <rPr>
        <sz val="8"/>
        <rFont val="Arial"/>
        <family val="2"/>
      </rPr>
      <t>时，全队获得物理和电磁伤害+12.8%，持续15秒。</t>
    </r>
  </si>
  <si>
    <r>
      <rPr>
        <sz val="8"/>
        <rFont val="微软雅黑"/>
        <family val="2"/>
        <charset val="134"/>
      </rPr>
      <t>源石技艺</t>
    </r>
    <r>
      <rPr>
        <sz val="8"/>
        <rFont val="Arial"/>
        <family val="2"/>
      </rPr>
      <t>+16</t>
    </r>
    <phoneticPr fontId="1" type="noConversion"/>
  </si>
  <si>
    <t>佩里卡迷失导电后</t>
    <phoneticPr fontId="1" type="noConversion"/>
  </si>
  <si>
    <t>洁哥大招</t>
  </si>
  <si>
    <t>洁哥大招零破防</t>
  </si>
  <si>
    <t>安塔尔</t>
    <phoneticPr fontId="1" type="noConversion"/>
  </si>
  <si>
    <t>长息护手一</t>
    <phoneticPr fontId="1" type="noConversion"/>
  </si>
  <si>
    <t>长息蓄电核</t>
    <phoneticPr fontId="1" type="noConversion"/>
  </si>
  <si>
    <r>
      <t>对敌人施加长时间</t>
    </r>
    <r>
      <rPr>
        <sz val="8"/>
        <color rgb="FF33C2FF"/>
        <rFont val="Arial"/>
        <family val="2"/>
      </rPr>
      <t>聚焦</t>
    </r>
    <r>
      <rPr>
        <sz val="8"/>
        <color theme="1"/>
        <rFont val="Arial"/>
        <family val="2"/>
      </rPr>
      <t>，造成</t>
    </r>
    <r>
      <rPr>
        <sz val="8"/>
        <color rgb="FFFFCC00"/>
        <rFont val="Arial"/>
        <family val="2"/>
      </rPr>
      <t>电磁伤害</t>
    </r>
    <r>
      <rPr>
        <sz val="8"/>
        <color theme="1"/>
        <rFont val="Arial"/>
        <family val="2"/>
      </rPr>
      <t>，被</t>
    </r>
    <r>
      <rPr>
        <sz val="8"/>
        <color rgb="FF33C2FF"/>
        <rFont val="Arial"/>
        <family val="2"/>
      </rPr>
      <t>聚焦</t>
    </r>
    <r>
      <rPr>
        <sz val="8"/>
        <color theme="1"/>
        <rFont val="Arial"/>
        <family val="2"/>
      </rPr>
      <t>的敌人受到</t>
    </r>
    <r>
      <rPr>
        <u/>
        <sz val="8"/>
        <color rgb="FFFFCC00"/>
        <rFont val="Arial"/>
        <family val="2"/>
      </rPr>
      <t>电磁脆弱</t>
    </r>
    <r>
      <rPr>
        <sz val="8"/>
        <color theme="1"/>
        <rFont val="Arial"/>
        <family val="2"/>
      </rPr>
      <t>和</t>
    </r>
    <r>
      <rPr>
        <u/>
        <sz val="8"/>
        <color rgb="FFFF8E59"/>
        <rFont val="Arial"/>
        <family val="2"/>
      </rPr>
      <t>灼热脆弱</t>
    </r>
    <r>
      <rPr>
        <sz val="8"/>
        <color theme="1"/>
        <rFont val="Arial"/>
        <family val="2"/>
      </rPr>
      <t>，同时最多</t>
    </r>
    <r>
      <rPr>
        <sz val="8"/>
        <color rgb="FF33C2FF"/>
        <rFont val="Arial"/>
        <family val="2"/>
      </rPr>
      <t>聚焦</t>
    </r>
    <r>
      <rPr>
        <sz val="8"/>
        <color theme="1"/>
        <rFont val="Arial"/>
        <family val="2"/>
      </rPr>
      <t>1个敌人。</t>
    </r>
  </si>
  <si>
    <t>电磁脆弱效果</t>
  </si>
  <si>
    <t>灼热脆弱效果</t>
  </si>
  <si>
    <r>
      <t>当被</t>
    </r>
    <r>
      <rPr>
        <sz val="8"/>
        <color rgb="FF33C2FF"/>
        <rFont val="Arial"/>
        <family val="2"/>
      </rPr>
      <t>聚焦</t>
    </r>
    <r>
      <rPr>
        <sz val="8"/>
        <color theme="1"/>
        <rFont val="Arial"/>
        <family val="2"/>
      </rPr>
      <t>的敌人进入</t>
    </r>
    <r>
      <rPr>
        <u/>
        <sz val="8"/>
        <color rgb="FFE3C19A"/>
        <rFont val="Arial"/>
        <family val="2"/>
      </rPr>
      <t>物理异常</t>
    </r>
    <r>
      <rPr>
        <sz val="8"/>
        <color theme="1"/>
        <rFont val="Arial"/>
        <family val="2"/>
      </rPr>
      <t>或</t>
    </r>
    <r>
      <rPr>
        <u/>
        <sz val="8"/>
        <color rgb="FF33C2FF"/>
        <rFont val="Arial"/>
        <family val="2"/>
      </rPr>
      <t>法术附着</t>
    </r>
    <r>
      <rPr>
        <sz val="8"/>
        <color theme="1"/>
        <rFont val="Arial"/>
        <family val="2"/>
      </rPr>
      <t>状态时可以发动。</t>
    </r>
  </si>
  <si>
    <r>
      <t>在该敌人身上引发1次能量爆炸，造成</t>
    </r>
    <r>
      <rPr>
        <sz val="8"/>
        <color rgb="FFFFCC00"/>
        <rFont val="Arial"/>
        <family val="2"/>
      </rPr>
      <t>电磁伤害</t>
    </r>
    <r>
      <rPr>
        <sz val="8"/>
        <color theme="1"/>
        <rFont val="Arial"/>
        <family val="2"/>
      </rPr>
      <t>并再次对其施加该</t>
    </r>
    <r>
      <rPr>
        <u/>
        <sz val="8"/>
        <color rgb="FFE3C19A"/>
        <rFont val="Arial"/>
        <family val="2"/>
      </rPr>
      <t>物理异常</t>
    </r>
    <r>
      <rPr>
        <sz val="8"/>
        <color theme="1"/>
        <rFont val="Arial"/>
        <family val="2"/>
      </rPr>
      <t>或</t>
    </r>
    <r>
      <rPr>
        <u/>
        <sz val="8"/>
        <color rgb="FF33C2FF"/>
        <rFont val="Arial"/>
        <family val="2"/>
      </rPr>
      <t>法术附着</t>
    </r>
    <r>
      <rPr>
        <sz val="8"/>
        <color theme="1"/>
        <rFont val="Arial"/>
        <family val="2"/>
      </rPr>
      <t>。</t>
    </r>
  </si>
  <si>
    <t>25s</t>
  </si>
  <si>
    <t>24s</t>
  </si>
  <si>
    <r>
      <t>对全队施加一段时间的</t>
    </r>
    <r>
      <rPr>
        <u/>
        <sz val="8"/>
        <color rgb="FFFFCC00"/>
        <rFont val="Arial"/>
        <family val="2"/>
      </rPr>
      <t>电磁增幅</t>
    </r>
    <r>
      <rPr>
        <sz val="8"/>
        <color theme="1"/>
        <rFont val="Arial"/>
        <family val="2"/>
      </rPr>
      <t>和</t>
    </r>
    <r>
      <rPr>
        <u/>
        <sz val="8"/>
        <color rgb="FFFF8E59"/>
        <rFont val="Arial"/>
        <family val="2"/>
      </rPr>
      <t>灼热增幅</t>
    </r>
    <r>
      <rPr>
        <sz val="8"/>
        <color theme="1"/>
        <rFont val="Arial"/>
        <family val="2"/>
      </rPr>
      <t>。</t>
    </r>
  </si>
  <si>
    <t>电磁增幅效果</t>
  </si>
  <si>
    <t>灼热增幅效果</t>
  </si>
  <si>
    <t>安达尔大招增幅</t>
    <phoneticPr fontId="1" type="noConversion"/>
  </si>
  <si>
    <t>安塔尔战技脆弱</t>
    <phoneticPr fontId="1" type="noConversion"/>
  </si>
  <si>
    <t>安塔尔面板</t>
  </si>
  <si>
    <t>安塔尔普攻</t>
  </si>
  <si>
    <t>安塔尔前段普攻</t>
  </si>
  <si>
    <t>安塔尔重击普攻</t>
  </si>
  <si>
    <t>安塔尔处决普攻</t>
  </si>
  <si>
    <t>安塔尔下落普攻</t>
  </si>
  <si>
    <t>安塔尔战技二十秒后</t>
    <phoneticPr fontId="1" type="noConversion"/>
  </si>
  <si>
    <t>安塔尔爆破连携后</t>
    <phoneticPr fontId="1" type="noConversion"/>
  </si>
  <si>
    <t>清炖兽排参须汤</t>
  </si>
  <si>
    <r>
      <t>电磁伤害</t>
    </r>
    <r>
      <rPr>
        <sz val="8"/>
        <color rgb="FF9EB7FF"/>
        <rFont val="Arial"/>
        <family val="2"/>
      </rPr>
      <t>+44.8</t>
    </r>
  </si>
  <si>
    <t>装备者通过战技消耗法术异常时，战技造成的电磁+伤害+56.0%，持续20秒。该效果最多叠加2层。装备者施放终结技后，战技造成的电磁+伤害+112.0%，持续25秒。</t>
    <phoneticPr fontId="1" type="noConversion"/>
  </si>
  <si>
    <t>庄方宜四剑一导电战技</t>
  </si>
  <si>
    <t>弧光大招一级导电</t>
    <phoneticPr fontId="1" type="noConversion"/>
  </si>
  <si>
    <t>拓荒护服</t>
    <phoneticPr fontId="1" type="noConversion"/>
  </si>
  <si>
    <t>拓荒纤维手套一</t>
    <phoneticPr fontId="1" type="noConversion"/>
  </si>
  <si>
    <t>雅各布的遗产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</si>
</sst>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0.00_ ;_ &quot;¥&quot;* \-#,##0.00_ ;_ &quot;¥&quot;* &quot;-&quot;??_ ;_ @_ "/>
    <numFmt numFmtId="176" formatCode="0.00_ "/>
    <numFmt numFmtId="177" formatCode="0.0"/>
    <numFmt numFmtId="178" formatCode="0.0_ "/>
  </numFmts>
  <fonts count="40" x14ac:knownFonts="1">
    <font>
      <sz val="11"/>
      <color theme="1"/>
      <name val="等线"/>
      <family val="2"/>
      <scheme val="minor"/>
    </font>
    <font>
      <sz val="9"/>
      <name val="等线"/>
      <family val="3"/>
      <charset val="134"/>
      <scheme val="minor"/>
    </font>
    <font>
      <u/>
      <sz val="11"/>
      <color theme="10"/>
      <name val="等线"/>
      <family val="2"/>
      <scheme val="minor"/>
    </font>
    <font>
      <b/>
      <sz val="11"/>
      <color rgb="FF4DA8EE"/>
      <name val="等线"/>
      <family val="3"/>
      <charset val="134"/>
      <scheme val="minor"/>
    </font>
    <font>
      <b/>
      <sz val="14"/>
      <color theme="1"/>
      <name val="等线"/>
      <family val="3"/>
      <charset val="134"/>
      <scheme val="minor"/>
    </font>
    <font>
      <sz val="11"/>
      <color rgb="FF494949"/>
      <name val="等线"/>
      <family val="3"/>
      <charset val="134"/>
      <scheme val="minor"/>
    </font>
    <font>
      <sz val="11"/>
      <color rgb="FFFF0000"/>
      <name val="等线"/>
      <family val="3"/>
      <charset val="134"/>
      <scheme val="minor"/>
    </font>
    <font>
      <sz val="11"/>
      <color rgb="FFFF0000"/>
      <name val="等线"/>
      <family val="2"/>
      <scheme val="minor"/>
    </font>
    <font>
      <sz val="11"/>
      <color theme="1"/>
      <name val="等线"/>
      <family val="3"/>
      <charset val="134"/>
      <scheme val="minor"/>
    </font>
    <font>
      <sz val="11"/>
      <name val="等线"/>
      <family val="3"/>
      <charset val="134"/>
      <scheme val="minor"/>
    </font>
    <font>
      <sz val="8"/>
      <color theme="1"/>
      <name val="Arial"/>
      <family val="2"/>
    </font>
    <font>
      <b/>
      <sz val="11"/>
      <color theme="1"/>
      <name val="等线"/>
      <family val="3"/>
      <charset val="134"/>
      <scheme val="minor"/>
    </font>
    <font>
      <b/>
      <sz val="11"/>
      <color rgb="FFFAC946"/>
      <name val="等线"/>
      <family val="3"/>
      <charset val="134"/>
      <scheme val="minor"/>
    </font>
    <font>
      <b/>
      <sz val="11"/>
      <color rgb="FFAD7CF2"/>
      <name val="等线"/>
      <family val="3"/>
      <charset val="134"/>
      <scheme val="minor"/>
    </font>
    <font>
      <b/>
      <sz val="11"/>
      <color rgb="FF61CAF7"/>
      <name val="等线"/>
      <family val="3"/>
      <charset val="134"/>
      <scheme val="minor"/>
    </font>
    <font>
      <b/>
      <sz val="11"/>
      <color rgb="FFB8D362"/>
      <name val="等线"/>
      <family val="3"/>
      <charset val="134"/>
      <scheme val="minor"/>
    </font>
    <font>
      <u/>
      <sz val="11"/>
      <color theme="1"/>
      <name val="等线"/>
      <family val="3"/>
      <charset val="134"/>
      <scheme val="minor"/>
    </font>
    <font>
      <sz val="11"/>
      <color theme="1"/>
      <name val="等线"/>
      <family val="2"/>
      <scheme val="minor"/>
    </font>
    <font>
      <sz val="11"/>
      <name val="等线"/>
      <family val="2"/>
      <scheme val="minor"/>
    </font>
    <font>
      <sz val="8"/>
      <name val="Arial"/>
      <family val="2"/>
    </font>
    <font>
      <sz val="8"/>
      <name val="微软雅黑"/>
      <family val="2"/>
      <charset val="134"/>
    </font>
    <font>
      <sz val="8"/>
      <name val="Arial"/>
      <family val="2"/>
      <charset val="134"/>
    </font>
    <font>
      <u/>
      <sz val="8"/>
      <name val="Arial"/>
      <family val="2"/>
    </font>
    <font>
      <sz val="8"/>
      <color rgb="FF33C2FF"/>
      <name val="Arial"/>
      <family val="2"/>
    </font>
    <font>
      <u/>
      <sz val="8"/>
      <color theme="1"/>
      <name val="Arial"/>
      <family val="2"/>
    </font>
    <font>
      <sz val="8"/>
      <color rgb="FF30D6E0"/>
      <name val="Arial"/>
      <family val="2"/>
    </font>
    <font>
      <u/>
      <sz val="8"/>
      <color rgb="FF30D6E0"/>
      <name val="Arial"/>
      <family val="2"/>
    </font>
    <font>
      <sz val="8"/>
      <color theme="1"/>
      <name val="Arial"/>
      <family val="2"/>
    </font>
    <font>
      <u/>
      <sz val="8"/>
      <color rgb="FFB4D945"/>
      <name val="Arial"/>
      <family val="2"/>
    </font>
    <font>
      <sz val="8"/>
      <color rgb="FFFF8E59"/>
      <name val="Arial"/>
      <family val="2"/>
    </font>
    <font>
      <u/>
      <sz val="8"/>
      <color rgb="FFFF8E59"/>
      <name val="Arial"/>
      <family val="2"/>
    </font>
    <font>
      <sz val="8"/>
      <color theme="1"/>
      <name val="等线"/>
      <family val="2"/>
    </font>
    <font>
      <u/>
      <sz val="8"/>
      <name val="微软雅黑"/>
      <family val="2"/>
      <charset val="134"/>
    </font>
    <font>
      <b/>
      <sz val="11"/>
      <name val="等线"/>
      <family val="3"/>
      <charset val="134"/>
      <scheme val="minor"/>
    </font>
    <font>
      <b/>
      <u/>
      <sz val="11"/>
      <name val="等线"/>
      <family val="3"/>
      <charset val="134"/>
      <scheme val="minor"/>
    </font>
    <font>
      <sz val="8"/>
      <color rgb="FF9EB7FF"/>
      <name val="Arial"/>
      <family val="2"/>
    </font>
    <font>
      <u/>
      <sz val="8"/>
      <color rgb="FFFFCC00"/>
      <name val="Arial"/>
      <family val="2"/>
    </font>
    <font>
      <u/>
      <sz val="8"/>
      <color rgb="FF33C2FF"/>
      <name val="Arial"/>
      <family val="2"/>
    </font>
    <font>
      <sz val="8"/>
      <color rgb="FFFFCC00"/>
      <name val="Arial"/>
      <family val="2"/>
    </font>
    <font>
      <u/>
      <sz val="8"/>
      <color rgb="FFE3C19A"/>
      <name val="Arial"/>
      <family val="2"/>
    </font>
  </fonts>
  <fills count="15">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rgb="FF00B0F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92D050"/>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rgb="FFF2F2F2"/>
        <bgColor indexed="64"/>
      </patternFill>
    </fill>
    <fill>
      <patternFill patternType="solid">
        <fgColor rgb="FFFFCCCC"/>
        <bgColor indexed="64"/>
      </patternFill>
    </fill>
    <fill>
      <patternFill patternType="solid">
        <fgColor rgb="FFFFC000"/>
        <bgColor indexed="64"/>
      </patternFill>
    </fill>
  </fills>
  <borders count="25">
    <border>
      <left/>
      <right/>
      <top/>
      <bottom/>
      <diagonal/>
    </border>
    <border>
      <left/>
      <right/>
      <top style="thin">
        <color indexed="64"/>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auto="1"/>
      </left>
      <right style="thin">
        <color auto="1"/>
      </right>
      <top/>
      <bottom/>
      <diagonal/>
    </border>
    <border>
      <left style="thin">
        <color auto="1"/>
      </left>
      <right/>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medium">
        <color auto="1"/>
      </left>
      <right style="medium">
        <color auto="1"/>
      </right>
      <top/>
      <bottom/>
      <diagonal/>
    </border>
    <border>
      <left/>
      <right style="thin">
        <color auto="1"/>
      </right>
      <top/>
      <bottom/>
      <diagonal/>
    </border>
    <border>
      <left/>
      <right style="thin">
        <color auto="1"/>
      </right>
      <top style="medium">
        <color indexed="64"/>
      </top>
      <bottom/>
      <diagonal/>
    </border>
    <border>
      <left style="thin">
        <color auto="1"/>
      </left>
      <right style="thin">
        <color auto="1"/>
      </right>
      <top style="thin">
        <color indexed="64"/>
      </top>
      <bottom/>
      <diagonal/>
    </border>
    <border>
      <left style="medium">
        <color indexed="64"/>
      </left>
      <right/>
      <top style="thin">
        <color indexed="64"/>
      </top>
      <bottom/>
      <diagonal/>
    </border>
    <border>
      <left/>
      <right/>
      <top style="medium">
        <color rgb="FF000000"/>
      </top>
      <bottom/>
      <diagonal/>
    </border>
    <border>
      <left/>
      <right/>
      <top style="thin">
        <color indexed="64"/>
      </top>
      <bottom style="thin">
        <color indexed="64"/>
      </bottom>
      <diagonal/>
    </border>
    <border>
      <left/>
      <right/>
      <top/>
      <bottom style="thin">
        <color indexed="64"/>
      </bottom>
      <diagonal/>
    </border>
    <border>
      <left/>
      <right style="medium">
        <color indexed="64"/>
      </right>
      <top style="thin">
        <color indexed="64"/>
      </top>
      <bottom/>
      <diagonal/>
    </border>
    <border>
      <left style="thin">
        <color auto="1"/>
      </left>
      <right style="thin">
        <color auto="1"/>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applyNumberFormat="0" applyFill="0" applyBorder="0" applyAlignment="0" applyProtection="0"/>
    <xf numFmtId="44" fontId="17" fillId="0" borderId="0" applyFont="0" applyFill="0" applyBorder="0" applyAlignment="0" applyProtection="0">
      <alignment vertical="center"/>
    </xf>
  </cellStyleXfs>
  <cellXfs count="169">
    <xf numFmtId="0" fontId="0" fillId="0" borderId="0" xfId="0"/>
    <xf numFmtId="0" fontId="2" fillId="0" borderId="0" xfId="1"/>
    <xf numFmtId="0" fontId="3" fillId="0" borderId="0" xfId="0" applyFont="1" applyAlignment="1">
      <alignment vertical="center"/>
    </xf>
    <xf numFmtId="0" fontId="4" fillId="0" borderId="0" xfId="0" applyFont="1" applyAlignment="1">
      <alignment vertical="center"/>
    </xf>
    <xf numFmtId="0" fontId="0" fillId="0" borderId="0" xfId="0" applyAlignment="1">
      <alignment horizontal="left" vertical="center" indent="1"/>
    </xf>
    <xf numFmtId="0" fontId="5" fillId="0" borderId="0" xfId="0" applyFont="1" applyAlignment="1">
      <alignment horizontal="left" vertical="center" indent="1"/>
    </xf>
    <xf numFmtId="0" fontId="5" fillId="0" borderId="0" xfId="0" applyFont="1" applyAlignment="1">
      <alignment vertical="center"/>
    </xf>
    <xf numFmtId="0" fontId="0" fillId="0" borderId="0" xfId="0" applyAlignment="1">
      <alignment vertical="center"/>
    </xf>
    <xf numFmtId="0" fontId="0" fillId="2" borderId="0" xfId="0" applyFill="1"/>
    <xf numFmtId="0" fontId="6" fillId="0" borderId="0" xfId="0" applyFont="1"/>
    <xf numFmtId="0" fontId="0" fillId="3" borderId="0" xfId="0" applyFill="1"/>
    <xf numFmtId="0" fontId="7" fillId="0" borderId="0" xfId="0" applyFont="1"/>
    <xf numFmtId="0" fontId="9" fillId="0" borderId="0" xfId="0" applyFont="1"/>
    <xf numFmtId="0" fontId="0" fillId="0" borderId="0" xfId="0" applyAlignment="1">
      <alignment wrapText="1"/>
    </xf>
    <xf numFmtId="0" fontId="0" fillId="0" borderId="0" xfId="0" applyAlignment="1">
      <alignment vertical="center" wrapText="1"/>
    </xf>
    <xf numFmtId="0" fontId="11" fillId="0" borderId="0" xfId="0" applyFont="1" applyAlignment="1">
      <alignment horizontal="center" vertical="center" wrapText="1"/>
    </xf>
    <xf numFmtId="9" fontId="0" fillId="0" borderId="0" xfId="0" applyNumberFormat="1" applyAlignment="1">
      <alignment vertical="center" wrapText="1"/>
    </xf>
    <xf numFmtId="0" fontId="0" fillId="0" borderId="1" xfId="0" applyBorder="1"/>
    <xf numFmtId="0" fontId="0" fillId="0" borderId="2" xfId="0" applyBorder="1"/>
    <xf numFmtId="0" fontId="8" fillId="0" borderId="2" xfId="0" applyFont="1" applyBorder="1"/>
    <xf numFmtId="0" fontId="6" fillId="0" borderId="2" xfId="0" applyFont="1" applyBorder="1"/>
    <xf numFmtId="0" fontId="0" fillId="4" borderId="0" xfId="0" applyFill="1"/>
    <xf numFmtId="0" fontId="8" fillId="0" borderId="0" xfId="0" applyFont="1"/>
    <xf numFmtId="0" fontId="10" fillId="0" borderId="0" xfId="0" applyFont="1" applyAlignment="1">
      <alignment wrapText="1"/>
    </xf>
    <xf numFmtId="176" fontId="0" fillId="0" borderId="0" xfId="0" applyNumberFormat="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2" fillId="0" borderId="0" xfId="0" applyFont="1" applyAlignment="1">
      <alignment vertical="center" wrapText="1"/>
    </xf>
    <xf numFmtId="0" fontId="13" fillId="0" borderId="0" xfId="0" applyFont="1" applyAlignment="1">
      <alignment vertical="center" wrapText="1"/>
    </xf>
    <xf numFmtId="0" fontId="14" fillId="0" borderId="0" xfId="0" applyFont="1" applyAlignment="1">
      <alignment vertical="center" wrapText="1"/>
    </xf>
    <xf numFmtId="0" fontId="15" fillId="0" borderId="0" xfId="0" applyFont="1" applyAlignment="1">
      <alignment vertical="center" wrapText="1"/>
    </xf>
    <xf numFmtId="10" fontId="0" fillId="0" borderId="0" xfId="0" applyNumberFormat="1"/>
    <xf numFmtId="0" fontId="0" fillId="4" borderId="7" xfId="0" applyFill="1" applyBorder="1"/>
    <xf numFmtId="10" fontId="0" fillId="0" borderId="0" xfId="0" applyNumberFormat="1" applyAlignment="1">
      <alignment vertical="center" wrapText="1"/>
    </xf>
    <xf numFmtId="0" fontId="11" fillId="5" borderId="10" xfId="0" applyFont="1" applyFill="1" applyBorder="1" applyAlignment="1">
      <alignment horizontal="center" vertical="center"/>
    </xf>
    <xf numFmtId="0" fontId="0" fillId="6" borderId="0" xfId="0" applyFill="1"/>
    <xf numFmtId="0" fontId="0" fillId="7" borderId="0" xfId="0" applyFill="1" applyAlignment="1">
      <alignment vertical="center" wrapText="1"/>
    </xf>
    <xf numFmtId="0" fontId="10" fillId="0" borderId="0" xfId="0" applyFont="1" applyAlignment="1">
      <alignment vertical="center" wrapText="1"/>
    </xf>
    <xf numFmtId="0" fontId="0" fillId="7" borderId="0" xfId="0" applyFill="1"/>
    <xf numFmtId="0" fontId="11" fillId="5" borderId="12" xfId="0" applyFont="1" applyFill="1" applyBorder="1" applyAlignment="1">
      <alignment horizontal="center" vertical="center"/>
    </xf>
    <xf numFmtId="0" fontId="11" fillId="5" borderId="13" xfId="0" applyFont="1" applyFill="1" applyBorder="1" applyAlignment="1">
      <alignment horizontal="center" vertical="center"/>
    </xf>
    <xf numFmtId="44" fontId="0" fillId="8" borderId="0" xfId="2" applyFont="1" applyFill="1" applyAlignment="1">
      <alignment horizontal="center"/>
    </xf>
    <xf numFmtId="0" fontId="0" fillId="7" borderId="0" xfId="0" applyFill="1" applyAlignment="1">
      <alignment horizontal="center"/>
    </xf>
    <xf numFmtId="0" fontId="11" fillId="5" borderId="15" xfId="0" applyFont="1" applyFill="1" applyBorder="1" applyAlignment="1">
      <alignment horizontal="center" vertical="center"/>
    </xf>
    <xf numFmtId="0" fontId="11" fillId="5" borderId="10" xfId="0" applyFont="1" applyFill="1" applyBorder="1"/>
    <xf numFmtId="0" fontId="11" fillId="5" borderId="16" xfId="0" applyFont="1" applyFill="1" applyBorder="1" applyAlignment="1">
      <alignment horizontal="center" vertical="center"/>
    </xf>
    <xf numFmtId="0" fontId="11" fillId="5" borderId="14" xfId="0" applyFont="1" applyFill="1" applyBorder="1"/>
    <xf numFmtId="0" fontId="0" fillId="5" borderId="1" xfId="0" applyFill="1" applyBorder="1"/>
    <xf numFmtId="0" fontId="0" fillId="7" borderId="2" xfId="0" applyFill="1" applyBorder="1" applyAlignment="1">
      <alignment horizontal="center"/>
    </xf>
    <xf numFmtId="0" fontId="0" fillId="8" borderId="0" xfId="0" applyFill="1" applyAlignment="1">
      <alignment horizontal="center"/>
    </xf>
    <xf numFmtId="0" fontId="11" fillId="5" borderId="11" xfId="0" applyFont="1" applyFill="1" applyBorder="1" applyAlignment="1">
      <alignment horizontal="center" vertical="center"/>
    </xf>
    <xf numFmtId="0" fontId="11" fillId="5" borderId="0" xfId="0" applyFont="1" applyFill="1" applyAlignment="1">
      <alignment horizontal="center" vertical="center"/>
    </xf>
    <xf numFmtId="0" fontId="0" fillId="0" borderId="0" xfId="0" applyAlignment="1">
      <alignment horizontal="center"/>
    </xf>
    <xf numFmtId="0" fontId="0" fillId="0" borderId="10" xfId="0" applyBorder="1"/>
    <xf numFmtId="0" fontId="0" fillId="6" borderId="10" xfId="0" applyFill="1" applyBorder="1"/>
    <xf numFmtId="0" fontId="11" fillId="0" borderId="0" xfId="0" applyFont="1" applyAlignment="1">
      <alignment vertical="center" wrapText="1"/>
    </xf>
    <xf numFmtId="44" fontId="0" fillId="8" borderId="0" xfId="2" applyFont="1" applyFill="1" applyAlignment="1"/>
    <xf numFmtId="0" fontId="0" fillId="7" borderId="2" xfId="0" applyFill="1" applyBorder="1"/>
    <xf numFmtId="0" fontId="0" fillId="8" borderId="0" xfId="0" applyFill="1"/>
    <xf numFmtId="0" fontId="11" fillId="5" borderId="1" xfId="0" applyFont="1" applyFill="1" applyBorder="1" applyAlignment="1">
      <alignment vertical="center"/>
    </xf>
    <xf numFmtId="0" fontId="11" fillId="5" borderId="12" xfId="0" applyFont="1" applyFill="1" applyBorder="1" applyAlignment="1">
      <alignment vertical="center"/>
    </xf>
    <xf numFmtId="0" fontId="11" fillId="5" borderId="13" xfId="0" applyFont="1" applyFill="1" applyBorder="1" applyAlignment="1">
      <alignment vertical="center"/>
    </xf>
    <xf numFmtId="0" fontId="11" fillId="0" borderId="0" xfId="0" applyFont="1" applyAlignment="1">
      <alignment vertical="center"/>
    </xf>
    <xf numFmtId="0" fontId="18" fillId="0" borderId="0" xfId="0" applyFont="1"/>
    <xf numFmtId="0" fontId="8" fillId="0" borderId="1" xfId="0" applyFont="1" applyBorder="1"/>
    <xf numFmtId="0" fontId="0" fillId="0" borderId="17" xfId="0" applyBorder="1"/>
    <xf numFmtId="0" fontId="0" fillId="9" borderId="0" xfId="0" applyFill="1"/>
    <xf numFmtId="0" fontId="9" fillId="9" borderId="0" xfId="0" applyFont="1" applyFill="1"/>
    <xf numFmtId="0" fontId="0" fillId="0" borderId="18" xfId="0" applyBorder="1"/>
    <xf numFmtId="0" fontId="19" fillId="0" borderId="0" xfId="0" applyFont="1" applyAlignment="1">
      <alignment vertical="center" wrapText="1"/>
    </xf>
    <xf numFmtId="0" fontId="21" fillId="0" borderId="0" xfId="0" applyFont="1" applyAlignment="1">
      <alignment vertical="center" wrapText="1"/>
    </xf>
    <xf numFmtId="0" fontId="19" fillId="0" borderId="0" xfId="0" applyFont="1"/>
    <xf numFmtId="0" fontId="0" fillId="0" borderId="15" xfId="0" applyBorder="1"/>
    <xf numFmtId="0" fontId="10" fillId="0" borderId="19" xfId="0" applyFont="1" applyBorder="1" applyAlignment="1">
      <alignment vertical="center" wrapText="1"/>
    </xf>
    <xf numFmtId="9" fontId="10" fillId="0" borderId="19" xfId="0" applyNumberFormat="1" applyFont="1" applyBorder="1" applyAlignment="1">
      <alignment horizontal="center" vertical="center" wrapText="1"/>
    </xf>
    <xf numFmtId="0" fontId="10" fillId="0" borderId="19" xfId="0" applyFont="1" applyBorder="1" applyAlignment="1">
      <alignment horizontal="center" vertical="center" wrapText="1"/>
    </xf>
    <xf numFmtId="10" fontId="10" fillId="0" borderId="19" xfId="0" applyNumberFormat="1" applyFont="1" applyBorder="1" applyAlignment="1">
      <alignment horizontal="center" vertical="center" wrapText="1"/>
    </xf>
    <xf numFmtId="0" fontId="10" fillId="0" borderId="0" xfId="0" applyFont="1"/>
    <xf numFmtId="0" fontId="7" fillId="0" borderId="5" xfId="0" applyFont="1" applyBorder="1"/>
    <xf numFmtId="0" fontId="9" fillId="0" borderId="6" xfId="0" applyFont="1" applyBorder="1"/>
    <xf numFmtId="0" fontId="8" fillId="0" borderId="21" xfId="0" applyFont="1" applyBorder="1"/>
    <xf numFmtId="0" fontId="0" fillId="0" borderId="21" xfId="0" applyBorder="1"/>
    <xf numFmtId="0" fontId="9" fillId="0" borderId="21" xfId="0" applyFont="1" applyBorder="1"/>
    <xf numFmtId="0" fontId="9" fillId="0" borderId="1" xfId="0" applyFont="1" applyBorder="1"/>
    <xf numFmtId="0" fontId="0" fillId="0" borderId="22" xfId="0" applyBorder="1"/>
    <xf numFmtId="0" fontId="27" fillId="0" borderId="0" xfId="0" applyFont="1" applyAlignment="1">
      <alignment vertical="center" wrapText="1"/>
    </xf>
    <xf numFmtId="0" fontId="0" fillId="5" borderId="0" xfId="0" applyFill="1"/>
    <xf numFmtId="0" fontId="0" fillId="0" borderId="20" xfId="0" applyBorder="1"/>
    <xf numFmtId="44" fontId="0" fillId="8" borderId="20" xfId="2" applyFont="1" applyFill="1" applyBorder="1" applyAlignment="1">
      <alignment horizontal="center"/>
    </xf>
    <xf numFmtId="0" fontId="0" fillId="7" borderId="20" xfId="0" applyFill="1" applyBorder="1" applyAlignment="1">
      <alignment horizontal="center"/>
    </xf>
    <xf numFmtId="0" fontId="0" fillId="8" borderId="20" xfId="0" applyFill="1" applyBorder="1" applyAlignment="1">
      <alignment horizontal="center"/>
    </xf>
    <xf numFmtId="0" fontId="0" fillId="0" borderId="23" xfId="0" applyBorder="1"/>
    <xf numFmtId="0" fontId="0" fillId="0" borderId="11" xfId="0" applyBorder="1"/>
    <xf numFmtId="9" fontId="10" fillId="0" borderId="0" xfId="0" applyNumberFormat="1" applyFont="1" applyAlignment="1">
      <alignment horizontal="center" vertical="center" wrapText="1"/>
    </xf>
    <xf numFmtId="0" fontId="10" fillId="0" borderId="0" xfId="0" applyFont="1" applyAlignment="1">
      <alignment horizontal="center" vertical="center" wrapText="1"/>
    </xf>
    <xf numFmtId="177" fontId="0" fillId="0" borderId="3" xfId="0" applyNumberFormat="1" applyBorder="1" applyAlignment="1">
      <alignment vertical="center"/>
    </xf>
    <xf numFmtId="0" fontId="0" fillId="0" borderId="4" xfId="0" applyBorder="1" applyAlignment="1">
      <alignment vertical="center"/>
    </xf>
    <xf numFmtId="0" fontId="0" fillId="0" borderId="5" xfId="0" applyBorder="1" applyAlignment="1">
      <alignment horizontal="center" vertical="center"/>
    </xf>
    <xf numFmtId="0" fontId="0" fillId="0" borderId="5" xfId="0" applyBorder="1" applyAlignment="1">
      <alignment vertical="center"/>
    </xf>
    <xf numFmtId="0" fontId="0" fillId="0" borderId="7" xfId="0" applyBorder="1" applyAlignment="1">
      <alignment vertical="center"/>
    </xf>
    <xf numFmtId="0" fontId="0" fillId="0" borderId="2" xfId="0" applyBorder="1" applyAlignment="1">
      <alignment vertical="center"/>
    </xf>
    <xf numFmtId="0" fontId="0" fillId="0" borderId="9" xfId="0" applyBorder="1" applyAlignment="1">
      <alignment vertical="center"/>
    </xf>
    <xf numFmtId="0" fontId="0" fillId="0" borderId="1" xfId="0" applyBorder="1" applyAlignment="1">
      <alignment vertical="center"/>
    </xf>
    <xf numFmtId="0" fontId="0" fillId="0" borderId="22" xfId="0" applyBorder="1" applyAlignment="1">
      <alignment vertical="center"/>
    </xf>
    <xf numFmtId="0" fontId="7" fillId="7" borderId="0" xfId="0" applyFont="1" applyFill="1" applyAlignment="1">
      <alignment horizontal="center"/>
    </xf>
    <xf numFmtId="0" fontId="6" fillId="7" borderId="0" xfId="0" applyFont="1" applyFill="1" applyAlignment="1">
      <alignment horizontal="center"/>
    </xf>
    <xf numFmtId="0" fontId="0" fillId="10" borderId="0" xfId="0" applyFill="1"/>
    <xf numFmtId="0" fontId="7" fillId="3" borderId="0" xfId="0" applyFont="1" applyFill="1"/>
    <xf numFmtId="0" fontId="6" fillId="3" borderId="0" xfId="0" applyFont="1" applyFill="1"/>
    <xf numFmtId="0" fontId="0" fillId="11" borderId="0" xfId="0" applyFill="1"/>
    <xf numFmtId="0" fontId="0" fillId="11" borderId="10" xfId="0" applyFill="1" applyBorder="1"/>
    <xf numFmtId="0" fontId="7" fillId="7" borderId="0" xfId="0" applyFont="1" applyFill="1"/>
    <xf numFmtId="0" fontId="6" fillId="7" borderId="0" xfId="0" applyFont="1" applyFill="1"/>
    <xf numFmtId="0" fontId="11" fillId="5" borderId="15" xfId="0" applyFont="1" applyFill="1" applyBorder="1" applyAlignment="1">
      <alignment vertical="center"/>
    </xf>
    <xf numFmtId="0" fontId="11" fillId="5" borderId="10" xfId="0" applyFont="1" applyFill="1" applyBorder="1" applyAlignment="1">
      <alignment vertical="center"/>
    </xf>
    <xf numFmtId="0" fontId="11" fillId="5" borderId="16" xfId="0" applyFont="1" applyFill="1" applyBorder="1" applyAlignment="1">
      <alignment vertical="center"/>
    </xf>
    <xf numFmtId="0" fontId="11" fillId="5" borderId="11" xfId="0" applyFont="1" applyFill="1" applyBorder="1" applyAlignment="1">
      <alignment vertical="center"/>
    </xf>
    <xf numFmtId="0" fontId="11" fillId="5" borderId="0" xfId="0" applyFont="1" applyFill="1" applyAlignment="1">
      <alignment vertical="center"/>
    </xf>
    <xf numFmtId="44" fontId="0" fillId="8" borderId="20" xfId="2" applyFont="1" applyFill="1" applyBorder="1" applyAlignment="1"/>
    <xf numFmtId="0" fontId="0" fillId="7" borderId="20" xfId="0" applyFill="1" applyBorder="1"/>
    <xf numFmtId="0" fontId="0" fillId="8" borderId="20" xfId="0" applyFill="1" applyBorder="1"/>
    <xf numFmtId="0" fontId="21" fillId="0" borderId="0" xfId="0" applyFont="1"/>
    <xf numFmtId="0" fontId="0" fillId="2" borderId="2" xfId="0" applyFill="1" applyBorder="1"/>
    <xf numFmtId="0" fontId="8" fillId="0" borderId="0" xfId="0" applyFont="1" applyAlignment="1">
      <alignment vertical="center"/>
    </xf>
    <xf numFmtId="0" fontId="0" fillId="0" borderId="0" xfId="2" applyNumberFormat="1" applyFont="1" applyFill="1" applyBorder="1" applyAlignment="1"/>
    <xf numFmtId="0" fontId="11" fillId="12" borderId="14" xfId="0" applyFont="1" applyFill="1" applyBorder="1"/>
    <xf numFmtId="0" fontId="11" fillId="12" borderId="12" xfId="0" applyFont="1" applyFill="1" applyBorder="1" applyAlignment="1">
      <alignment horizontal="center" vertical="center"/>
    </xf>
    <xf numFmtId="0" fontId="11" fillId="12" borderId="16" xfId="0" applyFont="1" applyFill="1" applyBorder="1" applyAlignment="1">
      <alignment horizontal="center" vertical="center"/>
    </xf>
    <xf numFmtId="0" fontId="11" fillId="12" borderId="13" xfId="0" applyFont="1" applyFill="1" applyBorder="1" applyAlignment="1">
      <alignment horizontal="center" vertical="center"/>
    </xf>
    <xf numFmtId="0" fontId="11" fillId="12" borderId="11" xfId="0" applyFont="1" applyFill="1" applyBorder="1" applyAlignment="1">
      <alignment horizontal="center" vertical="center"/>
    </xf>
    <xf numFmtId="0" fontId="11" fillId="12" borderId="0" xfId="0" applyFont="1" applyFill="1" applyAlignment="1">
      <alignment horizontal="center" vertical="center"/>
    </xf>
    <xf numFmtId="0" fontId="0" fillId="13" borderId="0" xfId="0" applyFill="1"/>
    <xf numFmtId="0" fontId="11" fillId="13" borderId="10" xfId="0" applyFont="1" applyFill="1" applyBorder="1"/>
    <xf numFmtId="0" fontId="11" fillId="13" borderId="15" xfId="0" applyFont="1" applyFill="1" applyBorder="1" applyAlignment="1">
      <alignment horizontal="center" vertical="center"/>
    </xf>
    <xf numFmtId="0" fontId="11" fillId="13" borderId="10" xfId="0" applyFont="1" applyFill="1" applyBorder="1" applyAlignment="1">
      <alignment horizontal="center" vertical="center"/>
    </xf>
    <xf numFmtId="0" fontId="0" fillId="0" borderId="24" xfId="0" applyBorder="1"/>
    <xf numFmtId="0" fontId="7" fillId="0" borderId="24" xfId="0" applyFont="1" applyBorder="1"/>
    <xf numFmtId="10" fontId="0" fillId="0" borderId="24" xfId="0" applyNumberFormat="1" applyBorder="1"/>
    <xf numFmtId="0" fontId="18" fillId="0" borderId="24" xfId="0" applyFont="1" applyBorder="1"/>
    <xf numFmtId="10" fontId="18" fillId="0" borderId="24" xfId="0" applyNumberFormat="1" applyFont="1" applyBorder="1"/>
    <xf numFmtId="10" fontId="0" fillId="0" borderId="17" xfId="0" applyNumberFormat="1" applyBorder="1"/>
    <xf numFmtId="0" fontId="0" fillId="14" borderId="0" xfId="0" applyFill="1"/>
    <xf numFmtId="10" fontId="0" fillId="14" borderId="0" xfId="0" applyNumberFormat="1" applyFill="1"/>
    <xf numFmtId="0" fontId="0" fillId="12" borderId="0" xfId="0" applyFill="1"/>
    <xf numFmtId="10" fontId="0" fillId="12" borderId="0" xfId="0" applyNumberFormat="1" applyFill="1"/>
    <xf numFmtId="0" fontId="7" fillId="12" borderId="0" xfId="0" applyFont="1" applyFill="1"/>
    <xf numFmtId="0" fontId="9" fillId="0" borderId="0" xfId="0" applyFont="1" applyAlignment="1">
      <alignment vertical="center" wrapText="1"/>
    </xf>
    <xf numFmtId="0" fontId="33" fillId="0" borderId="0" xfId="0" applyFont="1" applyAlignment="1">
      <alignment horizontal="center" vertical="center" wrapText="1"/>
    </xf>
    <xf numFmtId="9" fontId="9" fillId="0" borderId="0" xfId="0" applyNumberFormat="1" applyFont="1" applyAlignment="1">
      <alignment vertical="center" wrapText="1"/>
    </xf>
    <xf numFmtId="0" fontId="18" fillId="3" borderId="0" xfId="0" applyFont="1" applyFill="1"/>
    <xf numFmtId="0" fontId="9" fillId="3" borderId="0" xfId="0" applyFont="1" applyFill="1"/>
    <xf numFmtId="0" fontId="18" fillId="7" borderId="0" xfId="0" applyFont="1" applyFill="1"/>
    <xf numFmtId="0" fontId="2" fillId="0" borderId="0" xfId="1" applyAlignment="1">
      <alignment horizontal="center"/>
    </xf>
    <xf numFmtId="0" fontId="0" fillId="7" borderId="0" xfId="0" applyFill="1" applyAlignment="1">
      <alignment horizontal="center"/>
    </xf>
    <xf numFmtId="178" fontId="0" fillId="0" borderId="18" xfId="0" applyNumberFormat="1" applyBorder="1" applyAlignment="1">
      <alignment horizontal="center" vertical="center"/>
    </xf>
    <xf numFmtId="178" fontId="0" fillId="0" borderId="6" xfId="0" applyNumberFormat="1" applyBorder="1" applyAlignment="1">
      <alignment horizontal="center" vertical="center"/>
    </xf>
    <xf numFmtId="178" fontId="0" fillId="0" borderId="8" xfId="0" applyNumberFormat="1" applyBorder="1" applyAlignment="1">
      <alignment horizontal="center" vertical="center"/>
    </xf>
    <xf numFmtId="0" fontId="0" fillId="0" borderId="3" xfId="0" applyBorder="1" applyAlignment="1">
      <alignment horizontal="center" vertical="center"/>
    </xf>
    <xf numFmtId="0" fontId="0" fillId="0" borderId="6" xfId="0" applyBorder="1" applyAlignment="1">
      <alignment horizontal="center" vertical="center"/>
    </xf>
    <xf numFmtId="0" fontId="0" fillId="0" borderId="8" xfId="0" applyBorder="1" applyAlignment="1">
      <alignment horizontal="center" vertical="center"/>
    </xf>
    <xf numFmtId="0" fontId="0" fillId="0" borderId="3" xfId="0" applyBorder="1"/>
    <xf numFmtId="0" fontId="0" fillId="0" borderId="6" xfId="0" applyBorder="1"/>
    <xf numFmtId="0" fontId="0" fillId="0" borderId="8" xfId="0" applyBorder="1"/>
    <xf numFmtId="0" fontId="2" fillId="0" borderId="2" xfId="1" applyBorder="1" applyAlignment="1">
      <alignment horizontal="center"/>
    </xf>
  </cellXfs>
  <cellStyles count="3">
    <cellStyle name="常规" xfId="0" builtinId="0"/>
    <cellStyle name="超链接" xfId="1" builtinId="8"/>
    <cellStyle name="货币" xfId="2" builtinId="4"/>
  </cellStyles>
  <dxfs count="144">
    <dxf>
      <numFmt numFmtId="14" formatCode="0.0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14" formatCode="0.00%"/>
    </dxf>
    <dxf>
      <alignment horizontal="center" vertical="bottom" textRotation="0" wrapText="0" indent="0" justifyLastLine="0" shrinkToFit="0" readingOrder="0"/>
    </dxf>
    <dxf>
      <fill>
        <patternFill>
          <bgColor theme="9" tint="0.39994506668294322"/>
        </patternFill>
      </fill>
    </dxf>
    <dxf>
      <fill>
        <patternFill>
          <bgColor theme="9" tint="0.39994506668294322"/>
        </patternFill>
      </fill>
    </dxf>
    <dxf>
      <fill>
        <patternFill>
          <bgColor rgb="FFFFFFCC"/>
        </patternFill>
      </fill>
    </dxf>
    <dxf>
      <fill>
        <patternFill>
          <bgColor rgb="FFFFFFCC"/>
        </patternFill>
      </fill>
    </dxf>
    <dxf>
      <numFmt numFmtId="14" formatCode="0.0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14" formatCode="0.00%"/>
    </dxf>
    <dxf>
      <alignment horizontal="center" vertical="bottom" textRotation="0" wrapText="0" indent="0" justifyLastLine="0" shrinkToFit="0" readingOrder="0"/>
    </dxf>
    <dxf>
      <fill>
        <patternFill>
          <bgColor theme="9" tint="0.39994506668294322"/>
        </patternFill>
      </fill>
    </dxf>
    <dxf>
      <fill>
        <patternFill>
          <bgColor theme="9" tint="0.39994506668294322"/>
        </patternFill>
      </fill>
    </dxf>
    <dxf>
      <fill>
        <patternFill>
          <bgColor rgb="FFFFFFCC"/>
        </patternFill>
      </fill>
    </dxf>
    <dxf>
      <fill>
        <patternFill>
          <bgColor rgb="FFFFFFCC"/>
        </patternFill>
      </fill>
    </dxf>
    <dxf>
      <numFmt numFmtId="14" formatCode="0.0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14" formatCode="0.00%"/>
    </dxf>
    <dxf>
      <alignment horizontal="center" vertical="bottom" textRotation="0" wrapText="0" indent="0" justifyLastLine="0" shrinkToFit="0" readingOrder="0"/>
    </dxf>
    <dxf>
      <fill>
        <patternFill>
          <bgColor theme="9" tint="0.39994506668294322"/>
        </patternFill>
      </fill>
    </dxf>
    <dxf>
      <fill>
        <patternFill>
          <bgColor theme="9" tint="0.39994506668294322"/>
        </patternFill>
      </fill>
    </dxf>
    <dxf>
      <fill>
        <patternFill>
          <bgColor rgb="FFFFFFCC"/>
        </patternFill>
      </fill>
    </dxf>
    <dxf>
      <fill>
        <patternFill>
          <bgColor rgb="FFFFFFCC"/>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14" formatCode="0.00%"/>
    </dxf>
    <dxf>
      <alignment horizontal="center" vertical="bottom" textRotation="0" wrapText="0" indent="0" justifyLastLine="0" shrinkToFit="0" readingOrder="0"/>
    </dxf>
    <dxf>
      <numFmt numFmtId="14" formatCode="0.00%"/>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fill>
        <patternFill patternType="none">
          <fgColor indexed="64"/>
          <bgColor indexed="65"/>
        </patternFill>
      </fill>
      <alignment horizontal="general" textRotation="0" indent="0" justifyLastLine="0" shrinkToFit="0" readingOrder="0"/>
    </dxf>
    <dxf>
      <fill>
        <patternFill patternType="none">
          <fgColor indexed="64"/>
          <bgColor indexed="65"/>
        </patternFill>
      </fill>
      <alignment horizontal="general" textRotation="0" indent="0" justifyLastLine="0" shrinkToFit="0" readingOrder="0"/>
    </dxf>
    <dxf>
      <fill>
        <patternFill patternType="none">
          <fgColor indexed="64"/>
          <bgColor indexed="65"/>
        </patternFill>
      </fill>
      <alignment horizontal="general" textRotation="0" indent="0" justifyLastLine="0" shrinkToFit="0" readingOrder="0"/>
    </dxf>
    <dxf>
      <fill>
        <patternFill patternType="none">
          <fgColor indexed="64"/>
          <bgColor indexed="65"/>
        </patternFill>
      </fill>
      <alignment horizontal="general" textRotation="0" indent="0" justifyLastLine="0" shrinkToFit="0" readingOrder="0"/>
    </dxf>
    <dxf>
      <fill>
        <patternFill patternType="none">
          <fgColor indexed="64"/>
          <bgColor indexed="65"/>
        </patternFill>
      </fill>
      <alignment horizontal="general" textRotation="0" indent="0" justifyLastLine="0" shrinkToFit="0" readingOrder="0"/>
    </dxf>
    <dxf>
      <fill>
        <patternFill patternType="none">
          <fgColor indexed="64"/>
          <bgColor indexed="65"/>
        </patternFill>
      </fill>
      <alignment horizontal="general" textRotation="0" indent="0" justifyLastLine="0" shrinkToFit="0" readingOrder="0"/>
    </dxf>
    <dxf>
      <fill>
        <patternFill patternType="none">
          <fgColor indexed="64"/>
          <bgColor indexed="65"/>
        </patternFill>
      </fill>
      <alignment horizontal="general" textRotation="0" indent="0" justifyLastLine="0" shrinkToFit="0" readingOrder="0"/>
    </dxf>
    <dxf>
      <fill>
        <patternFill patternType="none">
          <fgColor indexed="64"/>
          <bgColor indexed="65"/>
        </patternFill>
      </fill>
      <alignment horizontal="general" textRotation="0" indent="0" justifyLastLine="0" shrinkToFit="0" readingOrder="0"/>
    </dxf>
    <dxf>
      <fill>
        <patternFill patternType="none">
          <fgColor indexed="64"/>
          <bgColor indexed="65"/>
        </patternFill>
      </fill>
      <alignment horizontal="general" textRotation="0" indent="0" justifyLastLine="0" shrinkToFit="0" readingOrder="0"/>
    </dxf>
    <dxf>
      <fill>
        <patternFill patternType="none">
          <fgColor indexed="64"/>
          <bgColor indexed="65"/>
        </patternFill>
      </fill>
      <alignment horizontal="general" textRotation="0" indent="0" justifyLastLine="0" shrinkToFit="0" readingOrder="0"/>
    </dxf>
    <dxf>
      <fill>
        <patternFill patternType="none">
          <fgColor indexed="64"/>
          <bgColor indexed="65"/>
        </patternFill>
      </fill>
      <alignment horizontal="general" textRotation="0" indent="0" justifyLastLine="0" shrinkToFit="0" readingOrder="0"/>
    </dxf>
    <dxf>
      <fill>
        <patternFill patternType="none">
          <fgColor indexed="64"/>
          <bgColor indexed="65"/>
        </patternFill>
      </fill>
      <alignment horizontal="general" textRotation="0" indent="0" justifyLastLine="0" shrinkToFit="0" readingOrder="0"/>
    </dxf>
    <dxf>
      <fill>
        <patternFill patternType="none">
          <fgColor indexed="64"/>
          <bgColor indexed="65"/>
        </patternFill>
      </fill>
      <alignment horizontal="general" textRotation="0" indent="0" justifyLastLine="0" shrinkToFit="0" readingOrder="0"/>
    </dxf>
    <dxf>
      <fill>
        <patternFill patternType="none">
          <fgColor indexed="64"/>
          <bgColor indexed="65"/>
        </patternFill>
      </fill>
      <alignment horizontal="general" textRotation="0" indent="0" justifyLastLine="0" shrinkToFit="0" readingOrder="0"/>
    </dxf>
    <dxf>
      <fill>
        <patternFill patternType="none">
          <fgColor indexed="64"/>
          <bgColor indexed="65"/>
        </patternFill>
      </fill>
      <alignment horizontal="general" textRotation="0" indent="0" justifyLastLine="0" shrinkToFit="0" readingOrder="0"/>
    </dxf>
    <dxf>
      <fill>
        <patternFill patternType="none">
          <fgColor indexed="64"/>
          <bgColor indexed="65"/>
        </patternFill>
      </fill>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numFmt numFmtId="14" formatCode="0.00%"/>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general" vertical="bottom" textRotation="0" wrapText="0" indent="0" justifyLastLine="0" shrinkToFit="0" readingOrder="0"/>
    </dxf>
  </dxfs>
  <tableStyles count="1" defaultTableStyle="TableStyleMedium2" defaultPivotStyle="PivotStyleLight16">
    <tableStyle name="表样式 1" pivot="0" count="0" xr9:uid="{70174141-A64D-4DD9-849C-31247918F09E}"/>
  </tableStyles>
  <colors>
    <mruColors>
      <color rgb="FFF2F2F2"/>
      <color rgb="FFFFFFE0"/>
      <color rgb="FFF0FFF0"/>
      <color rgb="FF808080"/>
      <color rgb="FFFFFFCC"/>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3</xdr:col>
      <xdr:colOff>253687</xdr:colOff>
      <xdr:row>4</xdr:row>
      <xdr:rowOff>146537</xdr:rowOff>
    </xdr:from>
    <xdr:to>
      <xdr:col>17</xdr:col>
      <xdr:colOff>618979</xdr:colOff>
      <xdr:row>17</xdr:row>
      <xdr:rowOff>45574</xdr:rowOff>
    </xdr:to>
    <xdr:pic>
      <xdr:nvPicPr>
        <xdr:cNvPr id="3" name="图片 2">
          <a:extLst>
            <a:ext uri="{FF2B5EF4-FFF2-40B4-BE49-F238E27FC236}">
              <a16:creationId xmlns:a16="http://schemas.microsoft.com/office/drawing/2014/main" id="{1F21EFDF-5F59-448C-A1BA-E6C49B72AA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54696" y="663372"/>
          <a:ext cx="9113052" cy="2138654"/>
        </a:xfrm>
        <a:prstGeom prst="rect">
          <a:avLst/>
        </a:prstGeom>
      </xdr:spPr>
    </xdr:pic>
    <xdr:clientData/>
  </xdr:twoCellAnchor>
  <xdr:twoCellAnchor editAs="oneCell">
    <xdr:from>
      <xdr:col>3</xdr:col>
      <xdr:colOff>190209</xdr:colOff>
      <xdr:row>22</xdr:row>
      <xdr:rowOff>49704</xdr:rowOff>
    </xdr:from>
    <xdr:to>
      <xdr:col>18</xdr:col>
      <xdr:colOff>591529</xdr:colOff>
      <xdr:row>31</xdr:row>
      <xdr:rowOff>1709</xdr:rowOff>
    </xdr:to>
    <xdr:pic>
      <xdr:nvPicPr>
        <xdr:cNvPr id="6" name="图片 5">
          <a:extLst>
            <a:ext uri="{FF2B5EF4-FFF2-40B4-BE49-F238E27FC236}">
              <a16:creationId xmlns:a16="http://schemas.microsoft.com/office/drawing/2014/main" id="{CD035386-4A3F-4810-B9CE-435D69A1E93F}"/>
            </a:ext>
          </a:extLst>
        </xdr:cNvPr>
        <xdr:cNvPicPr>
          <a:picLocks noChangeAspect="1"/>
        </xdr:cNvPicPr>
      </xdr:nvPicPr>
      <xdr:blipFill>
        <a:blip xmlns:r="http://schemas.openxmlformats.org/officeDocument/2006/relationships" r:embed="rId2"/>
        <a:stretch>
          <a:fillRect/>
        </a:stretch>
      </xdr:blipFill>
      <xdr:spPr>
        <a:xfrm>
          <a:off x="3291218" y="3667547"/>
          <a:ext cx="10482580" cy="1502510"/>
        </a:xfrm>
        <a:prstGeom prst="rect">
          <a:avLst/>
        </a:prstGeom>
      </xdr:spPr>
    </xdr:pic>
    <xdr:clientData/>
  </xdr:twoCellAnchor>
  <xdr:twoCellAnchor editAs="oneCell">
    <xdr:from>
      <xdr:col>3</xdr:col>
      <xdr:colOff>71580</xdr:colOff>
      <xdr:row>40</xdr:row>
      <xdr:rowOff>85536</xdr:rowOff>
    </xdr:from>
    <xdr:to>
      <xdr:col>18</xdr:col>
      <xdr:colOff>295971</xdr:colOff>
      <xdr:row>53</xdr:row>
      <xdr:rowOff>85536</xdr:rowOff>
    </xdr:to>
    <xdr:pic>
      <xdr:nvPicPr>
        <xdr:cNvPr id="7" name="图片 6">
          <a:extLst>
            <a:ext uri="{FF2B5EF4-FFF2-40B4-BE49-F238E27FC236}">
              <a16:creationId xmlns:a16="http://schemas.microsoft.com/office/drawing/2014/main" id="{1FD40480-1702-430B-B34F-7C1AC7C42EFC}"/>
            </a:ext>
          </a:extLst>
        </xdr:cNvPr>
        <xdr:cNvPicPr>
          <a:picLocks noChangeAspect="1"/>
        </xdr:cNvPicPr>
      </xdr:nvPicPr>
      <xdr:blipFill>
        <a:blip xmlns:r="http://schemas.openxmlformats.org/officeDocument/2006/relationships" r:embed="rId3"/>
        <a:stretch>
          <a:fillRect/>
        </a:stretch>
      </xdr:blipFill>
      <xdr:spPr>
        <a:xfrm>
          <a:off x="3172589" y="6804388"/>
          <a:ext cx="10305651" cy="2239618"/>
        </a:xfrm>
        <a:prstGeom prst="rect">
          <a:avLst/>
        </a:prstGeom>
      </xdr:spPr>
    </xdr:pic>
    <xdr:clientData/>
  </xdr:twoCellAnchor>
  <xdr:twoCellAnchor editAs="oneCell">
    <xdr:from>
      <xdr:col>3</xdr:col>
      <xdr:colOff>189818</xdr:colOff>
      <xdr:row>56</xdr:row>
      <xdr:rowOff>16372</xdr:rowOff>
    </xdr:from>
    <xdr:to>
      <xdr:col>17</xdr:col>
      <xdr:colOff>424694</xdr:colOff>
      <xdr:row>76</xdr:row>
      <xdr:rowOff>106853</xdr:rowOff>
    </xdr:to>
    <xdr:pic>
      <xdr:nvPicPr>
        <xdr:cNvPr id="9" name="图片 8">
          <a:extLst>
            <a:ext uri="{FF2B5EF4-FFF2-40B4-BE49-F238E27FC236}">
              <a16:creationId xmlns:a16="http://schemas.microsoft.com/office/drawing/2014/main" id="{DAAD6733-C6F6-4829-8AFA-E840035E068F}"/>
            </a:ext>
          </a:extLst>
        </xdr:cNvPr>
        <xdr:cNvPicPr>
          <a:picLocks noChangeAspect="1"/>
        </xdr:cNvPicPr>
      </xdr:nvPicPr>
      <xdr:blipFill>
        <a:blip xmlns:r="http://schemas.openxmlformats.org/officeDocument/2006/relationships" r:embed="rId4"/>
        <a:stretch>
          <a:fillRect/>
        </a:stretch>
      </xdr:blipFill>
      <xdr:spPr>
        <a:xfrm>
          <a:off x="3290827" y="9491676"/>
          <a:ext cx="8982636" cy="3536047"/>
        </a:xfrm>
        <a:prstGeom prst="rect">
          <a:avLst/>
        </a:prstGeom>
      </xdr:spPr>
    </xdr:pic>
    <xdr:clientData/>
  </xdr:twoCellAnchor>
  <xdr:twoCellAnchor editAs="oneCell">
    <xdr:from>
      <xdr:col>3</xdr:col>
      <xdr:colOff>121137</xdr:colOff>
      <xdr:row>80</xdr:row>
      <xdr:rowOff>53182</xdr:rowOff>
    </xdr:from>
    <xdr:to>
      <xdr:col>14</xdr:col>
      <xdr:colOff>591590</xdr:colOff>
      <xdr:row>102</xdr:row>
      <xdr:rowOff>75883</xdr:rowOff>
    </xdr:to>
    <xdr:pic>
      <xdr:nvPicPr>
        <xdr:cNvPr id="2" name="图片 1">
          <a:extLst>
            <a:ext uri="{FF2B5EF4-FFF2-40B4-BE49-F238E27FC236}">
              <a16:creationId xmlns:a16="http://schemas.microsoft.com/office/drawing/2014/main" id="{E47D252D-31FB-4BEB-89D2-79008FFCB16C}"/>
            </a:ext>
          </a:extLst>
        </xdr:cNvPr>
        <xdr:cNvPicPr>
          <a:picLocks noChangeAspect="1"/>
        </xdr:cNvPicPr>
      </xdr:nvPicPr>
      <xdr:blipFill>
        <a:blip xmlns:r="http://schemas.openxmlformats.org/officeDocument/2006/relationships" r:embed="rId5"/>
        <a:stretch>
          <a:fillRect/>
        </a:stretch>
      </xdr:blipFill>
      <xdr:spPr>
        <a:xfrm>
          <a:off x="3222477" y="13898722"/>
          <a:ext cx="7176053" cy="3878421"/>
        </a:xfrm>
        <a:prstGeom prst="rect">
          <a:avLst/>
        </a:prstGeom>
      </xdr:spPr>
    </xdr:pic>
    <xdr:clientData/>
  </xdr:twoCellAnchor>
  <xdr:twoCellAnchor editAs="oneCell">
    <xdr:from>
      <xdr:col>3</xdr:col>
      <xdr:colOff>397208</xdr:colOff>
      <xdr:row>118</xdr:row>
      <xdr:rowOff>152400</xdr:rowOff>
    </xdr:from>
    <xdr:to>
      <xdr:col>10</xdr:col>
      <xdr:colOff>404876</xdr:colOff>
      <xdr:row>138</xdr:row>
      <xdr:rowOff>172288</xdr:rowOff>
    </xdr:to>
    <xdr:pic>
      <xdr:nvPicPr>
        <xdr:cNvPr id="4" name="图片 3">
          <a:extLst>
            <a:ext uri="{FF2B5EF4-FFF2-40B4-BE49-F238E27FC236}">
              <a16:creationId xmlns:a16="http://schemas.microsoft.com/office/drawing/2014/main" id="{78FAE775-95CA-438D-8D67-0D5BAEE12618}"/>
            </a:ext>
          </a:extLst>
        </xdr:cNvPr>
        <xdr:cNvPicPr>
          <a:picLocks noChangeAspect="1"/>
        </xdr:cNvPicPr>
      </xdr:nvPicPr>
      <xdr:blipFill>
        <a:blip xmlns:r="http://schemas.openxmlformats.org/officeDocument/2006/relationships" r:embed="rId6"/>
        <a:stretch>
          <a:fillRect/>
        </a:stretch>
      </xdr:blipFill>
      <xdr:spPr>
        <a:xfrm>
          <a:off x="3498548" y="20657820"/>
          <a:ext cx="4274868" cy="3525088"/>
        </a:xfrm>
        <a:prstGeom prst="rect">
          <a:avLst/>
        </a:prstGeom>
      </xdr:spPr>
    </xdr:pic>
    <xdr:clientData/>
  </xdr:twoCellAnchor>
  <xdr:twoCellAnchor editAs="oneCell">
    <xdr:from>
      <xdr:col>0</xdr:col>
      <xdr:colOff>137160</xdr:colOff>
      <xdr:row>244</xdr:row>
      <xdr:rowOff>167640</xdr:rowOff>
    </xdr:from>
    <xdr:to>
      <xdr:col>19</xdr:col>
      <xdr:colOff>281940</xdr:colOff>
      <xdr:row>262</xdr:row>
      <xdr:rowOff>91440</xdr:rowOff>
    </xdr:to>
    <xdr:pic>
      <xdr:nvPicPr>
        <xdr:cNvPr id="8" name="图片 7">
          <a:extLst>
            <a:ext uri="{FF2B5EF4-FFF2-40B4-BE49-F238E27FC236}">
              <a16:creationId xmlns:a16="http://schemas.microsoft.com/office/drawing/2014/main" id="{7D7E48B2-6464-494D-895C-40728738E54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7160" y="167640"/>
          <a:ext cx="15140940" cy="3078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36</xdr:row>
      <xdr:rowOff>0</xdr:rowOff>
    </xdr:from>
    <xdr:to>
      <xdr:col>5</xdr:col>
      <xdr:colOff>304800</xdr:colOff>
      <xdr:row>37</xdr:row>
      <xdr:rowOff>129540</xdr:rowOff>
    </xdr:to>
    <xdr:sp macro="" textlink="">
      <xdr:nvSpPr>
        <xdr:cNvPr id="7170" name="AutoShape 2">
          <a:extLst>
            <a:ext uri="{FF2B5EF4-FFF2-40B4-BE49-F238E27FC236}">
              <a16:creationId xmlns:a16="http://schemas.microsoft.com/office/drawing/2014/main" id="{5D744BA2-9559-485A-89B0-BB928F2E0E2D}"/>
            </a:ext>
          </a:extLst>
        </xdr:cNvPr>
        <xdr:cNvSpPr>
          <a:spLocks noChangeAspect="1" noChangeArrowheads="1"/>
        </xdr:cNvSpPr>
      </xdr:nvSpPr>
      <xdr:spPr bwMode="auto">
        <a:xfrm>
          <a:off x="5387340" y="651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15</xdr:row>
      <xdr:rowOff>0</xdr:rowOff>
    </xdr:from>
    <xdr:to>
      <xdr:col>5</xdr:col>
      <xdr:colOff>304800</xdr:colOff>
      <xdr:row>16</xdr:row>
      <xdr:rowOff>114300</xdr:rowOff>
    </xdr:to>
    <xdr:sp macro="" textlink="">
      <xdr:nvSpPr>
        <xdr:cNvPr id="7171" name="AutoShape 3">
          <a:extLst>
            <a:ext uri="{FF2B5EF4-FFF2-40B4-BE49-F238E27FC236}">
              <a16:creationId xmlns:a16="http://schemas.microsoft.com/office/drawing/2014/main" id="{216446B5-5368-41A1-98F7-22D0E2CEBB84}"/>
            </a:ext>
          </a:extLst>
        </xdr:cNvPr>
        <xdr:cNvSpPr>
          <a:spLocks noChangeAspect="1" noChangeArrowheads="1"/>
        </xdr:cNvSpPr>
      </xdr:nvSpPr>
      <xdr:spPr bwMode="auto">
        <a:xfrm>
          <a:off x="5387340" y="2804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36</xdr:row>
      <xdr:rowOff>0</xdr:rowOff>
    </xdr:from>
    <xdr:to>
      <xdr:col>5</xdr:col>
      <xdr:colOff>304800</xdr:colOff>
      <xdr:row>37</xdr:row>
      <xdr:rowOff>129540</xdr:rowOff>
    </xdr:to>
    <xdr:sp macro="" textlink="">
      <xdr:nvSpPr>
        <xdr:cNvPr id="2" name="AutoShape 2">
          <a:extLst>
            <a:ext uri="{FF2B5EF4-FFF2-40B4-BE49-F238E27FC236}">
              <a16:creationId xmlns:a16="http://schemas.microsoft.com/office/drawing/2014/main" id="{78D18265-6B7F-40AA-AB51-5BA8306B6D22}"/>
            </a:ext>
          </a:extLst>
        </xdr:cNvPr>
        <xdr:cNvSpPr>
          <a:spLocks noChangeAspect="1" noChangeArrowheads="1"/>
        </xdr:cNvSpPr>
      </xdr:nvSpPr>
      <xdr:spPr bwMode="auto">
        <a:xfrm>
          <a:off x="5387340" y="6522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15</xdr:row>
      <xdr:rowOff>0</xdr:rowOff>
    </xdr:from>
    <xdr:to>
      <xdr:col>5</xdr:col>
      <xdr:colOff>304800</xdr:colOff>
      <xdr:row>16</xdr:row>
      <xdr:rowOff>129540</xdr:rowOff>
    </xdr:to>
    <xdr:sp macro="" textlink="">
      <xdr:nvSpPr>
        <xdr:cNvPr id="3" name="AutoShape 3">
          <a:extLst>
            <a:ext uri="{FF2B5EF4-FFF2-40B4-BE49-F238E27FC236}">
              <a16:creationId xmlns:a16="http://schemas.microsoft.com/office/drawing/2014/main" id="{4878615F-5822-4238-B526-C019EDE69132}"/>
            </a:ext>
          </a:extLst>
        </xdr:cNvPr>
        <xdr:cNvSpPr>
          <a:spLocks noChangeAspect="1" noChangeArrowheads="1"/>
        </xdr:cNvSpPr>
      </xdr:nvSpPr>
      <xdr:spPr bwMode="auto">
        <a:xfrm>
          <a:off x="5387340" y="2796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31</xdr:col>
      <xdr:colOff>0</xdr:colOff>
      <xdr:row>181</xdr:row>
      <xdr:rowOff>0</xdr:rowOff>
    </xdr:from>
    <xdr:to>
      <xdr:col>31</xdr:col>
      <xdr:colOff>304800</xdr:colOff>
      <xdr:row>182</xdr:row>
      <xdr:rowOff>121920</xdr:rowOff>
    </xdr:to>
    <xdr:sp macro="" textlink="">
      <xdr:nvSpPr>
        <xdr:cNvPr id="9221" name="AutoShape 5">
          <a:extLst>
            <a:ext uri="{FF2B5EF4-FFF2-40B4-BE49-F238E27FC236}">
              <a16:creationId xmlns:a16="http://schemas.microsoft.com/office/drawing/2014/main" id="{B5223BA7-75C4-43AD-880D-AB7FBC729AA2}"/>
            </a:ext>
          </a:extLst>
        </xdr:cNvPr>
        <xdr:cNvSpPr>
          <a:spLocks noChangeAspect="1" noChangeArrowheads="1"/>
        </xdr:cNvSpPr>
      </xdr:nvSpPr>
      <xdr:spPr bwMode="auto">
        <a:xfrm>
          <a:off x="32240220" y="31912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31</xdr:col>
      <xdr:colOff>312420</xdr:colOff>
      <xdr:row>181</xdr:row>
      <xdr:rowOff>0</xdr:rowOff>
    </xdr:from>
    <xdr:to>
      <xdr:col>32</xdr:col>
      <xdr:colOff>7620</xdr:colOff>
      <xdr:row>182</xdr:row>
      <xdr:rowOff>121920</xdr:rowOff>
    </xdr:to>
    <xdr:sp macro="" textlink="">
      <xdr:nvSpPr>
        <xdr:cNvPr id="9222" name="AutoShape 6">
          <a:extLst>
            <a:ext uri="{FF2B5EF4-FFF2-40B4-BE49-F238E27FC236}">
              <a16:creationId xmlns:a16="http://schemas.microsoft.com/office/drawing/2014/main" id="{C7B21626-49EC-443C-B9C9-91B3DD1F028E}"/>
            </a:ext>
          </a:extLst>
        </xdr:cNvPr>
        <xdr:cNvSpPr>
          <a:spLocks noChangeAspect="1" noChangeArrowheads="1"/>
        </xdr:cNvSpPr>
      </xdr:nvSpPr>
      <xdr:spPr bwMode="auto">
        <a:xfrm>
          <a:off x="32552640" y="31912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31</xdr:col>
      <xdr:colOff>0</xdr:colOff>
      <xdr:row>196</xdr:row>
      <xdr:rowOff>0</xdr:rowOff>
    </xdr:from>
    <xdr:to>
      <xdr:col>31</xdr:col>
      <xdr:colOff>304800</xdr:colOff>
      <xdr:row>197</xdr:row>
      <xdr:rowOff>129540</xdr:rowOff>
    </xdr:to>
    <xdr:sp macro="" textlink="">
      <xdr:nvSpPr>
        <xdr:cNvPr id="9223" name="AutoShape 7">
          <a:extLst>
            <a:ext uri="{FF2B5EF4-FFF2-40B4-BE49-F238E27FC236}">
              <a16:creationId xmlns:a16="http://schemas.microsoft.com/office/drawing/2014/main" id="{C45E434C-8BCD-4D7E-8639-D44160148432}"/>
            </a:ext>
          </a:extLst>
        </xdr:cNvPr>
        <xdr:cNvSpPr>
          <a:spLocks noChangeAspect="1" noChangeArrowheads="1"/>
        </xdr:cNvSpPr>
      </xdr:nvSpPr>
      <xdr:spPr bwMode="auto">
        <a:xfrm>
          <a:off x="32240220" y="34610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31</xdr:col>
      <xdr:colOff>312420</xdr:colOff>
      <xdr:row>196</xdr:row>
      <xdr:rowOff>0</xdr:rowOff>
    </xdr:from>
    <xdr:to>
      <xdr:col>32</xdr:col>
      <xdr:colOff>7620</xdr:colOff>
      <xdr:row>197</xdr:row>
      <xdr:rowOff>129540</xdr:rowOff>
    </xdr:to>
    <xdr:sp macro="" textlink="">
      <xdr:nvSpPr>
        <xdr:cNvPr id="9224" name="AutoShape 8">
          <a:extLst>
            <a:ext uri="{FF2B5EF4-FFF2-40B4-BE49-F238E27FC236}">
              <a16:creationId xmlns:a16="http://schemas.microsoft.com/office/drawing/2014/main" id="{F8DD298B-136F-4C80-92B1-591B8C469D94}"/>
            </a:ext>
          </a:extLst>
        </xdr:cNvPr>
        <xdr:cNvSpPr>
          <a:spLocks noChangeAspect="1" noChangeArrowheads="1"/>
        </xdr:cNvSpPr>
      </xdr:nvSpPr>
      <xdr:spPr bwMode="auto">
        <a:xfrm>
          <a:off x="32552640" y="34610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31</xdr:col>
      <xdr:colOff>125506</xdr:colOff>
      <xdr:row>372</xdr:row>
      <xdr:rowOff>134470</xdr:rowOff>
    </xdr:from>
    <xdr:to>
      <xdr:col>31</xdr:col>
      <xdr:colOff>430306</xdr:colOff>
      <xdr:row>374</xdr:row>
      <xdr:rowOff>84716</xdr:rowOff>
    </xdr:to>
    <xdr:sp macro="" textlink="">
      <xdr:nvSpPr>
        <xdr:cNvPr id="4099" name="AutoShape 3">
          <a:extLst>
            <a:ext uri="{FF2B5EF4-FFF2-40B4-BE49-F238E27FC236}">
              <a16:creationId xmlns:a16="http://schemas.microsoft.com/office/drawing/2014/main" id="{3A37B6EE-47AE-4AC8-81B8-C5C467A773E2}"/>
            </a:ext>
          </a:extLst>
        </xdr:cNvPr>
        <xdr:cNvSpPr>
          <a:spLocks noChangeAspect="1" noChangeArrowheads="1"/>
        </xdr:cNvSpPr>
      </xdr:nvSpPr>
      <xdr:spPr bwMode="auto">
        <a:xfrm>
          <a:off x="33599718" y="66831882"/>
          <a:ext cx="304800" cy="30883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32</xdr:col>
      <xdr:colOff>249667</xdr:colOff>
      <xdr:row>368</xdr:row>
      <xdr:rowOff>170329</xdr:rowOff>
    </xdr:from>
    <xdr:to>
      <xdr:col>32</xdr:col>
      <xdr:colOff>554467</xdr:colOff>
      <xdr:row>370</xdr:row>
      <xdr:rowOff>120574</xdr:rowOff>
    </xdr:to>
    <xdr:sp macro="" textlink="">
      <xdr:nvSpPr>
        <xdr:cNvPr id="4100" name="AutoShape 4">
          <a:extLst>
            <a:ext uri="{FF2B5EF4-FFF2-40B4-BE49-F238E27FC236}">
              <a16:creationId xmlns:a16="http://schemas.microsoft.com/office/drawing/2014/main" id="{BC195474-6F94-4365-9890-3D74017D3937}"/>
            </a:ext>
          </a:extLst>
        </xdr:cNvPr>
        <xdr:cNvSpPr>
          <a:spLocks noChangeAspect="1" noChangeArrowheads="1"/>
        </xdr:cNvSpPr>
      </xdr:nvSpPr>
      <xdr:spPr bwMode="auto">
        <a:xfrm>
          <a:off x="34333479" y="66150564"/>
          <a:ext cx="304800" cy="30883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32</xdr:col>
      <xdr:colOff>15240</xdr:colOff>
      <xdr:row>367</xdr:row>
      <xdr:rowOff>0</xdr:rowOff>
    </xdr:from>
    <xdr:to>
      <xdr:col>32</xdr:col>
      <xdr:colOff>320040</xdr:colOff>
      <xdr:row>368</xdr:row>
      <xdr:rowOff>129540</xdr:rowOff>
    </xdr:to>
    <xdr:sp macro="" textlink="">
      <xdr:nvSpPr>
        <xdr:cNvPr id="4101" name="AutoShape 5">
          <a:extLst>
            <a:ext uri="{FF2B5EF4-FFF2-40B4-BE49-F238E27FC236}">
              <a16:creationId xmlns:a16="http://schemas.microsoft.com/office/drawing/2014/main" id="{BAA205A6-56B2-4B1F-A400-FE54B2AC074E}"/>
            </a:ext>
          </a:extLst>
        </xdr:cNvPr>
        <xdr:cNvSpPr>
          <a:spLocks noChangeAspect="1" noChangeArrowheads="1"/>
        </xdr:cNvSpPr>
      </xdr:nvSpPr>
      <xdr:spPr bwMode="auto">
        <a:xfrm>
          <a:off x="33169860" y="65135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13</xdr:col>
      <xdr:colOff>38101</xdr:colOff>
      <xdr:row>19</xdr:row>
      <xdr:rowOff>39811</xdr:rowOff>
    </xdr:to>
    <xdr:pic>
      <xdr:nvPicPr>
        <xdr:cNvPr id="3" name="图片 2">
          <a:extLst>
            <a:ext uri="{FF2B5EF4-FFF2-40B4-BE49-F238E27FC236}">
              <a16:creationId xmlns:a16="http://schemas.microsoft.com/office/drawing/2014/main" id="{7D399DA7-B699-4C12-B842-EB86226CD3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16573500" cy="336975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27</xdr:col>
      <xdr:colOff>83821</xdr:colOff>
      <xdr:row>19</xdr:row>
      <xdr:rowOff>39811</xdr:rowOff>
    </xdr:to>
    <xdr:pic>
      <xdr:nvPicPr>
        <xdr:cNvPr id="2" name="图片 1">
          <a:extLst>
            <a:ext uri="{FF2B5EF4-FFF2-40B4-BE49-F238E27FC236}">
              <a16:creationId xmlns:a16="http://schemas.microsoft.com/office/drawing/2014/main" id="{D62CBF9A-CDCF-49FF-AB82-73227CE97E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16573500" cy="336975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7DD409-0CFE-47E3-975B-EF9E28C00A44}" name="表2_5462" displayName="表2_5462" ref="A268:AS301" totalsRowShown="0" headerRowDxfId="143" dataDxfId="142">
  <autoFilter ref="A268:AS301" xr:uid="{FC7DD409-0CFE-47E3-975B-EF9E28C00A44}"/>
  <tableColumns count="45">
    <tableColumn id="1" xr3:uid="{FF8BBDC4-8748-4B12-ABD9-40EC29C00945}" name="列1" dataDxfId="141"/>
    <tableColumn id="2" xr3:uid="{A2E4E235-A00B-4E1C-B19C-BF3DC9E69D75}" name="列2" dataDxfId="140">
      <calculatedColumnFormula>PRODUCT(Y269:Z269,AC269,AI269:AS269)</calculatedColumnFormula>
    </tableColumn>
    <tableColumn id="3" xr3:uid="{BC26D69C-F271-4CB5-9E47-A2CD9C051059}" name="列3" dataDxfId="139">
      <calculatedColumnFormula>B269+D269*AA269</calculatedColumnFormula>
    </tableColumn>
    <tableColumn id="4" xr3:uid="{1657703E-24DF-4F1C-9819-88E7E492C4CB}" name="列4" dataDxfId="138">
      <calculatedColumnFormula>PRODUCT(Y269:Z269,AB269:AC269,AI269:AS269)</calculatedColumnFormula>
    </tableColumn>
    <tableColumn id="5" xr3:uid="{0A5FEC14-16D6-4626-9084-3D1104D6C0FF}" name="列5" dataDxfId="137"/>
    <tableColumn id="6" xr3:uid="{A81EC70E-14C9-4CF1-A30D-36062E5047EE}" name="buff图标" dataDxfId="136"/>
    <tableColumn id="7" xr3:uid="{EB929BF7-24DE-4BEB-82C9-7FB0BC4D71C6}" name="列6" dataDxfId="135"/>
    <tableColumn id="8" xr3:uid="{FA0DF55C-0F74-4FDF-AF1F-C3153D3C9AA4}" name="列7" dataDxfId="134"/>
    <tableColumn id="9" xr3:uid="{23E87C0D-76D1-4C12-B785-272D0FF90E6E}" name="列8" dataDxfId="133"/>
    <tableColumn id="10" xr3:uid="{7A4FA767-9D16-4982-BCD2-824F5E473004}" name="列9" dataDxfId="132"/>
    <tableColumn id="11" xr3:uid="{4B84ACE4-EC9F-4468-84E1-EC3055090F4C}" name="列10" dataDxfId="131"/>
    <tableColumn id="12" xr3:uid="{72B16139-58E9-40F7-9D35-5B66E4262EAC}" name="列11" dataDxfId="130"/>
    <tableColumn id="13" xr3:uid="{D1B29D2F-AC25-4F7F-9A94-0C8581B27091}" name="列12" dataDxfId="129"/>
    <tableColumn id="14" xr3:uid="{F164D482-17BC-474D-A52B-81FD56A2E336}" name="列13" dataDxfId="128"/>
    <tableColumn id="15" xr3:uid="{064F6B93-EE2F-47EB-BBEE-0DA2F04B42D7}" name="列14" dataDxfId="127"/>
    <tableColumn id="16" xr3:uid="{B34D370D-8C7D-4358-97C1-12B0AE3EEB43}" name="列15" dataDxfId="126"/>
    <tableColumn id="17" xr3:uid="{1CB083DE-3E54-47CE-BC55-100F51F11B7A}" name="列16" dataDxfId="125"/>
    <tableColumn id="18" xr3:uid="{47A2E402-5067-4B38-B744-961C6797C7F9}" name="列17" dataDxfId="124"/>
    <tableColumn id="19" xr3:uid="{2896C1F8-186D-444E-B57B-FBFC9F7D12E7}" name="列18" dataDxfId="123"/>
    <tableColumn id="20" xr3:uid="{B8F9A124-6B03-4D51-B95D-54843AEB968F}" name="列19" dataDxfId="122"/>
    <tableColumn id="21" xr3:uid="{DCD4FCE7-B714-4FCE-B746-8F3AD765F6B8}" name="攻击计算器" dataDxfId="121">
      <calculatedColumnFormula xml:space="preserve"> IFERROR(VLOOKUP($A269,$A$88:$J$123,MATCH(U$26,$A$88:$J$88,0), FALSE), 0) *
    (LEN($A269) &gt; 0)</calculatedColumnFormula>
    </tableColumn>
    <tableColumn id="22" xr3:uid="{E92936F5-2D34-49B8-9D6D-BFA3B6C5BB67}" name="列20" dataDxfId="120">
      <calculatedColumnFormula array="1" xml:space="preserve"> IFERROR(VLOOKUP($A269,$A$88:$J$123,MATCH(V$26,$A$88:$J$88,0), FALSE), 0) *
    (LEN($A269) &gt; 0)+SUMPRODUCT(
    IFERROR(VLOOKUP($G269:$T269, $B$88:$X$154,MATCH(V$26,$B$88:$X$88,0), FALSE), 0) *
    (LEN($G269:$T269) &gt; 0)
)</calculatedColumnFormula>
    </tableColumn>
    <tableColumn id="23" xr3:uid="{7B9E4DB2-A5EF-49F9-909B-EDF2BDEBAC14}" name="列21" dataDxfId="119">
      <calculatedColumnFormula xml:space="preserve"> IFERROR(VLOOKUP($A269,$A$88:$J$123,MATCH(W$26,$A$88:$J$88,0), FALSE), 0) *
    (LEN($A269) &gt; 0)</calculatedColumnFormula>
    </tableColumn>
    <tableColumn id="24" xr3:uid="{940B4C28-5062-43A6-ABBD-0D4771A83B47}" name="列22" dataDxfId="118">
      <calculatedColumnFormula xml:space="preserve"> IFERROR(VLOOKUP($A269,$A$88:$J$123,MATCH(X$26,$A$88:$J$88,0), FALSE), 0) *
    (LEN($A269) &gt; 0)</calculatedColumnFormula>
    </tableColumn>
    <tableColumn id="25" xr3:uid="{6E53E4F0-3C38-4B60-A474-A4344CC8E033}" name="列23" dataDxfId="117">
      <calculatedColumnFormula>(U269*(1+V269)+W269)*(1+X269)</calculatedColumnFormula>
    </tableColumn>
    <tableColumn id="26" xr3:uid="{9D7B8505-D413-4C25-87DF-22E0926BBD21}" name="面板乘区" dataDxfId="116">
      <calculatedColumnFormula xml:space="preserve"> IFERROR(VLOOKUP($A269,$A$88:$J$123,MATCH(Z$26,$A$88:$J$88,0), FALSE), 0) *
    (LEN($A269) &gt; 0)</calculatedColumnFormula>
    </tableColumn>
    <tableColumn id="27" xr3:uid="{2394518E-3BB9-4912-970A-F15E199A0134}" name="列24" dataDxfId="115">
      <calculatedColumnFormula array="1">SUMPRODUCT(
    IFERROR(VLOOKUP($G269:$T269, $B$88:$X$154,MATCH(AA$26,$B$88:$X$88,0), FALSE), 0) *
    (LEN($G269:$T269) &gt; 0)
)+IFERROR(VLOOKUP($A269,$A$88:$J$123,MATCH(AA$26,$A$88:$J$88,0), FALSE), 0) *
    (LEN($A269) &gt; 0)</calculatedColumnFormula>
    </tableColumn>
    <tableColumn id="28" xr3:uid="{4AF39CFB-C91A-493D-B21C-770C66C2FB01}" name="列25" dataDxfId="114">
      <calculatedColumnFormula array="1">1+SUMPRODUCT(
    IFERROR(VLOOKUP($G269:$T269, $B$88:$X$154,MATCH(AB$26,$B$88:$X$88,0), FALSE), 0) *
    (LEN($G269:$T269) &gt; 0)
)+IFERROR(VLOOKUP($A269,$A$88:$J$123,MATCH(AB$26,$A$88:$J$88,0), FALSE), 0) *
    (LEN($A269) &gt; 0)</calculatedColumnFormula>
    </tableColumn>
    <tableColumn id="29" xr3:uid="{8BBB0822-ECBF-4677-BA9E-B1FB37F37DB2}" name="列26" dataDxfId="113">
      <calculatedColumnFormula array="1">1+SUMPRODUCT(
    IFERROR(VLOOKUP($G269:$T269, $B$88:$X$154,MATCH(AC$26,$B$88:$X$88,0), FALSE), 0) *
    (LEN($G269:$T269) &gt; 0)
)</calculatedColumnFormula>
    </tableColumn>
    <tableColumn id="30" xr3:uid="{5318F3AE-ABCF-4F1C-A270-F13862E8C586}" name="伤害加成" dataDxfId="112">
      <calculatedColumnFormula array="1">SUMPRODUCT(
    IFERROR(VLOOKUP($G269:$T269, $B$88:$X$154,MATCH(AD$26,$B$88:$X$88,0), FALSE), 0) *
    (LEN($G269:$T269) &gt; 0)
)</calculatedColumnFormula>
    </tableColumn>
    <tableColumn id="31" xr3:uid="{05D362C8-E6CA-441B-983A-FF507661020D}" name="列27" dataDxfId="111">
      <calculatedColumnFormula array="1">SUMPRODUCT(
    IFERROR(VLOOKUP($G269:$T269, $B$88:$X$154,MATCH(AE$26,$B$88:$X$88,0), FALSE), 0) *
    (LEN($G269:$T269) &gt; 0)
)+IFERROR(VLOOKUP($A269,$A$89:$X$123,MATCH(AE$26,$A$88:$X$88,0), FALSE), 0) *
    (LEN($A269) &gt; 0)</calculatedColumnFormula>
    </tableColumn>
    <tableColumn id="32" xr3:uid="{225A807D-00CC-4ECC-83ED-EBE71B58ADB0}" name="列28" dataDxfId="110">
      <calculatedColumnFormula array="1">SUMPRODUCT(
    IFERROR(VLOOKUP($G269:$T269, $B$88:$X$154,MATCH(AF$26,$B$88:$X$88,0), FALSE), 0) *
    (LEN($G269:$T269) &gt; 0)
)+IFERROR(VLOOKUP($A269,$A$89:$X$123,MATCH(AF$26,$A$88:$X$88,0), FALSE), 0) *
    (LEN($A269) &gt; 0)</calculatedColumnFormula>
    </tableColumn>
    <tableColumn id="33" xr3:uid="{95D1785E-B171-4CD8-928E-29D46033E414}" name="列29" dataDxfId="109">
      <calculatedColumnFormula array="1">SUMPRODUCT(
    IFERROR(VLOOKUP($G269:$T269, $B$88:$X$154,MATCH(AG$26,$B$88:$X$88,0), FALSE), 0) *
    (LEN($G269:$T269) &gt; 0)
)+IFERROR(VLOOKUP($A269,$A$89:$X$123,MATCH(AG$26,$A$88:$X$88,0), FALSE), 0) *
    (LEN($A269) &gt; 0)</calculatedColumnFormula>
    </tableColumn>
    <tableColumn id="34" xr3:uid="{6DB8428B-59FD-4BE1-A1D5-5E0F9AA013CB}" name="列30" dataDxfId="108">
      <calculatedColumnFormula array="1">SUMPRODUCT(
    IFERROR(VLOOKUP($G269:$T269, $B$88:$X$154,MATCH(AH$26,$B$88:$X$88,0), FALSE), 0) *
    (LEN($G269:$T269) &gt; 0)
)+IFERROR(VLOOKUP($A269,$A$89:$X$123,MATCH(AH$26,$A$88:$X$88,0), FALSE), 0) *
    (LEN($A269) &gt; 0)</calculatedColumnFormula>
    </tableColumn>
    <tableColumn id="35" xr3:uid="{D7AACA05-02C1-4617-9F54-F22B57ADC07A}" name="列31" dataDxfId="107">
      <calculatedColumnFormula>1+AD269+IFERROR(HLOOKUP(RIGHT($A269,2),$AE$26:$AH$81,ROW()-1, FALSE), 0) *
    (LEN($A269) &gt; 0)</calculatedColumnFormula>
    </tableColumn>
    <tableColumn id="36" xr3:uid="{68A008BD-D496-4590-9D3B-08B219379C2B}" name="拐" dataDxfId="106">
      <calculatedColumnFormula array="1">1+SUMPRODUCT(
    IFERROR(VLOOKUP($G269:$T269, $B$88:$X$154,MATCH(AJ$26,$B$88:$X$88,0), FALSE), 0) *
    (LEN($G269:$T269) &gt; 0)
)</calculatedColumnFormula>
    </tableColumn>
    <tableColumn id="37" xr3:uid="{FB34CAE4-7035-460C-8A66-62AFE34F9BF0}" name="列32" dataDxfId="105">
      <calculatedColumnFormula array="1">1+SUMPRODUCT(
    IFERROR(VLOOKUP($G269:$T269, $B$88:$X$154,MATCH(AK$26,$B$88:$X$88,0), FALSE), 0) *
    (LEN($G269:$T269) &gt; 0)
)</calculatedColumnFormula>
    </tableColumn>
    <tableColumn id="38" xr3:uid="{71990A93-5A35-46B3-855D-93A1C0AEF5AC}" name="列33" dataDxfId="104">
      <calculatedColumnFormula array="1">1+SUMPRODUCT(
    IFERROR(VLOOKUP($G269:$T269, $B$88:$X$154,MATCH(AL$26,$B$88:$X$88,0), FALSE), 0) *
    (LEN($G269:$T269) &gt; 0)
)</calculatedColumnFormula>
    </tableColumn>
    <tableColumn id="39" xr3:uid="{7495AC55-3B23-4EB6-8F1F-ABF54FEC9288}" name="列34" dataDxfId="103">
      <calculatedColumnFormula array="1">1+SUMPRODUCT(
    IFERROR(VLOOKUP($G269:$T269, $B$88:$X$154,MATCH(AM$26,$B$88:$X$88,0), FALSE), 0) *
    (LEN($G269:$T269) &gt; 0)
)</calculatedColumnFormula>
    </tableColumn>
    <tableColumn id="40" xr3:uid="{94AF2797-E286-4E34-9B5A-2491F5CF7E68}" name="列35" dataDxfId="102">
      <calculatedColumnFormula array="1">1+SUMPRODUCT(
    IFERROR(VLOOKUP($G269:$T269, $B$88:$X$154,MATCH(AN$26,$B$88:$X$88,0), FALSE), 0) *
    (LEN($G269:$T269) &gt; 0)
)</calculatedColumnFormula>
    </tableColumn>
    <tableColumn id="41" xr3:uid="{E0A7E0F6-89FC-4D8B-8206-49677491B8D5}" name="列36" dataDxfId="101">
      <calculatedColumnFormula>IF($F269="是",1.3,1)</calculatedColumnFormula>
    </tableColumn>
    <tableColumn id="42" xr3:uid="{58D43F6D-C310-4A3F-8F4C-29753132934A}" name="列37" dataDxfId="100"/>
    <tableColumn id="43" xr3:uid="{68D57B11-7A69-468C-919F-8C4B7B3361CC}" name="敌人乘区" dataDxfId="99">
      <calculatedColumnFormula>0.5</calculatedColumnFormula>
    </tableColumn>
    <tableColumn id="44" xr3:uid="{22FDC2BD-25FE-45EF-99B6-6E777C0E8701}" name="列38" dataDxfId="98"/>
    <tableColumn id="45" xr3:uid="{314B8C31-4FDC-419B-AE93-575C8E4BB66B}" name="列39" dataDxfId="9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45CE81-0E88-439F-A5AD-298BDD8EBBBB}" name="表6_3" displayName="表6_3" ref="N249:U257" totalsRowShown="0" headerRowDxfId="96" dataDxfId="95">
  <autoFilter ref="N249:U257" xr:uid="{0B45CE81-0E88-439F-A5AD-298BDD8EBBBB}"/>
  <tableColumns count="8">
    <tableColumn id="1" xr3:uid="{CB267D2D-E930-4B56-8C58-DFC350A3C1EF}" name="单位/次数" dataDxfId="94"/>
    <tableColumn id="2" xr3:uid="{D2B97F86-F4A4-4A64-A3E1-D47889A45300}" name="干员战技返还技力" dataDxfId="93"/>
    <tableColumn id="3" xr3:uid="{1E803C59-2290-41A6-B4DC-25E90ABC7D23}" name="热启动爆发轴" dataDxfId="92"/>
    <tableColumn id="4" xr3:uid="{F7A9B774-397E-49C4-9428-CC5F7597235E}" name="充能轴" dataDxfId="91"/>
    <tableColumn id="5" xr3:uid="{E83D50AC-2BB3-4003-A350-BBD29E0AF3C0}" name="爆发轴" dataDxfId="90"/>
    <tableColumn id="6" xr3:uid="{AA0528FE-5363-4D1B-BF60-D2397523EB32}" name="干员所需大招能量" dataDxfId="89"/>
    <tableColumn id="7" xr3:uid="{283B708A-10B1-43B2-80C7-89488D65FDA1}" name="干员实际回能" dataDxfId="88"/>
    <tableColumn id="8" xr3:uid="{BC739E13-914E-46FC-AB3C-0AF0AD6D2F43}" name="干员充能阈值" dataDxfId="8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B910F16-D0D9-4145-8B0E-78740611CE17}" name="表2_5" displayName="表2_5" ref="A24:AS57" totalsRowShown="0" headerRowDxfId="86">
  <autoFilter ref="A24:AS57" xr:uid="{5B910F16-D0D9-4145-8B0E-78740611CE17}"/>
  <tableColumns count="45">
    <tableColumn id="1" xr3:uid="{697E033E-D680-4023-B9B5-C38BFA9610BB}" name="列1"/>
    <tableColumn id="2" xr3:uid="{A52E1225-0057-469E-B2CA-DBB9E8DE32F0}" name="列2">
      <calculatedColumnFormula>PRODUCT(Y25:Z25,AC25,AI25:AS25)</calculatedColumnFormula>
    </tableColumn>
    <tableColumn id="3" xr3:uid="{D7D99D0E-98C1-4999-B770-7FD75437E564}" name="列3">
      <calculatedColumnFormula>B25+D25*AA25</calculatedColumnFormula>
    </tableColumn>
    <tableColumn id="4" xr3:uid="{AA79F4D7-CE4B-4115-9947-434FDECEA9E5}" name="列4">
      <calculatedColumnFormula>PRODUCT(Y25:Z25,AB25:AC25,AI25:AS25)</calculatedColumnFormula>
    </tableColumn>
    <tableColumn id="5" xr3:uid="{F575D40E-3660-4412-88EB-82EB81BA7845}" name="列5" dataDxfId="85"/>
    <tableColumn id="6" xr3:uid="{2B67626A-2610-4BF8-A150-CC8827712118}" name="buff图标"/>
    <tableColumn id="7" xr3:uid="{6EFFB75C-03C9-437B-A62E-7A67998A2F13}" name="列6"/>
    <tableColumn id="8" xr3:uid="{1818FEAF-8C5D-4E92-979F-1D8BD23BFB15}" name="列7"/>
    <tableColumn id="9" xr3:uid="{810505A1-3700-4BCB-9AD9-D4276D03791C}" name="列8"/>
    <tableColumn id="10" xr3:uid="{FF6CCD65-0D28-4FE8-B92C-3BE8154C2FCC}" name="列9"/>
    <tableColumn id="11" xr3:uid="{191BDC81-7973-4C25-A581-E0793B590E2C}" name="列10"/>
    <tableColumn id="12" xr3:uid="{CC31569B-12D6-4876-87EA-8D278BCEC3D7}" name="列11"/>
    <tableColumn id="13" xr3:uid="{7842A661-F2BB-4374-B0DC-E93746AFFF4B}" name="列12"/>
    <tableColumn id="14" xr3:uid="{10DADA3D-FBC9-4E48-AC7C-9A602E204639}" name="列13"/>
    <tableColumn id="15" xr3:uid="{72604833-FE2E-4E86-BC3E-F27DD88003F3}" name="列14"/>
    <tableColumn id="16" xr3:uid="{0376AAC9-BED0-488F-9548-94E6E1AA7BAC}" name="列15"/>
    <tableColumn id="17" xr3:uid="{66C46EDE-1393-4CE7-B5E4-2E5B90CAB2F0}" name="列16"/>
    <tableColumn id="18" xr3:uid="{B148549A-4EB6-4A18-AF26-1216800AC64D}" name="列17"/>
    <tableColumn id="19" xr3:uid="{EFAC5F7D-673D-4F1F-8C1C-05F3F90DCA11}" name="列18"/>
    <tableColumn id="20" xr3:uid="{D57A1C6C-A6CE-4D6B-9C38-0AB054BF7CC6}" name="列19"/>
    <tableColumn id="21" xr3:uid="{013CF5A4-E6E4-4E85-A76B-6B6B2C54E3C9}" name="攻击计算器">
      <calculatedColumnFormula xml:space="preserve"> IFERROR(VLOOKUP($A25,$A$87:$J$122,MATCH(U$25,$A$87:$J$87,0), FALSE), 0) *
    (LEN($A25) &gt; 0)</calculatedColumnFormula>
    </tableColumn>
    <tableColumn id="22" xr3:uid="{776840BC-C5F0-4A09-BCDB-6034D6C45126}" name="列20">
      <calculatedColumnFormula array="1" xml:space="preserve"> IFERROR(VLOOKUP($A25,$A$87:$J$122,MATCH(V$25,$A$87:$J$87,0), FALSE), 0) *
    (LEN($A25) &gt; 0)+SUMPRODUCT(
    IFERROR(VLOOKUP($G25:$T25, $B$87:$X$153,MATCH(V$25,$B$87:$X$87,0), FALSE), 0) *
    (LEN($G25:$T25) &gt; 0)
)</calculatedColumnFormula>
    </tableColumn>
    <tableColumn id="23" xr3:uid="{57F7732C-FC8D-40E3-8A05-2FD3DC110944}" name="列21">
      <calculatedColumnFormula xml:space="preserve"> IFERROR(VLOOKUP($A25,$A$87:$J$122,MATCH(W$25,$A$87:$J$87,0), FALSE), 0) *
    (LEN($A25) &gt; 0)</calculatedColumnFormula>
    </tableColumn>
    <tableColumn id="24" xr3:uid="{FD223D8D-2546-4F99-A79F-7F1D1FFCA8EE}" name="列22">
      <calculatedColumnFormula xml:space="preserve"> IFERROR(VLOOKUP($A25,$A$87:$J$122,MATCH(X$25,$A$87:$J$87,0), FALSE), 0) *
    (LEN($A25) &gt; 0)</calculatedColumnFormula>
    </tableColumn>
    <tableColumn id="25" xr3:uid="{24B88D1E-8921-494F-A248-7A4E866F7480}" name="列23">
      <calculatedColumnFormula>(U25*(1+V25)+W25)*(1+X25)</calculatedColumnFormula>
    </tableColumn>
    <tableColumn id="26" xr3:uid="{6EEEC2D7-68C1-44E6-91BB-976803AB1AC9}" name="面板乘区">
      <calculatedColumnFormula xml:space="preserve"> IFERROR(VLOOKUP($A25,$A$87:$J$122,MATCH(Z$25,$A$87:$J$87,0), FALSE), 0) *
    (LEN($A25) &gt; 0)</calculatedColumnFormula>
    </tableColumn>
    <tableColumn id="27" xr3:uid="{7F70D2AB-C54B-4E82-B15A-225EDF0EAC31}" name="列24" dataDxfId="84">
      <calculatedColumnFormula array="1">SUMPRODUCT(
    IFERROR(VLOOKUP($G25:$T25, $B$87:$X$153,MATCH(AA$25,$B$87:$X$87,0), FALSE), 0) *
    (LEN($G25:$T25) &gt; 0)
)+IFERROR(VLOOKUP($A25,$A$87:$J$122,MATCH(AA$25,$A$87:$J$87,0), FALSE), 0) *
    (LEN($A25) &gt; 0)</calculatedColumnFormula>
    </tableColumn>
    <tableColumn id="28" xr3:uid="{460C3043-F2FB-432A-936F-6FFD204DC1F4}" name="列25" dataDxfId="83">
      <calculatedColumnFormula array="1">1+SUMPRODUCT(
    IFERROR(VLOOKUP($G25:$T25, $B$87:$X$153,MATCH(AB$25,$B$87:$X$87,0), FALSE), 0) *
    (LEN($G25:$T25) &gt; 0)
)+IFERROR(VLOOKUP($A25,$A$87:$J$122,MATCH(AB$25,$A$87:$J$87,0), FALSE), 0) *
    (LEN($A25) &gt; 0)</calculatedColumnFormula>
    </tableColumn>
    <tableColumn id="29" xr3:uid="{77FC6EE6-7F09-4557-9E07-16360612FAEA}" name="列26" dataDxfId="82">
      <calculatedColumnFormula array="1">1+SUMPRODUCT(
    IFERROR(VLOOKUP($G25:$T25, $B$87:$X$153,MATCH(AC$25,$B$87:$X$87,0), FALSE), 0) *
    (LEN($G25:$T25) &gt; 0)
)</calculatedColumnFormula>
    </tableColumn>
    <tableColumn id="30" xr3:uid="{4F2745C6-FEAF-4DA0-8194-1C41CFDB7AC7}" name="伤害加成" dataDxfId="81">
      <calculatedColumnFormula array="1">SUMPRODUCT(
    IFERROR(VLOOKUP($G25:$T25, $B$87:$X$153,MATCH(AD$25,$B$87:$X$87,0), FALSE), 0) *
    (LEN($G25:$T25) &gt; 0)
)</calculatedColumnFormula>
    </tableColumn>
    <tableColumn id="31" xr3:uid="{C5663624-16D3-470E-AC7D-9A75B475EE6A}" name="列27" dataDxfId="80">
      <calculatedColumnFormula array="1">SUMPRODUCT(
    IFERROR(VLOOKUP($G25:$T25, $B$87:$X$153,MATCH(AE$25,$B$87:$X$87,0), FALSE), 0) *
    (LEN($G25:$T25) &gt; 0)
)+IFERROR(VLOOKUP($A25,$A$88:$X$122,MATCH(AE$25,$A$87:$X$87,0), FALSE), 0) *
    (LEN($A25) &gt; 0)</calculatedColumnFormula>
    </tableColumn>
    <tableColumn id="32" xr3:uid="{1C566704-1809-4F01-A1C4-DDCB350A7AA2}" name="列28" dataDxfId="79">
      <calculatedColumnFormula array="1">SUMPRODUCT(
    IFERROR(VLOOKUP($G25:$T25, $B$87:$X$153,MATCH(AF$25,$B$87:$X$87,0), FALSE), 0) *
    (LEN($G25:$T25) &gt; 0)
)+IFERROR(VLOOKUP($A25,$A$88:$X$122,MATCH(AF$25,$A$87:$X$87,0), FALSE), 0) *
    (LEN($A25) &gt; 0)</calculatedColumnFormula>
    </tableColumn>
    <tableColumn id="33" xr3:uid="{FE5D8719-4040-4C93-AB34-19001E657B5E}" name="列29" dataDxfId="78">
      <calculatedColumnFormula array="1">SUMPRODUCT(
    IFERROR(VLOOKUP($G25:$T25, $B$87:$X$153,MATCH(AG$25,$B$87:$X$87,0), FALSE), 0) *
    (LEN($G25:$T25) &gt; 0)
)+IFERROR(VLOOKUP($A25,$A$88:$X$122,MATCH(AG$25,$A$87:$X$87,0), FALSE), 0) *
    (LEN($A25) &gt; 0)</calculatedColumnFormula>
    </tableColumn>
    <tableColumn id="34" xr3:uid="{D314B9F5-7EFB-43FB-B7DA-34D54836CB0B}" name="列30" dataDxfId="77">
      <calculatedColumnFormula array="1">SUMPRODUCT(
    IFERROR(VLOOKUP($G25:$T25, $B$87:$X$153,MATCH(AH$25,$B$87:$X$87,0), FALSE), 0) *
    (LEN($G25:$T25) &gt; 0)
)+IFERROR(VLOOKUP($A25,$A$88:$X$122,MATCH(AH$25,$A$87:$X$87,0), FALSE), 0) *
    (LEN($A25) &gt; 0)</calculatedColumnFormula>
    </tableColumn>
    <tableColumn id="35" xr3:uid="{3901CE02-2E26-4EB7-99B1-A417372CEA7D}" name="列31" dataDxfId="76">
      <calculatedColumnFormula>1+AD25+IFERROR(HLOOKUP(RIGHT($A25,2),$AE$25:$AH$80,ROW()-1, FALSE), 0) *
    (LEN($A25) &gt; 0)</calculatedColumnFormula>
    </tableColumn>
    <tableColumn id="36" xr3:uid="{FFC22F39-B6F8-4E43-9483-F01F864E66C8}" name="拐" dataDxfId="75">
      <calculatedColumnFormula array="1">1+SUMPRODUCT(
    IFERROR(VLOOKUP($G25:$T25, $B$87:$X$153,MATCH(AJ$25,$B$87:$X$87,0), FALSE), 0) *
    (LEN($G25:$T25) &gt; 0)
)</calculatedColumnFormula>
    </tableColumn>
    <tableColumn id="37" xr3:uid="{EB59F57C-C9DD-4124-8557-E39D225AD501}" name="列32" dataDxfId="74">
      <calculatedColumnFormula array="1">1+SUMPRODUCT(
    IFERROR(VLOOKUP($G25:$T25, $B$87:$X$153,MATCH(AK$25,$B$87:$X$87,0), FALSE), 0) *
    (LEN($G25:$T25) &gt; 0)
)</calculatedColumnFormula>
    </tableColumn>
    <tableColumn id="38" xr3:uid="{AAC35828-9179-4A22-B781-1B6F30DF3773}" name="列33" dataDxfId="73">
      <calculatedColumnFormula array="1">1+SUMPRODUCT(
    IFERROR(VLOOKUP($G25:$T25, $B$87:$X$153,MATCH(AL$25,$B$87:$X$87,0), FALSE), 0) *
    (LEN($G25:$T25) &gt; 0)
)</calculatedColumnFormula>
    </tableColumn>
    <tableColumn id="39" xr3:uid="{062A7A25-3DED-44B3-884C-A605E68AFB5E}" name="列34" dataDxfId="72">
      <calculatedColumnFormula array="1">1+SUMPRODUCT(
    IFERROR(VLOOKUP($G25:$T25, $B$87:$X$153,MATCH(AM$25,$B$87:$X$87,0), FALSE), 0) *
    (LEN($G25:$T25) &gt; 0)
)</calculatedColumnFormula>
    </tableColumn>
    <tableColumn id="40" xr3:uid="{E863DC62-5795-4CAA-AD8D-F39F3F747AE0}" name="列35" dataDxfId="71">
      <calculatedColumnFormula array="1">1+SUMPRODUCT(
    IFERROR(VLOOKUP($G25:$T25, $B$87:$X$153,MATCH(AN$25,$B$87:$X$87,0), FALSE), 0) *
    (LEN($G25:$T25) &gt; 0)
)</calculatedColumnFormula>
    </tableColumn>
    <tableColumn id="41" xr3:uid="{7912879D-FB51-4B13-940A-D4FEEC1A579D}" name="列36" dataDxfId="70">
      <calculatedColumnFormula>IF($F25="是",1.3,1)</calculatedColumnFormula>
    </tableColumn>
    <tableColumn id="42" xr3:uid="{E623B79B-3BFB-4C4D-A125-0C993527D746}" name="列37" dataDxfId="69"/>
    <tableColumn id="43" xr3:uid="{FFAFA2FD-899F-493A-A1A3-05026BC287CA}" name="敌人乘区">
      <calculatedColumnFormula>0.5</calculatedColumnFormula>
    </tableColumn>
    <tableColumn id="44" xr3:uid="{2897F193-6D50-4BC8-9AC6-6626512903A4}" name="列38"/>
    <tableColumn id="45" xr3:uid="{DAB15C9F-F27B-4A13-BCA3-DFB5A6D33491}" name="列3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9ABA3DD-CB56-4A64-BD6C-BA54274C6A8A}" name="表2_546" displayName="表2_546" ref="A24:AS57" totalsRowShown="0" headerRowDxfId="64">
  <autoFilter ref="A24:AS57" xr:uid="{59ABA3DD-CB56-4A64-BD6C-BA54274C6A8A}"/>
  <tableColumns count="45">
    <tableColumn id="1" xr3:uid="{7187758A-6748-4618-AFA1-AC345B17BA12}" name="列1"/>
    <tableColumn id="2" xr3:uid="{B40B0CAB-2C0F-4E06-BC43-04C7182B97C9}" name="列2">
      <calculatedColumnFormula>PRODUCT(Y25:Z25,AC25,AI25:AS25)</calculatedColumnFormula>
    </tableColumn>
    <tableColumn id="3" xr3:uid="{A9D087A5-83AD-4EB5-BEF1-E5975E5D22CE}" name="列3">
      <calculatedColumnFormula>B25+D25*AA25</calculatedColumnFormula>
    </tableColumn>
    <tableColumn id="4" xr3:uid="{D7BB485E-D209-4846-B55E-EBA8F295073A}" name="列4">
      <calculatedColumnFormula>PRODUCT(Y25:Z25,AB25:AC25,AI25:AS25)</calculatedColumnFormula>
    </tableColumn>
    <tableColumn id="5" xr3:uid="{34D0B24C-958A-42FB-A4A9-73594AF5C27A}" name="列5" dataDxfId="63"/>
    <tableColumn id="6" xr3:uid="{81D127DE-E5D0-4984-BD4F-037CE68DEF30}" name="buff图标"/>
    <tableColumn id="7" xr3:uid="{D52EB480-E2F4-4AE4-8AAA-008D6027EFE6}" name="列6"/>
    <tableColumn id="8" xr3:uid="{7D29081E-7054-4A7F-8AED-77DD52737166}" name="列7"/>
    <tableColumn id="9" xr3:uid="{1CE98AF5-FF73-4C6C-90A1-34ADFE60DDE0}" name="列8"/>
    <tableColumn id="10" xr3:uid="{7F8E37B4-BE2B-4752-96BD-AB0C46ECD014}" name="列9"/>
    <tableColumn id="11" xr3:uid="{645EB147-FA2B-424A-9E97-B30897EAE8CD}" name="列10"/>
    <tableColumn id="12" xr3:uid="{4EC80B06-4866-4829-8E5E-D27FBD2FB0AD}" name="列11"/>
    <tableColumn id="13" xr3:uid="{50D4B898-84A6-4616-B2F2-60B70598A631}" name="列12"/>
    <tableColumn id="14" xr3:uid="{420A54A3-150D-4914-AC99-A44ADAD69E40}" name="列13"/>
    <tableColumn id="15" xr3:uid="{48F916FF-05AB-441F-A02F-2164AAC5A1A3}" name="列14"/>
    <tableColumn id="16" xr3:uid="{8C36CA71-DADE-4A4D-90D5-6585F81B49DB}" name="列15"/>
    <tableColumn id="17" xr3:uid="{286F1D25-93FE-40E9-A810-BF3AECB86355}" name="列16"/>
    <tableColumn id="18" xr3:uid="{609847EA-1C25-4B96-AF4A-B672661EA230}" name="列17"/>
    <tableColumn id="19" xr3:uid="{65776F06-1CB2-4B4D-8BF9-CEFA9DE2873C}" name="列18"/>
    <tableColumn id="20" xr3:uid="{9FB98CB8-5A2D-4246-805F-37044C306264}" name="列19"/>
    <tableColumn id="21" xr3:uid="{52D78975-468C-4790-A1FA-770A63C9FC9A}" name="攻击计算器">
      <calculatedColumnFormula xml:space="preserve"> IFERROR(VLOOKUP($A25,$A$87:$J$122,MATCH(U$25,$A$87:$J$87,0), FALSE), 0) *
    (LEN($A25) &gt; 0)</calculatedColumnFormula>
    </tableColumn>
    <tableColumn id="22" xr3:uid="{53106710-F886-48C1-88D2-15BD873BD0F5}" name="列20">
      <calculatedColumnFormula array="1" xml:space="preserve"> IFERROR(VLOOKUP($A25,$A$87:$J$122,MATCH(V$25,$A$87:$J$87,0), FALSE), 0) *
    (LEN($A25) &gt; 0)+SUMPRODUCT(
    IFERROR(VLOOKUP($G25:$T25, $B$87:$X$153,MATCH(V$25,$B$87:$X$87,0), FALSE), 0) *
    (LEN($G25:$T25) &gt; 0)
)</calculatedColumnFormula>
    </tableColumn>
    <tableColumn id="23" xr3:uid="{957903AE-015D-4B5C-96FB-B770D0D28280}" name="列21">
      <calculatedColumnFormula xml:space="preserve"> IFERROR(VLOOKUP($A25,$A$87:$J$122,MATCH(W$25,$A$87:$J$87,0), FALSE), 0) *
    (LEN($A25) &gt; 0)</calculatedColumnFormula>
    </tableColumn>
    <tableColumn id="24" xr3:uid="{C8A0CFB6-1824-4288-A80A-2560A16DC935}" name="列22">
      <calculatedColumnFormula xml:space="preserve"> IFERROR(VLOOKUP($A25,$A$87:$J$122,MATCH(X$25,$A$87:$J$87,0), FALSE), 0) *
    (LEN($A25) &gt; 0)</calculatedColumnFormula>
    </tableColumn>
    <tableColumn id="25" xr3:uid="{D13B4EC2-E44F-4E8B-8A17-6BE2E8098249}" name="列23">
      <calculatedColumnFormula>(U25*(1+V25)+W25)*(1+X25)</calculatedColumnFormula>
    </tableColumn>
    <tableColumn id="26" xr3:uid="{765D4DD2-0354-4C8D-8775-6379200C02BB}" name="面板乘区">
      <calculatedColumnFormula xml:space="preserve"> IFERROR(VLOOKUP($A25,$A$87:$J$122,MATCH(Z$25,$A$87:$J$87,0), FALSE), 0) *
    (LEN($A25) &gt; 0)</calculatedColumnFormula>
    </tableColumn>
    <tableColumn id="27" xr3:uid="{79DDA7FE-814A-4B49-B37D-FA9FB427FB3B}" name="列24" dataDxfId="62">
      <calculatedColumnFormula array="1">SUMPRODUCT(
    IFERROR(VLOOKUP($G25:$T25, $B$87:$X$153,MATCH(AA$25,$B$87:$X$87,0), FALSE), 0) *
    (LEN($G25:$T25) &gt; 0)
)+IFERROR(VLOOKUP($A25,$A$87:$J$122,MATCH(AA$25,$A$87:$J$87,0), FALSE), 0) *
    (LEN($A25) &gt; 0)</calculatedColumnFormula>
    </tableColumn>
    <tableColumn id="28" xr3:uid="{ABBCE8C8-D249-4A1E-AC65-9875CDF11759}" name="列25" dataDxfId="61">
      <calculatedColumnFormula array="1">1+SUMPRODUCT(
    IFERROR(VLOOKUP($G25:$T25, $B$87:$X$153,MATCH(AB$25,$B$87:$X$87,0), FALSE), 0) *
    (LEN($G25:$T25) &gt; 0)
)+IFERROR(VLOOKUP($A25,$A$87:$J$122,MATCH(AB$25,$A$87:$J$87,0), FALSE), 0) *
    (LEN($A25) &gt; 0)</calculatedColumnFormula>
    </tableColumn>
    <tableColumn id="29" xr3:uid="{6EDFF063-28F6-4240-867B-CFC0D7371EDC}" name="列26" dataDxfId="60">
      <calculatedColumnFormula array="1">1+SUMPRODUCT(
    IFERROR(VLOOKUP($G25:$T25, $B$87:$X$153,MATCH(AC$25,$B$87:$X$87,0), FALSE), 0) *
    (LEN($G25:$T25) &gt; 0)
)</calculatedColumnFormula>
    </tableColumn>
    <tableColumn id="30" xr3:uid="{823FD379-E766-480D-9173-2A80A8D70573}" name="伤害加成" dataDxfId="59">
      <calculatedColumnFormula array="1">SUMPRODUCT(
    IFERROR(VLOOKUP($G25:$T25, $B$87:$X$153,MATCH(AD$25,$B$87:$X$87,0), FALSE), 0) *
    (LEN($G25:$T25) &gt; 0)
)</calculatedColumnFormula>
    </tableColumn>
    <tableColumn id="31" xr3:uid="{613A52A8-DFA8-4B6D-BCB3-1E74D4FA6F41}" name="列27" dataDxfId="58">
      <calculatedColumnFormula array="1">SUMPRODUCT(
    IFERROR(VLOOKUP($G25:$T25, $B$87:$X$153,MATCH(AE$25,$B$87:$X$87,0), FALSE), 0) *
    (LEN($G25:$T25) &gt; 0)
)+IFERROR(VLOOKUP($A25,$A$88:$X$122,MATCH(AE$25,$A$87:$X$87,0), FALSE), 0) *
    (LEN($A25) &gt; 0)</calculatedColumnFormula>
    </tableColumn>
    <tableColumn id="32" xr3:uid="{8CB2BA66-4603-4801-92A6-A11E8C54E242}" name="列28" dataDxfId="57">
      <calculatedColumnFormula array="1">SUMPRODUCT(
    IFERROR(VLOOKUP($G25:$T25, $B$87:$X$153,MATCH(AF$25,$B$87:$X$87,0), FALSE), 0) *
    (LEN($G25:$T25) &gt; 0)
)+IFERROR(VLOOKUP($A25,$A$88:$X$122,MATCH(AF$25,$A$87:$X$87,0), FALSE), 0) *
    (LEN($A25) &gt; 0)</calculatedColumnFormula>
    </tableColumn>
    <tableColumn id="33" xr3:uid="{BF7E86CA-C44B-47D1-B0A4-EC5B62DED06F}" name="列29" dataDxfId="56">
      <calculatedColumnFormula array="1">SUMPRODUCT(
    IFERROR(VLOOKUP($G25:$T25, $B$87:$X$153,MATCH(AG$25,$B$87:$X$87,0), FALSE), 0) *
    (LEN($G25:$T25) &gt; 0)
)+IFERROR(VLOOKUP($A25,$A$88:$X$122,MATCH(AG$25,$A$87:$X$87,0), FALSE), 0) *
    (LEN($A25) &gt; 0)</calculatedColumnFormula>
    </tableColumn>
    <tableColumn id="34" xr3:uid="{225D1003-3B6C-4CCF-A047-E78E89501AF3}" name="列30" dataDxfId="55">
      <calculatedColumnFormula array="1">SUMPRODUCT(
    IFERROR(VLOOKUP($G25:$T25, $B$87:$X$153,MATCH(AH$25,$B$87:$X$87,0), FALSE), 0) *
    (LEN($G25:$T25) &gt; 0)
)+IFERROR(VLOOKUP($A25,$A$88:$X$122,MATCH(AH$25,$A$87:$X$87,0), FALSE), 0) *
    (LEN($A25) &gt; 0)</calculatedColumnFormula>
    </tableColumn>
    <tableColumn id="35" xr3:uid="{59D6BAED-6133-4254-BB71-B29FD9CFF8DD}" name="列31" dataDxfId="54">
      <calculatedColumnFormula>1+AD25+IFERROR(HLOOKUP(RIGHT($A25,2),$AE$25:$AH$80,ROW()-1, FALSE), 0) *
    (LEN($A25) &gt; 0)</calculatedColumnFormula>
    </tableColumn>
    <tableColumn id="36" xr3:uid="{309844EB-14AC-41CB-804E-92444BC98CEC}" name="拐" dataDxfId="53">
      <calculatedColumnFormula array="1">1+SUMPRODUCT(
    IFERROR(VLOOKUP($G25:$T25, $B$87:$X$153,MATCH(AJ$25,$B$87:$X$87,0), FALSE), 0) *
    (LEN($G25:$T25) &gt; 0)
)</calculatedColumnFormula>
    </tableColumn>
    <tableColumn id="37" xr3:uid="{ED1CC6ED-3FEE-4BF8-A0F9-0C94D6BD7CDE}" name="列32" dataDxfId="52">
      <calculatedColumnFormula array="1">1+SUMPRODUCT(
    IFERROR(VLOOKUP($G25:$T25, $B$87:$X$153,MATCH(AK$25,$B$87:$X$87,0), FALSE), 0) *
    (LEN($G25:$T25) &gt; 0)
)</calculatedColumnFormula>
    </tableColumn>
    <tableColumn id="38" xr3:uid="{3ACE8E52-3697-4724-A1CB-E522F4403D90}" name="列33" dataDxfId="51">
      <calculatedColumnFormula array="1">1+SUMPRODUCT(
    IFERROR(VLOOKUP($G25:$T25, $B$87:$X$153,MATCH(AL$25,$B$87:$X$87,0), FALSE), 0) *
    (LEN($G25:$T25) &gt; 0)
)</calculatedColumnFormula>
    </tableColumn>
    <tableColumn id="39" xr3:uid="{B77FD28D-C5D6-4386-A281-027E0043BC48}" name="列34" dataDxfId="50">
      <calculatedColumnFormula array="1">1+SUMPRODUCT(
    IFERROR(VLOOKUP($G25:$T25, $B$87:$X$153,MATCH(AM$25,$B$87:$X$87,0), FALSE), 0) *
    (LEN($G25:$T25) &gt; 0)
)</calculatedColumnFormula>
    </tableColumn>
    <tableColumn id="40" xr3:uid="{24050B98-ECEE-442B-AF38-F0ED0EB28B5C}" name="列35" dataDxfId="49">
      <calculatedColumnFormula array="1">1+SUMPRODUCT(
    IFERROR(VLOOKUP($G25:$T25, $B$87:$X$153,MATCH(AN$25,$B$87:$X$87,0), FALSE), 0) *
    (LEN($G25:$T25) &gt; 0)
)</calculatedColumnFormula>
    </tableColumn>
    <tableColumn id="41" xr3:uid="{95583098-2B78-4E87-AF29-65581A9F4287}" name="列36" dataDxfId="48">
      <calculatedColumnFormula>IF($F25="是",1.3,1)</calculatedColumnFormula>
    </tableColumn>
    <tableColumn id="42" xr3:uid="{910AA047-3CA9-4FF8-95D7-4CE0FB97C70F}" name="列37" dataDxfId="47"/>
    <tableColumn id="43" xr3:uid="{81F0D51F-68DF-4A96-B834-598EE1896774}" name="敌人乘区">
      <calculatedColumnFormula>0.5</calculatedColumnFormula>
    </tableColumn>
    <tableColumn id="44" xr3:uid="{D7A48DB5-F157-4530-BED6-5A92D8FFD606}" name="列38"/>
    <tableColumn id="45" xr3:uid="{98D76597-67BB-46F4-AAFB-E02C807E8B16}" name="列39"/>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48F9532-CC39-4325-8D38-C8238DA314C4}" name="表6" displayName="表6" ref="N5:U13" totalsRowShown="0">
  <autoFilter ref="N5:U13" xr:uid="{648F9532-CC39-4325-8D38-C8238DA314C4}"/>
  <tableColumns count="8">
    <tableColumn id="1" xr3:uid="{5DD844B4-000B-4F9D-A411-252EB1B7B74B}" name="单位/次数"/>
    <tableColumn id="2" xr3:uid="{230B9196-87CB-40E9-91DC-97887D7CFEEB}" name="干员战技返还技力"/>
    <tableColumn id="3" xr3:uid="{F33A2409-F5EC-4B53-9846-F06EC81B35A0}" name="热启动爆发轴"/>
    <tableColumn id="4" xr3:uid="{11DB8B09-BDAC-4710-80F6-3999895098E4}" name="充能轴"/>
    <tableColumn id="5" xr3:uid="{0F848815-CE7C-4E24-B495-4AD7A0D39B54}" name="爆发轴"/>
    <tableColumn id="6" xr3:uid="{3FDF3294-EB48-41C3-936C-66725C014B7B}" name="干员所需大招能量"/>
    <tableColumn id="7" xr3:uid="{16221BF4-F5E6-4F62-991A-F1C8E7E3D814}" name="干员实际回能"/>
    <tableColumn id="8" xr3:uid="{BEB71023-C864-4AB7-9FFF-AB74604FAE4A}" name="干员充能阈值" dataDxfId="4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C60F4F4-27CE-405D-882A-7B9542536A85}" name="表2_5464" displayName="表2_5464" ref="A24:AS57" totalsRowShown="0" headerRowDxfId="41">
  <autoFilter ref="A24:AS57" xr:uid="{2C60F4F4-27CE-405D-882A-7B9542536A85}"/>
  <tableColumns count="45">
    <tableColumn id="1" xr3:uid="{46216F36-A998-4259-B5FF-3BE7E76372B5}" name="列1"/>
    <tableColumn id="2" xr3:uid="{FE931B10-DA99-4BAD-AD20-427BD2BD2AEE}" name="列2">
      <calculatedColumnFormula>PRODUCT(Y25:Z25,AC25,AI25:AS25)</calculatedColumnFormula>
    </tableColumn>
    <tableColumn id="3" xr3:uid="{908C6E9A-665D-44E7-AB07-FCEE4E61F024}" name="列3">
      <calculatedColumnFormula>B25+D25*AA25</calculatedColumnFormula>
    </tableColumn>
    <tableColumn id="4" xr3:uid="{A444DDA9-8F05-4571-A255-D6339064395B}" name="列4">
      <calculatedColumnFormula>PRODUCT(Y25:Z25,AB25:AC25,AI25:AS25)</calculatedColumnFormula>
    </tableColumn>
    <tableColumn id="5" xr3:uid="{A98BBC14-3B97-4C8B-96F8-CA5618AF0B2A}" name="列5" dataDxfId="40"/>
    <tableColumn id="6" xr3:uid="{07863D1A-0E9B-4C16-BB45-E57AC49DDE49}" name="buff图标"/>
    <tableColumn id="7" xr3:uid="{05190FAA-18A5-4375-945F-6A4C8AAD9891}" name="列6"/>
    <tableColumn id="8" xr3:uid="{13735307-BC7B-4735-B051-F81E7B0DEF65}" name="列7"/>
    <tableColumn id="9" xr3:uid="{41FD6351-1EF0-4936-9600-CDD7A5371251}" name="列8"/>
    <tableColumn id="10" xr3:uid="{05736BD7-C0B6-42B7-9FB3-6F9EA0E10FE9}" name="列9"/>
    <tableColumn id="11" xr3:uid="{3DC7FC98-5DC1-4A9E-A14F-12BF726B7538}" name="列10"/>
    <tableColumn id="12" xr3:uid="{7094969F-88F0-4B2B-8BE3-0903536B737E}" name="列11"/>
    <tableColumn id="13" xr3:uid="{7D2457D9-2988-43C9-A9A1-694013D666B9}" name="列12"/>
    <tableColumn id="14" xr3:uid="{3E2B97F8-B3D2-439B-BB0A-00FD622FEA0F}" name="列13"/>
    <tableColumn id="15" xr3:uid="{FB84354C-08DD-4592-9B3C-CCF0CA8326FF}" name="列14"/>
    <tableColumn id="16" xr3:uid="{C93845AC-AE84-442A-ABED-D9DE3692CCCA}" name="列15"/>
    <tableColumn id="17" xr3:uid="{B02D00F0-6BDE-4544-804F-BE217F8A061F}" name="列16"/>
    <tableColumn id="18" xr3:uid="{70F97C20-A0F2-4DF4-8FFC-0E768910B34A}" name="列17"/>
    <tableColumn id="19" xr3:uid="{18B74462-94BF-4E22-B624-FECC4FADC17B}" name="列18"/>
    <tableColumn id="20" xr3:uid="{DB077485-51EC-4C9D-85BB-B03FB8D21344}" name="列19"/>
    <tableColumn id="21" xr3:uid="{7F6EA7F4-D0D6-4515-81FA-F9A15D8B8E89}" name="攻击计算器">
      <calculatedColumnFormula xml:space="preserve"> IFERROR(VLOOKUP($A25,$A$87:$J$122,MATCH(U$25,$A$87:$J$87,0), FALSE), 0) *
    (LEN($A25) &gt; 0)</calculatedColumnFormula>
    </tableColumn>
    <tableColumn id="22" xr3:uid="{16672FC9-6CC1-45A0-85C6-A24AA524DA23}" name="列20">
      <calculatedColumnFormula array="1" xml:space="preserve"> IFERROR(VLOOKUP($A25,$A$87:$J$122,MATCH(V$25,$A$87:$J$87,0), FALSE), 0) *
    (LEN($A25) &gt; 0)+SUMPRODUCT(
    IFERROR(VLOOKUP($G25:$T25, $B$87:$X$153,MATCH(V$25,$B$87:$X$87,0), FALSE), 0) *
    (LEN($G25:$T25) &gt; 0)
)</calculatedColumnFormula>
    </tableColumn>
    <tableColumn id="23" xr3:uid="{AF88D436-510C-4382-B665-0DDC47F65B06}" name="列21">
      <calculatedColumnFormula xml:space="preserve"> IFERROR(VLOOKUP($A25,$A$87:$J$122,MATCH(W$25,$A$87:$J$87,0), FALSE), 0) *
    (LEN($A25) &gt; 0)</calculatedColumnFormula>
    </tableColumn>
    <tableColumn id="24" xr3:uid="{25B7382B-1293-4C0F-8C00-67BAF6B93092}" name="列22">
      <calculatedColumnFormula xml:space="preserve"> IFERROR(VLOOKUP($A25,$A$87:$J$122,MATCH(X$25,$A$87:$J$87,0), FALSE), 0) *
    (LEN($A25) &gt; 0)</calculatedColumnFormula>
    </tableColumn>
    <tableColumn id="25" xr3:uid="{C6C12C76-5A60-4D34-BD86-3F3E72CB0E66}" name="列23">
      <calculatedColumnFormula>(U25*(1+V25)+W25)*(1+X25)</calculatedColumnFormula>
    </tableColumn>
    <tableColumn id="26" xr3:uid="{9CA7D58B-8A2B-4F6D-9EF3-162C147C5679}" name="面板乘区">
      <calculatedColumnFormula xml:space="preserve"> IFERROR(VLOOKUP($A25,$A$87:$J$122,MATCH(Z$25,$A$87:$J$87,0), FALSE), 0) *
    (LEN($A25) &gt; 0)</calculatedColumnFormula>
    </tableColumn>
    <tableColumn id="27" xr3:uid="{08A3AF33-701D-4081-9AF7-A8AF71871935}" name="列24" dataDxfId="39">
      <calculatedColumnFormula array="1">SUMPRODUCT(
    IFERROR(VLOOKUP($G25:$T25, $B$87:$X$153,MATCH(AA$25,$B$87:$X$87,0), FALSE), 0) *
    (LEN($G25:$T25) &gt; 0)
)+IFERROR(VLOOKUP($A25,$A$87:$J$122,MATCH(AA$25,$A$87:$J$87,0), FALSE), 0) *
    (LEN($A25) &gt; 0)</calculatedColumnFormula>
    </tableColumn>
    <tableColumn id="28" xr3:uid="{647DA1AA-94EF-41E1-9663-3275ABB61A89}" name="列25" dataDxfId="38">
      <calculatedColumnFormula array="1">1+SUMPRODUCT(
    IFERROR(VLOOKUP($G25:$T25, $B$87:$X$153,MATCH(AB$25,$B$87:$X$87,0), FALSE), 0) *
    (LEN($G25:$T25) &gt; 0)
)+IFERROR(VLOOKUP($A25,$A$87:$J$122,MATCH(AB$25,$A$87:$J$87,0), FALSE), 0) *
    (LEN($A25) &gt; 0)</calculatedColumnFormula>
    </tableColumn>
    <tableColumn id="29" xr3:uid="{8F8AB115-EB84-440A-BC1A-8F78EB50C64D}" name="列26" dataDxfId="37">
      <calculatedColumnFormula array="1">1+SUMPRODUCT(
    IFERROR(VLOOKUP($G25:$T25, $B$87:$X$153,MATCH(AC$25,$B$87:$X$87,0), FALSE), 0) *
    (LEN($G25:$T25) &gt; 0)
)</calculatedColumnFormula>
    </tableColumn>
    <tableColumn id="30" xr3:uid="{D0ED90B4-50FE-4CAD-BE87-3CD9F3314655}" name="伤害加成" dataDxfId="36">
      <calculatedColumnFormula array="1">SUMPRODUCT(
    IFERROR(VLOOKUP($G25:$T25, $B$87:$X$153,MATCH(AD$25,$B$87:$X$87,0), FALSE), 0) *
    (LEN($G25:$T25) &gt; 0)
)</calculatedColumnFormula>
    </tableColumn>
    <tableColumn id="31" xr3:uid="{8B56269D-839C-4989-90FA-C0807B4BB8CE}" name="列27" dataDxfId="35">
      <calculatedColumnFormula array="1">SUMPRODUCT(
    IFERROR(VLOOKUP($G25:$T25, $B$87:$X$153,MATCH(AE$25,$B$87:$X$87,0), FALSE), 0) *
    (LEN($G25:$T25) &gt; 0)
)+IFERROR(VLOOKUP($A25,$A$88:$X$122,MATCH(AE$25,$A$87:$X$87,0), FALSE), 0) *
    (LEN($A25) &gt; 0)</calculatedColumnFormula>
    </tableColumn>
    <tableColumn id="32" xr3:uid="{5FA7AF6A-0724-41F4-9145-71F523741F3A}" name="列28" dataDxfId="34">
      <calculatedColumnFormula array="1">SUMPRODUCT(
    IFERROR(VLOOKUP($G25:$T25, $B$87:$X$153,MATCH(AF$25,$B$87:$X$87,0), FALSE), 0) *
    (LEN($G25:$T25) &gt; 0)
)+IFERROR(VLOOKUP($A25,$A$88:$X$122,MATCH(AF$25,$A$87:$X$87,0), FALSE), 0) *
    (LEN($A25) &gt; 0)</calculatedColumnFormula>
    </tableColumn>
    <tableColumn id="33" xr3:uid="{B9C3735D-3F28-44CE-B8E9-B430CB6E487B}" name="列29" dataDxfId="33">
      <calculatedColumnFormula array="1">SUMPRODUCT(
    IFERROR(VLOOKUP($G25:$T25, $B$87:$X$153,MATCH(AG$25,$B$87:$X$87,0), FALSE), 0) *
    (LEN($G25:$T25) &gt; 0)
)+IFERROR(VLOOKUP($A25,$A$88:$X$122,MATCH(AG$25,$A$87:$X$87,0), FALSE), 0) *
    (LEN($A25) &gt; 0)</calculatedColumnFormula>
    </tableColumn>
    <tableColumn id="34" xr3:uid="{94C51C25-72E6-4179-AED5-220B9AE4B257}" name="列30" dataDxfId="32">
      <calculatedColumnFormula array="1">SUMPRODUCT(
    IFERROR(VLOOKUP($G25:$T25, $B$87:$X$153,MATCH(AH$25,$B$87:$X$87,0), FALSE), 0) *
    (LEN($G25:$T25) &gt; 0)
)+IFERROR(VLOOKUP($A25,$A$88:$X$122,MATCH(AH$25,$A$87:$X$87,0), FALSE), 0) *
    (LEN($A25) &gt; 0)</calculatedColumnFormula>
    </tableColumn>
    <tableColumn id="35" xr3:uid="{6026BE54-0F1D-4759-8DD3-AD84CDB2356E}" name="列31" dataDxfId="31">
      <calculatedColumnFormula>1+AD25+IFERROR(HLOOKUP(RIGHT($A25,2),$AE$25:$AH$80,ROW()-1, FALSE), 0) *
    (LEN($A25) &gt; 0)</calculatedColumnFormula>
    </tableColumn>
    <tableColumn id="36" xr3:uid="{5847C442-1EB5-49C0-84C2-9DCBDC736AF0}" name="拐" dataDxfId="30">
      <calculatedColumnFormula array="1">1+SUMPRODUCT(
    IFERROR(VLOOKUP($G25:$T25, $B$87:$X$153,MATCH(AJ$25,$B$87:$X$87,0), FALSE), 0) *
    (LEN($G25:$T25) &gt; 0)
)</calculatedColumnFormula>
    </tableColumn>
    <tableColumn id="37" xr3:uid="{ADB118F0-8179-430F-AC3F-F6F2B22D38DE}" name="列32" dataDxfId="29">
      <calculatedColumnFormula array="1">1+SUMPRODUCT(
    IFERROR(VLOOKUP($G25:$T25, $B$87:$X$153,MATCH(AK$25,$B$87:$X$87,0), FALSE), 0) *
    (LEN($G25:$T25) &gt; 0)
)</calculatedColumnFormula>
    </tableColumn>
    <tableColumn id="38" xr3:uid="{82FD2E21-F5C6-4BC0-88FB-F1B18A6714FD}" name="列33" dataDxfId="28">
      <calculatedColumnFormula array="1">1+SUMPRODUCT(
    IFERROR(VLOOKUP($G25:$T25, $B$87:$X$153,MATCH(AL$25,$B$87:$X$87,0), FALSE), 0) *
    (LEN($G25:$T25) &gt; 0)
)</calculatedColumnFormula>
    </tableColumn>
    <tableColumn id="39" xr3:uid="{9D2B95FF-812B-4942-8084-9DD8EBBD78B4}" name="列34" dataDxfId="27">
      <calculatedColumnFormula array="1">1+SUMPRODUCT(
    IFERROR(VLOOKUP($G25:$T25, $B$87:$X$153,MATCH(AM$25,$B$87:$X$87,0), FALSE), 0) *
    (LEN($G25:$T25) &gt; 0)
)</calculatedColumnFormula>
    </tableColumn>
    <tableColumn id="40" xr3:uid="{7CC13822-39C3-4A54-9961-61D1851491E8}" name="列35" dataDxfId="26">
      <calculatedColumnFormula array="1">1+SUMPRODUCT(
    IFERROR(VLOOKUP($G25:$T25, $B$87:$X$153,MATCH(AN$25,$B$87:$X$87,0), FALSE), 0) *
    (LEN($G25:$T25) &gt; 0)
)</calculatedColumnFormula>
    </tableColumn>
    <tableColumn id="41" xr3:uid="{0CCD4932-1884-4C90-BE99-E6ECE9F70575}" name="列36" dataDxfId="25">
      <calculatedColumnFormula>IF($F25="是",1.3,1)</calculatedColumnFormula>
    </tableColumn>
    <tableColumn id="42" xr3:uid="{AF8AFD77-0761-4BF1-AB03-6B5D3F134442}" name="列37" dataDxfId="24"/>
    <tableColumn id="43" xr3:uid="{E8FFE999-B370-46FC-BE69-DF14BC50007F}" name="敌人乘区">
      <calculatedColumnFormula>0.5</calculatedColumnFormula>
    </tableColumn>
    <tableColumn id="44" xr3:uid="{7723540C-92A7-4365-B134-83878944F484}" name="列38"/>
    <tableColumn id="45" xr3:uid="{DF0A4BD4-F1BE-4AD3-8E7D-F5FAD1D2D5BA}" name="列39"/>
  </tableColumns>
  <tableStyleInfo name="TableStyleLight2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40E7F2D-D0AB-4842-9C19-D6A2AF95B5FC}" name="表6_8" displayName="表6_8" ref="N5:U13" totalsRowShown="0">
  <autoFilter ref="N5:U13" xr:uid="{C40E7F2D-D0AB-4842-9C19-D6A2AF95B5FC}"/>
  <tableColumns count="8">
    <tableColumn id="1" xr3:uid="{8EE3B924-DFE5-4C68-97DC-F781C0D58C84}" name="单位/次数"/>
    <tableColumn id="2" xr3:uid="{668B2350-4AD1-4DED-83EF-9901EBAEA455}" name="干员战技返还技力"/>
    <tableColumn id="3" xr3:uid="{09871F0E-39FF-4B24-A933-5A2D486B10D7}" name="热启动爆发轴"/>
    <tableColumn id="4" xr3:uid="{A365244B-C37B-48CA-A643-25F7E4C2DF7A}" name="充能轴"/>
    <tableColumn id="5" xr3:uid="{50104F48-E78C-4D2A-81D2-945014CB2F72}" name="爆发轴"/>
    <tableColumn id="6" xr3:uid="{2FCD7B5E-C449-4936-ADAC-1AF6358EAE59}" name="干员所需大招能量"/>
    <tableColumn id="7" xr3:uid="{BB0B82C7-331D-4707-A9C7-4B9F2061A914}" name="干员实际回能"/>
    <tableColumn id="8" xr3:uid="{B3250B95-A0FF-416B-ABF9-439C2A87B6AB}" name="干员充能阈值" dataDxfId="2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E8B9416-E09B-403F-817F-47A899BDBDDD}" name="表2_5469" displayName="表2_5469" ref="A24:AS57" totalsRowShown="0" headerRowDxfId="18">
  <autoFilter ref="A24:AS57" xr:uid="{3E8B9416-E09B-403F-817F-47A899BDBDDD}"/>
  <tableColumns count="45">
    <tableColumn id="1" xr3:uid="{C481F48F-5309-409B-801E-DAF3B0F259C7}" name="列1"/>
    <tableColumn id="2" xr3:uid="{73F96408-FBB7-4C63-BAA7-5C7B64CE7F08}" name="列2">
      <calculatedColumnFormula>PRODUCT(Y25:Z25,AC25,AI25:AS25)</calculatedColumnFormula>
    </tableColumn>
    <tableColumn id="3" xr3:uid="{E43ABCC7-6E56-4C77-9A4E-DBAD51DE023A}" name="列3">
      <calculatedColumnFormula>B25+D25*AA25</calculatedColumnFormula>
    </tableColumn>
    <tableColumn id="4" xr3:uid="{FC173780-C8CB-40EA-A04C-67785D106D32}" name="列4">
      <calculatedColumnFormula>PRODUCT(Y25:Z25,AB25:AC25,AI25:AS25)</calculatedColumnFormula>
    </tableColumn>
    <tableColumn id="5" xr3:uid="{AC630EC9-701F-4A46-9519-7082C2C41117}" name="列5" dataDxfId="17"/>
    <tableColumn id="6" xr3:uid="{20D49F6D-6771-48D6-AEDC-012443CDDF25}" name="buff图标"/>
    <tableColumn id="7" xr3:uid="{73F1543E-6CBC-44DA-B2AC-46D8F20FEA8D}" name="列6"/>
    <tableColumn id="8" xr3:uid="{F12F9AD0-5856-4DFA-ABEE-18D4C63CA7AB}" name="列7"/>
    <tableColumn id="9" xr3:uid="{45B4D3CA-D528-4618-A113-4DC7BAD11EB5}" name="列8"/>
    <tableColumn id="10" xr3:uid="{00DA79BF-DB0C-4C2E-9CF7-40E24BE43694}" name="列9"/>
    <tableColumn id="11" xr3:uid="{8813C89D-3DD6-4FB7-A241-E87D38805830}" name="列10"/>
    <tableColumn id="12" xr3:uid="{72301B21-3EBF-4AF7-A9EC-1A37E7BFE3B3}" name="列11"/>
    <tableColumn id="13" xr3:uid="{1E8C3D51-C663-4D2B-9F81-8612A5106944}" name="列12"/>
    <tableColumn id="14" xr3:uid="{813A6510-5DAF-41C4-B7EA-8C0E99DD44E7}" name="列13"/>
    <tableColumn id="15" xr3:uid="{61B826C0-C35F-4F7C-9615-15224F1ED377}" name="列14"/>
    <tableColumn id="16" xr3:uid="{E1E4A940-635C-49DB-A64E-67506001C94D}" name="列15"/>
    <tableColumn id="17" xr3:uid="{39E692A3-EB40-453A-875E-0788740D7F34}" name="列16"/>
    <tableColumn id="18" xr3:uid="{8E7F5654-BCB3-4456-9239-FE5596F9FCA3}" name="列17"/>
    <tableColumn id="19" xr3:uid="{1CAB1009-4DA9-4212-BDA8-E89D6F1243AA}" name="列18"/>
    <tableColumn id="20" xr3:uid="{BDDE3A1C-405A-4543-8C84-2A455AFDCC54}" name="列19"/>
    <tableColumn id="21" xr3:uid="{B87FF17E-4049-4F83-8505-E84FB37C5045}" name="攻击计算器">
      <calculatedColumnFormula xml:space="preserve"> IFERROR(VLOOKUP($A25,$A$87:$J$122,MATCH(U$25,$A$87:$J$87,0), FALSE), 0) *
    (LEN($A25) &gt; 0)</calculatedColumnFormula>
    </tableColumn>
    <tableColumn id="22" xr3:uid="{3EA3A63A-7568-4922-B32A-841AF8B7D321}" name="列20">
      <calculatedColumnFormula array="1" xml:space="preserve"> IFERROR(VLOOKUP($A25,$A$87:$J$122,MATCH(V$25,$A$87:$J$87,0), FALSE), 0) *
    (LEN($A25) &gt; 0)+SUMPRODUCT(
    IFERROR(VLOOKUP($G25:$T25, $B$87:$X$137,MATCH(V$25,$B$87:$X$87,0), FALSE), 0) *
    (LEN($G25:$T25) &gt; 0)
)</calculatedColumnFormula>
    </tableColumn>
    <tableColumn id="23" xr3:uid="{529DBADC-D9BF-4426-8CFA-C6607C73628C}" name="列21">
      <calculatedColumnFormula xml:space="preserve"> IFERROR(VLOOKUP($A25,$A$87:$J$122,MATCH(W$25,$A$87:$J$87,0), FALSE), 0) *
    (LEN($A25) &gt; 0)</calculatedColumnFormula>
    </tableColumn>
    <tableColumn id="24" xr3:uid="{AFC6C0D7-8B08-4E20-8F67-010C889E6C0D}" name="列22">
      <calculatedColumnFormula xml:space="preserve"> IFERROR(VLOOKUP($A25,$A$87:$J$122,MATCH(X$25,$A$87:$J$87,0), FALSE), 0) *
    (LEN($A25) &gt; 0)</calculatedColumnFormula>
    </tableColumn>
    <tableColumn id="25" xr3:uid="{AE221D71-B897-4AF1-9EFA-9A53714CA4CD}" name="列23">
      <calculatedColumnFormula>(U25*(1+V25)+W25)*(1+X25)</calculatedColumnFormula>
    </tableColumn>
    <tableColumn id="26" xr3:uid="{3354C12A-4953-41C5-9AA2-A6470DB99FF0}" name="面板乘区">
      <calculatedColumnFormula xml:space="preserve"> IFERROR(VLOOKUP($A25,$A$87:$J$122,MATCH(Z$25,$A$87:$J$87,0), FALSE), 0) *
    (LEN($A25) &gt; 0)</calculatedColumnFormula>
    </tableColumn>
    <tableColumn id="27" xr3:uid="{A3D68715-D10B-4730-AECC-C8688B6910E8}" name="列24" dataDxfId="16">
      <calculatedColumnFormula array="1">SUMPRODUCT(
    IFERROR(VLOOKUP($G25:$T25, $B$87:$X$137,MATCH(AA$25,$B$87:$X$87,0), FALSE), 0) *
    (LEN($G25:$T25) &gt; 0)
)+IFERROR(VLOOKUP($A25,$A$87:$J$122,MATCH(AA$25,$A$87:$J$87,0), FALSE), 0) *
    (LEN($A25) &gt; 0)</calculatedColumnFormula>
    </tableColumn>
    <tableColumn id="28" xr3:uid="{C3968426-CCCE-4981-9A12-8210D69E8291}" name="列25" dataDxfId="15">
      <calculatedColumnFormula array="1">1+SUMPRODUCT(
    IFERROR(VLOOKUP($G25:$T25, $B$87:$X$137,MATCH(AB$25,$B$87:$X$87,0), FALSE), 0) *
    (LEN($G25:$T25) &gt; 0)
)+IFERROR(VLOOKUP($A25,$A$87:$J$122,MATCH(AB$25,$A$87:$J$87,0), FALSE), 0) *
    (LEN($A25) &gt; 0)</calculatedColumnFormula>
    </tableColumn>
    <tableColumn id="29" xr3:uid="{B6C08336-3FCC-4188-BF64-3A7FE098A232}" name="列26" dataDxfId="14">
      <calculatedColumnFormula array="1">1+SUMPRODUCT(
    IFERROR(VLOOKUP($G25:$T25, $B$87:$X$137,MATCH(AC$25,$B$87:$X$87,0), FALSE), 0) *
    (LEN($G25:$T25) &gt; 0)
)</calculatedColumnFormula>
    </tableColumn>
    <tableColumn id="30" xr3:uid="{ECF9A8A9-B9B1-4AAA-99FA-ACE7A5BF9B4D}" name="伤害加成" dataDxfId="13">
      <calculatedColumnFormula array="1">SUMPRODUCT(
    IFERROR(VLOOKUP($G25:$T25, $B$87:$X$137,MATCH(AD$25,$B$87:$X$87,0), FALSE), 0) *
    (LEN($G25:$T25) &gt; 0)
)</calculatedColumnFormula>
    </tableColumn>
    <tableColumn id="31" xr3:uid="{C972E1CC-C42E-4C72-8E79-236522A78AF0}" name="列27" dataDxfId="12">
      <calculatedColumnFormula array="1">SUMPRODUCT(
    IFERROR(VLOOKUP($G25:$T25, $B$87:$X$137,MATCH(AE$25,$B$87:$X$87,0), FALSE), 0) *
    (LEN($G25:$T25) &gt; 0)
)+IFERROR(VLOOKUP($A25,$A$88:$X$122,MATCH(AE$25,$A$87:$X$87,0), FALSE), 0) *
    (LEN($A25) &gt; 0)</calculatedColumnFormula>
    </tableColumn>
    <tableColumn id="32" xr3:uid="{45C49DD1-9B3C-405C-B9FE-D97477E62A6F}" name="列28" dataDxfId="11">
      <calculatedColumnFormula array="1">SUMPRODUCT(
    IFERROR(VLOOKUP($G25:$T25, $B$87:$X$137,MATCH(AF$25,$B$87:$X$87,0), FALSE), 0) *
    (LEN($G25:$T25) &gt; 0)
)+IFERROR(VLOOKUP($A25,$A$88:$X$122,MATCH(AF$25,$A$87:$X$87,0), FALSE), 0) *
    (LEN($A25) &gt; 0)</calculatedColumnFormula>
    </tableColumn>
    <tableColumn id="33" xr3:uid="{9CEB273B-AFDE-4BE2-85AA-DDDC21AE03AD}" name="列29" dataDxfId="10">
      <calculatedColumnFormula array="1">SUMPRODUCT(
    IFERROR(VLOOKUP($G25:$T25, $B$87:$X$137,MATCH(AG$25,$B$87:$X$87,0), FALSE), 0) *
    (LEN($G25:$T25) &gt; 0)
)+IFERROR(VLOOKUP($A25,$A$88:$X$122,MATCH(AG$25,$A$87:$X$87,0), FALSE), 0) *
    (LEN($A25) &gt; 0)</calculatedColumnFormula>
    </tableColumn>
    <tableColumn id="34" xr3:uid="{D4AEC089-74F2-4C70-ABB8-7036CEE8161C}" name="列30" dataDxfId="9">
      <calculatedColumnFormula array="1">SUMPRODUCT(
    IFERROR(VLOOKUP($G25:$T25, $B$87:$X$137,MATCH(AH$25,$B$87:$X$87,0), FALSE), 0) *
    (LEN($G25:$T25) &gt; 0)
)+IFERROR(VLOOKUP($A25,$A$88:$X$122,MATCH(AH$25,$A$87:$X$87,0), FALSE), 0) *
    (LEN($A25) &gt; 0)</calculatedColumnFormula>
    </tableColumn>
    <tableColumn id="35" xr3:uid="{BB47F987-E4BC-4963-B208-6DC6A81C6F45}" name="列31" dataDxfId="8">
      <calculatedColumnFormula>1+AD25+IFERROR(HLOOKUP(RIGHT($A25,2),$AE$25:$AH$80,ROW()-1, FALSE), 0) *
    (LEN($A25) &gt; 0)</calculatedColumnFormula>
    </tableColumn>
    <tableColumn id="36" xr3:uid="{48A74629-5763-43C4-9038-66FF09C1151B}" name="拐" dataDxfId="7">
      <calculatedColumnFormula array="1">1+SUMPRODUCT(
    IFERROR(VLOOKUP($G25:$T25, $B$87:$X$137,MATCH(AJ$25,$B$87:$X$87,0), FALSE), 0) *
    (LEN($G25:$T25) &gt; 0)
)</calculatedColumnFormula>
    </tableColumn>
    <tableColumn id="37" xr3:uid="{E1851BCB-4577-460C-85CF-5A16947205D0}" name="列32" dataDxfId="6">
      <calculatedColumnFormula array="1">1+SUMPRODUCT(
    IFERROR(VLOOKUP($G25:$T25, $B$87:$X$137,MATCH(AK$25,$B$87:$X$87,0), FALSE), 0) *
    (LEN($G25:$T25) &gt; 0)
)</calculatedColumnFormula>
    </tableColumn>
    <tableColumn id="38" xr3:uid="{DB81EDF9-1497-4C5F-9655-BAEF58DFE2A1}" name="列33" dataDxfId="5">
      <calculatedColumnFormula array="1">1+SUMPRODUCT(
    IFERROR(VLOOKUP($G25:$T25, $B$87:$X$137,MATCH(AL$25,$B$87:$X$87,0), FALSE), 0) *
    (LEN($G25:$T25) &gt; 0)
)</calculatedColumnFormula>
    </tableColumn>
    <tableColumn id="39" xr3:uid="{F88BB4F0-3609-4716-B49D-04AD722B9CE5}" name="列34" dataDxfId="4">
      <calculatedColumnFormula array="1">1+SUMPRODUCT(
    IFERROR(VLOOKUP($G25:$T25, $B$87:$X$137,MATCH(AM$25,$B$87:$X$87,0), FALSE), 0) *
    (LEN($G25:$T25) &gt; 0)
)</calculatedColumnFormula>
    </tableColumn>
    <tableColumn id="40" xr3:uid="{A3CC4079-D52A-4A15-9FE2-FAA6726538B8}" name="列35" dataDxfId="3">
      <calculatedColumnFormula array="1">1+SUMPRODUCT(
    IFERROR(VLOOKUP($G25:$T25, $B$87:$X$137,MATCH(AN$25,$B$87:$X$87,0), FALSE), 0) *
    (LEN($G25:$T25) &gt; 0)
)</calculatedColumnFormula>
    </tableColumn>
    <tableColumn id="41" xr3:uid="{0F5107B4-6458-46C9-A552-592C6673CF51}" name="列36" dataDxfId="2">
      <calculatedColumnFormula>IF($F25="是",1.3,1)</calculatedColumnFormula>
    </tableColumn>
    <tableColumn id="42" xr3:uid="{791F9746-F3F9-4AC7-BD7F-9183F1C3161C}" name="列37" dataDxfId="1"/>
    <tableColumn id="43" xr3:uid="{8FC45B4A-9DE1-465E-8903-8A14EA75BB4A}" name="敌人乘区">
      <calculatedColumnFormula>0.5</calculatedColumnFormula>
    </tableColumn>
    <tableColumn id="44" xr3:uid="{71EAF139-AA6D-4601-B4E8-60560C08BC19}" name="列38"/>
    <tableColumn id="45" xr3:uid="{59B068B4-BA0C-456B-8D46-514299127D89}" name="列39"/>
  </tableColumns>
  <tableStyleInfo name="TableStyleLight2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1CC5F36-45A5-47CF-B22B-21E272E25A2A}" name="表6_10" displayName="表6_10" ref="N5:U13" totalsRowShown="0">
  <autoFilter ref="N5:U13" xr:uid="{F1CC5F36-45A5-47CF-B22B-21E272E25A2A}"/>
  <tableColumns count="8">
    <tableColumn id="1" xr3:uid="{10C3A461-811D-433B-A320-417A3451E491}" name="单位/次数"/>
    <tableColumn id="2" xr3:uid="{A86F9597-8331-4176-B8A0-CA5A924F3479}" name="干员战技返还技力"/>
    <tableColumn id="3" xr3:uid="{DF24B594-08C4-4A77-A2D6-FCD228E4E022}" name="热启动爆发轴"/>
    <tableColumn id="4" xr3:uid="{815730A9-339D-499D-ADF5-56746C0928D9}" name="充能轴"/>
    <tableColumn id="5" xr3:uid="{1E4DEA92-956E-4065-99AC-B717A675D960}" name="爆发轴"/>
    <tableColumn id="6" xr3:uid="{608D4324-D3E2-4EB2-A97C-F52AAF9526B3}" name="干员所需大招能量"/>
    <tableColumn id="7" xr3:uid="{458D6162-717D-43FB-854B-08ABC2CB6076}" name="干员实际回能"/>
    <tableColumn id="8" xr3:uid="{C9B4040F-90AA-4FE5-AE80-CAFAB00FCF64}" name="干员充能阈值"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bilibili.com/video/BV149Q4BQEdh/?vd_source=1ee82f74e65db4ed6b038cbc8eaccf66"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shimo.im/docs/htrCFTqetCEpUXp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space.bilibili.com/86668137?spm_id_from=333.1007.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B2974-7628-4603-8280-C6B3C21FB1D3}">
  <sheetPr codeName="Sheet3"/>
  <dimension ref="A1:AS446"/>
  <sheetViews>
    <sheetView zoomScaleNormal="100" workbookViewId="0">
      <selection activeCell="L4" sqref="L4"/>
    </sheetView>
  </sheetViews>
  <sheetFormatPr defaultRowHeight="13.8" x14ac:dyDescent="0.25"/>
  <cols>
    <col min="1" max="1" width="24.5546875" customWidth="1"/>
    <col min="2" max="2" width="11.77734375" customWidth="1"/>
    <col min="3" max="3" width="8.88671875" style="111"/>
    <col min="17" max="17" width="12" customWidth="1"/>
    <col min="18" max="18" width="19.44140625" customWidth="1"/>
    <col min="19" max="19" width="26.44140625" customWidth="1"/>
    <col min="21" max="21" width="41.44140625" customWidth="1"/>
  </cols>
  <sheetData>
    <row r="1" spans="1:11" x14ac:dyDescent="0.25">
      <c r="D1" t="s">
        <v>1224</v>
      </c>
      <c r="G1" s="157" t="s">
        <v>1225</v>
      </c>
      <c r="H1" s="157"/>
      <c r="I1" s="157"/>
      <c r="J1" s="157"/>
      <c r="K1" s="157"/>
    </row>
    <row r="3" spans="1:11" x14ac:dyDescent="0.25">
      <c r="A3" t="s">
        <v>1120</v>
      </c>
      <c r="C3" s="111">
        <v>1</v>
      </c>
      <c r="D3" t="s">
        <v>1218</v>
      </c>
    </row>
    <row r="4" spans="1:11" x14ac:dyDescent="0.25">
      <c r="C4" s="111">
        <v>2</v>
      </c>
      <c r="D4" t="s">
        <v>1121</v>
      </c>
    </row>
    <row r="20" spans="3:4" x14ac:dyDescent="0.25">
      <c r="C20" s="111">
        <v>3</v>
      </c>
      <c r="D20" t="s">
        <v>1122</v>
      </c>
    </row>
    <row r="21" spans="3:4" x14ac:dyDescent="0.25">
      <c r="C21" s="111">
        <v>4</v>
      </c>
      <c r="D21" t="s">
        <v>1219</v>
      </c>
    </row>
    <row r="34" spans="1:16" x14ac:dyDescent="0.25">
      <c r="E34" s="10" t="s">
        <v>1128</v>
      </c>
      <c r="F34" s="10"/>
      <c r="G34" s="10"/>
      <c r="H34" s="10"/>
      <c r="I34" s="10"/>
      <c r="J34" s="10"/>
    </row>
    <row r="37" spans="1:16" x14ac:dyDescent="0.25">
      <c r="A37" t="s">
        <v>1123</v>
      </c>
    </row>
    <row r="39" spans="1:16" x14ac:dyDescent="0.25">
      <c r="C39" s="111">
        <v>5</v>
      </c>
      <c r="D39" t="s">
        <v>1126</v>
      </c>
      <c r="K39" s="11" t="s">
        <v>1124</v>
      </c>
      <c r="L39" s="9"/>
      <c r="M39" s="9"/>
      <c r="N39" s="9"/>
      <c r="O39" s="9"/>
      <c r="P39" s="9"/>
    </row>
    <row r="55" spans="3:4" x14ac:dyDescent="0.25">
      <c r="C55" s="111">
        <v>6</v>
      </c>
      <c r="D55" t="s">
        <v>1127</v>
      </c>
    </row>
    <row r="79" spans="3:16" x14ac:dyDescent="0.25">
      <c r="C79" s="111">
        <v>7</v>
      </c>
      <c r="D79" t="s">
        <v>1220</v>
      </c>
      <c r="P79" t="s">
        <v>1131</v>
      </c>
    </row>
    <row r="107" spans="4:8" x14ac:dyDescent="0.25">
      <c r="D107" s="112" t="s">
        <v>1130</v>
      </c>
      <c r="E107" s="113"/>
      <c r="F107" s="113"/>
      <c r="G107" s="113"/>
      <c r="H107" s="113"/>
    </row>
    <row r="113" spans="1:4" x14ac:dyDescent="0.25">
      <c r="A113" t="s">
        <v>1125</v>
      </c>
      <c r="D113" t="s">
        <v>1129</v>
      </c>
    </row>
    <row r="116" spans="1:4" x14ac:dyDescent="0.25">
      <c r="C116" s="111">
        <v>1</v>
      </c>
      <c r="D116" t="s">
        <v>1132</v>
      </c>
    </row>
    <row r="117" spans="1:4" x14ac:dyDescent="0.25">
      <c r="C117" s="111">
        <v>2</v>
      </c>
      <c r="D117" t="s">
        <v>1137</v>
      </c>
    </row>
    <row r="118" spans="1:4" x14ac:dyDescent="0.25">
      <c r="C118" s="111">
        <v>3</v>
      </c>
      <c r="D118" t="s">
        <v>1133</v>
      </c>
    </row>
    <row r="140" spans="3:4" x14ac:dyDescent="0.25">
      <c r="C140" s="111">
        <v>4</v>
      </c>
      <c r="D140" t="s">
        <v>1134</v>
      </c>
    </row>
    <row r="141" spans="3:4" x14ac:dyDescent="0.25">
      <c r="D141" s="11" t="s">
        <v>1135</v>
      </c>
    </row>
    <row r="142" spans="3:4" x14ac:dyDescent="0.25">
      <c r="D142" s="9" t="s">
        <v>1136</v>
      </c>
    </row>
    <row r="146" spans="3:19" x14ac:dyDescent="0.25">
      <c r="C146" s="111">
        <v>5</v>
      </c>
      <c r="D146" t="s">
        <v>1138</v>
      </c>
    </row>
    <row r="147" spans="3:19" x14ac:dyDescent="0.25">
      <c r="D147" t="s">
        <v>1139</v>
      </c>
    </row>
    <row r="150" spans="3:19" x14ac:dyDescent="0.25">
      <c r="C150" s="111">
        <v>6</v>
      </c>
      <c r="D150" t="s">
        <v>1140</v>
      </c>
    </row>
    <row r="151" spans="3:19" x14ac:dyDescent="0.25">
      <c r="D151" t="s">
        <v>1141</v>
      </c>
      <c r="S151" t="s">
        <v>1142</v>
      </c>
    </row>
    <row r="152" spans="3:19" x14ac:dyDescent="0.25">
      <c r="D152" t="s">
        <v>1143</v>
      </c>
    </row>
    <row r="153" spans="3:19" x14ac:dyDescent="0.25">
      <c r="S153" t="s">
        <v>1146</v>
      </c>
    </row>
    <row r="154" spans="3:19" x14ac:dyDescent="0.25">
      <c r="D154" s="11" t="s">
        <v>1145</v>
      </c>
    </row>
    <row r="155" spans="3:19" x14ac:dyDescent="0.25">
      <c r="S155" t="s">
        <v>1147</v>
      </c>
    </row>
    <row r="156" spans="3:19" x14ac:dyDescent="0.25">
      <c r="D156" t="s">
        <v>1144</v>
      </c>
    </row>
    <row r="157" spans="3:19" x14ac:dyDescent="0.25">
      <c r="D157" t="s">
        <v>1149</v>
      </c>
    </row>
    <row r="158" spans="3:19" x14ac:dyDescent="0.25">
      <c r="D158" t="s">
        <v>1148</v>
      </c>
    </row>
    <row r="164" spans="3:4" x14ac:dyDescent="0.25">
      <c r="C164" s="111">
        <v>7</v>
      </c>
      <c r="D164" t="s">
        <v>1150</v>
      </c>
    </row>
    <row r="167" spans="3:4" x14ac:dyDescent="0.25">
      <c r="C167" s="111">
        <v>8</v>
      </c>
      <c r="D167" t="s">
        <v>1151</v>
      </c>
    </row>
    <row r="168" spans="3:4" x14ac:dyDescent="0.25">
      <c r="D168" t="s">
        <v>1152</v>
      </c>
    </row>
    <row r="169" spans="3:4" x14ac:dyDescent="0.25">
      <c r="D169" t="s">
        <v>1153</v>
      </c>
    </row>
    <row r="170" spans="3:4" x14ac:dyDescent="0.25">
      <c r="D170" t="s">
        <v>1154</v>
      </c>
    </row>
    <row r="173" spans="3:4" x14ac:dyDescent="0.25">
      <c r="C173" s="111">
        <v>9</v>
      </c>
      <c r="D173" t="s">
        <v>1155</v>
      </c>
    </row>
    <row r="177" spans="1:43" x14ac:dyDescent="0.25">
      <c r="A177" t="s">
        <v>1157</v>
      </c>
    </row>
    <row r="178" spans="1:43" s="114" customFormat="1" ht="14.4" thickBot="1" x14ac:dyDescent="0.3">
      <c r="B178" s="21" t="s">
        <v>992</v>
      </c>
      <c r="AD178" s="115"/>
    </row>
    <row r="179" spans="1:43" x14ac:dyDescent="0.25">
      <c r="B179" s="25" t="s">
        <v>961</v>
      </c>
      <c r="C179" s="26" t="s">
        <v>75</v>
      </c>
      <c r="D179" s="26" t="s">
        <v>85</v>
      </c>
      <c r="E179" s="26" t="s">
        <v>86</v>
      </c>
      <c r="F179" s="26" t="s">
        <v>87</v>
      </c>
      <c r="G179" s="26" t="s">
        <v>88</v>
      </c>
      <c r="H179" s="26" t="s">
        <v>89</v>
      </c>
      <c r="I179" s="26" t="s">
        <v>192</v>
      </c>
      <c r="J179" s="83"/>
      <c r="Q179" s="25"/>
      <c r="R179" s="26" t="s">
        <v>977</v>
      </c>
      <c r="S179" s="27" t="s">
        <v>963</v>
      </c>
      <c r="AD179" s="58"/>
      <c r="AE179" t="s">
        <v>153</v>
      </c>
    </row>
    <row r="180" spans="1:43" ht="27.6" x14ac:dyDescent="0.25">
      <c r="B180" s="28" t="s">
        <v>91</v>
      </c>
      <c r="C180" s="21"/>
      <c r="D180" s="21"/>
      <c r="E180" s="21"/>
      <c r="F180" s="21"/>
      <c r="G180" s="21"/>
      <c r="H180" t="str">
        <f>IF(COUNTIF(E180:G180,LEFT(D180,2)&amp;"*")&gt;=2,LEFT(D180,2),
IF(COUNTIF(F180:G180,LEFT(E180,2)&amp;"*")=2,LEFT(E180,2),
""))</f>
        <v/>
      </c>
      <c r="I180" s="21">
        <v>0</v>
      </c>
      <c r="J180" s="29"/>
      <c r="Q180" s="28"/>
      <c r="R180" t="s">
        <v>999</v>
      </c>
      <c r="S180" s="29"/>
      <c r="AD180" s="58"/>
      <c r="AE180" s="14" t="s">
        <v>127</v>
      </c>
      <c r="AF180" s="16">
        <v>0.23</v>
      </c>
      <c r="AG180" s="16">
        <v>0.25</v>
      </c>
      <c r="AH180" s="16">
        <v>0.27</v>
      </c>
      <c r="AI180" s="16">
        <v>0.28999999999999998</v>
      </c>
      <c r="AJ180" s="16">
        <v>0.32</v>
      </c>
      <c r="AK180" s="16">
        <v>0.34</v>
      </c>
      <c r="AL180" s="16">
        <v>0.36</v>
      </c>
      <c r="AM180" s="16">
        <v>0.39</v>
      </c>
      <c r="AN180" s="16">
        <v>0.41</v>
      </c>
      <c r="AO180" s="16">
        <v>0.44</v>
      </c>
      <c r="AP180" s="16">
        <v>0.47</v>
      </c>
      <c r="AQ180" s="16">
        <v>0.51</v>
      </c>
    </row>
    <row r="181" spans="1:43" ht="27.6" x14ac:dyDescent="0.25">
      <c r="B181" s="28" t="s">
        <v>183</v>
      </c>
      <c r="C181"/>
      <c r="D181" s="21">
        <v>3</v>
      </c>
      <c r="E181" s="21">
        <v>3</v>
      </c>
      <c r="F181" s="21">
        <v>3</v>
      </c>
      <c r="G181" s="21">
        <v>3</v>
      </c>
      <c r="J181" s="29"/>
      <c r="Q181" s="28"/>
      <c r="R181" t="s">
        <v>1032</v>
      </c>
      <c r="S181" s="29"/>
      <c r="AD181" s="58"/>
      <c r="AE181" s="14" t="s">
        <v>128</v>
      </c>
      <c r="AF181" s="16">
        <v>0.25</v>
      </c>
      <c r="AG181" s="16">
        <v>0.28000000000000003</v>
      </c>
      <c r="AH181" s="16">
        <v>0.3</v>
      </c>
      <c r="AI181" s="16">
        <v>0.33</v>
      </c>
      <c r="AJ181" s="16">
        <v>0.35</v>
      </c>
      <c r="AK181" s="16">
        <v>0.38</v>
      </c>
      <c r="AL181" s="16">
        <v>0.4</v>
      </c>
      <c r="AM181" s="16">
        <v>0.43</v>
      </c>
      <c r="AN181" s="16">
        <v>0.45</v>
      </c>
      <c r="AO181" s="16">
        <v>0.48</v>
      </c>
      <c r="AP181" s="16">
        <v>0.52</v>
      </c>
      <c r="AQ181" s="16">
        <v>0.56000000000000005</v>
      </c>
    </row>
    <row r="182" spans="1:43" ht="27.6" x14ac:dyDescent="0.25">
      <c r="B182" s="84" t="s">
        <v>97</v>
      </c>
      <c r="C182">
        <f>_xlfn.XLOOKUP(C180,武器库!$B:$B,武器库!$C:$C,"")</f>
        <v>0</v>
      </c>
      <c r="D182" t="e" cm="1">
        <f t="array" aca="1" ref="D182" ca="1">ct(D180,D181)</f>
        <v>#NAME?</v>
      </c>
      <c r="E182" t="e" cm="1">
        <f t="array" aca="1" ref="E182" ca="1">ct(E180,E181)</f>
        <v>#NAME?</v>
      </c>
      <c r="F182" t="e" cm="1">
        <f t="array" aca="1" ref="F182" ca="1">ct(F180,F181)</f>
        <v>#NAME?</v>
      </c>
      <c r="G182" t="e" cm="1">
        <f t="array" aca="1" ref="G182" ca="1">ct(G180,G181)</f>
        <v>#NAME?</v>
      </c>
      <c r="H182" s="11"/>
      <c r="J182" s="29"/>
      <c r="Q182" s="28" t="s">
        <v>961</v>
      </c>
      <c r="S182" s="29" t="s">
        <v>964</v>
      </c>
      <c r="AD182" s="58"/>
      <c r="AE182" s="14" t="s">
        <v>129</v>
      </c>
      <c r="AF182" s="16">
        <v>0.35</v>
      </c>
      <c r="AG182" s="16">
        <v>0.39</v>
      </c>
      <c r="AH182" s="16">
        <v>0.42</v>
      </c>
      <c r="AI182" s="16">
        <v>0.46</v>
      </c>
      <c r="AJ182" s="16">
        <v>0.49</v>
      </c>
      <c r="AK182" s="16">
        <v>0.53</v>
      </c>
      <c r="AL182" s="16">
        <v>0.56000000000000005</v>
      </c>
      <c r="AM182" s="16">
        <v>0.6</v>
      </c>
      <c r="AN182" s="16">
        <v>0.63</v>
      </c>
      <c r="AO182" s="16">
        <v>0.67</v>
      </c>
      <c r="AP182" s="16">
        <v>0.73</v>
      </c>
      <c r="AQ182" s="16">
        <v>0.79</v>
      </c>
    </row>
    <row r="183" spans="1:43" ht="27.6" x14ac:dyDescent="0.25">
      <c r="B183" s="28" t="s">
        <v>98</v>
      </c>
      <c r="C183" s="43">
        <f>_xlfn.XLOOKUP(C180,武器库!$B:$B,武器库!$D:$D,"")</f>
        <v>0</v>
      </c>
      <c r="H183" s="9"/>
      <c r="J183" s="29"/>
      <c r="Q183" s="28"/>
      <c r="R183" t="s">
        <v>965</v>
      </c>
      <c r="S183" s="29"/>
      <c r="AD183" s="58"/>
      <c r="AE183" s="14" t="s">
        <v>130</v>
      </c>
      <c r="AF183" s="16">
        <v>0.37</v>
      </c>
      <c r="AG183" s="16">
        <v>0.4</v>
      </c>
      <c r="AH183" s="16">
        <v>0.44</v>
      </c>
      <c r="AI183" s="16">
        <v>0.47</v>
      </c>
      <c r="AJ183" s="16">
        <v>0.51</v>
      </c>
      <c r="AK183" s="16">
        <v>0.55000000000000004</v>
      </c>
      <c r="AL183" s="16">
        <v>0.57999999999999996</v>
      </c>
      <c r="AM183" s="16">
        <v>0.62</v>
      </c>
      <c r="AN183" s="16">
        <v>0.66</v>
      </c>
      <c r="AO183" s="16">
        <v>0.7</v>
      </c>
      <c r="AP183" s="16">
        <v>0.76</v>
      </c>
      <c r="AQ183" s="16">
        <v>0.82</v>
      </c>
    </row>
    <row r="184" spans="1:43" ht="27.6" x14ac:dyDescent="0.25">
      <c r="B184" s="28" t="s">
        <v>99</v>
      </c>
      <c r="C184" s="43">
        <f>_xlfn.XLOOKUP(C180,武器库!$B:$B,武器库!$E:$E,"")</f>
        <v>0</v>
      </c>
      <c r="D184" s="43"/>
      <c r="E184" s="43"/>
      <c r="F184" s="43"/>
      <c r="G184" s="43"/>
      <c r="H184" s="9"/>
      <c r="J184" s="29"/>
      <c r="Q184" s="28" t="s">
        <v>962</v>
      </c>
      <c r="R184" t="s">
        <v>967</v>
      </c>
      <c r="S184" s="29"/>
      <c r="AD184" s="58"/>
      <c r="AE184" s="14" t="s">
        <v>660</v>
      </c>
      <c r="AF184" s="16">
        <v>0.5</v>
      </c>
      <c r="AG184" s="16">
        <v>0.55000000000000004</v>
      </c>
      <c r="AH184" s="16">
        <v>0.6</v>
      </c>
      <c r="AI184" s="16">
        <v>0.65</v>
      </c>
      <c r="AJ184" s="16">
        <v>0.7</v>
      </c>
      <c r="AK184" s="16">
        <v>0.75</v>
      </c>
      <c r="AL184" s="16">
        <v>0.8</v>
      </c>
      <c r="AM184" s="16">
        <v>0.85</v>
      </c>
      <c r="AN184" s="16">
        <v>0.9</v>
      </c>
      <c r="AO184" s="16">
        <v>0.96</v>
      </c>
      <c r="AP184" s="16">
        <v>1.04</v>
      </c>
      <c r="AQ184" s="16">
        <v>1.1299999999999999</v>
      </c>
    </row>
    <row r="185" spans="1:43" ht="27.6" x14ac:dyDescent="0.25">
      <c r="B185" s="28" t="s">
        <v>90</v>
      </c>
      <c r="C185">
        <f>_xlfn.XLOOKUP(C180,武器库!$B:$B,武器库!$F:$F,"")</f>
        <v>0</v>
      </c>
      <c r="D185" s="22"/>
      <c r="F185" s="22"/>
      <c r="G185" s="9"/>
      <c r="H185" s="9"/>
      <c r="J185" s="29"/>
      <c r="Q185" s="28"/>
      <c r="S185" s="29"/>
      <c r="AD185" s="58"/>
      <c r="AE185" s="14" t="s">
        <v>131</v>
      </c>
      <c r="AF185" s="16">
        <v>4</v>
      </c>
      <c r="AG185" s="16">
        <v>4.4000000000000004</v>
      </c>
      <c r="AH185" s="16">
        <v>4.8</v>
      </c>
      <c r="AI185" s="16">
        <v>5.2</v>
      </c>
      <c r="AJ185" s="16">
        <v>5.6</v>
      </c>
      <c r="AK185" s="16">
        <v>6</v>
      </c>
      <c r="AL185" s="16">
        <v>6.4</v>
      </c>
      <c r="AM185" s="16">
        <v>6.8</v>
      </c>
      <c r="AN185" s="16">
        <v>7.2</v>
      </c>
      <c r="AO185" s="16">
        <v>7.7</v>
      </c>
      <c r="AP185" s="16">
        <v>8.3000000000000007</v>
      </c>
      <c r="AQ185" s="16">
        <v>9</v>
      </c>
    </row>
    <row r="186" spans="1:43" ht="28.2" thickBot="1" x14ac:dyDescent="0.3">
      <c r="B186" s="30" t="s">
        <v>89</v>
      </c>
      <c r="C186" s="18" t="e" cm="1">
        <f t="array" aca="1" ref="C186" ca="1">ct(H180,H181)</f>
        <v>#NAME?</v>
      </c>
      <c r="D186" s="19"/>
      <c r="E186" s="18"/>
      <c r="F186" s="19"/>
      <c r="G186" s="20"/>
      <c r="H186" s="20"/>
      <c r="I186" s="18"/>
      <c r="J186" s="31"/>
      <c r="Q186" s="28" t="s">
        <v>968</v>
      </c>
      <c r="S186" s="29" t="s">
        <v>966</v>
      </c>
      <c r="AD186" s="58"/>
      <c r="AE186" s="14" t="s">
        <v>132</v>
      </c>
      <c r="AF186" s="16">
        <v>0.8</v>
      </c>
      <c r="AG186" s="16">
        <v>0.88</v>
      </c>
      <c r="AH186" s="16">
        <v>0.96</v>
      </c>
      <c r="AI186" s="16">
        <v>1.04</v>
      </c>
      <c r="AJ186" s="16">
        <v>1.1200000000000001</v>
      </c>
      <c r="AK186" s="16">
        <v>1.2</v>
      </c>
      <c r="AL186" s="16">
        <v>1.28</v>
      </c>
      <c r="AM186" s="16">
        <v>1.36</v>
      </c>
      <c r="AN186" s="16">
        <v>1.44</v>
      </c>
      <c r="AO186" s="16">
        <v>1.54</v>
      </c>
      <c r="AP186" s="16">
        <v>1.66</v>
      </c>
      <c r="AQ186" s="16">
        <v>1.8</v>
      </c>
    </row>
    <row r="187" spans="1:43" x14ac:dyDescent="0.25">
      <c r="C187"/>
      <c r="Q187" s="28"/>
      <c r="R187" t="s">
        <v>970</v>
      </c>
      <c r="S187" s="29"/>
      <c r="AD187" s="58"/>
    </row>
    <row r="188" spans="1:43" x14ac:dyDescent="0.25">
      <c r="C188"/>
      <c r="Q188" s="28" t="s">
        <v>969</v>
      </c>
      <c r="R188" t="s">
        <v>971</v>
      </c>
      <c r="S188" s="29"/>
      <c r="AD188" s="58"/>
    </row>
    <row r="189" spans="1:43" x14ac:dyDescent="0.25">
      <c r="B189" s="17" t="s">
        <v>962</v>
      </c>
      <c r="C189" s="17" t="s">
        <v>990</v>
      </c>
      <c r="D189" s="17" t="s">
        <v>1054</v>
      </c>
      <c r="E189" s="17"/>
      <c r="F189" s="17"/>
      <c r="G189" s="17"/>
      <c r="H189" s="17"/>
      <c r="I189" s="17"/>
      <c r="K189" s="88" t="s">
        <v>195</v>
      </c>
      <c r="L189" s="17" t="s">
        <v>701</v>
      </c>
      <c r="M189" s="17" t="s">
        <v>157</v>
      </c>
      <c r="N189" s="17" t="s">
        <v>702</v>
      </c>
      <c r="O189" s="89" t="s">
        <v>158</v>
      </c>
      <c r="Q189" s="28"/>
      <c r="R189" t="s">
        <v>972</v>
      </c>
      <c r="S189" s="29"/>
      <c r="AD189" s="58"/>
      <c r="AE189" s="14" t="s">
        <v>76</v>
      </c>
    </row>
    <row r="190" spans="1:43" x14ac:dyDescent="0.25">
      <c r="C190" s="21"/>
      <c r="D190" s="21"/>
      <c r="E190" s="43"/>
      <c r="F190" s="43"/>
      <c r="G190" s="43"/>
      <c r="H190" s="43"/>
      <c r="I190" s="43"/>
      <c r="K190" t="s">
        <v>183</v>
      </c>
      <c r="L190" s="21">
        <v>9</v>
      </c>
      <c r="M190" s="21">
        <v>9</v>
      </c>
      <c r="N190" s="21">
        <v>9</v>
      </c>
      <c r="O190" s="37">
        <v>9</v>
      </c>
      <c r="Q190" s="28"/>
      <c r="R190" t="s">
        <v>973</v>
      </c>
      <c r="S190" s="29"/>
      <c r="AD190" s="58"/>
      <c r="AE190" s="60"/>
      <c r="AF190" s="60"/>
      <c r="AG190" s="60"/>
      <c r="AH190" s="60"/>
      <c r="AI190" s="60"/>
      <c r="AJ190" s="60"/>
      <c r="AK190" s="60"/>
      <c r="AL190" s="60"/>
      <c r="AM190" s="60"/>
      <c r="AN190" s="60"/>
      <c r="AO190" s="60"/>
      <c r="AP190" s="60"/>
      <c r="AQ190" s="60"/>
    </row>
    <row r="191" spans="1:43" x14ac:dyDescent="0.25">
      <c r="B191" t="s">
        <v>164</v>
      </c>
      <c r="C191" s="21">
        <f>179+60+IF(I180&gt;=2,20,0)</f>
        <v>239</v>
      </c>
      <c r="D191" s="21">
        <f>123</f>
        <v>123</v>
      </c>
      <c r="E191" t="e" cm="1">
        <f t="array" aca="1" ref="E191" ca="1">js(E190,C180:H186)/100</f>
        <v>#NAME?</v>
      </c>
      <c r="F191" t="e" cm="1">
        <f t="array" aca="1" ref="F191" ca="1">js(F190,C180:G186)/100</f>
        <v>#NAME?</v>
      </c>
      <c r="G191" t="e" cm="1">
        <f t="array" aca="1" ref="G191" ca="1">js(G190,C180:G186)/100</f>
        <v>#NAME?</v>
      </c>
      <c r="H191" t="e" cm="1">
        <f t="array" aca="1" ref="H191" ca="1">js(H190,C180:G186)/100</f>
        <v>#NAME?</v>
      </c>
      <c r="I191" t="e" cm="1">
        <f t="array" aca="1" ref="I191" ca="1">js(I190,C180:H186)/100</f>
        <v>#NAME?</v>
      </c>
      <c r="L191" s="23" t="e" cm="1">
        <f t="array" aca="1" ref="L191" ca="1">sr(L190,181:187)</f>
        <v>#NAME?</v>
      </c>
      <c r="M191" s="23" t="e" cm="1">
        <f t="array" aca="1" ref="M191" ca="1">sr(M190,190:197)</f>
        <v>#NAME?</v>
      </c>
      <c r="N191" s="23" t="e" cm="1">
        <f t="array" aca="1" ref="N191" ca="1">sr(N190,202:205)</f>
        <v>#NAME?</v>
      </c>
      <c r="O191" s="23" t="e" cm="1">
        <f t="array" aca="1" ref="O191" ca="1">sr(O190,210:216)</f>
        <v>#NAME?</v>
      </c>
      <c r="Q191" s="28"/>
      <c r="S191" s="29" t="s">
        <v>974</v>
      </c>
      <c r="AD191" s="58"/>
      <c r="AE191" s="14"/>
      <c r="AF191" s="16"/>
      <c r="AG191" s="16"/>
      <c r="AH191" s="16"/>
      <c r="AI191" s="16"/>
      <c r="AJ191" s="16"/>
      <c r="AK191" s="16"/>
      <c r="AL191" s="16"/>
      <c r="AM191" s="16"/>
      <c r="AN191" s="16"/>
      <c r="AO191" s="16"/>
      <c r="AP191" s="16"/>
      <c r="AQ191" s="16"/>
    </row>
    <row r="192" spans="1:43" x14ac:dyDescent="0.25">
      <c r="B192" s="22" t="s">
        <v>165</v>
      </c>
      <c r="C192" t="e" cm="1">
        <f t="array" aca="1" ref="C192" ca="1">js(C190,C180:I186)+js(C189,C180:G186)</f>
        <v>#NAME?</v>
      </c>
      <c r="D192" t="e" cm="1">
        <f t="array" aca="1" ref="D192" ca="1">js(D190,C180:H186)+js(D189,C180:G186)</f>
        <v>#NAME?</v>
      </c>
      <c r="Q192" s="28"/>
      <c r="S192" s="29" t="s">
        <v>975</v>
      </c>
      <c r="AD192" s="58"/>
      <c r="AE192" s="14"/>
      <c r="AF192" s="14"/>
      <c r="AG192" s="14"/>
      <c r="AH192" s="14"/>
      <c r="AI192" s="14"/>
      <c r="AJ192" s="14"/>
      <c r="AK192" s="14"/>
      <c r="AL192" s="14"/>
      <c r="AM192" s="14"/>
      <c r="AN192" s="14"/>
      <c r="AO192" s="14"/>
      <c r="AP192" s="14"/>
      <c r="AQ192" s="14"/>
    </row>
    <row r="193" spans="2:43" ht="14.4" thickBot="1" x14ac:dyDescent="0.3">
      <c r="B193" s="22" t="s">
        <v>166</v>
      </c>
      <c r="C193" s="12" t="e" cm="1">
        <f t="array" aca="1" ref="C193" ca="1">SUM(C191:C192)*(1+jsText(LEFT(C189,3),C180:H186)/100)</f>
        <v>#NAME?</v>
      </c>
      <c r="D193" s="12" t="e" cm="1">
        <f t="array" aca="1" ref="D193" ca="1">SUM(D191:D192)*(1+jsText(LEFT(D189,3),C180:H186)/100)</f>
        <v>#NAME?</v>
      </c>
      <c r="Q193" s="30"/>
      <c r="R193" s="18"/>
      <c r="S193" s="31" t="s">
        <v>976</v>
      </c>
      <c r="AD193" s="58"/>
      <c r="AE193" s="14"/>
      <c r="AF193" s="16"/>
      <c r="AG193" s="16"/>
      <c r="AH193" s="16"/>
      <c r="AI193" s="16"/>
      <c r="AJ193" s="16"/>
      <c r="AK193" s="16"/>
      <c r="AL193" s="16"/>
      <c r="AM193" s="16"/>
      <c r="AN193" s="16"/>
      <c r="AO193" s="16"/>
      <c r="AP193" s="16"/>
      <c r="AQ193" s="16"/>
    </row>
    <row r="194" spans="2:43" x14ac:dyDescent="0.25">
      <c r="B194" s="85" t="s">
        <v>93</v>
      </c>
      <c r="C194" s="86" t="e">
        <f ca="1">C193*0.005+D193*0.002</f>
        <v>#NAME?</v>
      </c>
      <c r="D194" s="87"/>
      <c r="E194" s="86"/>
      <c r="F194" s="86"/>
      <c r="G194" s="86"/>
      <c r="H194" s="86"/>
      <c r="I194" s="86"/>
      <c r="AD194" s="58"/>
      <c r="AE194" s="14"/>
      <c r="AF194" s="14"/>
      <c r="AG194" s="14"/>
      <c r="AH194" s="14"/>
      <c r="AI194" s="14"/>
      <c r="AJ194" s="14"/>
      <c r="AK194" s="14"/>
      <c r="AL194" s="14"/>
      <c r="AM194" s="14"/>
      <c r="AN194" s="14"/>
      <c r="AO194" s="14"/>
      <c r="AP194" s="14"/>
      <c r="AQ194" s="14"/>
    </row>
    <row r="195" spans="2:43" x14ac:dyDescent="0.25">
      <c r="C195"/>
      <c r="AD195" s="58"/>
      <c r="AE195" s="14"/>
      <c r="AF195" s="14"/>
      <c r="AG195" s="14"/>
      <c r="AH195" s="14"/>
      <c r="AI195" s="14"/>
      <c r="AJ195" s="14"/>
      <c r="AK195" s="14"/>
      <c r="AL195" s="14"/>
      <c r="AM195" s="14"/>
      <c r="AN195" s="14"/>
      <c r="AO195" s="14"/>
      <c r="AP195" s="14"/>
      <c r="AQ195" s="14"/>
    </row>
    <row r="196" spans="2:43" x14ac:dyDescent="0.25">
      <c r="C196"/>
      <c r="AD196" s="58"/>
      <c r="AE196" s="14"/>
      <c r="AF196" s="16"/>
      <c r="AG196" s="16"/>
      <c r="AH196" s="16"/>
      <c r="AI196" s="38"/>
      <c r="AJ196" s="38"/>
      <c r="AK196" s="38"/>
      <c r="AL196" s="16"/>
      <c r="AM196" s="16"/>
      <c r="AN196" s="16"/>
      <c r="AO196" s="38"/>
      <c r="AP196" s="38"/>
      <c r="AQ196" s="16"/>
    </row>
    <row r="197" spans="2:43" ht="13.8" customHeight="1" x14ac:dyDescent="0.25">
      <c r="C197"/>
      <c r="E197" s="12"/>
      <c r="G197" s="12"/>
      <c r="AD197" s="58"/>
      <c r="AE197" s="14"/>
      <c r="AF197" s="16"/>
      <c r="AG197" s="16"/>
      <c r="AH197" s="16"/>
      <c r="AI197" s="16"/>
      <c r="AJ197" s="16"/>
      <c r="AK197" s="16"/>
      <c r="AL197" s="16"/>
      <c r="AM197" s="16"/>
      <c r="AN197" s="16"/>
      <c r="AO197" s="16"/>
      <c r="AP197" s="16"/>
      <c r="AQ197" s="16"/>
    </row>
    <row r="198" spans="2:43" x14ac:dyDescent="0.25">
      <c r="C198" s="22"/>
      <c r="AD198" s="58"/>
      <c r="AE198" s="14"/>
      <c r="AF198" s="14"/>
      <c r="AG198" s="14"/>
      <c r="AH198" s="14"/>
      <c r="AI198" s="14"/>
      <c r="AJ198" s="14"/>
      <c r="AK198" s="14"/>
      <c r="AL198" s="14"/>
      <c r="AM198" s="14"/>
      <c r="AN198" s="14"/>
      <c r="AO198" s="14"/>
      <c r="AP198" s="14"/>
      <c r="AQ198" s="14"/>
    </row>
    <row r="199" spans="2:43" x14ac:dyDescent="0.25">
      <c r="C199" s="22"/>
      <c r="AD199" s="58"/>
    </row>
    <row r="200" spans="2:43" x14ac:dyDescent="0.25">
      <c r="C200" s="22"/>
      <c r="AD200" s="58"/>
    </row>
    <row r="201" spans="2:43" ht="14.4" thickBot="1" x14ac:dyDescent="0.3">
      <c r="C201" s="28" t="s">
        <v>978</v>
      </c>
      <c r="E201" s="61" t="s">
        <v>755</v>
      </c>
      <c r="F201" s="61"/>
      <c r="G201" s="61"/>
      <c r="H201" s="61"/>
      <c r="I201" s="61"/>
      <c r="J201" s="62" t="s">
        <v>785</v>
      </c>
      <c r="K201" s="62"/>
      <c r="L201" s="62"/>
      <c r="M201" s="62"/>
      <c r="N201" s="63" t="s">
        <v>154</v>
      </c>
      <c r="O201" s="63"/>
      <c r="P201" s="63"/>
      <c r="Q201" s="63"/>
      <c r="R201" s="63"/>
      <c r="S201" s="63"/>
      <c r="T201" s="43" t="s">
        <v>161</v>
      </c>
      <c r="U201" s="43"/>
      <c r="V201" s="43"/>
      <c r="W201" s="43"/>
      <c r="X201" s="43"/>
      <c r="Y201" s="43"/>
      <c r="Z201" s="43"/>
      <c r="AD201" s="58"/>
      <c r="AE201" s="14" t="s">
        <v>77</v>
      </c>
    </row>
    <row r="202" spans="2:43" x14ac:dyDescent="0.25">
      <c r="B202" t="s">
        <v>695</v>
      </c>
      <c r="C202" s="17" t="s">
        <v>704</v>
      </c>
      <c r="D202" s="17" t="s">
        <v>991</v>
      </c>
      <c r="E202" s="52" t="s">
        <v>92</v>
      </c>
      <c r="F202" s="52" t="s">
        <v>94</v>
      </c>
      <c r="G202" s="52" t="s">
        <v>95</v>
      </c>
      <c r="H202" s="52" t="s">
        <v>93</v>
      </c>
      <c r="I202" s="52" t="s">
        <v>96</v>
      </c>
      <c r="J202" s="64" t="s">
        <v>688</v>
      </c>
      <c r="K202" s="64" t="s">
        <v>689</v>
      </c>
      <c r="L202" s="64" t="s">
        <v>690</v>
      </c>
      <c r="M202" s="64" t="s">
        <v>163</v>
      </c>
      <c r="N202" s="64" t="s">
        <v>707</v>
      </c>
      <c r="O202" s="64" t="s">
        <v>153</v>
      </c>
      <c r="P202" s="64" t="s">
        <v>76</v>
      </c>
      <c r="Q202" s="64" t="s">
        <v>77</v>
      </c>
      <c r="R202" s="64" t="s">
        <v>78</v>
      </c>
      <c r="S202" s="64" t="s">
        <v>703</v>
      </c>
      <c r="T202" s="64" t="s">
        <v>83</v>
      </c>
      <c r="U202" s="64" t="s">
        <v>80</v>
      </c>
      <c r="V202" s="64" t="s">
        <v>79</v>
      </c>
      <c r="W202" s="64" t="s">
        <v>691</v>
      </c>
      <c r="X202" s="64" t="s">
        <v>694</v>
      </c>
      <c r="Y202" s="64" t="s">
        <v>693</v>
      </c>
      <c r="Z202" s="64" t="s">
        <v>692</v>
      </c>
      <c r="AD202" s="58"/>
      <c r="AF202" s="60"/>
      <c r="AG202" s="60"/>
      <c r="AH202" s="60"/>
      <c r="AI202" s="60"/>
      <c r="AJ202" s="60"/>
      <c r="AK202" s="60"/>
      <c r="AL202" s="60"/>
      <c r="AM202" s="60"/>
      <c r="AN202" s="60"/>
      <c r="AO202" s="60"/>
      <c r="AP202" s="60"/>
      <c r="AQ202" s="60"/>
    </row>
    <row r="203" spans="2:43" x14ac:dyDescent="0.25">
      <c r="B203" t="s">
        <v>993</v>
      </c>
      <c r="C203"/>
      <c r="E203" s="21"/>
      <c r="F203" s="43"/>
      <c r="G203" s="43"/>
      <c r="H203" t="e">
        <f ca="1">C194</f>
        <v>#NAME?</v>
      </c>
      <c r="I203" t="e">
        <f ca="1">(E203*(1+F203)+G203)*(H203+1)</f>
        <v>#NAME?</v>
      </c>
      <c r="K203" s="43"/>
      <c r="L203" s="43"/>
      <c r="M203" s="43"/>
      <c r="N203" s="43"/>
      <c r="O203" s="43"/>
      <c r="P203" s="43"/>
      <c r="Q203" s="43"/>
      <c r="R203" s="43"/>
      <c r="AD203" s="58"/>
      <c r="AE203" s="14"/>
      <c r="AF203" s="14"/>
      <c r="AG203" s="14"/>
      <c r="AH203" s="14"/>
      <c r="AI203" s="14"/>
      <c r="AJ203" s="14"/>
      <c r="AK203" s="14"/>
      <c r="AL203" s="14"/>
      <c r="AM203" s="14"/>
      <c r="AN203" s="14"/>
      <c r="AO203" s="14"/>
      <c r="AP203" s="14"/>
      <c r="AQ203" s="14"/>
    </row>
    <row r="204" spans="2:43" x14ac:dyDescent="0.25">
      <c r="C204" t="s">
        <v>994</v>
      </c>
      <c r="D204" t="s">
        <v>805</v>
      </c>
      <c r="E204">
        <f>E203</f>
        <v>0</v>
      </c>
      <c r="F204">
        <f>F203</f>
        <v>0</v>
      </c>
      <c r="G204">
        <f>G203</f>
        <v>0</v>
      </c>
      <c r="H204" t="e">
        <f ca="1">H203</f>
        <v>#NAME?</v>
      </c>
      <c r="I204" t="e">
        <f t="shared" ref="I204:I206" ca="1" si="0">(E204*(1+F204)+G204)*(H204+1)</f>
        <v>#NAME?</v>
      </c>
      <c r="J204" t="e">
        <f ca="1">SUM(L191:L195)</f>
        <v>#NAME?</v>
      </c>
      <c r="K204">
        <f t="shared" ref="K204:R217" si="1">K203</f>
        <v>0</v>
      </c>
      <c r="L204">
        <f t="shared" si="1"/>
        <v>0</v>
      </c>
      <c r="M204">
        <f t="shared" si="1"/>
        <v>0</v>
      </c>
      <c r="N204">
        <f t="shared" si="1"/>
        <v>0</v>
      </c>
      <c r="O204">
        <f t="shared" si="1"/>
        <v>0</v>
      </c>
      <c r="P204">
        <f t="shared" si="1"/>
        <v>0</v>
      </c>
      <c r="Q204">
        <f t="shared" si="1"/>
        <v>0</v>
      </c>
      <c r="R204">
        <f t="shared" si="1"/>
        <v>0</v>
      </c>
      <c r="T204">
        <f>T203</f>
        <v>0</v>
      </c>
      <c r="U204">
        <f t="shared" ref="U204:X217" si="2">U203</f>
        <v>0</v>
      </c>
      <c r="V204">
        <f t="shared" si="2"/>
        <v>0</v>
      </c>
      <c r="W204">
        <f t="shared" si="2"/>
        <v>0</v>
      </c>
      <c r="X204">
        <f t="shared" si="2"/>
        <v>0</v>
      </c>
      <c r="AD204" s="58"/>
      <c r="AE204" s="14"/>
      <c r="AF204" s="16"/>
      <c r="AG204" s="16"/>
      <c r="AH204" s="16"/>
      <c r="AI204" s="16"/>
      <c r="AJ204" s="16"/>
      <c r="AK204" s="16"/>
      <c r="AL204" s="16"/>
      <c r="AM204" s="16"/>
      <c r="AN204" s="16"/>
      <c r="AO204" s="16"/>
      <c r="AP204" s="16"/>
      <c r="AQ204" s="16"/>
    </row>
    <row r="205" spans="2:43" x14ac:dyDescent="0.25">
      <c r="C205" t="s">
        <v>995</v>
      </c>
      <c r="D205" t="s">
        <v>805</v>
      </c>
      <c r="E205">
        <f t="shared" ref="E205:H217" si="3">E204</f>
        <v>0</v>
      </c>
      <c r="F205">
        <f t="shared" si="3"/>
        <v>0</v>
      </c>
      <c r="G205">
        <f t="shared" si="3"/>
        <v>0</v>
      </c>
      <c r="H205" t="e">
        <f t="shared" ca="1" si="3"/>
        <v>#NAME?</v>
      </c>
      <c r="I205" t="e">
        <f t="shared" ca="1" si="0"/>
        <v>#NAME?</v>
      </c>
      <c r="J205" t="e">
        <f ca="1">SUM(L191:L194)</f>
        <v>#NAME?</v>
      </c>
      <c r="K205">
        <f t="shared" si="1"/>
        <v>0</v>
      </c>
      <c r="L205">
        <f t="shared" si="1"/>
        <v>0</v>
      </c>
      <c r="M205">
        <f t="shared" si="1"/>
        <v>0</v>
      </c>
      <c r="N205">
        <f t="shared" si="1"/>
        <v>0</v>
      </c>
      <c r="O205">
        <f t="shared" si="1"/>
        <v>0</v>
      </c>
      <c r="P205">
        <f t="shared" si="1"/>
        <v>0</v>
      </c>
      <c r="Q205">
        <f t="shared" si="1"/>
        <v>0</v>
      </c>
      <c r="R205">
        <f t="shared" si="1"/>
        <v>0</v>
      </c>
      <c r="T205">
        <f t="shared" ref="T205:T217" si="4">T204</f>
        <v>0</v>
      </c>
      <c r="U205">
        <f t="shared" si="2"/>
        <v>0</v>
      </c>
      <c r="V205">
        <f t="shared" si="2"/>
        <v>0</v>
      </c>
      <c r="W205">
        <f t="shared" si="2"/>
        <v>0</v>
      </c>
      <c r="X205">
        <f t="shared" si="2"/>
        <v>0</v>
      </c>
      <c r="AD205" s="58"/>
      <c r="AE205" s="14"/>
      <c r="AF205" s="14"/>
      <c r="AG205" s="14"/>
      <c r="AH205" s="14"/>
      <c r="AI205" s="14"/>
      <c r="AJ205" s="14"/>
      <c r="AK205" s="14"/>
      <c r="AL205" s="14"/>
      <c r="AM205" s="14"/>
      <c r="AN205" s="14"/>
      <c r="AO205" s="14"/>
      <c r="AP205" s="14"/>
      <c r="AQ205" s="14"/>
    </row>
    <row r="206" spans="2:43" x14ac:dyDescent="0.25">
      <c r="C206" t="s">
        <v>996</v>
      </c>
      <c r="D206" t="s">
        <v>805</v>
      </c>
      <c r="E206">
        <f t="shared" si="3"/>
        <v>0</v>
      </c>
      <c r="F206">
        <f t="shared" si="3"/>
        <v>0</v>
      </c>
      <c r="G206">
        <f t="shared" si="3"/>
        <v>0</v>
      </c>
      <c r="H206" t="e">
        <f t="shared" ca="1" si="3"/>
        <v>#NAME?</v>
      </c>
      <c r="I206" t="e">
        <f t="shared" ca="1" si="0"/>
        <v>#NAME?</v>
      </c>
      <c r="J206">
        <f>L195</f>
        <v>0</v>
      </c>
      <c r="K206">
        <f t="shared" si="1"/>
        <v>0</v>
      </c>
      <c r="L206">
        <f t="shared" si="1"/>
        <v>0</v>
      </c>
      <c r="M206">
        <f t="shared" si="1"/>
        <v>0</v>
      </c>
      <c r="N206">
        <f t="shared" si="1"/>
        <v>0</v>
      </c>
      <c r="O206">
        <f t="shared" si="1"/>
        <v>0</v>
      </c>
      <c r="P206">
        <f t="shared" si="1"/>
        <v>0</v>
      </c>
      <c r="Q206">
        <f t="shared" si="1"/>
        <v>0</v>
      </c>
      <c r="R206">
        <f t="shared" si="1"/>
        <v>0</v>
      </c>
      <c r="T206">
        <f t="shared" si="4"/>
        <v>0</v>
      </c>
      <c r="U206">
        <f t="shared" si="2"/>
        <v>0</v>
      </c>
      <c r="V206">
        <f t="shared" si="2"/>
        <v>0</v>
      </c>
      <c r="W206">
        <f t="shared" si="2"/>
        <v>0</v>
      </c>
      <c r="X206">
        <f t="shared" si="2"/>
        <v>0</v>
      </c>
      <c r="AD206" s="58"/>
      <c r="AE206" s="14"/>
      <c r="AF206" s="14"/>
      <c r="AG206" s="14"/>
      <c r="AH206" s="14"/>
      <c r="AI206" s="14"/>
      <c r="AJ206" s="14"/>
      <c r="AK206" s="14"/>
      <c r="AL206" s="14"/>
      <c r="AM206" s="14"/>
      <c r="AN206" s="14"/>
      <c r="AO206" s="14"/>
      <c r="AP206" s="14"/>
      <c r="AQ206" s="14"/>
    </row>
    <row r="207" spans="2:43" x14ac:dyDescent="0.25">
      <c r="C207" t="s">
        <v>997</v>
      </c>
      <c r="D207" t="s">
        <v>805</v>
      </c>
      <c r="E207">
        <f t="shared" si="3"/>
        <v>0</v>
      </c>
      <c r="F207">
        <f t="shared" si="3"/>
        <v>0</v>
      </c>
      <c r="G207">
        <f t="shared" si="3"/>
        <v>0</v>
      </c>
      <c r="H207" t="e">
        <f t="shared" ca="1" si="3"/>
        <v>#NAME?</v>
      </c>
      <c r="I207" t="e">
        <f ca="1">(E207*(1+F207)+G207)*(H207+1)</f>
        <v>#NAME?</v>
      </c>
      <c r="J207">
        <f>L196</f>
        <v>0</v>
      </c>
      <c r="K207">
        <f t="shared" si="1"/>
        <v>0</v>
      </c>
      <c r="L207">
        <f t="shared" si="1"/>
        <v>0</v>
      </c>
      <c r="M207">
        <f t="shared" si="1"/>
        <v>0</v>
      </c>
      <c r="N207">
        <f t="shared" si="1"/>
        <v>0</v>
      </c>
      <c r="O207">
        <f t="shared" si="1"/>
        <v>0</v>
      </c>
      <c r="P207">
        <f t="shared" si="1"/>
        <v>0</v>
      </c>
      <c r="Q207">
        <f t="shared" si="1"/>
        <v>0</v>
      </c>
      <c r="R207">
        <f t="shared" si="1"/>
        <v>0</v>
      </c>
      <c r="T207">
        <f t="shared" si="4"/>
        <v>0</v>
      </c>
      <c r="U207">
        <f t="shared" si="2"/>
        <v>0</v>
      </c>
      <c r="V207">
        <f t="shared" si="2"/>
        <v>0</v>
      </c>
      <c r="W207">
        <f t="shared" si="2"/>
        <v>0</v>
      </c>
      <c r="X207">
        <f t="shared" si="2"/>
        <v>0</v>
      </c>
      <c r="AD207" s="58"/>
    </row>
    <row r="208" spans="2:43" x14ac:dyDescent="0.25">
      <c r="C208" t="s">
        <v>998</v>
      </c>
      <c r="D208" t="s">
        <v>805</v>
      </c>
      <c r="E208">
        <f t="shared" si="3"/>
        <v>0</v>
      </c>
      <c r="F208">
        <f t="shared" si="3"/>
        <v>0</v>
      </c>
      <c r="G208">
        <f t="shared" si="3"/>
        <v>0</v>
      </c>
      <c r="H208" t="e">
        <f t="shared" ca="1" si="3"/>
        <v>#NAME?</v>
      </c>
      <c r="I208" t="e">
        <f t="shared" ref="I208:I217" ca="1" si="5">(E208*(1+F208)+G208)*(H208+1)</f>
        <v>#NAME?</v>
      </c>
      <c r="J208">
        <f>L197</f>
        <v>0</v>
      </c>
      <c r="K208">
        <f t="shared" si="1"/>
        <v>0</v>
      </c>
      <c r="L208">
        <f t="shared" si="1"/>
        <v>0</v>
      </c>
      <c r="M208">
        <f t="shared" si="1"/>
        <v>0</v>
      </c>
      <c r="N208">
        <f t="shared" si="1"/>
        <v>0</v>
      </c>
      <c r="O208">
        <f t="shared" si="1"/>
        <v>0</v>
      </c>
      <c r="P208">
        <f t="shared" si="1"/>
        <v>0</v>
      </c>
      <c r="Q208">
        <f t="shared" si="1"/>
        <v>0</v>
      </c>
      <c r="R208">
        <f t="shared" si="1"/>
        <v>0</v>
      </c>
      <c r="T208">
        <f t="shared" si="4"/>
        <v>0</v>
      </c>
      <c r="U208">
        <f t="shared" si="2"/>
        <v>0</v>
      </c>
      <c r="V208">
        <f t="shared" si="2"/>
        <v>0</v>
      </c>
      <c r="W208">
        <f t="shared" si="2"/>
        <v>0</v>
      </c>
      <c r="X208">
        <f t="shared" si="2"/>
        <v>0</v>
      </c>
      <c r="AD208" s="58"/>
    </row>
    <row r="209" spans="1:43" x14ac:dyDescent="0.25">
      <c r="C209"/>
      <c r="D209" t="s">
        <v>805</v>
      </c>
      <c r="E209">
        <f t="shared" si="3"/>
        <v>0</v>
      </c>
      <c r="F209">
        <f t="shared" si="3"/>
        <v>0</v>
      </c>
      <c r="G209">
        <f t="shared" si="3"/>
        <v>0</v>
      </c>
      <c r="H209" t="e">
        <f t="shared" ca="1" si="3"/>
        <v>#NAME?</v>
      </c>
      <c r="I209" t="e">
        <f t="shared" ca="1" si="5"/>
        <v>#NAME?</v>
      </c>
      <c r="K209">
        <f t="shared" si="1"/>
        <v>0</v>
      </c>
      <c r="L209">
        <f t="shared" si="1"/>
        <v>0</v>
      </c>
      <c r="M209">
        <f t="shared" si="1"/>
        <v>0</v>
      </c>
      <c r="N209">
        <f t="shared" si="1"/>
        <v>0</v>
      </c>
      <c r="O209">
        <f t="shared" si="1"/>
        <v>0</v>
      </c>
      <c r="P209">
        <f t="shared" si="1"/>
        <v>0</v>
      </c>
      <c r="Q209">
        <f t="shared" si="1"/>
        <v>0</v>
      </c>
      <c r="R209">
        <f t="shared" si="1"/>
        <v>0</v>
      </c>
      <c r="T209">
        <f t="shared" si="4"/>
        <v>0</v>
      </c>
      <c r="U209">
        <f t="shared" si="2"/>
        <v>0</v>
      </c>
      <c r="V209">
        <f t="shared" si="2"/>
        <v>0</v>
      </c>
      <c r="W209">
        <f t="shared" si="2"/>
        <v>0</v>
      </c>
      <c r="X209">
        <f t="shared" si="2"/>
        <v>0</v>
      </c>
      <c r="AD209" s="58"/>
      <c r="AE209" s="14" t="s">
        <v>649</v>
      </c>
    </row>
    <row r="210" spans="1:43" x14ac:dyDescent="0.25">
      <c r="C210"/>
      <c r="D210" t="s">
        <v>805</v>
      </c>
      <c r="E210">
        <f t="shared" si="3"/>
        <v>0</v>
      </c>
      <c r="F210">
        <f t="shared" si="3"/>
        <v>0</v>
      </c>
      <c r="G210">
        <f t="shared" si="3"/>
        <v>0</v>
      </c>
      <c r="H210" t="e">
        <f t="shared" ca="1" si="3"/>
        <v>#NAME?</v>
      </c>
      <c r="I210" t="e">
        <f t="shared" ca="1" si="5"/>
        <v>#NAME?</v>
      </c>
      <c r="K210">
        <f t="shared" si="1"/>
        <v>0</v>
      </c>
      <c r="L210">
        <f t="shared" si="1"/>
        <v>0</v>
      </c>
      <c r="M210">
        <f t="shared" si="1"/>
        <v>0</v>
      </c>
      <c r="N210">
        <f t="shared" si="1"/>
        <v>0</v>
      </c>
      <c r="O210">
        <f t="shared" si="1"/>
        <v>0</v>
      </c>
      <c r="P210">
        <f t="shared" si="1"/>
        <v>0</v>
      </c>
      <c r="Q210">
        <f t="shared" si="1"/>
        <v>0</v>
      </c>
      <c r="R210">
        <f t="shared" si="1"/>
        <v>0</v>
      </c>
      <c r="T210">
        <f t="shared" si="4"/>
        <v>0</v>
      </c>
      <c r="U210">
        <f t="shared" si="2"/>
        <v>0</v>
      </c>
      <c r="V210">
        <f t="shared" si="2"/>
        <v>0</v>
      </c>
      <c r="W210">
        <f t="shared" si="2"/>
        <v>0</v>
      </c>
      <c r="X210">
        <f t="shared" si="2"/>
        <v>0</v>
      </c>
      <c r="AD210" s="58"/>
      <c r="AF210" s="60"/>
      <c r="AG210" s="60"/>
      <c r="AH210" s="60"/>
      <c r="AI210" s="60"/>
      <c r="AJ210" s="60"/>
      <c r="AK210" s="60"/>
      <c r="AL210" s="60"/>
      <c r="AM210" s="60"/>
      <c r="AN210" s="60"/>
      <c r="AO210" s="60"/>
      <c r="AP210" s="60"/>
      <c r="AQ210" s="60"/>
    </row>
    <row r="211" spans="1:43" x14ac:dyDescent="0.25">
      <c r="C211"/>
      <c r="D211" t="s">
        <v>805</v>
      </c>
      <c r="E211">
        <f t="shared" si="3"/>
        <v>0</v>
      </c>
      <c r="F211">
        <f t="shared" si="3"/>
        <v>0</v>
      </c>
      <c r="G211">
        <f t="shared" si="3"/>
        <v>0</v>
      </c>
      <c r="H211" t="e">
        <f t="shared" ca="1" si="3"/>
        <v>#NAME?</v>
      </c>
      <c r="I211" t="e">
        <f t="shared" ca="1" si="5"/>
        <v>#NAME?</v>
      </c>
      <c r="K211">
        <f t="shared" si="1"/>
        <v>0</v>
      </c>
      <c r="L211">
        <f t="shared" si="1"/>
        <v>0</v>
      </c>
      <c r="M211">
        <f t="shared" si="1"/>
        <v>0</v>
      </c>
      <c r="N211">
        <f t="shared" si="1"/>
        <v>0</v>
      </c>
      <c r="O211">
        <f t="shared" si="1"/>
        <v>0</v>
      </c>
      <c r="P211">
        <f t="shared" si="1"/>
        <v>0</v>
      </c>
      <c r="Q211">
        <f t="shared" si="1"/>
        <v>0</v>
      </c>
      <c r="R211">
        <f t="shared" si="1"/>
        <v>0</v>
      </c>
      <c r="T211">
        <f t="shared" si="4"/>
        <v>0</v>
      </c>
      <c r="U211">
        <f t="shared" si="2"/>
        <v>0</v>
      </c>
      <c r="V211">
        <f t="shared" si="2"/>
        <v>0</v>
      </c>
      <c r="W211">
        <f t="shared" si="2"/>
        <v>0</v>
      </c>
      <c r="X211">
        <f t="shared" si="2"/>
        <v>0</v>
      </c>
      <c r="AD211" s="58"/>
      <c r="AE211" s="14"/>
      <c r="AF211" s="14"/>
      <c r="AG211" s="14"/>
      <c r="AH211" s="14"/>
      <c r="AI211" s="14"/>
      <c r="AJ211" s="14"/>
      <c r="AK211" s="14"/>
      <c r="AL211" s="14"/>
      <c r="AM211" s="14"/>
      <c r="AN211" s="14"/>
      <c r="AO211" s="14"/>
      <c r="AP211" s="14"/>
      <c r="AQ211" s="14"/>
    </row>
    <row r="212" spans="1:43" x14ac:dyDescent="0.25">
      <c r="C212"/>
      <c r="D212" t="s">
        <v>805</v>
      </c>
      <c r="E212">
        <f t="shared" si="3"/>
        <v>0</v>
      </c>
      <c r="F212">
        <f t="shared" si="3"/>
        <v>0</v>
      </c>
      <c r="G212">
        <f t="shared" si="3"/>
        <v>0</v>
      </c>
      <c r="H212" t="e">
        <f t="shared" ca="1" si="3"/>
        <v>#NAME?</v>
      </c>
      <c r="I212" t="e">
        <f t="shared" ca="1" si="5"/>
        <v>#NAME?</v>
      </c>
      <c r="K212">
        <f t="shared" si="1"/>
        <v>0</v>
      </c>
      <c r="L212">
        <f t="shared" si="1"/>
        <v>0</v>
      </c>
      <c r="M212">
        <f t="shared" si="1"/>
        <v>0</v>
      </c>
      <c r="N212">
        <f t="shared" si="1"/>
        <v>0</v>
      </c>
      <c r="O212">
        <f t="shared" si="1"/>
        <v>0</v>
      </c>
      <c r="P212">
        <f t="shared" si="1"/>
        <v>0</v>
      </c>
      <c r="Q212">
        <f t="shared" si="1"/>
        <v>0</v>
      </c>
      <c r="R212">
        <f t="shared" si="1"/>
        <v>0</v>
      </c>
      <c r="T212">
        <f t="shared" si="4"/>
        <v>0</v>
      </c>
      <c r="U212">
        <f t="shared" si="2"/>
        <v>0</v>
      </c>
      <c r="V212">
        <f t="shared" si="2"/>
        <v>0</v>
      </c>
      <c r="W212">
        <f t="shared" si="2"/>
        <v>0</v>
      </c>
      <c r="X212">
        <f t="shared" si="2"/>
        <v>0</v>
      </c>
      <c r="AD212" s="58"/>
      <c r="AE212" s="14"/>
      <c r="AF212" s="16"/>
      <c r="AG212" s="16"/>
      <c r="AH212" s="16"/>
      <c r="AI212" s="16"/>
      <c r="AJ212" s="16"/>
      <c r="AK212" s="16"/>
      <c r="AL212" s="16"/>
      <c r="AM212" s="16"/>
      <c r="AN212" s="16"/>
      <c r="AO212" s="16"/>
      <c r="AP212" s="16"/>
      <c r="AQ212" s="16"/>
    </row>
    <row r="213" spans="1:43" x14ac:dyDescent="0.25">
      <c r="C213"/>
      <c r="D213" t="s">
        <v>805</v>
      </c>
      <c r="E213">
        <f t="shared" si="3"/>
        <v>0</v>
      </c>
      <c r="F213">
        <f t="shared" si="3"/>
        <v>0</v>
      </c>
      <c r="G213">
        <f t="shared" si="3"/>
        <v>0</v>
      </c>
      <c r="H213" t="e">
        <f t="shared" ca="1" si="3"/>
        <v>#NAME?</v>
      </c>
      <c r="I213" t="e">
        <f t="shared" ca="1" si="5"/>
        <v>#NAME?</v>
      </c>
      <c r="K213">
        <f t="shared" si="1"/>
        <v>0</v>
      </c>
      <c r="L213">
        <f t="shared" si="1"/>
        <v>0</v>
      </c>
      <c r="M213">
        <f t="shared" si="1"/>
        <v>0</v>
      </c>
      <c r="N213">
        <f t="shared" si="1"/>
        <v>0</v>
      </c>
      <c r="O213">
        <f t="shared" si="1"/>
        <v>0</v>
      </c>
      <c r="P213">
        <f t="shared" si="1"/>
        <v>0</v>
      </c>
      <c r="Q213">
        <f t="shared" si="1"/>
        <v>0</v>
      </c>
      <c r="R213">
        <f t="shared" si="1"/>
        <v>0</v>
      </c>
      <c r="T213">
        <f t="shared" si="4"/>
        <v>0</v>
      </c>
      <c r="U213">
        <f t="shared" si="2"/>
        <v>0</v>
      </c>
      <c r="V213">
        <f t="shared" si="2"/>
        <v>0</v>
      </c>
      <c r="W213">
        <f t="shared" si="2"/>
        <v>0</v>
      </c>
      <c r="X213">
        <f t="shared" si="2"/>
        <v>0</v>
      </c>
      <c r="AD213" s="58"/>
      <c r="AE213" s="14"/>
      <c r="AF213" s="14"/>
      <c r="AG213" s="14"/>
      <c r="AH213" s="14"/>
      <c r="AI213" s="14"/>
      <c r="AJ213" s="14"/>
      <c r="AK213" s="14"/>
      <c r="AL213" s="14"/>
      <c r="AM213" s="14"/>
      <c r="AN213" s="14"/>
      <c r="AO213" s="14"/>
      <c r="AP213" s="14"/>
      <c r="AQ213" s="14"/>
    </row>
    <row r="214" spans="1:43" x14ac:dyDescent="0.25">
      <c r="C214"/>
      <c r="D214" t="s">
        <v>805</v>
      </c>
      <c r="E214">
        <f t="shared" si="3"/>
        <v>0</v>
      </c>
      <c r="F214">
        <f t="shared" si="3"/>
        <v>0</v>
      </c>
      <c r="G214">
        <f t="shared" si="3"/>
        <v>0</v>
      </c>
      <c r="H214" t="e">
        <f t="shared" ca="1" si="3"/>
        <v>#NAME?</v>
      </c>
      <c r="I214" t="e">
        <f t="shared" ca="1" si="5"/>
        <v>#NAME?</v>
      </c>
      <c r="K214">
        <f t="shared" si="1"/>
        <v>0</v>
      </c>
      <c r="L214">
        <f t="shared" si="1"/>
        <v>0</v>
      </c>
      <c r="M214">
        <f t="shared" si="1"/>
        <v>0</v>
      </c>
      <c r="N214">
        <f t="shared" si="1"/>
        <v>0</v>
      </c>
      <c r="O214">
        <f t="shared" si="1"/>
        <v>0</v>
      </c>
      <c r="P214">
        <f t="shared" si="1"/>
        <v>0</v>
      </c>
      <c r="Q214">
        <f t="shared" si="1"/>
        <v>0</v>
      </c>
      <c r="R214">
        <f t="shared" si="1"/>
        <v>0</v>
      </c>
      <c r="T214">
        <f t="shared" si="4"/>
        <v>0</v>
      </c>
      <c r="U214">
        <f t="shared" si="2"/>
        <v>0</v>
      </c>
      <c r="V214">
        <f t="shared" si="2"/>
        <v>0</v>
      </c>
      <c r="W214">
        <f t="shared" si="2"/>
        <v>0</v>
      </c>
      <c r="X214">
        <f t="shared" si="2"/>
        <v>0</v>
      </c>
      <c r="AD214" s="58"/>
      <c r="AE214" s="14"/>
      <c r="AF214" s="16"/>
      <c r="AG214" s="16"/>
      <c r="AH214" s="16"/>
      <c r="AI214" s="16"/>
      <c r="AJ214" s="16"/>
      <c r="AK214" s="16"/>
      <c r="AL214" s="16"/>
      <c r="AM214" s="16"/>
      <c r="AN214" s="16"/>
      <c r="AO214" s="16"/>
      <c r="AP214" s="16"/>
      <c r="AQ214" s="16"/>
    </row>
    <row r="215" spans="1:43" x14ac:dyDescent="0.25">
      <c r="C215"/>
      <c r="D215" t="s">
        <v>805</v>
      </c>
      <c r="E215">
        <f t="shared" si="3"/>
        <v>0</v>
      </c>
      <c r="F215">
        <f t="shared" si="3"/>
        <v>0</v>
      </c>
      <c r="G215">
        <f t="shared" si="3"/>
        <v>0</v>
      </c>
      <c r="H215" t="e">
        <f t="shared" ca="1" si="3"/>
        <v>#NAME?</v>
      </c>
      <c r="I215" t="e">
        <f t="shared" ca="1" si="5"/>
        <v>#NAME?</v>
      </c>
      <c r="K215">
        <f t="shared" si="1"/>
        <v>0</v>
      </c>
      <c r="L215">
        <f t="shared" si="1"/>
        <v>0</v>
      </c>
      <c r="M215">
        <f t="shared" si="1"/>
        <v>0</v>
      </c>
      <c r="N215">
        <f t="shared" si="1"/>
        <v>0</v>
      </c>
      <c r="O215">
        <f t="shared" si="1"/>
        <v>0</v>
      </c>
      <c r="P215">
        <f t="shared" si="1"/>
        <v>0</v>
      </c>
      <c r="Q215">
        <f t="shared" si="1"/>
        <v>0</v>
      </c>
      <c r="R215">
        <f t="shared" si="1"/>
        <v>0</v>
      </c>
      <c r="T215">
        <f t="shared" si="4"/>
        <v>0</v>
      </c>
      <c r="U215">
        <f t="shared" si="2"/>
        <v>0</v>
      </c>
      <c r="V215">
        <f t="shared" si="2"/>
        <v>0</v>
      </c>
      <c r="W215">
        <f t="shared" si="2"/>
        <v>0</v>
      </c>
      <c r="X215">
        <f t="shared" si="2"/>
        <v>0</v>
      </c>
      <c r="AD215" s="58"/>
      <c r="AE215" s="14"/>
      <c r="AF215" s="16"/>
      <c r="AG215" s="16"/>
      <c r="AH215" s="16"/>
      <c r="AI215" s="16"/>
      <c r="AJ215" s="16"/>
      <c r="AK215" s="16"/>
      <c r="AL215" s="16"/>
      <c r="AM215" s="16"/>
      <c r="AN215" s="16"/>
      <c r="AO215" s="16"/>
      <c r="AP215" s="16"/>
      <c r="AQ215" s="16"/>
    </row>
    <row r="216" spans="1:43" x14ac:dyDescent="0.25">
      <c r="C216"/>
      <c r="D216" t="s">
        <v>805</v>
      </c>
      <c r="E216">
        <f t="shared" si="3"/>
        <v>0</v>
      </c>
      <c r="F216">
        <f t="shared" si="3"/>
        <v>0</v>
      </c>
      <c r="G216">
        <f t="shared" si="3"/>
        <v>0</v>
      </c>
      <c r="H216" t="e">
        <f t="shared" ca="1" si="3"/>
        <v>#NAME?</v>
      </c>
      <c r="I216" t="e">
        <f t="shared" ca="1" si="5"/>
        <v>#NAME?</v>
      </c>
      <c r="K216">
        <f t="shared" si="1"/>
        <v>0</v>
      </c>
      <c r="L216">
        <f t="shared" si="1"/>
        <v>0</v>
      </c>
      <c r="M216">
        <f t="shared" si="1"/>
        <v>0</v>
      </c>
      <c r="N216">
        <f t="shared" si="1"/>
        <v>0</v>
      </c>
      <c r="O216">
        <f t="shared" si="1"/>
        <v>0</v>
      </c>
      <c r="P216">
        <f t="shared" si="1"/>
        <v>0</v>
      </c>
      <c r="Q216">
        <f t="shared" si="1"/>
        <v>0</v>
      </c>
      <c r="R216">
        <f t="shared" si="1"/>
        <v>0</v>
      </c>
      <c r="T216">
        <f t="shared" si="4"/>
        <v>0</v>
      </c>
      <c r="U216">
        <f t="shared" si="2"/>
        <v>0</v>
      </c>
      <c r="V216">
        <f t="shared" si="2"/>
        <v>0</v>
      </c>
      <c r="W216">
        <f t="shared" si="2"/>
        <v>0</v>
      </c>
      <c r="X216">
        <f t="shared" si="2"/>
        <v>0</v>
      </c>
    </row>
    <row r="217" spans="1:43" x14ac:dyDescent="0.25">
      <c r="C217"/>
      <c r="D217" t="s">
        <v>805</v>
      </c>
      <c r="E217">
        <f t="shared" si="3"/>
        <v>0</v>
      </c>
      <c r="F217">
        <f t="shared" si="3"/>
        <v>0</v>
      </c>
      <c r="G217">
        <f t="shared" si="3"/>
        <v>0</v>
      </c>
      <c r="H217" t="e">
        <f t="shared" ca="1" si="3"/>
        <v>#NAME?</v>
      </c>
      <c r="I217" t="e">
        <f t="shared" ca="1" si="5"/>
        <v>#NAME?</v>
      </c>
      <c r="K217">
        <f t="shared" si="1"/>
        <v>0</v>
      </c>
      <c r="L217">
        <f t="shared" si="1"/>
        <v>0</v>
      </c>
      <c r="M217">
        <f t="shared" si="1"/>
        <v>0</v>
      </c>
      <c r="N217">
        <f t="shared" si="1"/>
        <v>0</v>
      </c>
      <c r="O217">
        <f t="shared" si="1"/>
        <v>0</v>
      </c>
      <c r="P217">
        <f t="shared" si="1"/>
        <v>0</v>
      </c>
      <c r="Q217">
        <f t="shared" si="1"/>
        <v>0</v>
      </c>
      <c r="R217">
        <f t="shared" si="1"/>
        <v>0</v>
      </c>
      <c r="T217">
        <f t="shared" si="4"/>
        <v>0</v>
      </c>
      <c r="U217">
        <f t="shared" si="2"/>
        <v>0</v>
      </c>
      <c r="V217">
        <f t="shared" si="2"/>
        <v>0</v>
      </c>
      <c r="W217">
        <f t="shared" si="2"/>
        <v>0</v>
      </c>
      <c r="X217">
        <f t="shared" si="2"/>
        <v>0</v>
      </c>
      <c r="AD217" s="58"/>
      <c r="AE217" s="14"/>
      <c r="AF217" s="14"/>
      <c r="AG217" s="14"/>
      <c r="AH217" s="14"/>
      <c r="AI217" s="14"/>
      <c r="AJ217" s="14"/>
      <c r="AK217" s="14"/>
      <c r="AL217" s="14"/>
      <c r="AM217" s="14"/>
      <c r="AN217" s="14"/>
      <c r="AO217" s="14"/>
      <c r="AP217" s="14"/>
      <c r="AQ217" s="14"/>
    </row>
    <row r="218" spans="1:43" x14ac:dyDescent="0.25">
      <c r="B218" s="86" t="s">
        <v>892</v>
      </c>
      <c r="C218" s="86"/>
      <c r="D218" s="86"/>
      <c r="E218" s="86"/>
      <c r="F218" s="86"/>
      <c r="G218" s="86"/>
      <c r="H218" s="86"/>
      <c r="I218" s="86"/>
      <c r="J218" s="86"/>
      <c r="K218" s="86"/>
      <c r="L218" s="86"/>
      <c r="M218" s="86"/>
      <c r="N218" s="86"/>
      <c r="O218" s="86"/>
      <c r="P218" s="86"/>
      <c r="Q218" s="86"/>
      <c r="R218" s="86"/>
      <c r="AD218" s="58"/>
      <c r="AE218" s="14"/>
      <c r="AF218" s="14"/>
      <c r="AG218" s="14"/>
      <c r="AH218" s="14"/>
      <c r="AI218" s="14"/>
      <c r="AJ218" s="14"/>
      <c r="AK218" s="14"/>
      <c r="AL218" s="14"/>
      <c r="AM218" s="14"/>
      <c r="AN218" s="14"/>
      <c r="AO218" s="14"/>
      <c r="AP218" s="14"/>
      <c r="AQ218" s="14"/>
    </row>
    <row r="219" spans="1:43" s="86" customFormat="1" x14ac:dyDescent="0.25">
      <c r="A219"/>
      <c r="B219"/>
      <c r="C219" t="s">
        <v>805</v>
      </c>
      <c r="D219"/>
      <c r="E219"/>
      <c r="F219"/>
      <c r="G219"/>
      <c r="H219"/>
      <c r="I219"/>
      <c r="J219"/>
      <c r="K219"/>
      <c r="L219"/>
      <c r="M219"/>
      <c r="N219"/>
      <c r="O219"/>
      <c r="P219"/>
      <c r="Q219"/>
      <c r="R219"/>
      <c r="S219" s="17"/>
      <c r="T219" s="17"/>
      <c r="U219" s="17"/>
      <c r="V219" s="17"/>
      <c r="W219" s="17"/>
      <c r="X219" s="17"/>
      <c r="Y219" s="17"/>
      <c r="Z219" s="17"/>
      <c r="AA219"/>
      <c r="AB219"/>
      <c r="AC219"/>
      <c r="AD219" s="96"/>
      <c r="AE219"/>
      <c r="AF219"/>
      <c r="AG219"/>
      <c r="AH219"/>
      <c r="AI219"/>
      <c r="AJ219"/>
      <c r="AK219"/>
      <c r="AL219"/>
      <c r="AM219"/>
      <c r="AN219"/>
      <c r="AO219"/>
      <c r="AP219"/>
      <c r="AQ219"/>
    </row>
    <row r="220" spans="1:43" x14ac:dyDescent="0.25">
      <c r="C220" t="s">
        <v>805</v>
      </c>
      <c r="AD220" s="58"/>
    </row>
    <row r="221" spans="1:43" x14ac:dyDescent="0.25">
      <c r="C221" t="s">
        <v>805</v>
      </c>
      <c r="AD221" s="58"/>
      <c r="AE221" s="86"/>
      <c r="AF221" s="86"/>
      <c r="AG221" s="86"/>
      <c r="AH221" s="86"/>
      <c r="AI221" s="86"/>
      <c r="AJ221" s="86"/>
      <c r="AK221" s="86"/>
      <c r="AL221" s="86"/>
      <c r="AM221" s="86"/>
      <c r="AN221" s="86"/>
      <c r="AO221" s="86"/>
      <c r="AP221" s="86"/>
      <c r="AQ221" s="86"/>
    </row>
    <row r="222" spans="1:43" x14ac:dyDescent="0.25">
      <c r="C222" t="s">
        <v>805</v>
      </c>
      <c r="AA222" s="86"/>
      <c r="AB222" s="86"/>
      <c r="AC222" s="86"/>
      <c r="AD222" s="58"/>
    </row>
    <row r="223" spans="1:43" x14ac:dyDescent="0.25">
      <c r="A223" s="86"/>
      <c r="C223" t="s">
        <v>805</v>
      </c>
      <c r="D223" s="12"/>
      <c r="AD223" s="58"/>
    </row>
    <row r="224" spans="1:43" x14ac:dyDescent="0.25">
      <c r="C224" t="s">
        <v>805</v>
      </c>
      <c r="D224" s="12"/>
      <c r="AD224" s="77"/>
    </row>
    <row r="225" spans="3:30" x14ac:dyDescent="0.25">
      <c r="C225" t="s">
        <v>805</v>
      </c>
      <c r="D225" s="12"/>
      <c r="P225" s="68"/>
      <c r="AD225" s="58"/>
    </row>
    <row r="226" spans="3:30" x14ac:dyDescent="0.25">
      <c r="C226" t="s">
        <v>805</v>
      </c>
      <c r="D226" s="22"/>
      <c r="AD226" s="58"/>
    </row>
    <row r="227" spans="3:30" x14ac:dyDescent="0.25">
      <c r="C227" t="s">
        <v>805</v>
      </c>
      <c r="AD227" s="58"/>
    </row>
    <row r="228" spans="3:30" x14ac:dyDescent="0.25">
      <c r="C228" t="s">
        <v>805</v>
      </c>
      <c r="D228" s="12"/>
      <c r="AD228" s="58"/>
    </row>
    <row r="229" spans="3:30" x14ac:dyDescent="0.25">
      <c r="C229" t="s">
        <v>805</v>
      </c>
      <c r="D229" s="12"/>
      <c r="AD229" s="77"/>
    </row>
    <row r="230" spans="3:30" x14ac:dyDescent="0.25">
      <c r="C230" t="s">
        <v>805</v>
      </c>
      <c r="D230" s="12"/>
      <c r="P230" s="68"/>
      <c r="AD230" s="58"/>
    </row>
    <row r="231" spans="3:30" x14ac:dyDescent="0.25">
      <c r="C231" t="s">
        <v>805</v>
      </c>
      <c r="D231" s="22"/>
      <c r="AD231" s="58"/>
    </row>
    <row r="232" spans="3:30" x14ac:dyDescent="0.25">
      <c r="C232"/>
      <c r="AD232" s="58"/>
    </row>
    <row r="233" spans="3:30" x14ac:dyDescent="0.25">
      <c r="C233"/>
      <c r="AD233" s="58"/>
    </row>
    <row r="234" spans="3:30" x14ac:dyDescent="0.25">
      <c r="C234"/>
      <c r="AD234" s="58"/>
    </row>
    <row r="235" spans="3:30" x14ac:dyDescent="0.25">
      <c r="C235"/>
    </row>
    <row r="236" spans="3:30" x14ac:dyDescent="0.25">
      <c r="C236"/>
    </row>
    <row r="237" spans="3:30" x14ac:dyDescent="0.25">
      <c r="C237"/>
    </row>
    <row r="238" spans="3:30" x14ac:dyDescent="0.25">
      <c r="C238"/>
    </row>
    <row r="239" spans="3:30" x14ac:dyDescent="0.25">
      <c r="C239"/>
    </row>
    <row r="240" spans="3:30" x14ac:dyDescent="0.25">
      <c r="C240"/>
    </row>
    <row r="241" spans="1:21" x14ac:dyDescent="0.25">
      <c r="C241"/>
    </row>
    <row r="242" spans="1:21" x14ac:dyDescent="0.25">
      <c r="C242"/>
    </row>
    <row r="243" spans="1:21" x14ac:dyDescent="0.25">
      <c r="C243"/>
    </row>
    <row r="244" spans="1:21" x14ac:dyDescent="0.25">
      <c r="A244" t="s">
        <v>1156</v>
      </c>
      <c r="C244"/>
    </row>
    <row r="245" spans="1:21" x14ac:dyDescent="0.25">
      <c r="C245"/>
    </row>
    <row r="246" spans="1:21" x14ac:dyDescent="0.25">
      <c r="C246"/>
    </row>
    <row r="247" spans="1:21" x14ac:dyDescent="0.25">
      <c r="C247"/>
    </row>
    <row r="248" spans="1:21" x14ac:dyDescent="0.25">
      <c r="C248"/>
      <c r="N248" s="43" t="s">
        <v>1052</v>
      </c>
      <c r="O248" s="43"/>
      <c r="P248" s="43"/>
      <c r="Q248" s="43"/>
      <c r="R248" s="43"/>
      <c r="S248" s="43"/>
      <c r="T248" s="43"/>
      <c r="U248" s="43"/>
    </row>
    <row r="249" spans="1:21" x14ac:dyDescent="0.25">
      <c r="C249"/>
      <c r="N249" t="s">
        <v>1053</v>
      </c>
      <c r="O249" t="s">
        <v>1046</v>
      </c>
      <c r="P249" t="s">
        <v>797</v>
      </c>
      <c r="Q249" t="s">
        <v>1045</v>
      </c>
      <c r="R249" t="s">
        <v>222</v>
      </c>
      <c r="S249" t="s">
        <v>1049</v>
      </c>
      <c r="T249" t="s">
        <v>1050</v>
      </c>
      <c r="U249" t="s">
        <v>1051</v>
      </c>
    </row>
    <row r="250" spans="1:21" x14ac:dyDescent="0.25">
      <c r="C250"/>
      <c r="M250" t="s">
        <v>1039</v>
      </c>
      <c r="N250" t="s">
        <v>1041</v>
      </c>
      <c r="O250">
        <f>0</f>
        <v>0</v>
      </c>
      <c r="S250">
        <v>90</v>
      </c>
      <c r="T250">
        <f>SUM($Q$16:$R$16)+SUM(Q251:R251)*10</f>
        <v>0</v>
      </c>
      <c r="U250" s="36" t="e">
        <f>S250/T250-1</f>
        <v>#DIV/0!</v>
      </c>
    </row>
    <row r="251" spans="1:21" x14ac:dyDescent="0.25">
      <c r="C251"/>
      <c r="M251" t="s">
        <v>1040</v>
      </c>
      <c r="N251" t="s">
        <v>77</v>
      </c>
      <c r="U251" s="36"/>
    </row>
    <row r="252" spans="1:21" x14ac:dyDescent="0.25">
      <c r="C252"/>
      <c r="N252" t="s">
        <v>1042</v>
      </c>
      <c r="O252">
        <f>0</f>
        <v>0</v>
      </c>
      <c r="T252">
        <f>SUM($Q$16:$R$16)+SUM(Q253:R253)*10</f>
        <v>0</v>
      </c>
      <c r="U252" s="36" t="e">
        <f t="shared" ref="U252:U256" si="6">S252/T252-1</f>
        <v>#DIV/0!</v>
      </c>
    </row>
    <row r="253" spans="1:21" x14ac:dyDescent="0.25">
      <c r="C253"/>
      <c r="N253" t="s">
        <v>77</v>
      </c>
      <c r="U253" s="36"/>
    </row>
    <row r="254" spans="1:21" x14ac:dyDescent="0.25">
      <c r="C254"/>
      <c r="N254" t="s">
        <v>1043</v>
      </c>
      <c r="O254">
        <f>0</f>
        <v>0</v>
      </c>
      <c r="T254">
        <f>SUM($Q$16:$R$16)+SUM(Q255:R255)*10</f>
        <v>0</v>
      </c>
      <c r="U254" s="36" t="e">
        <f t="shared" si="6"/>
        <v>#DIV/0!</v>
      </c>
    </row>
    <row r="255" spans="1:21" x14ac:dyDescent="0.25">
      <c r="C255"/>
      <c r="N255" t="s">
        <v>77</v>
      </c>
      <c r="U255" s="36"/>
    </row>
    <row r="256" spans="1:21" x14ac:dyDescent="0.25">
      <c r="C256"/>
      <c r="N256" t="s">
        <v>1044</v>
      </c>
      <c r="O256">
        <f>0</f>
        <v>0</v>
      </c>
      <c r="T256">
        <f>SUM($Q$16:$R$16)+SUM(Q257:R257)*10</f>
        <v>0</v>
      </c>
      <c r="U256" s="36" t="e">
        <f t="shared" si="6"/>
        <v>#DIV/0!</v>
      </c>
    </row>
    <row r="257" spans="1:45" x14ac:dyDescent="0.25">
      <c r="C257"/>
      <c r="N257" t="s">
        <v>77</v>
      </c>
      <c r="U257" s="36"/>
    </row>
    <row r="258" spans="1:45" x14ac:dyDescent="0.25">
      <c r="C258"/>
      <c r="O258" t="s">
        <v>1047</v>
      </c>
      <c r="P258">
        <f>SUM(P250*(100-$O$7),P252*(100-$O$9),P254*(100-$O$11),P256*(100-$O$13))</f>
        <v>0</v>
      </c>
      <c r="Q258">
        <f>SUM(Q250*(100-$O$7),Q252*(100-$O$9),Q254*(100-$O$11),Q256*(100-$O$13))</f>
        <v>0</v>
      </c>
      <c r="R258">
        <f>SUM(R250*(100-$O$7),R252*(100-$O$9),R254*(100-$O$11),R256*(100-$O$13))</f>
        <v>0</v>
      </c>
    </row>
    <row r="259" spans="1:45" x14ac:dyDescent="0.25">
      <c r="C259"/>
      <c r="O259" t="s">
        <v>1048</v>
      </c>
      <c r="P259">
        <f>P258*6.5/100</f>
        <v>0</v>
      </c>
      <c r="Q259">
        <f t="shared" ref="Q259:R259" si="7">Q258*6.5/100</f>
        <v>0</v>
      </c>
      <c r="R259">
        <f t="shared" si="7"/>
        <v>0</v>
      </c>
    </row>
    <row r="260" spans="1:45" x14ac:dyDescent="0.25">
      <c r="C260"/>
    </row>
    <row r="261" spans="1:45" x14ac:dyDescent="0.25">
      <c r="C261"/>
    </row>
    <row r="262" spans="1:45" x14ac:dyDescent="0.25">
      <c r="C262"/>
    </row>
    <row r="263" spans="1:45" x14ac:dyDescent="0.25">
      <c r="C263"/>
    </row>
    <row r="264" spans="1:45" x14ac:dyDescent="0.25">
      <c r="C264"/>
    </row>
    <row r="265" spans="1:45" x14ac:dyDescent="0.25">
      <c r="C265">
        <f>B276/8</f>
        <v>0</v>
      </c>
    </row>
    <row r="266" spans="1:45" x14ac:dyDescent="0.25">
      <c r="B266">
        <f>B276/8</f>
        <v>0</v>
      </c>
      <c r="C266">
        <f>SUM(C277:C278)</f>
        <v>0</v>
      </c>
    </row>
    <row r="267" spans="1:45" x14ac:dyDescent="0.25">
      <c r="B267">
        <f>B277+B278</f>
        <v>0</v>
      </c>
      <c r="C267"/>
    </row>
    <row r="268" spans="1:45" ht="14.4" thickBot="1" x14ac:dyDescent="0.3">
      <c r="A268" s="11" t="s">
        <v>686</v>
      </c>
      <c r="B268" t="s">
        <v>808</v>
      </c>
      <c r="C268" t="s">
        <v>809</v>
      </c>
      <c r="D268" t="s">
        <v>810</v>
      </c>
      <c r="E268" t="s">
        <v>811</v>
      </c>
      <c r="F268" s="116" t="s">
        <v>784</v>
      </c>
      <c r="G268" s="117" t="s">
        <v>812</v>
      </c>
      <c r="H268" s="117" t="s">
        <v>813</v>
      </c>
      <c r="I268" s="117" t="s">
        <v>814</v>
      </c>
      <c r="J268" s="117" t="s">
        <v>815</v>
      </c>
      <c r="K268" s="117" t="s">
        <v>816</v>
      </c>
      <c r="L268" s="117" t="s">
        <v>817</v>
      </c>
      <c r="M268" s="117" t="s">
        <v>818</v>
      </c>
      <c r="N268" s="117" t="s">
        <v>819</v>
      </c>
      <c r="O268" s="117" t="s">
        <v>820</v>
      </c>
      <c r="P268" s="117" t="s">
        <v>821</v>
      </c>
      <c r="Q268" s="117" t="s">
        <v>822</v>
      </c>
      <c r="R268" s="117" t="s">
        <v>823</v>
      </c>
      <c r="S268" s="117" t="s">
        <v>824</v>
      </c>
      <c r="T268" s="117" t="s">
        <v>825</v>
      </c>
      <c r="U268" s="61" t="s">
        <v>755</v>
      </c>
      <c r="V268" s="61" t="s">
        <v>826</v>
      </c>
      <c r="W268" s="61" t="s">
        <v>827</v>
      </c>
      <c r="X268" s="61" t="s">
        <v>828</v>
      </c>
      <c r="Y268" s="61" t="s">
        <v>829</v>
      </c>
      <c r="Z268" s="62" t="s">
        <v>785</v>
      </c>
      <c r="AA268" s="62" t="s">
        <v>830</v>
      </c>
      <c r="AB268" s="62" t="s">
        <v>831</v>
      </c>
      <c r="AC268" s="62" t="s">
        <v>832</v>
      </c>
      <c r="AD268" s="63" t="s">
        <v>154</v>
      </c>
      <c r="AE268" s="63" t="s">
        <v>833</v>
      </c>
      <c r="AF268" s="63" t="s">
        <v>834</v>
      </c>
      <c r="AG268" s="63" t="s">
        <v>835</v>
      </c>
      <c r="AH268" s="63" t="s">
        <v>836</v>
      </c>
      <c r="AI268" s="63" t="s">
        <v>837</v>
      </c>
      <c r="AJ268" s="43" t="s">
        <v>161</v>
      </c>
      <c r="AK268" s="43" t="s">
        <v>838</v>
      </c>
      <c r="AL268" s="43" t="s">
        <v>839</v>
      </c>
      <c r="AM268" s="43" t="s">
        <v>840</v>
      </c>
      <c r="AN268" s="43" t="s">
        <v>841</v>
      </c>
      <c r="AO268" s="43" t="s">
        <v>842</v>
      </c>
      <c r="AP268" s="43" t="s">
        <v>843</v>
      </c>
      <c r="AQ268" t="s">
        <v>796</v>
      </c>
      <c r="AR268" t="s">
        <v>844</v>
      </c>
      <c r="AS268" t="s">
        <v>845</v>
      </c>
    </row>
    <row r="269" spans="1:45" x14ac:dyDescent="0.25">
      <c r="A269" t="s">
        <v>704</v>
      </c>
      <c r="B269" t="s">
        <v>793</v>
      </c>
      <c r="C269" t="s">
        <v>792</v>
      </c>
      <c r="D269" t="s">
        <v>794</v>
      </c>
      <c r="E269" s="36" t="s">
        <v>786</v>
      </c>
      <c r="F269" s="49" t="s">
        <v>197</v>
      </c>
      <c r="G269" s="49" t="s">
        <v>781</v>
      </c>
      <c r="H269" s="49" t="s">
        <v>782</v>
      </c>
      <c r="I269" s="49" t="s">
        <v>783</v>
      </c>
      <c r="J269" s="118" t="s">
        <v>770</v>
      </c>
      <c r="K269" s="119" t="s">
        <v>771</v>
      </c>
      <c r="L269" s="119" t="s">
        <v>772</v>
      </c>
      <c r="M269" s="119" t="s">
        <v>773</v>
      </c>
      <c r="N269" s="119" t="s">
        <v>774</v>
      </c>
      <c r="O269" s="119" t="s">
        <v>775</v>
      </c>
      <c r="P269" s="119" t="s">
        <v>776</v>
      </c>
      <c r="Q269" s="119" t="s">
        <v>777</v>
      </c>
      <c r="R269" s="119" t="s">
        <v>778</v>
      </c>
      <c r="S269" s="119" t="s">
        <v>779</v>
      </c>
      <c r="T269" s="119" t="s">
        <v>780</v>
      </c>
      <c r="U269" s="51" t="s">
        <v>92</v>
      </c>
      <c r="V269" s="51" t="s">
        <v>94</v>
      </c>
      <c r="W269" s="51" t="s">
        <v>95</v>
      </c>
      <c r="X269" s="51" t="s">
        <v>93</v>
      </c>
      <c r="Y269" s="51" t="s">
        <v>807</v>
      </c>
      <c r="Z269" s="65" t="s">
        <v>688</v>
      </c>
      <c r="AA269" s="65" t="s">
        <v>689</v>
      </c>
      <c r="AB269" s="65" t="s">
        <v>690</v>
      </c>
      <c r="AC269" s="65" t="s">
        <v>163</v>
      </c>
      <c r="AD269" s="120" t="s">
        <v>707</v>
      </c>
      <c r="AE269" s="65" t="s">
        <v>153</v>
      </c>
      <c r="AF269" s="65" t="s">
        <v>76</v>
      </c>
      <c r="AG269" s="65" t="s">
        <v>77</v>
      </c>
      <c r="AH269" s="65" t="s">
        <v>78</v>
      </c>
      <c r="AI269" s="65" t="s">
        <v>703</v>
      </c>
      <c r="AJ269" s="65" t="s">
        <v>83</v>
      </c>
      <c r="AK269" s="65" t="s">
        <v>80</v>
      </c>
      <c r="AL269" s="65" t="s">
        <v>79</v>
      </c>
      <c r="AM269" s="65" t="s">
        <v>691</v>
      </c>
      <c r="AN269" s="65" t="s">
        <v>694</v>
      </c>
      <c r="AO269" s="65" t="s">
        <v>693</v>
      </c>
      <c r="AP269" s="66" t="s">
        <v>692</v>
      </c>
      <c r="AQ269" s="121" t="s">
        <v>789</v>
      </c>
      <c r="AR269" s="122" t="s">
        <v>790</v>
      </c>
      <c r="AS269" s="122" t="s">
        <v>795</v>
      </c>
    </row>
    <row r="270" spans="1:45" x14ac:dyDescent="0.25">
      <c r="C270"/>
      <c r="E270" s="36"/>
    </row>
    <row r="271" spans="1:45" x14ac:dyDescent="0.25">
      <c r="B271">
        <f>PRODUCT(Y271:Z271,AC271,AI271:AS271)</f>
        <v>0</v>
      </c>
      <c r="C271">
        <f>B271*(1+表2_5462[[#This Row],[列24]]*(表2_5462[[#This Row],[列25]]-1))</f>
        <v>0</v>
      </c>
      <c r="D271">
        <f>PRODUCT(Y271:Z271,AB271:AC271,AI271:AS271)</f>
        <v>0</v>
      </c>
      <c r="E271" s="36" t="e">
        <f>表2_5462[[#This Row],[列3]]/$C$63</f>
        <v>#DIV/0!</v>
      </c>
      <c r="F271" t="s">
        <v>791</v>
      </c>
      <c r="U271">
        <f xml:space="preserve"> IFERROR(VLOOKUP($A271,$A$87:$X$1001,MATCH(U$26,$A$88:$J$88,0), FALSE), 0) *
    (LEN($A271) &gt; 0)</f>
        <v>0</v>
      </c>
      <c r="V271" cm="1">
        <f t="array" ref="V271" xml:space="preserve"> IFERROR(VLOOKUP($A271,$A$87:$X$1001,MATCH(V$26,$A$88:$J$88,0), FALSE), 0) *
    (LEN($A271) &gt; 0)+SUMPRODUCT(
    IFERROR(VLOOKUP($G271:$T271, $B$88:$X$1001,MATCH(V$26,$B$88:$X$88,0), FALSE), 0) *
    (LEN($G271:$T271) &gt; 0)
)</f>
        <v>0</v>
      </c>
      <c r="W271">
        <f xml:space="preserve"> IFERROR(VLOOKUP($A271,$A$87:$X$1001,MATCH(W$26,$A$88:$J$88,0), FALSE), 0) *
    (LEN($A271) &gt; 0)</f>
        <v>0</v>
      </c>
      <c r="X271">
        <f xml:space="preserve"> IFERROR(VLOOKUP($A271,$A$87:$X$1001,MATCH(X$26,$A$88:$J$88,0), FALSE), 0) *
    (LEN($A271) &gt; 0)</f>
        <v>0</v>
      </c>
      <c r="Y271">
        <f>(U271*(1+V271)+W271)*(1+X271)</f>
        <v>0</v>
      </c>
      <c r="Z271">
        <f xml:space="preserve"> IFERROR(VLOOKUP($A271,$A$87:$X$1001,MATCH(Z$26,$A$88:$J$88,0), FALSE), 0) *
    (LEN($A271) &gt; 0)</f>
        <v>0</v>
      </c>
      <c r="AA271" cm="1">
        <f t="array" ref="AA271" xml:space="preserve"> IFERROR(VLOOKUP($A271,$A$87:$X$1001,MATCH(AA$26,$A$88:$J$88,0), FALSE), 0) *
    (LEN($A271) &gt; 0)+SUMPRODUCT(
    IFERROR(VLOOKUP($G271:$T271, $B$88:$X$1001,MATCH(AA$26,$B$88:$X$88,0), FALSE), 0) *
    (LEN($G271:$T271) &gt; 0)
)</f>
        <v>0</v>
      </c>
      <c r="AB271" cm="1">
        <f t="array" ref="AB271">1+SUMPRODUCT(
    IFERROR(VLOOKUP($G271:$T271, $B$88:$X$1001,MATCH(AB$26,$B$88:$X$88,0), FALSE), 0) *
    (LEN($G271:$T271) &gt; 0)
)+IFERROR(VLOOKUP($A271,$A$88:$X$1001,MATCH(AB$26,$A$88:$J$88,0), FALSE), 0) *
    (LEN($A271) &gt; 0)</f>
        <v>1</v>
      </c>
      <c r="AC271" cm="1">
        <f t="array" ref="AC271">1+SUMPRODUCT(
    IFERROR(VLOOKUP($G271:$T271, $B$88:$X$1001,MATCH(AC$26,$B$88:$X$88,0), FALSE), 0) *
    (LEN($G271:$T271) &gt; 0)
)</f>
        <v>1</v>
      </c>
      <c r="AD271" cm="1">
        <f t="array" ref="AD271">SUMPRODUCT(
    IFERROR(VLOOKUP($G271:$T271, $B$88:$X$1001,MATCH(AD$26,$B$88:$X$88,0), FALSE), 0) *
    (LEN($G271:$T271) &gt; 0)
)+IFERROR(VLOOKUP($A271,$A$89:$X$1001,MATCH(AD$26,$A$88:$X$88,0), FALSE), 0) *
    (LEN($A271) &gt; 0)</f>
        <v>0</v>
      </c>
      <c r="AE271" cm="1">
        <f t="array" ref="AE271">SUMPRODUCT(
    IFERROR(VLOOKUP($G271:$T271, $B$88:$X$1001,MATCH(AE$26,$B$88:$X$88,0), FALSE), 0) *
    (LEN($G271:$T271) &gt; 0)
)+IFERROR(VLOOKUP($A271,$A$89:$X$1001,MATCH(AE$26,$A$88:$X$88,0), FALSE), 0) *
    (LEN($A271) &gt; 0)</f>
        <v>0</v>
      </c>
      <c r="AF271" cm="1">
        <f t="array" ref="AF271">SUMPRODUCT(
    IFERROR(VLOOKUP($G271:$T271, $B$88:$X$1001,MATCH(AF$26,$B$88:$X$88,0), FALSE), 0) *
    (LEN($G271:$T271) &gt; 0)
)+IFERROR(VLOOKUP($A271,$A$89:$X$1001,MATCH(AF$26,$A$88:$X$88,0), FALSE), 0) *
    (LEN($A271) &gt; 0)</f>
        <v>0</v>
      </c>
      <c r="AG271" cm="1">
        <f t="array" ref="AG271">SUMPRODUCT(
    IFERROR(VLOOKUP($G271:$T271, $B$88:$X$1001,MATCH(AG$26,$B$88:$X$88,0), FALSE), 0) *
    (LEN($G271:$T271) &gt; 0)
)+IFERROR(VLOOKUP($A271,$A$89:$X$1001,MATCH(AG$26,$A$88:$X$88,0), FALSE), 0) *
    (LEN($A271) &gt; 0)</f>
        <v>0</v>
      </c>
      <c r="AH271" cm="1">
        <f t="array" ref="AH271">SUMPRODUCT(
    IFERROR(VLOOKUP($G271:$T271, $B$88:$X$1001,MATCH(AH$26,$B$88:$X$88,0), FALSE), 0) *
    (LEN($G271:$T271) &gt; 0)
)+IFERROR(VLOOKUP($A271,$A$89:$X$1001,MATCH(AH$26,$A$88:$X$88,0), FALSE), 0) *
    (LEN($A271) &gt; 0)</f>
        <v>0</v>
      </c>
      <c r="AI271">
        <f t="shared" ref="AI271:AI280" si="8">1 + AD271 + IF(
    LEN($A271) &gt; 0,
    IFERROR(
        HLOOKUP(RIGHT($A271,2), $AE$26:$AH$81, ROW()-ROW($AE$26) + 1, FALSE),
        0
    ),
    0
)</f>
        <v>1</v>
      </c>
      <c r="AJ271" cm="1">
        <f t="array" ref="AJ271">1+SUMPRODUCT(
    IFERROR(VLOOKUP($G271:$T271, $B$88:$X$1001,MATCH(AJ$26,$B$88:$X$88,0), FALSE), 0) *
    (LEN($G271:$T271) &gt; 0)
)</f>
        <v>1</v>
      </c>
      <c r="AK271" cm="1">
        <f t="array" ref="AK271">1+SUMPRODUCT(
    IFERROR(VLOOKUP($G271:$T271, $B$88:$X$1001,MATCH(AK$26,$B$88:$X$88,0), FALSE), 0) *
    (LEN($G271:$T271) &gt; 0)
)</f>
        <v>1</v>
      </c>
      <c r="AL271" cm="1">
        <f t="array" ref="AL271">1+SUMPRODUCT(
    IFERROR(VLOOKUP($G271:$T271, $B$88:$X$1001,MATCH(AL$26,$B$88:$X$88,0), FALSE), 0) *
    (LEN($G271:$T271) &gt; 0)
)</f>
        <v>1</v>
      </c>
      <c r="AM271" cm="1">
        <f t="array" ref="AM271">1+SUMPRODUCT(
    IFERROR(VLOOKUP($G271:$T271, $B$88:$X$1001,MATCH(AM$26,$B$88:$X$88,0), FALSE), 0) *
    (LEN($G271:$T271) &gt; 0)
)</f>
        <v>1</v>
      </c>
      <c r="AN271" cm="1">
        <f t="array" ref="AN271">1+SUMPRODUCT(
    IFERROR(VLOOKUP($G271:$T271, $B$88:$X$1001,MATCH(AN$26,$B$88:$X$88,0), FALSE), 0) *
    (LEN($G271:$T271) &gt; 0)
)</f>
        <v>1</v>
      </c>
      <c r="AO271">
        <f>IF($F271="是",1.3,1)</f>
        <v>1</v>
      </c>
      <c r="AQ271">
        <f>0.5</f>
        <v>0.5</v>
      </c>
    </row>
    <row r="272" spans="1:45" x14ac:dyDescent="0.25">
      <c r="B272">
        <f t="shared" ref="B272:B280" si="9">PRODUCT(Y272:Z272,AC272,AI272:AS272)</f>
        <v>0</v>
      </c>
      <c r="C272">
        <f>B272*(1+表2_5462[[#This Row],[列24]]*(表2_5462[[#This Row],[列25]]-1))</f>
        <v>0</v>
      </c>
      <c r="D272">
        <f t="shared" ref="D272:D280" si="10">PRODUCT(Y272:Z272,AB272:AC272,AI272:AS272)</f>
        <v>0</v>
      </c>
      <c r="E272" s="36" t="e">
        <f>表2_5462[[#This Row],[列3]]/$C$63</f>
        <v>#DIV/0!</v>
      </c>
      <c r="F272" t="s">
        <v>791</v>
      </c>
      <c r="U272">
        <f t="shared" ref="U272:U301" si="11" xml:space="preserve"> IFERROR(VLOOKUP($A272,$A$87:$X$1001,MATCH(U$26,$A$88:$J$88,0), FALSE), 0) *
    (LEN($A272) &gt; 0)</f>
        <v>0</v>
      </c>
      <c r="V272" cm="1">
        <f t="array" ref="V272" xml:space="preserve"> IFERROR(VLOOKUP($A272,$A$87:$X$1001,MATCH(V$26,$A$88:$J$88,0), FALSE), 0) *
    (LEN($A272) &gt; 0)+SUMPRODUCT(
    IFERROR(VLOOKUP($G272:$T272, $B$88:$X$1001,MATCH(V$26,$B$88:$X$88,0), FALSE), 0) *
    (LEN($G272:$T272) &gt; 0)
)</f>
        <v>0</v>
      </c>
      <c r="W272">
        <f t="shared" ref="W272:X301" si="12" xml:space="preserve"> IFERROR(VLOOKUP($A272,$A$87:$X$1001,MATCH(W$26,$A$88:$J$88,0), FALSE), 0) *
    (LEN($A272) &gt; 0)</f>
        <v>0</v>
      </c>
      <c r="X272">
        <f t="shared" si="12"/>
        <v>0</v>
      </c>
      <c r="Y272">
        <f t="shared" ref="Y272:Y280" si="13">(U272*(1+V272)+W272)*(1+X272)</f>
        <v>0</v>
      </c>
      <c r="Z272">
        <f t="shared" ref="Z272:Z301" si="14" xml:space="preserve"> IFERROR(VLOOKUP($A272,$A$87:$X$1001,MATCH(Z$26,$A$88:$J$88,0), FALSE), 0) *
    (LEN($A272) &gt; 0)</f>
        <v>0</v>
      </c>
      <c r="AA272" cm="1">
        <f t="array" ref="AA272" xml:space="preserve"> IFERROR(VLOOKUP($A272,$A$87:$X$1001,MATCH(AA$26,$A$88:$J$88,0), FALSE), 0) *
    (LEN($A272) &gt; 0)+SUMPRODUCT(
    IFERROR(VLOOKUP($G272:$T272, $B$88:$X$1001,MATCH(AA$26,$B$88:$X$88,0), FALSE), 0) *
    (LEN($G272:$T272) &gt; 0)
)</f>
        <v>0</v>
      </c>
      <c r="AB272" cm="1">
        <f t="array" ref="AB272">1+SUMPRODUCT(
    IFERROR(VLOOKUP($G272:$T272, $B$88:$X$1001,MATCH(AB$26,$B$88:$X$88,0), FALSE), 0) *
    (LEN($G272:$T272) &gt; 0)
)+IFERROR(VLOOKUP($A272,$A$88:$X$1001,MATCH(AB$26,$A$88:$J$88,0), FALSE), 0) *
    (LEN($A272) &gt; 0)</f>
        <v>1</v>
      </c>
      <c r="AC272" cm="1">
        <f t="array" ref="AC272">1+SUMPRODUCT(
    IFERROR(VLOOKUP($G272:$T272, $B$88:$X$1001,MATCH(AC$26,$B$88:$X$88,0), FALSE), 0) *
    (LEN($G272:$T272) &gt; 0)
)</f>
        <v>1</v>
      </c>
      <c r="AD272" cm="1">
        <f t="array" ref="AD272">SUMPRODUCT(
    IFERROR(VLOOKUP($G272:$T272, $B$88:$X$1001,MATCH(AD$26,$B$88:$X$88,0), FALSE), 0) *
    (LEN($G272:$T272) &gt; 0)
)+IFERROR(VLOOKUP($A272,$A$89:$X$1001,MATCH(AD$26,$A$88:$X$88,0), FALSE), 0) *
    (LEN($A272) &gt; 0)</f>
        <v>0</v>
      </c>
      <c r="AE272" cm="1">
        <f t="array" ref="AE272">SUMPRODUCT(
    IFERROR(VLOOKUP($G272:$T272, $B$88:$X$1001,MATCH(AE$26,$B$88:$X$88,0), FALSE), 0) *
    (LEN($G272:$T272) &gt; 0)
)+IFERROR(VLOOKUP($A272,$A$89:$X$1001,MATCH(AE$26,$A$88:$X$88,0), FALSE), 0) *
    (LEN($A272) &gt; 0)</f>
        <v>0</v>
      </c>
      <c r="AF272" cm="1">
        <f t="array" ref="AF272">SUMPRODUCT(
    IFERROR(VLOOKUP($G272:$T272, $B$88:$X$1001,MATCH(AF$26,$B$88:$X$88,0), FALSE), 0) *
    (LEN($G272:$T272) &gt; 0)
)+IFERROR(VLOOKUP($A272,$A$89:$X$1001,MATCH(AF$26,$A$88:$X$88,0), FALSE), 0) *
    (LEN($A272) &gt; 0)</f>
        <v>0</v>
      </c>
      <c r="AG272" cm="1">
        <f t="array" ref="AG272">SUMPRODUCT(
    IFERROR(VLOOKUP($G272:$T272, $B$88:$X$1001,MATCH(AG$26,$B$88:$X$88,0), FALSE), 0) *
    (LEN($G272:$T272) &gt; 0)
)+IFERROR(VLOOKUP($A272,$A$89:$X$1001,MATCH(AG$26,$A$88:$X$88,0), FALSE), 0) *
    (LEN($A272) &gt; 0)</f>
        <v>0</v>
      </c>
      <c r="AH272" cm="1">
        <f t="array" ref="AH272">SUMPRODUCT(
    IFERROR(VLOOKUP($G272:$T272, $B$88:$X$1001,MATCH(AH$26,$B$88:$X$88,0), FALSE), 0) *
    (LEN($G272:$T272) &gt; 0)
)+IFERROR(VLOOKUP($A272,$A$89:$X$1001,MATCH(AH$26,$A$88:$X$88,0), FALSE), 0) *
    (LEN($A272) &gt; 0)</f>
        <v>0</v>
      </c>
      <c r="AI272">
        <f t="shared" si="8"/>
        <v>1</v>
      </c>
      <c r="AJ272" cm="1">
        <f t="array" ref="AJ272">1+SUMPRODUCT(
    IFERROR(VLOOKUP($G272:$T272, $B$88:$X$1001,MATCH(AJ$26,$B$88:$X$88,0), FALSE), 0) *
    (LEN($G272:$T272) &gt; 0)
)</f>
        <v>1</v>
      </c>
      <c r="AK272" cm="1">
        <f t="array" ref="AK272">1+SUMPRODUCT(
    IFERROR(VLOOKUP($G272:$T272, $B$88:$X$1001,MATCH(AK$26,$B$88:$X$88,0), FALSE), 0) *
    (LEN($G272:$T272) &gt; 0)
)</f>
        <v>1</v>
      </c>
      <c r="AL272" cm="1">
        <f t="array" ref="AL272">1+SUMPRODUCT(
    IFERROR(VLOOKUP($G272:$T272, $B$88:$X$1001,MATCH(AL$26,$B$88:$X$88,0), FALSE), 0) *
    (LEN($G272:$T272) &gt; 0)
)</f>
        <v>1</v>
      </c>
      <c r="AM272" cm="1">
        <f t="array" ref="AM272">1+SUMPRODUCT(
    IFERROR(VLOOKUP($G272:$T272, $B$88:$X$1001,MATCH(AM$26,$B$88:$X$88,0), FALSE), 0) *
    (LEN($G272:$T272) &gt; 0)
)</f>
        <v>1</v>
      </c>
      <c r="AN272" cm="1">
        <f t="array" ref="AN272">1+SUMPRODUCT(
    IFERROR(VLOOKUP($G272:$T272, $B$88:$X$1001,MATCH(AN$26,$B$88:$X$88,0), FALSE), 0) *
    (LEN($G272:$T272) &gt; 0)
)</f>
        <v>1</v>
      </c>
      <c r="AO272">
        <f t="shared" ref="AO272:AO280" si="15">IF($F272="是",1.3,1)</f>
        <v>1</v>
      </c>
      <c r="AQ272">
        <f t="shared" ref="AQ272:AQ280" si="16">0.5</f>
        <v>0.5</v>
      </c>
    </row>
    <row r="273" spans="2:43" x14ac:dyDescent="0.25">
      <c r="B273">
        <f t="shared" si="9"/>
        <v>0</v>
      </c>
      <c r="C273">
        <f>B273*(1+表2_5462[[#This Row],[列24]]*(表2_5462[[#This Row],[列25]]-1))</f>
        <v>0</v>
      </c>
      <c r="D273">
        <f t="shared" si="10"/>
        <v>0</v>
      </c>
      <c r="E273" s="36" t="e">
        <f>表2_5462[[#This Row],[列3]]/$C$63</f>
        <v>#DIV/0!</v>
      </c>
      <c r="F273" t="s">
        <v>791</v>
      </c>
      <c r="U273">
        <f t="shared" si="11"/>
        <v>0</v>
      </c>
      <c r="V273" cm="1">
        <f t="array" ref="V273" xml:space="preserve"> IFERROR(VLOOKUP($A273,$A$87:$X$1001,MATCH(V$26,$A$88:$J$88,0), FALSE), 0) *
    (LEN($A273) &gt; 0)+SUMPRODUCT(
    IFERROR(VLOOKUP($G273:$T273, $B$88:$X$1001,MATCH(V$26,$B$88:$X$88,0), FALSE), 0) *
    (LEN($G273:$T273) &gt; 0)
)</f>
        <v>0</v>
      </c>
      <c r="W273">
        <f t="shared" si="12"/>
        <v>0</v>
      </c>
      <c r="X273">
        <f t="shared" si="12"/>
        <v>0</v>
      </c>
      <c r="Y273">
        <f t="shared" si="13"/>
        <v>0</v>
      </c>
      <c r="Z273">
        <f t="shared" si="14"/>
        <v>0</v>
      </c>
      <c r="AA273" cm="1">
        <f t="array" ref="AA273" xml:space="preserve"> IFERROR(VLOOKUP($A273,$A$87:$X$1001,MATCH(AA$26,$A$88:$J$88,0), FALSE), 0) *
    (LEN($A273) &gt; 0)+SUMPRODUCT(
    IFERROR(VLOOKUP($G273:$T273, $B$88:$X$1001,MATCH(AA$26,$B$88:$X$88,0), FALSE), 0) *
    (LEN($G273:$T273) &gt; 0)
)</f>
        <v>0</v>
      </c>
      <c r="AB273" cm="1">
        <f t="array" ref="AB273">1+SUMPRODUCT(
    IFERROR(VLOOKUP($G273:$T273, $B$88:$X$1001,MATCH(AB$26,$B$88:$X$88,0), FALSE), 0) *
    (LEN($G273:$T273) &gt; 0)
)+IFERROR(VLOOKUP($A273,$A$88:$X$1001,MATCH(AB$26,$A$88:$J$88,0), FALSE), 0) *
    (LEN($A273) &gt; 0)</f>
        <v>1</v>
      </c>
      <c r="AC273" cm="1">
        <f t="array" ref="AC273">1+SUMPRODUCT(
    IFERROR(VLOOKUP($G273:$T273, $B$88:$X$1001,MATCH(AC$26,$B$88:$X$88,0), FALSE), 0) *
    (LEN($G273:$T273) &gt; 0)
)</f>
        <v>1</v>
      </c>
      <c r="AD273" cm="1">
        <f t="array" ref="AD273">SUMPRODUCT(
    IFERROR(VLOOKUP($G273:$T273, $B$88:$X$1001,MATCH(AD$26,$B$88:$X$88,0), FALSE), 0) *
    (LEN($G273:$T273) &gt; 0)
)+IFERROR(VLOOKUP($A273,$A$89:$X$1001,MATCH(AD$26,$A$88:$X$88,0), FALSE), 0) *
    (LEN($A273) &gt; 0)</f>
        <v>0</v>
      </c>
      <c r="AE273" cm="1">
        <f t="array" ref="AE273">SUMPRODUCT(
    IFERROR(VLOOKUP($G273:$T273, $B$88:$X$1001,MATCH(AE$26,$B$88:$X$88,0), FALSE), 0) *
    (LEN($G273:$T273) &gt; 0)
)+IFERROR(VLOOKUP($A273,$A$89:$X$1001,MATCH(AE$26,$A$88:$X$88,0), FALSE), 0) *
    (LEN($A273) &gt; 0)</f>
        <v>0</v>
      </c>
      <c r="AF273" cm="1">
        <f t="array" ref="AF273">SUMPRODUCT(
    IFERROR(VLOOKUP($G273:$T273, $B$88:$X$1001,MATCH(AF$26,$B$88:$X$88,0), FALSE), 0) *
    (LEN($G273:$T273) &gt; 0)
)+IFERROR(VLOOKUP($A273,$A$89:$X$1001,MATCH(AF$26,$A$88:$X$88,0), FALSE), 0) *
    (LEN($A273) &gt; 0)</f>
        <v>0</v>
      </c>
      <c r="AG273" cm="1">
        <f t="array" ref="AG273">SUMPRODUCT(
    IFERROR(VLOOKUP($G273:$T273, $B$88:$X$1001,MATCH(AG$26,$B$88:$X$88,0), FALSE), 0) *
    (LEN($G273:$T273) &gt; 0)
)+IFERROR(VLOOKUP($A273,$A$89:$X$1001,MATCH(AG$26,$A$88:$X$88,0), FALSE), 0) *
    (LEN($A273) &gt; 0)</f>
        <v>0</v>
      </c>
      <c r="AH273" cm="1">
        <f t="array" ref="AH273">SUMPRODUCT(
    IFERROR(VLOOKUP($G273:$T273, $B$88:$X$1001,MATCH(AH$26,$B$88:$X$88,0), FALSE), 0) *
    (LEN($G273:$T273) &gt; 0)
)+IFERROR(VLOOKUP($A273,$A$89:$X$1001,MATCH(AH$26,$A$88:$X$88,0), FALSE), 0) *
    (LEN($A273) &gt; 0)</f>
        <v>0</v>
      </c>
      <c r="AI273">
        <f t="shared" si="8"/>
        <v>1</v>
      </c>
      <c r="AJ273" cm="1">
        <f t="array" ref="AJ273">1+SUMPRODUCT(
    IFERROR(VLOOKUP($G273:$T273, $B$88:$X$1001,MATCH(AJ$26,$B$88:$X$88,0), FALSE), 0) *
    (LEN($G273:$T273) &gt; 0)
)</f>
        <v>1</v>
      </c>
      <c r="AK273" cm="1">
        <f t="array" ref="AK273">1+SUMPRODUCT(
    IFERROR(VLOOKUP($G273:$T273, $B$88:$X$1001,MATCH(AK$26,$B$88:$X$88,0), FALSE), 0) *
    (LEN($G273:$T273) &gt; 0)
)</f>
        <v>1</v>
      </c>
      <c r="AL273" cm="1">
        <f t="array" ref="AL273">1+SUMPRODUCT(
    IFERROR(VLOOKUP($G273:$T273, $B$88:$X$1001,MATCH(AL$26,$B$88:$X$88,0), FALSE), 0) *
    (LEN($G273:$T273) &gt; 0)
)</f>
        <v>1</v>
      </c>
      <c r="AM273" cm="1">
        <f t="array" ref="AM273">1+SUMPRODUCT(
    IFERROR(VLOOKUP($G273:$T273, $B$88:$X$1001,MATCH(AM$26,$B$88:$X$88,0), FALSE), 0) *
    (LEN($G273:$T273) &gt; 0)
)</f>
        <v>1</v>
      </c>
      <c r="AN273" cm="1">
        <f t="array" ref="AN273">1+SUMPRODUCT(
    IFERROR(VLOOKUP($G273:$T273, $B$88:$X$1001,MATCH(AN$26,$B$88:$X$88,0), FALSE), 0) *
    (LEN($G273:$T273) &gt; 0)
)</f>
        <v>1</v>
      </c>
      <c r="AO273">
        <f t="shared" si="15"/>
        <v>1</v>
      </c>
      <c r="AQ273">
        <f t="shared" si="16"/>
        <v>0.5</v>
      </c>
    </row>
    <row r="274" spans="2:43" x14ac:dyDescent="0.25">
      <c r="B274">
        <f t="shared" si="9"/>
        <v>0</v>
      </c>
      <c r="C274">
        <f>B274*(1+表2_5462[[#This Row],[列24]]*(表2_5462[[#This Row],[列25]]-1))</f>
        <v>0</v>
      </c>
      <c r="D274">
        <f t="shared" si="10"/>
        <v>0</v>
      </c>
      <c r="E274" s="36" t="e">
        <f>表2_5462[[#This Row],[列3]]/$C$63</f>
        <v>#DIV/0!</v>
      </c>
      <c r="F274" t="s">
        <v>791</v>
      </c>
      <c r="U274">
        <f t="shared" si="11"/>
        <v>0</v>
      </c>
      <c r="V274" cm="1">
        <f t="array" ref="V274" xml:space="preserve"> IFERROR(VLOOKUP($A274,$A$87:$X$1001,MATCH(V$26,$A$88:$J$88,0), FALSE), 0) *
    (LEN($A274) &gt; 0)+SUMPRODUCT(
    IFERROR(VLOOKUP($G274:$T274, $B$88:$X$1001,MATCH(V$26,$B$88:$X$88,0), FALSE), 0) *
    (LEN($G274:$T274) &gt; 0)
)</f>
        <v>0</v>
      </c>
      <c r="W274">
        <f t="shared" si="12"/>
        <v>0</v>
      </c>
      <c r="X274">
        <f t="shared" si="12"/>
        <v>0</v>
      </c>
      <c r="Y274">
        <f t="shared" si="13"/>
        <v>0</v>
      </c>
      <c r="Z274">
        <f t="shared" si="14"/>
        <v>0</v>
      </c>
      <c r="AA274" cm="1">
        <f t="array" ref="AA274" xml:space="preserve"> IFERROR(VLOOKUP($A274,$A$87:$X$1001,MATCH(AA$26,$A$88:$J$88,0), FALSE), 0) *
    (LEN($A274) &gt; 0)+SUMPRODUCT(
    IFERROR(VLOOKUP($G274:$T274, $B$88:$X$1001,MATCH(AA$26,$B$88:$X$88,0), FALSE), 0) *
    (LEN($G274:$T274) &gt; 0)
)</f>
        <v>0</v>
      </c>
      <c r="AB274" cm="1">
        <f t="array" ref="AB274">1+SUMPRODUCT(
    IFERROR(VLOOKUP($G274:$T274, $B$88:$X$1001,MATCH(AB$26,$B$88:$X$88,0), FALSE), 0) *
    (LEN($G274:$T274) &gt; 0)
)+IFERROR(VLOOKUP($A274,$A$88:$X$1001,MATCH(AB$26,$A$88:$J$88,0), FALSE), 0) *
    (LEN($A274) &gt; 0)</f>
        <v>1</v>
      </c>
      <c r="AC274" cm="1">
        <f t="array" ref="AC274">1+SUMPRODUCT(
    IFERROR(VLOOKUP($G274:$T274, $B$88:$X$1001,MATCH(AC$26,$B$88:$X$88,0), FALSE), 0) *
    (LEN($G274:$T274) &gt; 0)
)</f>
        <v>1</v>
      </c>
      <c r="AD274" cm="1">
        <f t="array" ref="AD274">SUMPRODUCT(
    IFERROR(VLOOKUP($G274:$T274, $B$88:$X$1001,MATCH(AD$26,$B$88:$X$88,0), FALSE), 0) *
    (LEN($G274:$T274) &gt; 0)
)+IFERROR(VLOOKUP($A274,$A$89:$X$1001,MATCH(AD$26,$A$88:$X$88,0), FALSE), 0) *
    (LEN($A274) &gt; 0)</f>
        <v>0</v>
      </c>
      <c r="AE274" cm="1">
        <f t="array" ref="AE274">SUMPRODUCT(
    IFERROR(VLOOKUP($G274:$T274, $B$88:$X$1001,MATCH(AE$26,$B$88:$X$88,0), FALSE), 0) *
    (LEN($G274:$T274) &gt; 0)
)+IFERROR(VLOOKUP($A274,$A$89:$X$1001,MATCH(AE$26,$A$88:$X$88,0), FALSE), 0) *
    (LEN($A274) &gt; 0)</f>
        <v>0</v>
      </c>
      <c r="AF274" cm="1">
        <f t="array" ref="AF274">SUMPRODUCT(
    IFERROR(VLOOKUP($G274:$T274, $B$88:$X$1001,MATCH(AF$26,$B$88:$X$88,0), FALSE), 0) *
    (LEN($G274:$T274) &gt; 0)
)+IFERROR(VLOOKUP($A274,$A$89:$X$1001,MATCH(AF$26,$A$88:$X$88,0), FALSE), 0) *
    (LEN($A274) &gt; 0)</f>
        <v>0</v>
      </c>
      <c r="AG274" cm="1">
        <f t="array" ref="AG274">SUMPRODUCT(
    IFERROR(VLOOKUP($G274:$T274, $B$88:$X$1001,MATCH(AG$26,$B$88:$X$88,0), FALSE), 0) *
    (LEN($G274:$T274) &gt; 0)
)+IFERROR(VLOOKUP($A274,$A$89:$X$1001,MATCH(AG$26,$A$88:$X$88,0), FALSE), 0) *
    (LEN($A274) &gt; 0)</f>
        <v>0</v>
      </c>
      <c r="AH274" cm="1">
        <f t="array" ref="AH274">SUMPRODUCT(
    IFERROR(VLOOKUP($G274:$T274, $B$88:$X$1001,MATCH(AH$26,$B$88:$X$88,0), FALSE), 0) *
    (LEN($G274:$T274) &gt; 0)
)+IFERROR(VLOOKUP($A274,$A$89:$X$1001,MATCH(AH$26,$A$88:$X$88,0), FALSE), 0) *
    (LEN($A274) &gt; 0)</f>
        <v>0</v>
      </c>
      <c r="AI274">
        <f t="shared" si="8"/>
        <v>1</v>
      </c>
      <c r="AJ274" cm="1">
        <f t="array" ref="AJ274">1+SUMPRODUCT(
    IFERROR(VLOOKUP($G274:$T274, $B$88:$X$1001,MATCH(AJ$26,$B$88:$X$88,0), FALSE), 0) *
    (LEN($G274:$T274) &gt; 0)
)</f>
        <v>1</v>
      </c>
      <c r="AK274" cm="1">
        <f t="array" ref="AK274">1+SUMPRODUCT(
    IFERROR(VLOOKUP($G274:$T274, $B$88:$X$1001,MATCH(AK$26,$B$88:$X$88,0), FALSE), 0) *
    (LEN($G274:$T274) &gt; 0)
)</f>
        <v>1</v>
      </c>
      <c r="AL274" cm="1">
        <f t="array" ref="AL274">1+SUMPRODUCT(
    IFERROR(VLOOKUP($G274:$T274, $B$88:$X$1001,MATCH(AL$26,$B$88:$X$88,0), FALSE), 0) *
    (LEN($G274:$T274) &gt; 0)
)</f>
        <v>1</v>
      </c>
      <c r="AM274" cm="1">
        <f t="array" ref="AM274">1+SUMPRODUCT(
    IFERROR(VLOOKUP($G274:$T274, $B$88:$X$1001,MATCH(AM$26,$B$88:$X$88,0), FALSE), 0) *
    (LEN($G274:$T274) &gt; 0)
)</f>
        <v>1</v>
      </c>
      <c r="AN274" cm="1">
        <f t="array" ref="AN274">1+SUMPRODUCT(
    IFERROR(VLOOKUP($G274:$T274, $B$88:$X$1001,MATCH(AN$26,$B$88:$X$88,0), FALSE), 0) *
    (LEN($G274:$T274) &gt; 0)
)</f>
        <v>1</v>
      </c>
      <c r="AO274">
        <f t="shared" si="15"/>
        <v>1</v>
      </c>
      <c r="AQ274">
        <f t="shared" si="16"/>
        <v>0.5</v>
      </c>
    </row>
    <row r="275" spans="2:43" x14ac:dyDescent="0.25">
      <c r="B275">
        <f t="shared" si="9"/>
        <v>0</v>
      </c>
      <c r="C275">
        <f>B275*(1+表2_5462[[#This Row],[列24]]*(表2_5462[[#This Row],[列25]]-1))</f>
        <v>0</v>
      </c>
      <c r="D275">
        <f t="shared" si="10"/>
        <v>0</v>
      </c>
      <c r="E275" s="36" t="e">
        <f>表2_5462[[#This Row],[列3]]/$C$63</f>
        <v>#DIV/0!</v>
      </c>
      <c r="F275" t="s">
        <v>791</v>
      </c>
      <c r="U275">
        <f t="shared" si="11"/>
        <v>0</v>
      </c>
      <c r="V275" cm="1">
        <f t="array" ref="V275" xml:space="preserve"> IFERROR(VLOOKUP($A275,$A$87:$X$1001,MATCH(V$26,$A$88:$J$88,0), FALSE), 0) *
    (LEN($A275) &gt; 0)+SUMPRODUCT(
    IFERROR(VLOOKUP($G275:$T275, $B$88:$X$1001,MATCH(V$26,$B$88:$X$88,0), FALSE), 0) *
    (LEN($G275:$T275) &gt; 0)
)</f>
        <v>0</v>
      </c>
      <c r="W275">
        <f t="shared" si="12"/>
        <v>0</v>
      </c>
      <c r="X275">
        <f t="shared" si="12"/>
        <v>0</v>
      </c>
      <c r="Y275">
        <f t="shared" si="13"/>
        <v>0</v>
      </c>
      <c r="Z275">
        <f t="shared" si="14"/>
        <v>0</v>
      </c>
      <c r="AA275" cm="1">
        <f t="array" ref="AA275" xml:space="preserve"> IFERROR(VLOOKUP($A275,$A$87:$X$1001,MATCH(AA$26,$A$88:$J$88,0), FALSE), 0) *
    (LEN($A275) &gt; 0)+SUMPRODUCT(
    IFERROR(VLOOKUP($G275:$T275, $B$88:$X$1001,MATCH(AA$26,$B$88:$X$88,0), FALSE), 0) *
    (LEN($G275:$T275) &gt; 0)
)</f>
        <v>0</v>
      </c>
      <c r="AB275" cm="1">
        <f t="array" ref="AB275">1+SUMPRODUCT(
    IFERROR(VLOOKUP($G275:$T275, $B$88:$X$1001,MATCH(AB$26,$B$88:$X$88,0), FALSE), 0) *
    (LEN($G275:$T275) &gt; 0)
)+IFERROR(VLOOKUP($A275,$A$88:$X$1001,MATCH(AB$26,$A$88:$J$88,0), FALSE), 0) *
    (LEN($A275) &gt; 0)</f>
        <v>1</v>
      </c>
      <c r="AC275" cm="1">
        <f t="array" ref="AC275">1+SUMPRODUCT(
    IFERROR(VLOOKUP($G275:$T275, $B$88:$X$1001,MATCH(AC$26,$B$88:$X$88,0), FALSE), 0) *
    (LEN($G275:$T275) &gt; 0)
)</f>
        <v>1</v>
      </c>
      <c r="AD275" cm="1">
        <f t="array" ref="AD275">SUMPRODUCT(
    IFERROR(VLOOKUP($G275:$T275, $B$88:$X$1001,MATCH(AD$26,$B$88:$X$88,0), FALSE), 0) *
    (LEN($G275:$T275) &gt; 0)
)+IFERROR(VLOOKUP($A275,$A$89:$X$1001,MATCH(AD$26,$A$88:$X$88,0), FALSE), 0) *
    (LEN($A275) &gt; 0)</f>
        <v>0</v>
      </c>
      <c r="AE275" cm="1">
        <f t="array" ref="AE275">SUMPRODUCT(
    IFERROR(VLOOKUP($G275:$T275, $B$88:$X$1001,MATCH(AE$26,$B$88:$X$88,0), FALSE), 0) *
    (LEN($G275:$T275) &gt; 0)
)+IFERROR(VLOOKUP($A275,$A$89:$X$1001,MATCH(AE$26,$A$88:$X$88,0), FALSE), 0) *
    (LEN($A275) &gt; 0)</f>
        <v>0</v>
      </c>
      <c r="AF275" cm="1">
        <f t="array" ref="AF275">SUMPRODUCT(
    IFERROR(VLOOKUP($G275:$T275, $B$88:$X$1001,MATCH(AF$26,$B$88:$X$88,0), FALSE), 0) *
    (LEN($G275:$T275) &gt; 0)
)+IFERROR(VLOOKUP($A275,$A$89:$X$1001,MATCH(AF$26,$A$88:$X$88,0), FALSE), 0) *
    (LEN($A275) &gt; 0)</f>
        <v>0</v>
      </c>
      <c r="AG275" cm="1">
        <f t="array" ref="AG275">SUMPRODUCT(
    IFERROR(VLOOKUP($G275:$T275, $B$88:$X$1001,MATCH(AG$26,$B$88:$X$88,0), FALSE), 0) *
    (LEN($G275:$T275) &gt; 0)
)+IFERROR(VLOOKUP($A275,$A$89:$X$1001,MATCH(AG$26,$A$88:$X$88,0), FALSE), 0) *
    (LEN($A275) &gt; 0)</f>
        <v>0</v>
      </c>
      <c r="AH275" cm="1">
        <f t="array" ref="AH275">SUMPRODUCT(
    IFERROR(VLOOKUP($G275:$T275, $B$88:$X$1001,MATCH(AH$26,$B$88:$X$88,0), FALSE), 0) *
    (LEN($G275:$T275) &gt; 0)
)+IFERROR(VLOOKUP($A275,$A$89:$X$1001,MATCH(AH$26,$A$88:$X$88,0), FALSE), 0) *
    (LEN($A275) &gt; 0)</f>
        <v>0</v>
      </c>
      <c r="AI275">
        <f t="shared" si="8"/>
        <v>1</v>
      </c>
      <c r="AJ275" cm="1">
        <f t="array" ref="AJ275">1+SUMPRODUCT(
    IFERROR(VLOOKUP($G275:$T275, $B$88:$X$1001,MATCH(AJ$26,$B$88:$X$88,0), FALSE), 0) *
    (LEN($G275:$T275) &gt; 0)
)</f>
        <v>1</v>
      </c>
      <c r="AK275" cm="1">
        <f t="array" ref="AK275">1+SUMPRODUCT(
    IFERROR(VLOOKUP($G275:$T275, $B$88:$X$1001,MATCH(AK$26,$B$88:$X$88,0), FALSE), 0) *
    (LEN($G275:$T275) &gt; 0)
)</f>
        <v>1</v>
      </c>
      <c r="AL275" cm="1">
        <f t="array" ref="AL275">1+SUMPRODUCT(
    IFERROR(VLOOKUP($G275:$T275, $B$88:$X$1001,MATCH(AL$26,$B$88:$X$88,0), FALSE), 0) *
    (LEN($G275:$T275) &gt; 0)
)</f>
        <v>1</v>
      </c>
      <c r="AM275" cm="1">
        <f t="array" ref="AM275">1+SUMPRODUCT(
    IFERROR(VLOOKUP($G275:$T275, $B$88:$X$1001,MATCH(AM$26,$B$88:$X$88,0), FALSE), 0) *
    (LEN($G275:$T275) &gt; 0)
)</f>
        <v>1</v>
      </c>
      <c r="AN275" cm="1">
        <f t="array" ref="AN275">1+SUMPRODUCT(
    IFERROR(VLOOKUP($G275:$T275, $B$88:$X$1001,MATCH(AN$26,$B$88:$X$88,0), FALSE), 0) *
    (LEN($G275:$T275) &gt; 0)
)</f>
        <v>1</v>
      </c>
      <c r="AO275">
        <f t="shared" si="15"/>
        <v>1</v>
      </c>
      <c r="AQ275">
        <f t="shared" si="16"/>
        <v>0.5</v>
      </c>
    </row>
    <row r="276" spans="2:43" x14ac:dyDescent="0.25">
      <c r="B276">
        <f t="shared" si="9"/>
        <v>0</v>
      </c>
      <c r="C276">
        <f>B276*(1+表2_5462[[#This Row],[列24]]*(表2_5462[[#This Row],[列25]]-1))</f>
        <v>0</v>
      </c>
      <c r="D276">
        <f t="shared" si="10"/>
        <v>0</v>
      </c>
      <c r="E276" s="36" t="e">
        <f>表2_5462[[#This Row],[列3]]/$C$63</f>
        <v>#DIV/0!</v>
      </c>
      <c r="F276" t="s">
        <v>791</v>
      </c>
      <c r="U276">
        <f t="shared" si="11"/>
        <v>0</v>
      </c>
      <c r="V276" cm="1">
        <f t="array" ref="V276" xml:space="preserve"> IFERROR(VLOOKUP($A276,$A$87:$X$1001,MATCH(V$26,$A$88:$J$88,0), FALSE), 0) *
    (LEN($A276) &gt; 0)+SUMPRODUCT(
    IFERROR(VLOOKUP($G276:$T276, $B$88:$X$1001,MATCH(V$26,$B$88:$X$88,0), FALSE), 0) *
    (LEN($G276:$T276) &gt; 0)
)</f>
        <v>0</v>
      </c>
      <c r="W276">
        <f t="shared" si="12"/>
        <v>0</v>
      </c>
      <c r="X276">
        <f t="shared" si="12"/>
        <v>0</v>
      </c>
      <c r="Y276">
        <f t="shared" si="13"/>
        <v>0</v>
      </c>
      <c r="Z276">
        <f t="shared" si="14"/>
        <v>0</v>
      </c>
      <c r="AA276" cm="1">
        <f t="array" ref="AA276" xml:space="preserve"> IFERROR(VLOOKUP($A276,$A$87:$X$1001,MATCH(AA$26,$A$88:$J$88,0), FALSE), 0) *
    (LEN($A276) &gt; 0)+SUMPRODUCT(
    IFERROR(VLOOKUP($G276:$T276, $B$88:$X$1001,MATCH(AA$26,$B$88:$X$88,0), FALSE), 0) *
    (LEN($G276:$T276) &gt; 0)
)</f>
        <v>0</v>
      </c>
      <c r="AB276" cm="1">
        <f t="array" ref="AB276">1+SUMPRODUCT(
    IFERROR(VLOOKUP($G276:$T276, $B$88:$X$1001,MATCH(AB$26,$B$88:$X$88,0), FALSE), 0) *
    (LEN($G276:$T276) &gt; 0)
)+IFERROR(VLOOKUP($A276,$A$88:$X$1001,MATCH(AB$26,$A$88:$J$88,0), FALSE), 0) *
    (LEN($A276) &gt; 0)</f>
        <v>1</v>
      </c>
      <c r="AC276" cm="1">
        <f t="array" ref="AC276">1+SUMPRODUCT(
    IFERROR(VLOOKUP($G276:$T276, $B$88:$X$1001,MATCH(AC$26,$B$88:$X$88,0), FALSE), 0) *
    (LEN($G276:$T276) &gt; 0)
)</f>
        <v>1</v>
      </c>
      <c r="AD276" cm="1">
        <f t="array" ref="AD276">SUMPRODUCT(
    IFERROR(VLOOKUP($G276:$T276, $B$88:$X$1001,MATCH(AD$26,$B$88:$X$88,0), FALSE), 0) *
    (LEN($G276:$T276) &gt; 0)
)+IFERROR(VLOOKUP($A276,$A$89:$X$1001,MATCH(AD$26,$A$88:$X$88,0), FALSE), 0) *
    (LEN($A276) &gt; 0)</f>
        <v>0</v>
      </c>
      <c r="AE276" cm="1">
        <f t="array" ref="AE276">SUMPRODUCT(
    IFERROR(VLOOKUP($G276:$T276, $B$88:$X$1001,MATCH(AE$26,$B$88:$X$88,0), FALSE), 0) *
    (LEN($G276:$T276) &gt; 0)
)+IFERROR(VLOOKUP($A276,$A$89:$X$1001,MATCH(AE$26,$A$88:$X$88,0), FALSE), 0) *
    (LEN($A276) &gt; 0)</f>
        <v>0</v>
      </c>
      <c r="AF276" cm="1">
        <f t="array" ref="AF276">SUMPRODUCT(
    IFERROR(VLOOKUP($G276:$T276, $B$88:$X$1001,MATCH(AF$26,$B$88:$X$88,0), FALSE), 0) *
    (LEN($G276:$T276) &gt; 0)
)+IFERROR(VLOOKUP($A276,$A$89:$X$1001,MATCH(AF$26,$A$88:$X$88,0), FALSE), 0) *
    (LEN($A276) &gt; 0)</f>
        <v>0</v>
      </c>
      <c r="AG276" cm="1">
        <f t="array" ref="AG276">SUMPRODUCT(
    IFERROR(VLOOKUP($G276:$T276, $B$88:$X$1001,MATCH(AG$26,$B$88:$X$88,0), FALSE), 0) *
    (LEN($G276:$T276) &gt; 0)
)+IFERROR(VLOOKUP($A276,$A$89:$X$1001,MATCH(AG$26,$A$88:$X$88,0), FALSE), 0) *
    (LEN($A276) &gt; 0)</f>
        <v>0</v>
      </c>
      <c r="AH276" cm="1">
        <f t="array" ref="AH276">SUMPRODUCT(
    IFERROR(VLOOKUP($G276:$T276, $B$88:$X$1001,MATCH(AH$26,$B$88:$X$88,0), FALSE), 0) *
    (LEN($G276:$T276) &gt; 0)
)+IFERROR(VLOOKUP($A276,$A$89:$X$1001,MATCH(AH$26,$A$88:$X$88,0), FALSE), 0) *
    (LEN($A276) &gt; 0)</f>
        <v>0</v>
      </c>
      <c r="AI276">
        <f t="shared" si="8"/>
        <v>1</v>
      </c>
      <c r="AJ276" cm="1">
        <f t="array" ref="AJ276">1+SUMPRODUCT(
    IFERROR(VLOOKUP($G276:$T276, $B$88:$X$1001,MATCH(AJ$26,$B$88:$X$88,0), FALSE), 0) *
    (LEN($G276:$T276) &gt; 0)
)</f>
        <v>1</v>
      </c>
      <c r="AK276" cm="1">
        <f t="array" ref="AK276">1+SUMPRODUCT(
    IFERROR(VLOOKUP($G276:$T276, $B$88:$X$1001,MATCH(AK$26,$B$88:$X$88,0), FALSE), 0) *
    (LEN($G276:$T276) &gt; 0)
)</f>
        <v>1</v>
      </c>
      <c r="AL276" cm="1">
        <f t="array" ref="AL276">1+SUMPRODUCT(
    IFERROR(VLOOKUP($G276:$T276, $B$88:$X$1001,MATCH(AL$26,$B$88:$X$88,0), FALSE), 0) *
    (LEN($G276:$T276) &gt; 0)
)</f>
        <v>1</v>
      </c>
      <c r="AM276" cm="1">
        <f t="array" ref="AM276">1+SUMPRODUCT(
    IFERROR(VLOOKUP($G276:$T276, $B$88:$X$1001,MATCH(AM$26,$B$88:$X$88,0), FALSE), 0) *
    (LEN($G276:$T276) &gt; 0)
)</f>
        <v>1</v>
      </c>
      <c r="AN276" cm="1">
        <f t="array" ref="AN276">1+SUMPRODUCT(
    IFERROR(VLOOKUP($G276:$T276, $B$88:$X$1001,MATCH(AN$26,$B$88:$X$88,0), FALSE), 0) *
    (LEN($G276:$T276) &gt; 0)
)</f>
        <v>1</v>
      </c>
      <c r="AO276">
        <f t="shared" si="15"/>
        <v>1</v>
      </c>
      <c r="AQ276">
        <f t="shared" si="16"/>
        <v>0.5</v>
      </c>
    </row>
    <row r="277" spans="2:43" x14ac:dyDescent="0.25">
      <c r="B277">
        <f t="shared" si="9"/>
        <v>0</v>
      </c>
      <c r="C277">
        <f>B277*(1+表2_5462[[#This Row],[列24]]*(表2_5462[[#This Row],[列25]]-1))</f>
        <v>0</v>
      </c>
      <c r="D277">
        <f t="shared" si="10"/>
        <v>0</v>
      </c>
      <c r="E277" s="36" t="e">
        <f>表2_5462[[#This Row],[列3]]/$C$63</f>
        <v>#DIV/0!</v>
      </c>
      <c r="F277" t="s">
        <v>791</v>
      </c>
      <c r="U277">
        <f t="shared" si="11"/>
        <v>0</v>
      </c>
      <c r="V277" cm="1">
        <f t="array" ref="V277" xml:space="preserve"> IFERROR(VLOOKUP($A277,$A$87:$X$1001,MATCH(V$26,$A$88:$J$88,0), FALSE), 0) *
    (LEN($A277) &gt; 0)+SUMPRODUCT(
    IFERROR(VLOOKUP($G277:$T277, $B$88:$X$1001,MATCH(V$26,$B$88:$X$88,0), FALSE), 0) *
    (LEN($G277:$T277) &gt; 0)
)</f>
        <v>0</v>
      </c>
      <c r="W277">
        <f t="shared" si="12"/>
        <v>0</v>
      </c>
      <c r="X277">
        <f t="shared" si="12"/>
        <v>0</v>
      </c>
      <c r="Y277">
        <f t="shared" si="13"/>
        <v>0</v>
      </c>
      <c r="Z277">
        <f t="shared" si="14"/>
        <v>0</v>
      </c>
      <c r="AA277" cm="1">
        <f t="array" ref="AA277" xml:space="preserve"> IFERROR(VLOOKUP($A277,$A$87:$X$1001,MATCH(AA$26,$A$88:$J$88,0), FALSE), 0) *
    (LEN($A277) &gt; 0)+SUMPRODUCT(
    IFERROR(VLOOKUP($G277:$T277, $B$88:$X$1001,MATCH(AA$26,$B$88:$X$88,0), FALSE), 0) *
    (LEN($G277:$T277) &gt; 0)
)</f>
        <v>0</v>
      </c>
      <c r="AB277" cm="1">
        <f t="array" ref="AB277">1+SUMPRODUCT(
    IFERROR(VLOOKUP($G277:$T277, $B$88:$X$1001,MATCH(AB$26,$B$88:$X$88,0), FALSE), 0) *
    (LEN($G277:$T277) &gt; 0)
)+IFERROR(VLOOKUP($A277,$A$88:$X$1001,MATCH(AB$26,$A$88:$J$88,0), FALSE), 0) *
    (LEN($A277) &gt; 0)</f>
        <v>1</v>
      </c>
      <c r="AC277" cm="1">
        <f t="array" ref="AC277">1+SUMPRODUCT(
    IFERROR(VLOOKUP($G277:$T277, $B$88:$X$1001,MATCH(AC$26,$B$88:$X$88,0), FALSE), 0) *
    (LEN($G277:$T277) &gt; 0)
)</f>
        <v>1</v>
      </c>
      <c r="AD277" cm="1">
        <f t="array" ref="AD277">SUMPRODUCT(
    IFERROR(VLOOKUP($G277:$T277, $B$88:$X$1001,MATCH(AD$26,$B$88:$X$88,0), FALSE), 0) *
    (LEN($G277:$T277) &gt; 0)
)+IFERROR(VLOOKUP($A277,$A$89:$X$1001,MATCH(AD$26,$A$88:$X$88,0), FALSE), 0) *
    (LEN($A277) &gt; 0)</f>
        <v>0</v>
      </c>
      <c r="AE277" cm="1">
        <f t="array" ref="AE277">SUMPRODUCT(
    IFERROR(VLOOKUP($G277:$T277, $B$88:$X$1001,MATCH(AE$26,$B$88:$X$88,0), FALSE), 0) *
    (LEN($G277:$T277) &gt; 0)
)+IFERROR(VLOOKUP($A277,$A$89:$X$1001,MATCH(AE$26,$A$88:$X$88,0), FALSE), 0) *
    (LEN($A277) &gt; 0)</f>
        <v>0</v>
      </c>
      <c r="AF277" cm="1">
        <f t="array" ref="AF277">SUMPRODUCT(
    IFERROR(VLOOKUP($G277:$T277, $B$88:$X$1001,MATCH(AF$26,$B$88:$X$88,0), FALSE), 0) *
    (LEN($G277:$T277) &gt; 0)
)+IFERROR(VLOOKUP($A277,$A$89:$X$1001,MATCH(AF$26,$A$88:$X$88,0), FALSE), 0) *
    (LEN($A277) &gt; 0)</f>
        <v>0</v>
      </c>
      <c r="AG277" cm="1">
        <f t="array" ref="AG277">SUMPRODUCT(
    IFERROR(VLOOKUP($G277:$T277, $B$88:$X$1001,MATCH(AG$26,$B$88:$X$88,0), FALSE), 0) *
    (LEN($G277:$T277) &gt; 0)
)+IFERROR(VLOOKUP($A277,$A$89:$X$1001,MATCH(AG$26,$A$88:$X$88,0), FALSE), 0) *
    (LEN($A277) &gt; 0)</f>
        <v>0</v>
      </c>
      <c r="AH277" cm="1">
        <f t="array" ref="AH277">SUMPRODUCT(
    IFERROR(VLOOKUP($G277:$T277, $B$88:$X$1001,MATCH(AH$26,$B$88:$X$88,0), FALSE), 0) *
    (LEN($G277:$T277) &gt; 0)
)+IFERROR(VLOOKUP($A277,$A$89:$X$1001,MATCH(AH$26,$A$88:$X$88,0), FALSE), 0) *
    (LEN($A277) &gt; 0)</f>
        <v>0</v>
      </c>
      <c r="AI277">
        <f t="shared" si="8"/>
        <v>1</v>
      </c>
      <c r="AJ277" cm="1">
        <f t="array" ref="AJ277">1+SUMPRODUCT(
    IFERROR(VLOOKUP($G277:$T277, $B$88:$X$1001,MATCH(AJ$26,$B$88:$X$88,0), FALSE), 0) *
    (LEN($G277:$T277) &gt; 0)
)</f>
        <v>1</v>
      </c>
      <c r="AK277" cm="1">
        <f t="array" ref="AK277">1+SUMPRODUCT(
    IFERROR(VLOOKUP($G277:$T277, $B$88:$X$1001,MATCH(AK$26,$B$88:$X$88,0), FALSE), 0) *
    (LEN($G277:$T277) &gt; 0)
)</f>
        <v>1</v>
      </c>
      <c r="AL277" cm="1">
        <f t="array" ref="AL277">1+SUMPRODUCT(
    IFERROR(VLOOKUP($G277:$T277, $B$88:$X$1001,MATCH(AL$26,$B$88:$X$88,0), FALSE), 0) *
    (LEN($G277:$T277) &gt; 0)
)</f>
        <v>1</v>
      </c>
      <c r="AM277" cm="1">
        <f t="array" ref="AM277">1+SUMPRODUCT(
    IFERROR(VLOOKUP($G277:$T277, $B$88:$X$1001,MATCH(AM$26,$B$88:$X$88,0), FALSE), 0) *
    (LEN($G277:$T277) &gt; 0)
)</f>
        <v>1</v>
      </c>
      <c r="AN277" cm="1">
        <f t="array" ref="AN277">1+SUMPRODUCT(
    IFERROR(VLOOKUP($G277:$T277, $B$88:$X$1001,MATCH(AN$26,$B$88:$X$88,0), FALSE), 0) *
    (LEN($G277:$T277) &gt; 0)
)</f>
        <v>1</v>
      </c>
      <c r="AO277">
        <f t="shared" si="15"/>
        <v>1</v>
      </c>
      <c r="AQ277">
        <f t="shared" si="16"/>
        <v>0.5</v>
      </c>
    </row>
    <row r="278" spans="2:43" x14ac:dyDescent="0.25">
      <c r="B278">
        <f t="shared" si="9"/>
        <v>0</v>
      </c>
      <c r="C278">
        <f>B278*(1+表2_5462[[#This Row],[列24]]*(表2_5462[[#This Row],[列25]]-1))</f>
        <v>0</v>
      </c>
      <c r="D278">
        <f t="shared" si="10"/>
        <v>0</v>
      </c>
      <c r="E278" s="36" t="e">
        <f>表2_5462[[#This Row],[列3]]/$C$63</f>
        <v>#DIV/0!</v>
      </c>
      <c r="F278" t="s">
        <v>791</v>
      </c>
      <c r="U278">
        <f t="shared" si="11"/>
        <v>0</v>
      </c>
      <c r="V278" cm="1">
        <f t="array" ref="V278" xml:space="preserve"> IFERROR(VLOOKUP($A278,$A$87:$X$1001,MATCH(V$26,$A$88:$J$88,0), FALSE), 0) *
    (LEN($A278) &gt; 0)+SUMPRODUCT(
    IFERROR(VLOOKUP($G278:$T278, $B$88:$X$1001,MATCH(V$26,$B$88:$X$88,0), FALSE), 0) *
    (LEN($G278:$T278) &gt; 0)
)</f>
        <v>0</v>
      </c>
      <c r="W278">
        <f t="shared" si="12"/>
        <v>0</v>
      </c>
      <c r="X278">
        <f t="shared" si="12"/>
        <v>0</v>
      </c>
      <c r="Y278">
        <f t="shared" si="13"/>
        <v>0</v>
      </c>
      <c r="Z278">
        <f t="shared" si="14"/>
        <v>0</v>
      </c>
      <c r="AA278" cm="1">
        <f t="array" ref="AA278" xml:space="preserve"> IFERROR(VLOOKUP($A278,$A$87:$X$1001,MATCH(AA$26,$A$88:$J$88,0), FALSE), 0) *
    (LEN($A278) &gt; 0)+SUMPRODUCT(
    IFERROR(VLOOKUP($G278:$T278, $B$88:$X$1001,MATCH(AA$26,$B$88:$X$88,0), FALSE), 0) *
    (LEN($G278:$T278) &gt; 0)
)</f>
        <v>0</v>
      </c>
      <c r="AB278" cm="1">
        <f t="array" ref="AB278">1+SUMPRODUCT(
    IFERROR(VLOOKUP($G278:$T278, $B$88:$X$1001,MATCH(AB$26,$B$88:$X$88,0), FALSE), 0) *
    (LEN($G278:$T278) &gt; 0)
)+IFERROR(VLOOKUP($A278,$A$88:$X$1001,MATCH(AB$26,$A$88:$J$88,0), FALSE), 0) *
    (LEN($A278) &gt; 0)</f>
        <v>1</v>
      </c>
      <c r="AC278" cm="1">
        <f t="array" ref="AC278">1+SUMPRODUCT(
    IFERROR(VLOOKUP($G278:$T278, $B$88:$X$1001,MATCH(AC$26,$B$88:$X$88,0), FALSE), 0) *
    (LEN($G278:$T278) &gt; 0)
)</f>
        <v>1</v>
      </c>
      <c r="AD278" cm="1">
        <f t="array" ref="AD278">SUMPRODUCT(
    IFERROR(VLOOKUP($G278:$T278, $B$88:$X$1001,MATCH(AD$26,$B$88:$X$88,0), FALSE), 0) *
    (LEN($G278:$T278) &gt; 0)
)+IFERROR(VLOOKUP($A278,$A$89:$X$1001,MATCH(AD$26,$A$88:$X$88,0), FALSE), 0) *
    (LEN($A278) &gt; 0)</f>
        <v>0</v>
      </c>
      <c r="AE278" cm="1">
        <f t="array" ref="AE278">SUMPRODUCT(
    IFERROR(VLOOKUP($G278:$T278, $B$88:$X$1001,MATCH(AE$26,$B$88:$X$88,0), FALSE), 0) *
    (LEN($G278:$T278) &gt; 0)
)+IFERROR(VLOOKUP($A278,$A$89:$X$1001,MATCH(AE$26,$A$88:$X$88,0), FALSE), 0) *
    (LEN($A278) &gt; 0)</f>
        <v>0</v>
      </c>
      <c r="AF278" cm="1">
        <f t="array" ref="AF278">SUMPRODUCT(
    IFERROR(VLOOKUP($G278:$T278, $B$88:$X$1001,MATCH(AF$26,$B$88:$X$88,0), FALSE), 0) *
    (LEN($G278:$T278) &gt; 0)
)+IFERROR(VLOOKUP($A278,$A$89:$X$1001,MATCH(AF$26,$A$88:$X$88,0), FALSE), 0) *
    (LEN($A278) &gt; 0)</f>
        <v>0</v>
      </c>
      <c r="AG278" cm="1">
        <f t="array" ref="AG278">SUMPRODUCT(
    IFERROR(VLOOKUP($G278:$T278, $B$88:$X$1001,MATCH(AG$26,$B$88:$X$88,0), FALSE), 0) *
    (LEN($G278:$T278) &gt; 0)
)+IFERROR(VLOOKUP($A278,$A$89:$X$1001,MATCH(AG$26,$A$88:$X$88,0), FALSE), 0) *
    (LEN($A278) &gt; 0)</f>
        <v>0</v>
      </c>
      <c r="AH278" cm="1">
        <f t="array" ref="AH278">SUMPRODUCT(
    IFERROR(VLOOKUP($G278:$T278, $B$88:$X$1001,MATCH(AH$26,$B$88:$X$88,0), FALSE), 0) *
    (LEN($G278:$T278) &gt; 0)
)+IFERROR(VLOOKUP($A278,$A$89:$X$1001,MATCH(AH$26,$A$88:$X$88,0), FALSE), 0) *
    (LEN($A278) &gt; 0)</f>
        <v>0</v>
      </c>
      <c r="AI278">
        <f t="shared" si="8"/>
        <v>1</v>
      </c>
      <c r="AJ278" cm="1">
        <f t="array" ref="AJ278">1+SUMPRODUCT(
    IFERROR(VLOOKUP($G278:$T278, $B$88:$X$1001,MATCH(AJ$26,$B$88:$X$88,0), FALSE), 0) *
    (LEN($G278:$T278) &gt; 0)
)</f>
        <v>1</v>
      </c>
      <c r="AK278" cm="1">
        <f t="array" ref="AK278">1+SUMPRODUCT(
    IFERROR(VLOOKUP($G278:$T278, $B$88:$X$1001,MATCH(AK$26,$B$88:$X$88,0), FALSE), 0) *
    (LEN($G278:$T278) &gt; 0)
)</f>
        <v>1</v>
      </c>
      <c r="AL278" cm="1">
        <f t="array" ref="AL278">1+SUMPRODUCT(
    IFERROR(VLOOKUP($G278:$T278, $B$88:$X$1001,MATCH(AL$26,$B$88:$X$88,0), FALSE), 0) *
    (LEN($G278:$T278) &gt; 0)
)</f>
        <v>1</v>
      </c>
      <c r="AM278" cm="1">
        <f t="array" ref="AM278">1+SUMPRODUCT(
    IFERROR(VLOOKUP($G278:$T278, $B$88:$X$1001,MATCH(AM$26,$B$88:$X$88,0), FALSE), 0) *
    (LEN($G278:$T278) &gt; 0)
)</f>
        <v>1</v>
      </c>
      <c r="AN278" cm="1">
        <f t="array" ref="AN278">1+SUMPRODUCT(
    IFERROR(VLOOKUP($G278:$T278, $B$88:$X$1001,MATCH(AN$26,$B$88:$X$88,0), FALSE), 0) *
    (LEN($G278:$T278) &gt; 0)
)</f>
        <v>1</v>
      </c>
      <c r="AO278">
        <f t="shared" si="15"/>
        <v>1</v>
      </c>
      <c r="AQ278">
        <f t="shared" si="16"/>
        <v>0.5</v>
      </c>
    </row>
    <row r="279" spans="2:43" x14ac:dyDescent="0.25">
      <c r="B279">
        <f t="shared" si="9"/>
        <v>0</v>
      </c>
      <c r="C279">
        <f>B279*(1+表2_5462[[#This Row],[列24]]*(表2_5462[[#This Row],[列25]]-1))</f>
        <v>0</v>
      </c>
      <c r="D279">
        <f t="shared" si="10"/>
        <v>0</v>
      </c>
      <c r="E279" s="36" t="e">
        <f>表2_5462[[#This Row],[列3]]/$C$63</f>
        <v>#DIV/0!</v>
      </c>
      <c r="F279" t="s">
        <v>791</v>
      </c>
      <c r="U279">
        <f t="shared" si="11"/>
        <v>0</v>
      </c>
      <c r="V279" cm="1">
        <f t="array" ref="V279" xml:space="preserve"> IFERROR(VLOOKUP($A279,$A$87:$X$1001,MATCH(V$26,$A$88:$J$88,0), FALSE), 0) *
    (LEN($A279) &gt; 0)+SUMPRODUCT(
    IFERROR(VLOOKUP($G279:$T279, $B$88:$X$1001,MATCH(V$26,$B$88:$X$88,0), FALSE), 0) *
    (LEN($G279:$T279) &gt; 0)
)</f>
        <v>0</v>
      </c>
      <c r="W279">
        <f t="shared" si="12"/>
        <v>0</v>
      </c>
      <c r="X279">
        <f t="shared" si="12"/>
        <v>0</v>
      </c>
      <c r="Y279">
        <f t="shared" si="13"/>
        <v>0</v>
      </c>
      <c r="Z279">
        <f t="shared" si="14"/>
        <v>0</v>
      </c>
      <c r="AA279" cm="1">
        <f t="array" ref="AA279" xml:space="preserve"> IFERROR(VLOOKUP($A279,$A$87:$X$1001,MATCH(AA$26,$A$88:$J$88,0), FALSE), 0) *
    (LEN($A279) &gt; 0)+SUMPRODUCT(
    IFERROR(VLOOKUP($G279:$T279, $B$88:$X$1001,MATCH(AA$26,$B$88:$X$88,0), FALSE), 0) *
    (LEN($G279:$T279) &gt; 0)
)</f>
        <v>0</v>
      </c>
      <c r="AB279" cm="1">
        <f t="array" ref="AB279">1+SUMPRODUCT(
    IFERROR(VLOOKUP($G279:$T279, $B$88:$X$1001,MATCH(AB$26,$B$88:$X$88,0), FALSE), 0) *
    (LEN($G279:$T279) &gt; 0)
)+IFERROR(VLOOKUP($A279,$A$88:$X$1001,MATCH(AB$26,$A$88:$J$88,0), FALSE), 0) *
    (LEN($A279) &gt; 0)</f>
        <v>1</v>
      </c>
      <c r="AC279" cm="1">
        <f t="array" ref="AC279">1+SUMPRODUCT(
    IFERROR(VLOOKUP($G279:$T279, $B$88:$X$1001,MATCH(AC$26,$B$88:$X$88,0), FALSE), 0) *
    (LEN($G279:$T279) &gt; 0)
)</f>
        <v>1</v>
      </c>
      <c r="AD279" cm="1">
        <f t="array" ref="AD279">SUMPRODUCT(
    IFERROR(VLOOKUP($G279:$T279, $B$88:$X$1001,MATCH(AD$26,$B$88:$X$88,0), FALSE), 0) *
    (LEN($G279:$T279) &gt; 0)
)+IFERROR(VLOOKUP($A279,$A$89:$X$1001,MATCH(AD$26,$A$88:$X$88,0), FALSE), 0) *
    (LEN($A279) &gt; 0)</f>
        <v>0</v>
      </c>
      <c r="AE279" cm="1">
        <f t="array" ref="AE279">SUMPRODUCT(
    IFERROR(VLOOKUP($G279:$T279, $B$88:$X$1001,MATCH(AE$26,$B$88:$X$88,0), FALSE), 0) *
    (LEN($G279:$T279) &gt; 0)
)+IFERROR(VLOOKUP($A279,$A$89:$X$1001,MATCH(AE$26,$A$88:$X$88,0), FALSE), 0) *
    (LEN($A279) &gt; 0)</f>
        <v>0</v>
      </c>
      <c r="AF279" cm="1">
        <f t="array" ref="AF279">SUMPRODUCT(
    IFERROR(VLOOKUP($G279:$T279, $B$88:$X$1001,MATCH(AF$26,$B$88:$X$88,0), FALSE), 0) *
    (LEN($G279:$T279) &gt; 0)
)+IFERROR(VLOOKUP($A279,$A$89:$X$1001,MATCH(AF$26,$A$88:$X$88,0), FALSE), 0) *
    (LEN($A279) &gt; 0)</f>
        <v>0</v>
      </c>
      <c r="AG279" cm="1">
        <f t="array" ref="AG279">SUMPRODUCT(
    IFERROR(VLOOKUP($G279:$T279, $B$88:$X$1001,MATCH(AG$26,$B$88:$X$88,0), FALSE), 0) *
    (LEN($G279:$T279) &gt; 0)
)+IFERROR(VLOOKUP($A279,$A$89:$X$1001,MATCH(AG$26,$A$88:$X$88,0), FALSE), 0) *
    (LEN($A279) &gt; 0)</f>
        <v>0</v>
      </c>
      <c r="AH279" cm="1">
        <f t="array" ref="AH279">SUMPRODUCT(
    IFERROR(VLOOKUP($G279:$T279, $B$88:$X$1001,MATCH(AH$26,$B$88:$X$88,0), FALSE), 0) *
    (LEN($G279:$T279) &gt; 0)
)+IFERROR(VLOOKUP($A279,$A$89:$X$1001,MATCH(AH$26,$A$88:$X$88,0), FALSE), 0) *
    (LEN($A279) &gt; 0)</f>
        <v>0</v>
      </c>
      <c r="AI279">
        <f t="shared" si="8"/>
        <v>1</v>
      </c>
      <c r="AJ279" cm="1">
        <f t="array" ref="AJ279">1+SUMPRODUCT(
    IFERROR(VLOOKUP($G279:$T279, $B$88:$X$1001,MATCH(AJ$26,$B$88:$X$88,0), FALSE), 0) *
    (LEN($G279:$T279) &gt; 0)
)</f>
        <v>1</v>
      </c>
      <c r="AK279" cm="1">
        <f t="array" ref="AK279">1+SUMPRODUCT(
    IFERROR(VLOOKUP($G279:$T279, $B$88:$X$1001,MATCH(AK$26,$B$88:$X$88,0), FALSE), 0) *
    (LEN($G279:$T279) &gt; 0)
)</f>
        <v>1</v>
      </c>
      <c r="AL279" cm="1">
        <f t="array" ref="AL279">1+SUMPRODUCT(
    IFERROR(VLOOKUP($G279:$T279, $B$88:$X$1001,MATCH(AL$26,$B$88:$X$88,0), FALSE), 0) *
    (LEN($G279:$T279) &gt; 0)
)</f>
        <v>1</v>
      </c>
      <c r="AM279" cm="1">
        <f t="array" ref="AM279">1+SUMPRODUCT(
    IFERROR(VLOOKUP($G279:$T279, $B$88:$X$1001,MATCH(AM$26,$B$88:$X$88,0), FALSE), 0) *
    (LEN($G279:$T279) &gt; 0)
)</f>
        <v>1</v>
      </c>
      <c r="AN279" cm="1">
        <f t="array" ref="AN279">1+SUMPRODUCT(
    IFERROR(VLOOKUP($G279:$T279, $B$88:$X$1001,MATCH(AN$26,$B$88:$X$88,0), FALSE), 0) *
    (LEN($G279:$T279) &gt; 0)
)</f>
        <v>1</v>
      </c>
      <c r="AO279">
        <f t="shared" si="15"/>
        <v>1</v>
      </c>
      <c r="AQ279">
        <f t="shared" si="16"/>
        <v>0.5</v>
      </c>
    </row>
    <row r="280" spans="2:43" x14ac:dyDescent="0.25">
      <c r="B280">
        <f t="shared" si="9"/>
        <v>0</v>
      </c>
      <c r="C280">
        <f>B280*(1+表2_5462[[#This Row],[列24]]*(表2_5462[[#This Row],[列25]]-1))</f>
        <v>0</v>
      </c>
      <c r="D280">
        <f t="shared" si="10"/>
        <v>0</v>
      </c>
      <c r="E280" s="36" t="e">
        <f>表2_5462[[#This Row],[列3]]/$C$63</f>
        <v>#DIV/0!</v>
      </c>
      <c r="F280" t="s">
        <v>791</v>
      </c>
      <c r="U280">
        <f t="shared" si="11"/>
        <v>0</v>
      </c>
      <c r="V280" cm="1">
        <f t="array" ref="V280" xml:space="preserve"> IFERROR(VLOOKUP($A280,$A$87:$X$1001,MATCH(V$26,$A$88:$J$88,0), FALSE), 0) *
    (LEN($A280) &gt; 0)+SUMPRODUCT(
    IFERROR(VLOOKUP($G280:$T280, $B$88:$X$1001,MATCH(V$26,$B$88:$X$88,0), FALSE), 0) *
    (LEN($G280:$T280) &gt; 0)
)</f>
        <v>0</v>
      </c>
      <c r="W280">
        <f t="shared" si="12"/>
        <v>0</v>
      </c>
      <c r="X280">
        <f t="shared" si="12"/>
        <v>0</v>
      </c>
      <c r="Y280">
        <f t="shared" si="13"/>
        <v>0</v>
      </c>
      <c r="Z280">
        <f t="shared" si="14"/>
        <v>0</v>
      </c>
      <c r="AA280" cm="1">
        <f t="array" ref="AA280" xml:space="preserve"> IFERROR(VLOOKUP($A280,$A$87:$X$1001,MATCH(AA$26,$A$88:$J$88,0), FALSE), 0) *
    (LEN($A280) &gt; 0)+SUMPRODUCT(
    IFERROR(VLOOKUP($G280:$T280, $B$88:$X$1001,MATCH(AA$26,$B$88:$X$88,0), FALSE), 0) *
    (LEN($G280:$T280) &gt; 0)
)</f>
        <v>0</v>
      </c>
      <c r="AB280" cm="1">
        <f t="array" ref="AB280">1+SUMPRODUCT(
    IFERROR(VLOOKUP($G280:$T280, $B$88:$X$1001,MATCH(AB$26,$B$88:$X$88,0), FALSE), 0) *
    (LEN($G280:$T280) &gt; 0)
)+IFERROR(VLOOKUP($A280,$A$88:$X$1001,MATCH(AB$26,$A$88:$J$88,0), FALSE), 0) *
    (LEN($A280) &gt; 0)</f>
        <v>1</v>
      </c>
      <c r="AC280" cm="1">
        <f t="array" ref="AC280">1+SUMPRODUCT(
    IFERROR(VLOOKUP($G280:$T280, $B$88:$X$1001,MATCH(AC$26,$B$88:$X$88,0), FALSE), 0) *
    (LEN($G280:$T280) &gt; 0)
)</f>
        <v>1</v>
      </c>
      <c r="AD280" cm="1">
        <f t="array" ref="AD280">SUMPRODUCT(
    IFERROR(VLOOKUP($G280:$T280, $B$88:$X$1001,MATCH(AD$26,$B$88:$X$88,0), FALSE), 0) *
    (LEN($G280:$T280) &gt; 0)
)+IFERROR(VLOOKUP($A280,$A$89:$X$1001,MATCH(AD$26,$A$88:$X$88,0), FALSE), 0) *
    (LEN($A280) &gt; 0)</f>
        <v>0</v>
      </c>
      <c r="AE280" cm="1">
        <f t="array" ref="AE280">SUMPRODUCT(
    IFERROR(VLOOKUP($G280:$T280, $B$88:$X$1001,MATCH(AE$26,$B$88:$X$88,0), FALSE), 0) *
    (LEN($G280:$T280) &gt; 0)
)+IFERROR(VLOOKUP($A280,$A$89:$X$1001,MATCH(AE$26,$A$88:$X$88,0), FALSE), 0) *
    (LEN($A280) &gt; 0)</f>
        <v>0</v>
      </c>
      <c r="AF280" cm="1">
        <f t="array" ref="AF280">SUMPRODUCT(
    IFERROR(VLOOKUP($G280:$T280, $B$88:$X$1001,MATCH(AF$26,$B$88:$X$88,0), FALSE), 0) *
    (LEN($G280:$T280) &gt; 0)
)+IFERROR(VLOOKUP($A280,$A$89:$X$1001,MATCH(AF$26,$A$88:$X$88,0), FALSE), 0) *
    (LEN($A280) &gt; 0)</f>
        <v>0</v>
      </c>
      <c r="AG280" cm="1">
        <f t="array" ref="AG280">SUMPRODUCT(
    IFERROR(VLOOKUP($G280:$T280, $B$88:$X$1001,MATCH(AG$26,$B$88:$X$88,0), FALSE), 0) *
    (LEN($G280:$T280) &gt; 0)
)+IFERROR(VLOOKUP($A280,$A$89:$X$1001,MATCH(AG$26,$A$88:$X$88,0), FALSE), 0) *
    (LEN($A280) &gt; 0)</f>
        <v>0</v>
      </c>
      <c r="AH280" cm="1">
        <f t="array" ref="AH280">SUMPRODUCT(
    IFERROR(VLOOKUP($G280:$T280, $B$88:$X$1001,MATCH(AH$26,$B$88:$X$88,0), FALSE), 0) *
    (LEN($G280:$T280) &gt; 0)
)+IFERROR(VLOOKUP($A280,$A$89:$X$1001,MATCH(AH$26,$A$88:$X$88,0), FALSE), 0) *
    (LEN($A280) &gt; 0)</f>
        <v>0</v>
      </c>
      <c r="AI280">
        <f t="shared" si="8"/>
        <v>1</v>
      </c>
      <c r="AJ280" cm="1">
        <f t="array" ref="AJ280">1+SUMPRODUCT(
    IFERROR(VLOOKUP($G280:$T280, $B$88:$X$1001,MATCH(AJ$26,$B$88:$X$88,0), FALSE), 0) *
    (LEN($G280:$T280) &gt; 0)
)</f>
        <v>1</v>
      </c>
      <c r="AK280" cm="1">
        <f t="array" ref="AK280">1+SUMPRODUCT(
    IFERROR(VLOOKUP($G280:$T280, $B$88:$X$1001,MATCH(AK$26,$B$88:$X$88,0), FALSE), 0) *
    (LEN($G280:$T280) &gt; 0)
)</f>
        <v>1</v>
      </c>
      <c r="AL280" cm="1">
        <f t="array" ref="AL280">1+SUMPRODUCT(
    IFERROR(VLOOKUP($G280:$T280, $B$88:$X$1001,MATCH(AL$26,$B$88:$X$88,0), FALSE), 0) *
    (LEN($G280:$T280) &gt; 0)
)</f>
        <v>1</v>
      </c>
      <c r="AM280" cm="1">
        <f t="array" ref="AM280">1+SUMPRODUCT(
    IFERROR(VLOOKUP($G280:$T280, $B$88:$X$1001,MATCH(AM$26,$B$88:$X$88,0), FALSE), 0) *
    (LEN($G280:$T280) &gt; 0)
)</f>
        <v>1</v>
      </c>
      <c r="AN280" cm="1">
        <f t="array" ref="AN280">1+SUMPRODUCT(
    IFERROR(VLOOKUP($G280:$T280, $B$88:$X$1001,MATCH(AN$26,$B$88:$X$88,0), FALSE), 0) *
    (LEN($G280:$T280) &gt; 0)
)</f>
        <v>1</v>
      </c>
      <c r="AO280">
        <f t="shared" si="15"/>
        <v>1</v>
      </c>
      <c r="AQ280">
        <f t="shared" si="16"/>
        <v>0.5</v>
      </c>
    </row>
    <row r="281" spans="2:43" x14ac:dyDescent="0.25">
      <c r="B281">
        <f>PRODUCT(Y281:Z281,AC281,AI281:AS281)</f>
        <v>0</v>
      </c>
      <c r="C281">
        <f>B281+D281*AA281</f>
        <v>0</v>
      </c>
      <c r="D281">
        <f>PRODUCT(Y281:Z281,AB281:AC281,AI281:AS281)</f>
        <v>0</v>
      </c>
      <c r="E281" s="36" t="e">
        <f>表2_5462[[#This Row],[列3]]/$C$63</f>
        <v>#DIV/0!</v>
      </c>
      <c r="F281" t="s">
        <v>791</v>
      </c>
      <c r="U281">
        <f t="shared" si="11"/>
        <v>0</v>
      </c>
      <c r="V281" cm="1">
        <f t="array" ref="V281" xml:space="preserve"> IFERROR(VLOOKUP($A281,$A$87:$X$1001,MATCH(V$26,$A$88:$J$88,0), FALSE), 0) *
    (LEN($A281) &gt; 0)+SUMPRODUCT(
    IFERROR(VLOOKUP($G281:$T281, $B$88:$X$1001,MATCH(V$26,$B$88:$X$88,0), FALSE), 0) *
    (LEN($G281:$T281) &gt; 0)
)</f>
        <v>0</v>
      </c>
      <c r="W281">
        <f t="shared" si="12"/>
        <v>0</v>
      </c>
      <c r="X281">
        <f t="shared" si="12"/>
        <v>0</v>
      </c>
      <c r="Y281">
        <f>(U281*(1+V281)+W281)*(1+X281)</f>
        <v>0</v>
      </c>
      <c r="Z281">
        <f t="shared" si="14"/>
        <v>0</v>
      </c>
      <c r="AA281" cm="1">
        <f t="array" ref="AA281" xml:space="preserve"> IFERROR(VLOOKUP($A281,$A$87:$X$1001,MATCH(AA$26,$A$88:$J$88,0), FALSE), 0) *
    (LEN($A281) &gt; 0)+SUMPRODUCT(
    IFERROR(VLOOKUP($G281:$T281, $B$88:$X$1001,MATCH(AA$26,$B$88:$X$88,0), FALSE), 0) *
    (LEN($G281:$T281) &gt; 0)
)</f>
        <v>0</v>
      </c>
      <c r="AB281" cm="1">
        <f t="array" ref="AB281">1+SUMPRODUCT(
    IFERROR(VLOOKUP($G281:$T281, $B$88:$X$1001,MATCH(AB$26,$B$88:$X$88,0), FALSE), 0) *
    (LEN($G281:$T281) &gt; 0)
)+IFERROR(VLOOKUP($A281,$A$88:$X$1001,MATCH(AB$26,$A$88:$J$88,0), FALSE), 0) *
    (LEN($A281) &gt; 0)</f>
        <v>1</v>
      </c>
      <c r="AC281" cm="1">
        <f t="array" ref="AC281">1+SUMPRODUCT(
    IFERROR(VLOOKUP($G281:$T281, $B$88:$X$1001,MATCH(AC$26,$B$88:$X$88,0), FALSE), 0) *
    (LEN($G281:$T281) &gt; 0)
)</f>
        <v>1</v>
      </c>
      <c r="AD281" cm="1">
        <f t="array" ref="AD281">SUMPRODUCT(
    IFERROR(VLOOKUP($G281:$T281, $B$88:$X$1001,MATCH(AD$26,$B$88:$X$88,0), FALSE), 0) *
    (LEN($G281:$T281) &gt; 0)
)+IFERROR(VLOOKUP($A281,$A$89:$X$1001,MATCH(AD$26,$A$88:$X$88,0), FALSE), 0) *
    (LEN($A281) &gt; 0)</f>
        <v>0</v>
      </c>
      <c r="AE281" cm="1">
        <f t="array" ref="AE281">SUMPRODUCT(
    IFERROR(VLOOKUP($G281:$T281, $B$88:$X$1001,MATCH(AE$26,$B$88:$X$88,0), FALSE), 0) *
    (LEN($G281:$T281) &gt; 0)
)+IFERROR(VLOOKUP($A281,$A$89:$X$1001,MATCH(AE$26,$A$88:$X$88,0), FALSE), 0) *
    (LEN($A281) &gt; 0)</f>
        <v>0</v>
      </c>
      <c r="AF281" cm="1">
        <f t="array" ref="AF281">SUMPRODUCT(
    IFERROR(VLOOKUP($G281:$T281, $B$88:$X$1001,MATCH(AF$26,$B$88:$X$88,0), FALSE), 0) *
    (LEN($G281:$T281) &gt; 0)
)+IFERROR(VLOOKUP($A281,$A$89:$X$1001,MATCH(AF$26,$A$88:$X$88,0), FALSE), 0) *
    (LEN($A281) &gt; 0)</f>
        <v>0</v>
      </c>
      <c r="AG281" cm="1">
        <f t="array" ref="AG281">SUMPRODUCT(
    IFERROR(VLOOKUP($G281:$T281, $B$88:$X$1001,MATCH(AG$26,$B$88:$X$88,0), FALSE), 0) *
    (LEN($G281:$T281) &gt; 0)
)+IFERROR(VLOOKUP($A281,$A$89:$X$1001,MATCH(AG$26,$A$88:$X$88,0), FALSE), 0) *
    (LEN($A281) &gt; 0)</f>
        <v>0</v>
      </c>
      <c r="AH281" cm="1">
        <f t="array" ref="AH281">SUMPRODUCT(
    IFERROR(VLOOKUP($G281:$T281, $B$88:$X$1001,MATCH(AH$26,$B$88:$X$88,0), FALSE), 0) *
    (LEN($G281:$T281) &gt; 0)
)+IFERROR(VLOOKUP($A281,$A$89:$X$1001,MATCH(AH$26,$A$88:$X$88,0), FALSE), 0) *
    (LEN($A281) &gt; 0)</f>
        <v>0</v>
      </c>
      <c r="AI281">
        <f>1+AD281+IFERROR(HLOOKUP(RIGHT($A281,2),$AE$26:$AH$81,ROW()-1, FALSE), 0) *
    (LEN($A281) &gt; 0)</f>
        <v>1</v>
      </c>
      <c r="AJ281" cm="1">
        <f t="array" ref="AJ281">1+SUMPRODUCT(
    IFERROR(VLOOKUP($G281:$T281, $B$88:$X$1001,MATCH(AJ$26,$B$88:$X$88,0), FALSE), 0) *
    (LEN($G281:$T281) &gt; 0)
)</f>
        <v>1</v>
      </c>
      <c r="AK281" cm="1">
        <f t="array" ref="AK281">1+SUMPRODUCT(
    IFERROR(VLOOKUP($G281:$T281, $B$88:$X$1001,MATCH(AK$26,$B$88:$X$88,0), FALSE), 0) *
    (LEN($G281:$T281) &gt; 0)
)</f>
        <v>1</v>
      </c>
      <c r="AL281" cm="1">
        <f t="array" ref="AL281">1+SUMPRODUCT(
    IFERROR(VLOOKUP($G281:$T281, $B$88:$X$1001,MATCH(AL$26,$B$88:$X$88,0), FALSE), 0) *
    (LEN($G281:$T281) &gt; 0)
)</f>
        <v>1</v>
      </c>
      <c r="AM281" cm="1">
        <f t="array" ref="AM281">1+SUMPRODUCT(
    IFERROR(VLOOKUP($G281:$T281, $B$88:$X$1001,MATCH(AM$26,$B$88:$X$88,0), FALSE), 0) *
    (LEN($G281:$T281) &gt; 0)
)</f>
        <v>1</v>
      </c>
      <c r="AN281" cm="1">
        <f t="array" ref="AN281">1+SUMPRODUCT(
    IFERROR(VLOOKUP($G281:$T281, $B$88:$X$1001,MATCH(AN$26,$B$88:$X$88,0), FALSE), 0) *
    (LEN($G281:$T281) &gt; 0)
)</f>
        <v>1</v>
      </c>
      <c r="AO281">
        <f>IF($F281="是",1.3,1)</f>
        <v>1</v>
      </c>
      <c r="AQ281">
        <f>0.5</f>
        <v>0.5</v>
      </c>
    </row>
    <row r="282" spans="2:43" x14ac:dyDescent="0.25">
      <c r="B282">
        <f t="shared" ref="B282:B301" si="17">PRODUCT(Y282:Z282,AC282,AI282:AS282)</f>
        <v>0</v>
      </c>
      <c r="C282">
        <f>B282*(1+表2_5462[[#This Row],[列24]]*(表2_5462[[#This Row],[列25]]-1))</f>
        <v>0</v>
      </c>
      <c r="D282">
        <f t="shared" ref="D282:D301" si="18">PRODUCT(Y282:Z282,AB282:AC282,AI282:AS282)</f>
        <v>0</v>
      </c>
      <c r="E282" s="36" t="e">
        <f>表2_5462[[#This Row],[列3]]/$C$63</f>
        <v>#DIV/0!</v>
      </c>
      <c r="F282" t="s">
        <v>791</v>
      </c>
      <c r="U282">
        <f t="shared" si="11"/>
        <v>0</v>
      </c>
      <c r="V282" cm="1">
        <f t="array" ref="V282" xml:space="preserve"> IFERROR(VLOOKUP($A282,$A$87:$X$1001,MATCH(V$26,$A$88:$J$88,0), FALSE), 0) *
    (LEN($A282) &gt; 0)+SUMPRODUCT(
    IFERROR(VLOOKUP($G282:$T282, $B$88:$X$1001,MATCH(V$26,$B$88:$X$88,0), FALSE), 0) *
    (LEN($G282:$T282) &gt; 0)
)</f>
        <v>0</v>
      </c>
      <c r="W282">
        <f t="shared" si="12"/>
        <v>0</v>
      </c>
      <c r="X282">
        <f t="shared" si="12"/>
        <v>0</v>
      </c>
      <c r="Y282">
        <f t="shared" ref="Y282:Y301" si="19">(U282*(1+V282)+W282)*(1+X282)</f>
        <v>0</v>
      </c>
      <c r="Z282">
        <f t="shared" si="14"/>
        <v>0</v>
      </c>
      <c r="AA282" cm="1">
        <f t="array" ref="AA282" xml:space="preserve"> IFERROR(VLOOKUP($A282,$A$87:$X$1001,MATCH(AA$26,$A$88:$J$88,0), FALSE), 0) *
    (LEN($A282) &gt; 0)+SUMPRODUCT(
    IFERROR(VLOOKUP($G282:$T282, $B$88:$X$1001,MATCH(AA$26,$B$88:$X$88,0), FALSE), 0) *
    (LEN($G282:$T282) &gt; 0)
)</f>
        <v>0</v>
      </c>
      <c r="AB282" cm="1">
        <f t="array" ref="AB282">1+SUMPRODUCT(
    IFERROR(VLOOKUP($G282:$T282, $B$88:$X$1001,MATCH(AB$26,$B$88:$X$88,0), FALSE), 0) *
    (LEN($G282:$T282) &gt; 0)
)+IFERROR(VLOOKUP($A282,$A$88:$X$1001,MATCH(AB$26,$A$88:$J$88,0), FALSE), 0) *
    (LEN($A282) &gt; 0)</f>
        <v>1</v>
      </c>
      <c r="AC282" cm="1">
        <f t="array" ref="AC282">1+SUMPRODUCT(
    IFERROR(VLOOKUP($G282:$T282, $B$88:$X$1001,MATCH(AC$26,$B$88:$X$88,0), FALSE), 0) *
    (LEN($G282:$T282) &gt; 0)
)</f>
        <v>1</v>
      </c>
      <c r="AD282" cm="1">
        <f t="array" ref="AD282">SUMPRODUCT(
    IFERROR(VLOOKUP($G282:$T282, $B$88:$X$1001,MATCH(AD$26,$B$88:$X$88,0), FALSE), 0) *
    (LEN($G282:$T282) &gt; 0)
)+IFERROR(VLOOKUP($A282,$A$89:$X$1001,MATCH(AD$26,$A$88:$X$88,0), FALSE), 0) *
    (LEN($A282) &gt; 0)</f>
        <v>0</v>
      </c>
      <c r="AE282" cm="1">
        <f t="array" ref="AE282">SUMPRODUCT(
    IFERROR(VLOOKUP($G282:$T282, $B$88:$X$1001,MATCH(AE$26,$B$88:$X$88,0), FALSE), 0) *
    (LEN($G282:$T282) &gt; 0)
)+IFERROR(VLOOKUP($A282,$A$89:$X$1001,MATCH(AE$26,$A$88:$X$88,0), FALSE), 0) *
    (LEN($A282) &gt; 0)</f>
        <v>0</v>
      </c>
      <c r="AF282" cm="1">
        <f t="array" ref="AF282">SUMPRODUCT(
    IFERROR(VLOOKUP($G282:$T282, $B$88:$X$1001,MATCH(AF$26,$B$88:$X$88,0), FALSE), 0) *
    (LEN($G282:$T282) &gt; 0)
)+IFERROR(VLOOKUP($A282,$A$89:$X$1001,MATCH(AF$26,$A$88:$X$88,0), FALSE), 0) *
    (LEN($A282) &gt; 0)</f>
        <v>0</v>
      </c>
      <c r="AG282" cm="1">
        <f t="array" ref="AG282">SUMPRODUCT(
    IFERROR(VLOOKUP($G282:$T282, $B$88:$X$1001,MATCH(AG$26,$B$88:$X$88,0), FALSE), 0) *
    (LEN($G282:$T282) &gt; 0)
)+IFERROR(VLOOKUP($A282,$A$89:$X$1001,MATCH(AG$26,$A$88:$X$88,0), FALSE), 0) *
    (LEN($A282) &gt; 0)</f>
        <v>0</v>
      </c>
      <c r="AH282" cm="1">
        <f t="array" ref="AH282">SUMPRODUCT(
    IFERROR(VLOOKUP($G282:$T282, $B$88:$X$1001,MATCH(AH$26,$B$88:$X$88,0), FALSE), 0) *
    (LEN($G282:$T282) &gt; 0)
)+IFERROR(VLOOKUP($A282,$A$89:$X$1001,MATCH(AH$26,$A$88:$X$88,0), FALSE), 0) *
    (LEN($A282) &gt; 0)</f>
        <v>0</v>
      </c>
      <c r="AI282">
        <f t="shared" ref="AI282:AI301" si="20">1 + AD282 + IF(
    LEN($A282) &gt; 0,
    IFERROR(
        HLOOKUP(RIGHT($A282,2), $AE$26:$AH$81, ROW()-ROW($AE$26) + 1, FALSE),
        0
    ),
    0
)</f>
        <v>1</v>
      </c>
      <c r="AJ282" cm="1">
        <f t="array" ref="AJ282">1+SUMPRODUCT(
    IFERROR(VLOOKUP($G282:$T282, $B$88:$X$1001,MATCH(AJ$26,$B$88:$X$88,0), FALSE), 0) *
    (LEN($G282:$T282) &gt; 0)
)</f>
        <v>1</v>
      </c>
      <c r="AK282" cm="1">
        <f t="array" ref="AK282">1+SUMPRODUCT(
    IFERROR(VLOOKUP($G282:$T282, $B$88:$X$1001,MATCH(AK$26,$B$88:$X$88,0), FALSE), 0) *
    (LEN($G282:$T282) &gt; 0)
)</f>
        <v>1</v>
      </c>
      <c r="AL282" cm="1">
        <f t="array" ref="AL282">1+SUMPRODUCT(
    IFERROR(VLOOKUP($G282:$T282, $B$88:$X$1001,MATCH(AL$26,$B$88:$X$88,0), FALSE), 0) *
    (LEN($G282:$T282) &gt; 0)
)</f>
        <v>1</v>
      </c>
      <c r="AM282" cm="1">
        <f t="array" ref="AM282">1+SUMPRODUCT(
    IFERROR(VLOOKUP($G282:$T282, $B$88:$X$1001,MATCH(AM$26,$B$88:$X$88,0), FALSE), 0) *
    (LEN($G282:$T282) &gt; 0)
)</f>
        <v>1</v>
      </c>
      <c r="AN282" cm="1">
        <f t="array" ref="AN282">1+SUMPRODUCT(
    IFERROR(VLOOKUP($G282:$T282, $B$88:$X$1001,MATCH(AN$26,$B$88:$X$88,0), FALSE), 0) *
    (LEN($G282:$T282) &gt; 0)
)</f>
        <v>1</v>
      </c>
      <c r="AO282">
        <f t="shared" ref="AO282:AO301" si="21">IF($F282="是",1.3,1)</f>
        <v>1</v>
      </c>
      <c r="AQ282">
        <f t="shared" ref="AQ282:AQ301" si="22">0.5</f>
        <v>0.5</v>
      </c>
    </row>
    <row r="283" spans="2:43" x14ac:dyDescent="0.25">
      <c r="B283">
        <f t="shared" si="17"/>
        <v>0</v>
      </c>
      <c r="C283">
        <f>B283*(1+表2_5462[[#This Row],[列24]]*(表2_5462[[#This Row],[列25]]-1))</f>
        <v>0</v>
      </c>
      <c r="D283">
        <f t="shared" si="18"/>
        <v>0</v>
      </c>
      <c r="E283" s="36" t="e">
        <f>表2_5462[[#This Row],[列3]]/$C$63</f>
        <v>#DIV/0!</v>
      </c>
      <c r="F283" t="s">
        <v>791</v>
      </c>
      <c r="U283">
        <f t="shared" si="11"/>
        <v>0</v>
      </c>
      <c r="V283" cm="1">
        <f t="array" ref="V283" xml:space="preserve"> IFERROR(VLOOKUP($A283,$A$87:$X$1001,MATCH(V$26,$A$88:$J$88,0), FALSE), 0) *
    (LEN($A283) &gt; 0)+SUMPRODUCT(
    IFERROR(VLOOKUP($G283:$T283, $B$88:$X$1001,MATCH(V$26,$B$88:$X$88,0), FALSE), 0) *
    (LEN($G283:$T283) &gt; 0)
)</f>
        <v>0</v>
      </c>
      <c r="W283">
        <f t="shared" si="12"/>
        <v>0</v>
      </c>
      <c r="X283">
        <f t="shared" si="12"/>
        <v>0</v>
      </c>
      <c r="Y283">
        <f t="shared" si="19"/>
        <v>0</v>
      </c>
      <c r="Z283">
        <f t="shared" si="14"/>
        <v>0</v>
      </c>
      <c r="AA283" cm="1">
        <f t="array" ref="AA283" xml:space="preserve"> IFERROR(VLOOKUP($A283,$A$87:$X$1001,MATCH(AA$26,$A$88:$J$88,0), FALSE), 0) *
    (LEN($A283) &gt; 0)+SUMPRODUCT(
    IFERROR(VLOOKUP($G283:$T283, $B$88:$X$1001,MATCH(AA$26,$B$88:$X$88,0), FALSE), 0) *
    (LEN($G283:$T283) &gt; 0)
)</f>
        <v>0</v>
      </c>
      <c r="AB283" cm="1">
        <f t="array" ref="AB283">1+SUMPRODUCT(
    IFERROR(VLOOKUP($G283:$T283, $B$88:$X$1001,MATCH(AB$26,$B$88:$X$88,0), FALSE), 0) *
    (LEN($G283:$T283) &gt; 0)
)+IFERROR(VLOOKUP($A283,$A$88:$X$1001,MATCH(AB$26,$A$88:$J$88,0), FALSE), 0) *
    (LEN($A283) &gt; 0)</f>
        <v>1</v>
      </c>
      <c r="AC283" cm="1">
        <f t="array" ref="AC283">1+SUMPRODUCT(
    IFERROR(VLOOKUP($G283:$T283, $B$88:$X$1001,MATCH(AC$26,$B$88:$X$88,0), FALSE), 0) *
    (LEN($G283:$T283) &gt; 0)
)</f>
        <v>1</v>
      </c>
      <c r="AD283" cm="1">
        <f t="array" ref="AD283">SUMPRODUCT(
    IFERROR(VLOOKUP($G283:$T283, $B$88:$X$1001,MATCH(AD$26,$B$88:$X$88,0), FALSE), 0) *
    (LEN($G283:$T283) &gt; 0)
)+IFERROR(VLOOKUP($A283,$A$89:$X$1001,MATCH(AD$26,$A$88:$X$88,0), FALSE), 0) *
    (LEN($A283) &gt; 0)</f>
        <v>0</v>
      </c>
      <c r="AE283" cm="1">
        <f t="array" ref="AE283">SUMPRODUCT(
    IFERROR(VLOOKUP($G283:$T283, $B$88:$X$1001,MATCH(AE$26,$B$88:$X$88,0), FALSE), 0) *
    (LEN($G283:$T283) &gt; 0)
)+IFERROR(VLOOKUP($A283,$A$89:$X$1001,MATCH(AE$26,$A$88:$X$88,0), FALSE), 0) *
    (LEN($A283) &gt; 0)</f>
        <v>0</v>
      </c>
      <c r="AF283" cm="1">
        <f t="array" ref="AF283">SUMPRODUCT(
    IFERROR(VLOOKUP($G283:$T283, $B$88:$X$1001,MATCH(AF$26,$B$88:$X$88,0), FALSE), 0) *
    (LEN($G283:$T283) &gt; 0)
)+IFERROR(VLOOKUP($A283,$A$89:$X$1001,MATCH(AF$26,$A$88:$X$88,0), FALSE), 0) *
    (LEN($A283) &gt; 0)</f>
        <v>0</v>
      </c>
      <c r="AG283" cm="1">
        <f t="array" ref="AG283">SUMPRODUCT(
    IFERROR(VLOOKUP($G283:$T283, $B$88:$X$1001,MATCH(AG$26,$B$88:$X$88,0), FALSE), 0) *
    (LEN($G283:$T283) &gt; 0)
)+IFERROR(VLOOKUP($A283,$A$89:$X$1001,MATCH(AG$26,$A$88:$X$88,0), FALSE), 0) *
    (LEN($A283) &gt; 0)</f>
        <v>0</v>
      </c>
      <c r="AH283" cm="1">
        <f t="array" ref="AH283">SUMPRODUCT(
    IFERROR(VLOOKUP($G283:$T283, $B$88:$X$1001,MATCH(AH$26,$B$88:$X$88,0), FALSE), 0) *
    (LEN($G283:$T283) &gt; 0)
)+IFERROR(VLOOKUP($A283,$A$89:$X$1001,MATCH(AH$26,$A$88:$X$88,0), FALSE), 0) *
    (LEN($A283) &gt; 0)</f>
        <v>0</v>
      </c>
      <c r="AI283">
        <f t="shared" si="20"/>
        <v>1</v>
      </c>
      <c r="AJ283" cm="1">
        <f t="array" ref="AJ283">1+SUMPRODUCT(
    IFERROR(VLOOKUP($G283:$T283, $B$88:$X$1001,MATCH(AJ$26,$B$88:$X$88,0), FALSE), 0) *
    (LEN($G283:$T283) &gt; 0)
)</f>
        <v>1</v>
      </c>
      <c r="AK283" cm="1">
        <f t="array" ref="AK283">1+SUMPRODUCT(
    IFERROR(VLOOKUP($G283:$T283, $B$88:$X$1001,MATCH(AK$26,$B$88:$X$88,0), FALSE), 0) *
    (LEN($G283:$T283) &gt; 0)
)</f>
        <v>1</v>
      </c>
      <c r="AL283" cm="1">
        <f t="array" ref="AL283">1+SUMPRODUCT(
    IFERROR(VLOOKUP($G283:$T283, $B$88:$X$1001,MATCH(AL$26,$B$88:$X$88,0), FALSE), 0) *
    (LEN($G283:$T283) &gt; 0)
)</f>
        <v>1</v>
      </c>
      <c r="AM283" cm="1">
        <f t="array" ref="AM283">1+SUMPRODUCT(
    IFERROR(VLOOKUP($G283:$T283, $B$88:$X$1001,MATCH(AM$26,$B$88:$X$88,0), FALSE), 0) *
    (LEN($G283:$T283) &gt; 0)
)</f>
        <v>1</v>
      </c>
      <c r="AN283" cm="1">
        <f t="array" ref="AN283">1+SUMPRODUCT(
    IFERROR(VLOOKUP($G283:$T283, $B$88:$X$1001,MATCH(AN$26,$B$88:$X$88,0), FALSE), 0) *
    (LEN($G283:$T283) &gt; 0)
)</f>
        <v>1</v>
      </c>
      <c r="AO283">
        <f t="shared" si="21"/>
        <v>1</v>
      </c>
      <c r="AQ283">
        <f t="shared" si="22"/>
        <v>0.5</v>
      </c>
    </row>
    <row r="284" spans="2:43" x14ac:dyDescent="0.25">
      <c r="B284">
        <f t="shared" si="17"/>
        <v>0</v>
      </c>
      <c r="C284">
        <f>B284*(1+表2_5462[[#This Row],[列24]]*(表2_5462[[#This Row],[列25]]-1))</f>
        <v>0</v>
      </c>
      <c r="D284">
        <f t="shared" si="18"/>
        <v>0</v>
      </c>
      <c r="E284" s="36" t="e">
        <f>表2_5462[[#This Row],[列3]]/$C$63</f>
        <v>#DIV/0!</v>
      </c>
      <c r="F284" t="s">
        <v>791</v>
      </c>
      <c r="U284">
        <f t="shared" si="11"/>
        <v>0</v>
      </c>
      <c r="V284" cm="1">
        <f t="array" ref="V284" xml:space="preserve"> IFERROR(VLOOKUP($A284,$A$87:$X$1001,MATCH(V$26,$A$88:$J$88,0), FALSE), 0) *
    (LEN($A284) &gt; 0)+SUMPRODUCT(
    IFERROR(VLOOKUP($G284:$T284, $B$88:$X$1001,MATCH(V$26,$B$88:$X$88,0), FALSE), 0) *
    (LEN($G284:$T284) &gt; 0)
)</f>
        <v>0</v>
      </c>
      <c r="W284">
        <f t="shared" si="12"/>
        <v>0</v>
      </c>
      <c r="X284">
        <f t="shared" si="12"/>
        <v>0</v>
      </c>
      <c r="Y284">
        <f t="shared" si="19"/>
        <v>0</v>
      </c>
      <c r="Z284">
        <f t="shared" si="14"/>
        <v>0</v>
      </c>
      <c r="AA284" cm="1">
        <f t="array" ref="AA284" xml:space="preserve"> IFERROR(VLOOKUP($A284,$A$87:$X$1001,MATCH(AA$26,$A$88:$J$88,0), FALSE), 0) *
    (LEN($A284) &gt; 0)+SUMPRODUCT(
    IFERROR(VLOOKUP($G284:$T284, $B$88:$X$1001,MATCH(AA$26,$B$88:$X$88,0), FALSE), 0) *
    (LEN($G284:$T284) &gt; 0)
)</f>
        <v>0</v>
      </c>
      <c r="AB284" cm="1">
        <f t="array" ref="AB284">1+SUMPRODUCT(
    IFERROR(VLOOKUP($G284:$T284, $B$88:$X$1001,MATCH(AB$26,$B$88:$X$88,0), FALSE), 0) *
    (LEN($G284:$T284) &gt; 0)
)+IFERROR(VLOOKUP($A284,$A$88:$X$1001,MATCH(AB$26,$A$88:$J$88,0), FALSE), 0) *
    (LEN($A284) &gt; 0)</f>
        <v>1</v>
      </c>
      <c r="AC284" cm="1">
        <f t="array" ref="AC284">1+SUMPRODUCT(
    IFERROR(VLOOKUP($G284:$T284, $B$88:$X$1001,MATCH(AC$26,$B$88:$X$88,0), FALSE), 0) *
    (LEN($G284:$T284) &gt; 0)
)</f>
        <v>1</v>
      </c>
      <c r="AD284" cm="1">
        <f t="array" ref="AD284">SUMPRODUCT(
    IFERROR(VLOOKUP($G284:$T284, $B$88:$X$1001,MATCH(AD$26,$B$88:$X$88,0), FALSE), 0) *
    (LEN($G284:$T284) &gt; 0)
)+IFERROR(VLOOKUP($A284,$A$89:$X$1001,MATCH(AD$26,$A$88:$X$88,0), FALSE), 0) *
    (LEN($A284) &gt; 0)</f>
        <v>0</v>
      </c>
      <c r="AE284" cm="1">
        <f t="array" ref="AE284">SUMPRODUCT(
    IFERROR(VLOOKUP($G284:$T284, $B$88:$X$1001,MATCH(AE$26,$B$88:$X$88,0), FALSE), 0) *
    (LEN($G284:$T284) &gt; 0)
)+IFERROR(VLOOKUP($A284,$A$89:$X$1001,MATCH(AE$26,$A$88:$X$88,0), FALSE), 0) *
    (LEN($A284) &gt; 0)</f>
        <v>0</v>
      </c>
      <c r="AF284" cm="1">
        <f t="array" ref="AF284">SUMPRODUCT(
    IFERROR(VLOOKUP($G284:$T284, $B$88:$X$1001,MATCH(AF$26,$B$88:$X$88,0), FALSE), 0) *
    (LEN($G284:$T284) &gt; 0)
)+IFERROR(VLOOKUP($A284,$A$89:$X$1001,MATCH(AF$26,$A$88:$X$88,0), FALSE), 0) *
    (LEN($A284) &gt; 0)</f>
        <v>0</v>
      </c>
      <c r="AG284" cm="1">
        <f t="array" ref="AG284">SUMPRODUCT(
    IFERROR(VLOOKUP($G284:$T284, $B$88:$X$1001,MATCH(AG$26,$B$88:$X$88,0), FALSE), 0) *
    (LEN($G284:$T284) &gt; 0)
)+IFERROR(VLOOKUP($A284,$A$89:$X$1001,MATCH(AG$26,$A$88:$X$88,0), FALSE), 0) *
    (LEN($A284) &gt; 0)</f>
        <v>0</v>
      </c>
      <c r="AH284" cm="1">
        <f t="array" ref="AH284">SUMPRODUCT(
    IFERROR(VLOOKUP($G284:$T284, $B$88:$X$1001,MATCH(AH$26,$B$88:$X$88,0), FALSE), 0) *
    (LEN($G284:$T284) &gt; 0)
)+IFERROR(VLOOKUP($A284,$A$89:$X$1001,MATCH(AH$26,$A$88:$X$88,0), FALSE), 0) *
    (LEN($A284) &gt; 0)</f>
        <v>0</v>
      </c>
      <c r="AI284">
        <f t="shared" si="20"/>
        <v>1</v>
      </c>
      <c r="AJ284" cm="1">
        <f t="array" ref="AJ284">1+SUMPRODUCT(
    IFERROR(VLOOKUP($G284:$T284, $B$88:$X$1001,MATCH(AJ$26,$B$88:$X$88,0), FALSE), 0) *
    (LEN($G284:$T284) &gt; 0)
)</f>
        <v>1</v>
      </c>
      <c r="AK284" cm="1">
        <f t="array" ref="AK284">1+SUMPRODUCT(
    IFERROR(VLOOKUP($G284:$T284, $B$88:$X$1001,MATCH(AK$26,$B$88:$X$88,0), FALSE), 0) *
    (LEN($G284:$T284) &gt; 0)
)</f>
        <v>1</v>
      </c>
      <c r="AL284" cm="1">
        <f t="array" ref="AL284">1+SUMPRODUCT(
    IFERROR(VLOOKUP($G284:$T284, $B$88:$X$1001,MATCH(AL$26,$B$88:$X$88,0), FALSE), 0) *
    (LEN($G284:$T284) &gt; 0)
)</f>
        <v>1</v>
      </c>
      <c r="AM284" cm="1">
        <f t="array" ref="AM284">1+SUMPRODUCT(
    IFERROR(VLOOKUP($G284:$T284, $B$88:$X$1001,MATCH(AM$26,$B$88:$X$88,0), FALSE), 0) *
    (LEN($G284:$T284) &gt; 0)
)</f>
        <v>1</v>
      </c>
      <c r="AN284" cm="1">
        <f t="array" ref="AN284">1+SUMPRODUCT(
    IFERROR(VLOOKUP($G284:$T284, $B$88:$X$1001,MATCH(AN$26,$B$88:$X$88,0), FALSE), 0) *
    (LEN($G284:$T284) &gt; 0)
)</f>
        <v>1</v>
      </c>
      <c r="AO284">
        <f t="shared" si="21"/>
        <v>1</v>
      </c>
      <c r="AQ284">
        <f t="shared" si="22"/>
        <v>0.5</v>
      </c>
    </row>
    <row r="285" spans="2:43" x14ac:dyDescent="0.25">
      <c r="B285">
        <f t="shared" si="17"/>
        <v>0</v>
      </c>
      <c r="C285">
        <f>B285*(1+表2_5462[[#This Row],[列24]]*(表2_5462[[#This Row],[列25]]-1))</f>
        <v>0</v>
      </c>
      <c r="D285">
        <f t="shared" si="18"/>
        <v>0</v>
      </c>
      <c r="E285" s="36" t="e">
        <f>表2_5462[[#This Row],[列3]]/$C$63</f>
        <v>#DIV/0!</v>
      </c>
      <c r="F285" t="s">
        <v>791</v>
      </c>
      <c r="U285">
        <f t="shared" si="11"/>
        <v>0</v>
      </c>
      <c r="V285" cm="1">
        <f t="array" ref="V285" xml:space="preserve"> IFERROR(VLOOKUP($A285,$A$87:$X$1001,MATCH(V$26,$A$88:$J$88,0), FALSE), 0) *
    (LEN($A285) &gt; 0)+SUMPRODUCT(
    IFERROR(VLOOKUP($G285:$T285, $B$88:$X$1001,MATCH(V$26,$B$88:$X$88,0), FALSE), 0) *
    (LEN($G285:$T285) &gt; 0)
)</f>
        <v>0</v>
      </c>
      <c r="W285">
        <f t="shared" si="12"/>
        <v>0</v>
      </c>
      <c r="X285">
        <f t="shared" si="12"/>
        <v>0</v>
      </c>
      <c r="Y285">
        <f t="shared" si="19"/>
        <v>0</v>
      </c>
      <c r="Z285">
        <f t="shared" si="14"/>
        <v>0</v>
      </c>
      <c r="AA285" cm="1">
        <f t="array" ref="AA285" xml:space="preserve"> IFERROR(VLOOKUP($A285,$A$87:$X$1001,MATCH(AA$26,$A$88:$J$88,0), FALSE), 0) *
    (LEN($A285) &gt; 0)+SUMPRODUCT(
    IFERROR(VLOOKUP($G285:$T285, $B$88:$X$1001,MATCH(AA$26,$B$88:$X$88,0), FALSE), 0) *
    (LEN($G285:$T285) &gt; 0)
)</f>
        <v>0</v>
      </c>
      <c r="AB285" cm="1">
        <f t="array" ref="AB285">1+SUMPRODUCT(
    IFERROR(VLOOKUP($G285:$T285, $B$88:$X$1001,MATCH(AB$26,$B$88:$X$88,0), FALSE), 0) *
    (LEN($G285:$T285) &gt; 0)
)+IFERROR(VLOOKUP($A285,$A$88:$X$1001,MATCH(AB$26,$A$88:$J$88,0), FALSE), 0) *
    (LEN($A285) &gt; 0)</f>
        <v>1</v>
      </c>
      <c r="AC285" cm="1">
        <f t="array" ref="AC285">1+SUMPRODUCT(
    IFERROR(VLOOKUP($G285:$T285, $B$88:$X$1001,MATCH(AC$26,$B$88:$X$88,0), FALSE), 0) *
    (LEN($G285:$T285) &gt; 0)
)</f>
        <v>1</v>
      </c>
      <c r="AD285" cm="1">
        <f t="array" ref="AD285">SUMPRODUCT(
    IFERROR(VLOOKUP($G285:$T285, $B$88:$X$1001,MATCH(AD$26,$B$88:$X$88,0), FALSE), 0) *
    (LEN($G285:$T285) &gt; 0)
)+IFERROR(VLOOKUP($A285,$A$89:$X$1001,MATCH(AD$26,$A$88:$X$88,0), FALSE), 0) *
    (LEN($A285) &gt; 0)</f>
        <v>0</v>
      </c>
      <c r="AE285" cm="1">
        <f t="array" ref="AE285">SUMPRODUCT(
    IFERROR(VLOOKUP($G285:$T285, $B$88:$X$1001,MATCH(AE$26,$B$88:$X$88,0), FALSE), 0) *
    (LEN($G285:$T285) &gt; 0)
)+IFERROR(VLOOKUP($A285,$A$89:$X$1001,MATCH(AE$26,$A$88:$X$88,0), FALSE), 0) *
    (LEN($A285) &gt; 0)</f>
        <v>0</v>
      </c>
      <c r="AF285" cm="1">
        <f t="array" ref="AF285">SUMPRODUCT(
    IFERROR(VLOOKUP($G285:$T285, $B$88:$X$1001,MATCH(AF$26,$B$88:$X$88,0), FALSE), 0) *
    (LEN($G285:$T285) &gt; 0)
)+IFERROR(VLOOKUP($A285,$A$89:$X$1001,MATCH(AF$26,$A$88:$X$88,0), FALSE), 0) *
    (LEN($A285) &gt; 0)</f>
        <v>0</v>
      </c>
      <c r="AG285" cm="1">
        <f t="array" ref="AG285">SUMPRODUCT(
    IFERROR(VLOOKUP($G285:$T285, $B$88:$X$1001,MATCH(AG$26,$B$88:$X$88,0), FALSE), 0) *
    (LEN($G285:$T285) &gt; 0)
)+IFERROR(VLOOKUP($A285,$A$89:$X$1001,MATCH(AG$26,$A$88:$X$88,0), FALSE), 0) *
    (LEN($A285) &gt; 0)</f>
        <v>0</v>
      </c>
      <c r="AH285" cm="1">
        <f t="array" ref="AH285">SUMPRODUCT(
    IFERROR(VLOOKUP($G285:$T285, $B$88:$X$1001,MATCH(AH$26,$B$88:$X$88,0), FALSE), 0) *
    (LEN($G285:$T285) &gt; 0)
)+IFERROR(VLOOKUP($A285,$A$89:$X$1001,MATCH(AH$26,$A$88:$X$88,0), FALSE), 0) *
    (LEN($A285) &gt; 0)</f>
        <v>0</v>
      </c>
      <c r="AI285">
        <f t="shared" si="20"/>
        <v>1</v>
      </c>
      <c r="AJ285" cm="1">
        <f t="array" ref="AJ285">1+SUMPRODUCT(
    IFERROR(VLOOKUP($G285:$T285, $B$88:$X$1001,MATCH(AJ$26,$B$88:$X$88,0), FALSE), 0) *
    (LEN($G285:$T285) &gt; 0)
)</f>
        <v>1</v>
      </c>
      <c r="AK285" cm="1">
        <f t="array" ref="AK285">1+SUMPRODUCT(
    IFERROR(VLOOKUP($G285:$T285, $B$88:$X$1001,MATCH(AK$26,$B$88:$X$88,0), FALSE), 0) *
    (LEN($G285:$T285) &gt; 0)
)</f>
        <v>1</v>
      </c>
      <c r="AL285" cm="1">
        <f t="array" ref="AL285">1+SUMPRODUCT(
    IFERROR(VLOOKUP($G285:$T285, $B$88:$X$1001,MATCH(AL$26,$B$88:$X$88,0), FALSE), 0) *
    (LEN($G285:$T285) &gt; 0)
)</f>
        <v>1</v>
      </c>
      <c r="AM285" cm="1">
        <f t="array" ref="AM285">1+SUMPRODUCT(
    IFERROR(VLOOKUP($G285:$T285, $B$88:$X$1001,MATCH(AM$26,$B$88:$X$88,0), FALSE), 0) *
    (LEN($G285:$T285) &gt; 0)
)</f>
        <v>1</v>
      </c>
      <c r="AN285" cm="1">
        <f t="array" ref="AN285">1+SUMPRODUCT(
    IFERROR(VLOOKUP($G285:$T285, $B$88:$X$1001,MATCH(AN$26,$B$88:$X$88,0), FALSE), 0) *
    (LEN($G285:$T285) &gt; 0)
)</f>
        <v>1</v>
      </c>
      <c r="AO285">
        <f t="shared" si="21"/>
        <v>1</v>
      </c>
      <c r="AQ285">
        <f t="shared" si="22"/>
        <v>0.5</v>
      </c>
    </row>
    <row r="286" spans="2:43" x14ac:dyDescent="0.25">
      <c r="B286">
        <f t="shared" si="17"/>
        <v>0</v>
      </c>
      <c r="C286">
        <f>B286*(1+表2_5462[[#This Row],[列24]]*(表2_5462[[#This Row],[列25]]-1))</f>
        <v>0</v>
      </c>
      <c r="D286">
        <f t="shared" si="18"/>
        <v>0</v>
      </c>
      <c r="E286" s="36" t="e">
        <f>表2_5462[[#This Row],[列3]]/$C$63</f>
        <v>#DIV/0!</v>
      </c>
      <c r="F286" t="s">
        <v>791</v>
      </c>
      <c r="U286">
        <f t="shared" si="11"/>
        <v>0</v>
      </c>
      <c r="V286" cm="1">
        <f t="array" ref="V286" xml:space="preserve"> IFERROR(VLOOKUP($A286,$A$87:$X$1001,MATCH(V$26,$A$88:$J$88,0), FALSE), 0) *
    (LEN($A286) &gt; 0)+SUMPRODUCT(
    IFERROR(VLOOKUP($G286:$T286, $B$88:$X$1001,MATCH(V$26,$B$88:$X$88,0), FALSE), 0) *
    (LEN($G286:$T286) &gt; 0)
)</f>
        <v>0</v>
      </c>
      <c r="W286">
        <f t="shared" si="12"/>
        <v>0</v>
      </c>
      <c r="X286">
        <f t="shared" si="12"/>
        <v>0</v>
      </c>
      <c r="Y286">
        <f t="shared" si="19"/>
        <v>0</v>
      </c>
      <c r="Z286">
        <f t="shared" si="14"/>
        <v>0</v>
      </c>
      <c r="AA286" cm="1">
        <f t="array" ref="AA286" xml:space="preserve"> IFERROR(VLOOKUP($A286,$A$87:$X$1001,MATCH(AA$26,$A$88:$J$88,0), FALSE), 0) *
    (LEN($A286) &gt; 0)+SUMPRODUCT(
    IFERROR(VLOOKUP($G286:$T286, $B$88:$X$1001,MATCH(AA$26,$B$88:$X$88,0), FALSE), 0) *
    (LEN($G286:$T286) &gt; 0)
)</f>
        <v>0</v>
      </c>
      <c r="AB286" cm="1">
        <f t="array" ref="AB286">1+SUMPRODUCT(
    IFERROR(VLOOKUP($G286:$T286, $B$88:$X$1001,MATCH(AB$26,$B$88:$X$88,0), FALSE), 0) *
    (LEN($G286:$T286) &gt; 0)
)+IFERROR(VLOOKUP($A286,$A$88:$X$1001,MATCH(AB$26,$A$88:$J$88,0), FALSE), 0) *
    (LEN($A286) &gt; 0)</f>
        <v>1</v>
      </c>
      <c r="AC286" cm="1">
        <f t="array" ref="AC286">1+SUMPRODUCT(
    IFERROR(VLOOKUP($G286:$T286, $B$88:$X$1001,MATCH(AC$26,$B$88:$X$88,0), FALSE), 0) *
    (LEN($G286:$T286) &gt; 0)
)</f>
        <v>1</v>
      </c>
      <c r="AD286" cm="1">
        <f t="array" ref="AD286">SUMPRODUCT(
    IFERROR(VLOOKUP($G286:$T286, $B$88:$X$1001,MATCH(AD$26,$B$88:$X$88,0), FALSE), 0) *
    (LEN($G286:$T286) &gt; 0)
)+IFERROR(VLOOKUP($A286,$A$89:$X$1001,MATCH(AD$26,$A$88:$X$88,0), FALSE), 0) *
    (LEN($A286) &gt; 0)</f>
        <v>0</v>
      </c>
      <c r="AE286" cm="1">
        <f t="array" ref="AE286">SUMPRODUCT(
    IFERROR(VLOOKUP($G286:$T286, $B$88:$X$1001,MATCH(AE$26,$B$88:$X$88,0), FALSE), 0) *
    (LEN($G286:$T286) &gt; 0)
)+IFERROR(VLOOKUP($A286,$A$89:$X$1001,MATCH(AE$26,$A$88:$X$88,0), FALSE), 0) *
    (LEN($A286) &gt; 0)</f>
        <v>0</v>
      </c>
      <c r="AF286" cm="1">
        <f t="array" ref="AF286">SUMPRODUCT(
    IFERROR(VLOOKUP($G286:$T286, $B$88:$X$1001,MATCH(AF$26,$B$88:$X$88,0), FALSE), 0) *
    (LEN($G286:$T286) &gt; 0)
)+IFERROR(VLOOKUP($A286,$A$89:$X$1001,MATCH(AF$26,$A$88:$X$88,0), FALSE), 0) *
    (LEN($A286) &gt; 0)</f>
        <v>0</v>
      </c>
      <c r="AG286" cm="1">
        <f t="array" ref="AG286">SUMPRODUCT(
    IFERROR(VLOOKUP($G286:$T286, $B$88:$X$1001,MATCH(AG$26,$B$88:$X$88,0), FALSE), 0) *
    (LEN($G286:$T286) &gt; 0)
)+IFERROR(VLOOKUP($A286,$A$89:$X$1001,MATCH(AG$26,$A$88:$X$88,0), FALSE), 0) *
    (LEN($A286) &gt; 0)</f>
        <v>0</v>
      </c>
      <c r="AH286" cm="1">
        <f t="array" ref="AH286">SUMPRODUCT(
    IFERROR(VLOOKUP($G286:$T286, $B$88:$X$1001,MATCH(AH$26,$B$88:$X$88,0), FALSE), 0) *
    (LEN($G286:$T286) &gt; 0)
)+IFERROR(VLOOKUP($A286,$A$89:$X$1001,MATCH(AH$26,$A$88:$X$88,0), FALSE), 0) *
    (LEN($A286) &gt; 0)</f>
        <v>0</v>
      </c>
      <c r="AI286">
        <f t="shared" si="20"/>
        <v>1</v>
      </c>
      <c r="AJ286" cm="1">
        <f t="array" ref="AJ286">1+SUMPRODUCT(
    IFERROR(VLOOKUP($G286:$T286, $B$88:$X$1001,MATCH(AJ$26,$B$88:$X$88,0), FALSE), 0) *
    (LEN($G286:$T286) &gt; 0)
)</f>
        <v>1</v>
      </c>
      <c r="AK286" cm="1">
        <f t="array" ref="AK286">1+SUMPRODUCT(
    IFERROR(VLOOKUP($G286:$T286, $B$88:$X$1001,MATCH(AK$26,$B$88:$X$88,0), FALSE), 0) *
    (LEN($G286:$T286) &gt; 0)
)</f>
        <v>1</v>
      </c>
      <c r="AL286" cm="1">
        <f t="array" ref="AL286">1+SUMPRODUCT(
    IFERROR(VLOOKUP($G286:$T286, $B$88:$X$1001,MATCH(AL$26,$B$88:$X$88,0), FALSE), 0) *
    (LEN($G286:$T286) &gt; 0)
)</f>
        <v>1</v>
      </c>
      <c r="AM286" cm="1">
        <f t="array" ref="AM286">1+SUMPRODUCT(
    IFERROR(VLOOKUP($G286:$T286, $B$88:$X$1001,MATCH(AM$26,$B$88:$X$88,0), FALSE), 0) *
    (LEN($G286:$T286) &gt; 0)
)</f>
        <v>1</v>
      </c>
      <c r="AN286" cm="1">
        <f t="array" ref="AN286">1+SUMPRODUCT(
    IFERROR(VLOOKUP($G286:$T286, $B$88:$X$1001,MATCH(AN$26,$B$88:$X$88,0), FALSE), 0) *
    (LEN($G286:$T286) &gt; 0)
)</f>
        <v>1</v>
      </c>
      <c r="AO286">
        <f t="shared" si="21"/>
        <v>1</v>
      </c>
      <c r="AQ286">
        <f t="shared" si="22"/>
        <v>0.5</v>
      </c>
    </row>
    <row r="287" spans="2:43" x14ac:dyDescent="0.25">
      <c r="B287">
        <f t="shared" si="17"/>
        <v>0</v>
      </c>
      <c r="C287">
        <f>B287*(1+表2_5462[[#This Row],[列24]]*(表2_5462[[#This Row],[列25]]-1))</f>
        <v>0</v>
      </c>
      <c r="D287">
        <f t="shared" si="18"/>
        <v>0</v>
      </c>
      <c r="E287" s="36" t="e">
        <f>表2_5462[[#This Row],[列3]]/$C$63</f>
        <v>#DIV/0!</v>
      </c>
      <c r="F287" t="s">
        <v>791</v>
      </c>
      <c r="U287">
        <f t="shared" si="11"/>
        <v>0</v>
      </c>
      <c r="V287" cm="1">
        <f t="array" ref="V287" xml:space="preserve"> IFERROR(VLOOKUP($A287,$A$87:$X$1001,MATCH(V$26,$A$88:$J$88,0), FALSE), 0) *
    (LEN($A287) &gt; 0)+SUMPRODUCT(
    IFERROR(VLOOKUP($G287:$T287, $B$88:$X$1001,MATCH(V$26,$B$88:$X$88,0), FALSE), 0) *
    (LEN($G287:$T287) &gt; 0)
)</f>
        <v>0</v>
      </c>
      <c r="W287">
        <f t="shared" si="12"/>
        <v>0</v>
      </c>
      <c r="X287">
        <f t="shared" si="12"/>
        <v>0</v>
      </c>
      <c r="Y287">
        <f t="shared" si="19"/>
        <v>0</v>
      </c>
      <c r="Z287">
        <f t="shared" si="14"/>
        <v>0</v>
      </c>
      <c r="AA287" cm="1">
        <f t="array" ref="AA287" xml:space="preserve"> IFERROR(VLOOKUP($A287,$A$87:$X$1001,MATCH(AA$26,$A$88:$J$88,0), FALSE), 0) *
    (LEN($A287) &gt; 0)+SUMPRODUCT(
    IFERROR(VLOOKUP($G287:$T287, $B$88:$X$1001,MATCH(AA$26,$B$88:$X$88,0), FALSE), 0) *
    (LEN($G287:$T287) &gt; 0)
)</f>
        <v>0</v>
      </c>
      <c r="AB287" cm="1">
        <f t="array" ref="AB287">1+SUMPRODUCT(
    IFERROR(VLOOKUP($G287:$T287, $B$88:$X$1001,MATCH(AB$26,$B$88:$X$88,0), FALSE), 0) *
    (LEN($G287:$T287) &gt; 0)
)+IFERROR(VLOOKUP($A287,$A$88:$X$1001,MATCH(AB$26,$A$88:$J$88,0), FALSE), 0) *
    (LEN($A287) &gt; 0)</f>
        <v>1</v>
      </c>
      <c r="AC287" cm="1">
        <f t="array" ref="AC287">1+SUMPRODUCT(
    IFERROR(VLOOKUP($G287:$T287, $B$88:$X$1001,MATCH(AC$26,$B$88:$X$88,0), FALSE), 0) *
    (LEN($G287:$T287) &gt; 0)
)</f>
        <v>1</v>
      </c>
      <c r="AD287" cm="1">
        <f t="array" ref="AD287">SUMPRODUCT(
    IFERROR(VLOOKUP($G287:$T287, $B$88:$X$1001,MATCH(AD$26,$B$88:$X$88,0), FALSE), 0) *
    (LEN($G287:$T287) &gt; 0)
)+IFERROR(VLOOKUP($A287,$A$89:$X$1001,MATCH(AD$26,$A$88:$X$88,0), FALSE), 0) *
    (LEN($A287) &gt; 0)</f>
        <v>0</v>
      </c>
      <c r="AE287" cm="1">
        <f t="array" ref="AE287">SUMPRODUCT(
    IFERROR(VLOOKUP($G287:$T287, $B$88:$X$1001,MATCH(AE$26,$B$88:$X$88,0), FALSE), 0) *
    (LEN($G287:$T287) &gt; 0)
)+IFERROR(VLOOKUP($A287,$A$89:$X$1001,MATCH(AE$26,$A$88:$X$88,0), FALSE), 0) *
    (LEN($A287) &gt; 0)</f>
        <v>0</v>
      </c>
      <c r="AF287" cm="1">
        <f t="array" ref="AF287">SUMPRODUCT(
    IFERROR(VLOOKUP($G287:$T287, $B$88:$X$1001,MATCH(AF$26,$B$88:$X$88,0), FALSE), 0) *
    (LEN($G287:$T287) &gt; 0)
)+IFERROR(VLOOKUP($A287,$A$89:$X$1001,MATCH(AF$26,$A$88:$X$88,0), FALSE), 0) *
    (LEN($A287) &gt; 0)</f>
        <v>0</v>
      </c>
      <c r="AG287" cm="1">
        <f t="array" ref="AG287">SUMPRODUCT(
    IFERROR(VLOOKUP($G287:$T287, $B$88:$X$1001,MATCH(AG$26,$B$88:$X$88,0), FALSE), 0) *
    (LEN($G287:$T287) &gt; 0)
)+IFERROR(VLOOKUP($A287,$A$89:$X$1001,MATCH(AG$26,$A$88:$X$88,0), FALSE), 0) *
    (LEN($A287) &gt; 0)</f>
        <v>0</v>
      </c>
      <c r="AH287" cm="1">
        <f t="array" ref="AH287">SUMPRODUCT(
    IFERROR(VLOOKUP($G287:$T287, $B$88:$X$1001,MATCH(AH$26,$B$88:$X$88,0), FALSE), 0) *
    (LEN($G287:$T287) &gt; 0)
)+IFERROR(VLOOKUP($A287,$A$89:$X$1001,MATCH(AH$26,$A$88:$X$88,0), FALSE), 0) *
    (LEN($A287) &gt; 0)</f>
        <v>0</v>
      </c>
      <c r="AI287">
        <f t="shared" si="20"/>
        <v>1</v>
      </c>
      <c r="AJ287" cm="1">
        <f t="array" ref="AJ287">1+SUMPRODUCT(
    IFERROR(VLOOKUP($G287:$T287, $B$88:$X$1001,MATCH(AJ$26,$B$88:$X$88,0), FALSE), 0) *
    (LEN($G287:$T287) &gt; 0)
)</f>
        <v>1</v>
      </c>
      <c r="AK287" cm="1">
        <f t="array" ref="AK287">1+SUMPRODUCT(
    IFERROR(VLOOKUP($G287:$T287, $B$88:$X$1001,MATCH(AK$26,$B$88:$X$88,0), FALSE), 0) *
    (LEN($G287:$T287) &gt; 0)
)</f>
        <v>1</v>
      </c>
      <c r="AL287" cm="1">
        <f t="array" ref="AL287">1+SUMPRODUCT(
    IFERROR(VLOOKUP($G287:$T287, $B$88:$X$1001,MATCH(AL$26,$B$88:$X$88,0), FALSE), 0) *
    (LEN($G287:$T287) &gt; 0)
)</f>
        <v>1</v>
      </c>
      <c r="AM287" cm="1">
        <f t="array" ref="AM287">1+SUMPRODUCT(
    IFERROR(VLOOKUP($G287:$T287, $B$88:$X$1001,MATCH(AM$26,$B$88:$X$88,0), FALSE), 0) *
    (LEN($G287:$T287) &gt; 0)
)</f>
        <v>1</v>
      </c>
      <c r="AN287" cm="1">
        <f t="array" ref="AN287">1+SUMPRODUCT(
    IFERROR(VLOOKUP($G287:$T287, $B$88:$X$1001,MATCH(AN$26,$B$88:$X$88,0), FALSE), 0) *
    (LEN($G287:$T287) &gt; 0)
)</f>
        <v>1</v>
      </c>
      <c r="AO287">
        <f t="shared" si="21"/>
        <v>1</v>
      </c>
      <c r="AQ287">
        <f t="shared" si="22"/>
        <v>0.5</v>
      </c>
    </row>
    <row r="288" spans="2:43" x14ac:dyDescent="0.25">
      <c r="B288">
        <f t="shared" si="17"/>
        <v>0</v>
      </c>
      <c r="C288">
        <f>B288*(1+表2_5462[[#This Row],[列24]]*(表2_5462[[#This Row],[列25]]-1))</f>
        <v>0</v>
      </c>
      <c r="D288">
        <f t="shared" si="18"/>
        <v>0</v>
      </c>
      <c r="E288" s="36" t="e">
        <f>表2_5462[[#This Row],[列3]]/$C$63</f>
        <v>#DIV/0!</v>
      </c>
      <c r="F288" t="s">
        <v>791</v>
      </c>
      <c r="U288">
        <f t="shared" si="11"/>
        <v>0</v>
      </c>
      <c r="V288" cm="1">
        <f t="array" ref="V288" xml:space="preserve"> IFERROR(VLOOKUP($A288,$A$87:$X$1001,MATCH(V$26,$A$88:$J$88,0), FALSE), 0) *
    (LEN($A288) &gt; 0)+SUMPRODUCT(
    IFERROR(VLOOKUP($G288:$T288, $B$88:$X$1001,MATCH(V$26,$B$88:$X$88,0), FALSE), 0) *
    (LEN($G288:$T288) &gt; 0)
)</f>
        <v>0</v>
      </c>
      <c r="W288">
        <f t="shared" si="12"/>
        <v>0</v>
      </c>
      <c r="X288">
        <f t="shared" si="12"/>
        <v>0</v>
      </c>
      <c r="Y288">
        <f t="shared" si="19"/>
        <v>0</v>
      </c>
      <c r="Z288">
        <f t="shared" si="14"/>
        <v>0</v>
      </c>
      <c r="AA288" cm="1">
        <f t="array" ref="AA288" xml:space="preserve"> IFERROR(VLOOKUP($A288,$A$87:$X$1001,MATCH(AA$26,$A$88:$J$88,0), FALSE), 0) *
    (LEN($A288) &gt; 0)+SUMPRODUCT(
    IFERROR(VLOOKUP($G288:$T288, $B$88:$X$1001,MATCH(AA$26,$B$88:$X$88,0), FALSE), 0) *
    (LEN($G288:$T288) &gt; 0)
)</f>
        <v>0</v>
      </c>
      <c r="AB288" cm="1">
        <f t="array" ref="AB288">1+SUMPRODUCT(
    IFERROR(VLOOKUP($G288:$T288, $B$88:$X$1001,MATCH(AB$26,$B$88:$X$88,0), FALSE), 0) *
    (LEN($G288:$T288) &gt; 0)
)+IFERROR(VLOOKUP($A288,$A$88:$X$1001,MATCH(AB$26,$A$88:$J$88,0), FALSE), 0) *
    (LEN($A288) &gt; 0)</f>
        <v>1</v>
      </c>
      <c r="AC288" cm="1">
        <f t="array" ref="AC288">1+SUMPRODUCT(
    IFERROR(VLOOKUP($G288:$T288, $B$88:$X$1001,MATCH(AC$26,$B$88:$X$88,0), FALSE), 0) *
    (LEN($G288:$T288) &gt; 0)
)</f>
        <v>1</v>
      </c>
      <c r="AD288" cm="1">
        <f t="array" ref="AD288">SUMPRODUCT(
    IFERROR(VLOOKUP($G288:$T288, $B$88:$X$1001,MATCH(AD$26,$B$88:$X$88,0), FALSE), 0) *
    (LEN($G288:$T288) &gt; 0)
)+IFERROR(VLOOKUP($A288,$A$89:$X$1001,MATCH(AD$26,$A$88:$X$88,0), FALSE), 0) *
    (LEN($A288) &gt; 0)</f>
        <v>0</v>
      </c>
      <c r="AE288" cm="1">
        <f t="array" ref="AE288">SUMPRODUCT(
    IFERROR(VLOOKUP($G288:$T288, $B$88:$X$1001,MATCH(AE$26,$B$88:$X$88,0), FALSE), 0) *
    (LEN($G288:$T288) &gt; 0)
)+IFERROR(VLOOKUP($A288,$A$89:$X$1001,MATCH(AE$26,$A$88:$X$88,0), FALSE), 0) *
    (LEN($A288) &gt; 0)</f>
        <v>0</v>
      </c>
      <c r="AF288" cm="1">
        <f t="array" ref="AF288">SUMPRODUCT(
    IFERROR(VLOOKUP($G288:$T288, $B$88:$X$1001,MATCH(AF$26,$B$88:$X$88,0), FALSE), 0) *
    (LEN($G288:$T288) &gt; 0)
)+IFERROR(VLOOKUP($A288,$A$89:$X$1001,MATCH(AF$26,$A$88:$X$88,0), FALSE), 0) *
    (LEN($A288) &gt; 0)</f>
        <v>0</v>
      </c>
      <c r="AG288" cm="1">
        <f t="array" ref="AG288">SUMPRODUCT(
    IFERROR(VLOOKUP($G288:$T288, $B$88:$X$1001,MATCH(AG$26,$B$88:$X$88,0), FALSE), 0) *
    (LEN($G288:$T288) &gt; 0)
)+IFERROR(VLOOKUP($A288,$A$89:$X$1001,MATCH(AG$26,$A$88:$X$88,0), FALSE), 0) *
    (LEN($A288) &gt; 0)</f>
        <v>0</v>
      </c>
      <c r="AH288" cm="1">
        <f t="array" ref="AH288">SUMPRODUCT(
    IFERROR(VLOOKUP($G288:$T288, $B$88:$X$1001,MATCH(AH$26,$B$88:$X$88,0), FALSE), 0) *
    (LEN($G288:$T288) &gt; 0)
)+IFERROR(VLOOKUP($A288,$A$89:$X$1001,MATCH(AH$26,$A$88:$X$88,0), FALSE), 0) *
    (LEN($A288) &gt; 0)</f>
        <v>0</v>
      </c>
      <c r="AI288">
        <f t="shared" si="20"/>
        <v>1</v>
      </c>
      <c r="AJ288" cm="1">
        <f t="array" ref="AJ288">1+SUMPRODUCT(
    IFERROR(VLOOKUP($G288:$T288, $B$88:$X$1001,MATCH(AJ$26,$B$88:$X$88,0), FALSE), 0) *
    (LEN($G288:$T288) &gt; 0)
)</f>
        <v>1</v>
      </c>
      <c r="AK288" cm="1">
        <f t="array" ref="AK288">1+SUMPRODUCT(
    IFERROR(VLOOKUP($G288:$T288, $B$88:$X$1001,MATCH(AK$26,$B$88:$X$88,0), FALSE), 0) *
    (LEN($G288:$T288) &gt; 0)
)</f>
        <v>1</v>
      </c>
      <c r="AL288" cm="1">
        <f t="array" ref="AL288">1+SUMPRODUCT(
    IFERROR(VLOOKUP($G288:$T288, $B$88:$X$1001,MATCH(AL$26,$B$88:$X$88,0), FALSE), 0) *
    (LEN($G288:$T288) &gt; 0)
)</f>
        <v>1</v>
      </c>
      <c r="AM288" cm="1">
        <f t="array" ref="AM288">1+SUMPRODUCT(
    IFERROR(VLOOKUP($G288:$T288, $B$88:$X$1001,MATCH(AM$26,$B$88:$X$88,0), FALSE), 0) *
    (LEN($G288:$T288) &gt; 0)
)</f>
        <v>1</v>
      </c>
      <c r="AN288" cm="1">
        <f t="array" ref="AN288">1+SUMPRODUCT(
    IFERROR(VLOOKUP($G288:$T288, $B$88:$X$1001,MATCH(AN$26,$B$88:$X$88,0), FALSE), 0) *
    (LEN($G288:$T288) &gt; 0)
)</f>
        <v>1</v>
      </c>
      <c r="AO288">
        <f t="shared" si="21"/>
        <v>1</v>
      </c>
      <c r="AQ288">
        <f t="shared" si="22"/>
        <v>0.5</v>
      </c>
    </row>
    <row r="289" spans="2:43" x14ac:dyDescent="0.25">
      <c r="B289">
        <f t="shared" si="17"/>
        <v>0</v>
      </c>
      <c r="C289">
        <f>B289*(1+表2_5462[[#This Row],[列24]]*(表2_5462[[#This Row],[列25]]-1))</f>
        <v>0</v>
      </c>
      <c r="D289">
        <f t="shared" si="18"/>
        <v>0</v>
      </c>
      <c r="E289" s="36" t="e">
        <f>表2_5462[[#This Row],[列3]]/$C$63</f>
        <v>#DIV/0!</v>
      </c>
      <c r="F289" t="s">
        <v>791</v>
      </c>
      <c r="U289">
        <f t="shared" si="11"/>
        <v>0</v>
      </c>
      <c r="V289" cm="1">
        <f t="array" ref="V289" xml:space="preserve"> IFERROR(VLOOKUP($A289,$A$87:$X$1001,MATCH(V$26,$A$88:$J$88,0), FALSE), 0) *
    (LEN($A289) &gt; 0)+SUMPRODUCT(
    IFERROR(VLOOKUP($G289:$T289, $B$88:$X$1001,MATCH(V$26,$B$88:$X$88,0), FALSE), 0) *
    (LEN($G289:$T289) &gt; 0)
)</f>
        <v>0</v>
      </c>
      <c r="W289">
        <f t="shared" si="12"/>
        <v>0</v>
      </c>
      <c r="X289">
        <f t="shared" si="12"/>
        <v>0</v>
      </c>
      <c r="Y289">
        <f t="shared" si="19"/>
        <v>0</v>
      </c>
      <c r="Z289">
        <f t="shared" si="14"/>
        <v>0</v>
      </c>
      <c r="AA289" cm="1">
        <f t="array" ref="AA289" xml:space="preserve"> IFERROR(VLOOKUP($A289,$A$87:$X$1001,MATCH(AA$26,$A$88:$J$88,0), FALSE), 0) *
    (LEN($A289) &gt; 0)+SUMPRODUCT(
    IFERROR(VLOOKUP($G289:$T289, $B$88:$X$1001,MATCH(AA$26,$B$88:$X$88,0), FALSE), 0) *
    (LEN($G289:$T289) &gt; 0)
)</f>
        <v>0</v>
      </c>
      <c r="AB289" cm="1">
        <f t="array" ref="AB289">1+SUMPRODUCT(
    IFERROR(VLOOKUP($G289:$T289, $B$88:$X$1001,MATCH(AB$26,$B$88:$X$88,0), FALSE), 0) *
    (LEN($G289:$T289) &gt; 0)
)+IFERROR(VLOOKUP($A289,$A$88:$X$1001,MATCH(AB$26,$A$88:$J$88,0), FALSE), 0) *
    (LEN($A289) &gt; 0)</f>
        <v>1</v>
      </c>
      <c r="AC289" cm="1">
        <f t="array" ref="AC289">1+SUMPRODUCT(
    IFERROR(VLOOKUP($G289:$T289, $B$88:$X$1001,MATCH(AC$26,$B$88:$X$88,0), FALSE), 0) *
    (LEN($G289:$T289) &gt; 0)
)</f>
        <v>1</v>
      </c>
      <c r="AD289" cm="1">
        <f t="array" ref="AD289">SUMPRODUCT(
    IFERROR(VLOOKUP($G289:$T289, $B$88:$X$1001,MATCH(AD$26,$B$88:$X$88,0), FALSE), 0) *
    (LEN($G289:$T289) &gt; 0)
)+IFERROR(VLOOKUP($A289,$A$89:$X$1001,MATCH(AD$26,$A$88:$X$88,0), FALSE), 0) *
    (LEN($A289) &gt; 0)</f>
        <v>0</v>
      </c>
      <c r="AE289" cm="1">
        <f t="array" ref="AE289">SUMPRODUCT(
    IFERROR(VLOOKUP($G289:$T289, $B$88:$X$1001,MATCH(AE$26,$B$88:$X$88,0), FALSE), 0) *
    (LEN($G289:$T289) &gt; 0)
)+IFERROR(VLOOKUP($A289,$A$89:$X$1001,MATCH(AE$26,$A$88:$X$88,0), FALSE), 0) *
    (LEN($A289) &gt; 0)</f>
        <v>0</v>
      </c>
      <c r="AF289" cm="1">
        <f t="array" ref="AF289">SUMPRODUCT(
    IFERROR(VLOOKUP($G289:$T289, $B$88:$X$1001,MATCH(AF$26,$B$88:$X$88,0), FALSE), 0) *
    (LEN($G289:$T289) &gt; 0)
)+IFERROR(VLOOKUP($A289,$A$89:$X$1001,MATCH(AF$26,$A$88:$X$88,0), FALSE), 0) *
    (LEN($A289) &gt; 0)</f>
        <v>0</v>
      </c>
      <c r="AG289" cm="1">
        <f t="array" ref="AG289">SUMPRODUCT(
    IFERROR(VLOOKUP($G289:$T289, $B$88:$X$1001,MATCH(AG$26,$B$88:$X$88,0), FALSE), 0) *
    (LEN($G289:$T289) &gt; 0)
)+IFERROR(VLOOKUP($A289,$A$89:$X$1001,MATCH(AG$26,$A$88:$X$88,0), FALSE), 0) *
    (LEN($A289) &gt; 0)</f>
        <v>0</v>
      </c>
      <c r="AH289" cm="1">
        <f t="array" ref="AH289">SUMPRODUCT(
    IFERROR(VLOOKUP($G289:$T289, $B$88:$X$1001,MATCH(AH$26,$B$88:$X$88,0), FALSE), 0) *
    (LEN($G289:$T289) &gt; 0)
)+IFERROR(VLOOKUP($A289,$A$89:$X$1001,MATCH(AH$26,$A$88:$X$88,0), FALSE), 0) *
    (LEN($A289) &gt; 0)</f>
        <v>0</v>
      </c>
      <c r="AI289">
        <f t="shared" si="20"/>
        <v>1</v>
      </c>
      <c r="AJ289" cm="1">
        <f t="array" ref="AJ289">1+SUMPRODUCT(
    IFERROR(VLOOKUP($G289:$T289, $B$88:$X$1001,MATCH(AJ$26,$B$88:$X$88,0), FALSE), 0) *
    (LEN($G289:$T289) &gt; 0)
)</f>
        <v>1</v>
      </c>
      <c r="AK289" cm="1">
        <f t="array" ref="AK289">1+SUMPRODUCT(
    IFERROR(VLOOKUP($G289:$T289, $B$88:$X$1001,MATCH(AK$26,$B$88:$X$88,0), FALSE), 0) *
    (LEN($G289:$T289) &gt; 0)
)</f>
        <v>1</v>
      </c>
      <c r="AL289" cm="1">
        <f t="array" ref="AL289">1+SUMPRODUCT(
    IFERROR(VLOOKUP($G289:$T289, $B$88:$X$1001,MATCH(AL$26,$B$88:$X$88,0), FALSE), 0) *
    (LEN($G289:$T289) &gt; 0)
)</f>
        <v>1</v>
      </c>
      <c r="AM289" cm="1">
        <f t="array" ref="AM289">1+SUMPRODUCT(
    IFERROR(VLOOKUP($G289:$T289, $B$88:$X$1001,MATCH(AM$26,$B$88:$X$88,0), FALSE), 0) *
    (LEN($G289:$T289) &gt; 0)
)</f>
        <v>1</v>
      </c>
      <c r="AN289" cm="1">
        <f t="array" ref="AN289">1+SUMPRODUCT(
    IFERROR(VLOOKUP($G289:$T289, $B$88:$X$1001,MATCH(AN$26,$B$88:$X$88,0), FALSE), 0) *
    (LEN($G289:$T289) &gt; 0)
)</f>
        <v>1</v>
      </c>
      <c r="AO289">
        <f t="shared" si="21"/>
        <v>1</v>
      </c>
      <c r="AQ289">
        <f t="shared" si="22"/>
        <v>0.5</v>
      </c>
    </row>
    <row r="290" spans="2:43" x14ac:dyDescent="0.25">
      <c r="B290">
        <f t="shared" si="17"/>
        <v>0</v>
      </c>
      <c r="C290">
        <f>B290*(1+表2_5462[[#This Row],[列24]]*(表2_5462[[#This Row],[列25]]-1))</f>
        <v>0</v>
      </c>
      <c r="D290">
        <f t="shared" si="18"/>
        <v>0</v>
      </c>
      <c r="E290" s="36" t="e">
        <f>表2_5462[[#This Row],[列3]]/$C$63</f>
        <v>#DIV/0!</v>
      </c>
      <c r="F290" t="s">
        <v>791</v>
      </c>
      <c r="U290">
        <f t="shared" si="11"/>
        <v>0</v>
      </c>
      <c r="V290" cm="1">
        <f t="array" ref="V290" xml:space="preserve"> IFERROR(VLOOKUP($A290,$A$87:$X$1001,MATCH(V$26,$A$88:$J$88,0), FALSE), 0) *
    (LEN($A290) &gt; 0)+SUMPRODUCT(
    IFERROR(VLOOKUP($G290:$T290, $B$88:$X$1001,MATCH(V$26,$B$88:$X$88,0), FALSE), 0) *
    (LEN($G290:$T290) &gt; 0)
)</f>
        <v>0</v>
      </c>
      <c r="W290">
        <f t="shared" si="12"/>
        <v>0</v>
      </c>
      <c r="X290">
        <f t="shared" si="12"/>
        <v>0</v>
      </c>
      <c r="Y290">
        <f t="shared" si="19"/>
        <v>0</v>
      </c>
      <c r="Z290">
        <f t="shared" si="14"/>
        <v>0</v>
      </c>
      <c r="AA290" cm="1">
        <f t="array" ref="AA290" xml:space="preserve"> IFERROR(VLOOKUP($A290,$A$87:$X$1001,MATCH(AA$26,$A$88:$J$88,0), FALSE), 0) *
    (LEN($A290) &gt; 0)+SUMPRODUCT(
    IFERROR(VLOOKUP($G290:$T290, $B$88:$X$1001,MATCH(AA$26,$B$88:$X$88,0), FALSE), 0) *
    (LEN($G290:$T290) &gt; 0)
)</f>
        <v>0</v>
      </c>
      <c r="AB290" cm="1">
        <f t="array" ref="AB290">1+SUMPRODUCT(
    IFERROR(VLOOKUP($G290:$T290, $B$88:$X$1001,MATCH(AB$26,$B$88:$X$88,0), FALSE), 0) *
    (LEN($G290:$T290) &gt; 0)
)+IFERROR(VLOOKUP($A290,$A$88:$X$1001,MATCH(AB$26,$A$88:$J$88,0), FALSE), 0) *
    (LEN($A290) &gt; 0)</f>
        <v>1</v>
      </c>
      <c r="AC290" cm="1">
        <f t="array" ref="AC290">1+SUMPRODUCT(
    IFERROR(VLOOKUP($G290:$T290, $B$88:$X$1001,MATCH(AC$26,$B$88:$X$88,0), FALSE), 0) *
    (LEN($G290:$T290) &gt; 0)
)</f>
        <v>1</v>
      </c>
      <c r="AD290" cm="1">
        <f t="array" ref="AD290">SUMPRODUCT(
    IFERROR(VLOOKUP($G290:$T290, $B$88:$X$1001,MATCH(AD$26,$B$88:$X$88,0), FALSE), 0) *
    (LEN($G290:$T290) &gt; 0)
)+IFERROR(VLOOKUP($A290,$A$89:$X$1001,MATCH(AD$26,$A$88:$X$88,0), FALSE), 0) *
    (LEN($A290) &gt; 0)</f>
        <v>0</v>
      </c>
      <c r="AE290" cm="1">
        <f t="array" ref="AE290">SUMPRODUCT(
    IFERROR(VLOOKUP($G290:$T290, $B$88:$X$1001,MATCH(AE$26,$B$88:$X$88,0), FALSE), 0) *
    (LEN($G290:$T290) &gt; 0)
)+IFERROR(VLOOKUP($A290,$A$89:$X$1001,MATCH(AE$26,$A$88:$X$88,0), FALSE), 0) *
    (LEN($A290) &gt; 0)</f>
        <v>0</v>
      </c>
      <c r="AF290" cm="1">
        <f t="array" ref="AF290">SUMPRODUCT(
    IFERROR(VLOOKUP($G290:$T290, $B$88:$X$1001,MATCH(AF$26,$B$88:$X$88,0), FALSE), 0) *
    (LEN($G290:$T290) &gt; 0)
)+IFERROR(VLOOKUP($A290,$A$89:$X$1001,MATCH(AF$26,$A$88:$X$88,0), FALSE), 0) *
    (LEN($A290) &gt; 0)</f>
        <v>0</v>
      </c>
      <c r="AG290" cm="1">
        <f t="array" ref="AG290">SUMPRODUCT(
    IFERROR(VLOOKUP($G290:$T290, $B$88:$X$1001,MATCH(AG$26,$B$88:$X$88,0), FALSE), 0) *
    (LEN($G290:$T290) &gt; 0)
)+IFERROR(VLOOKUP($A290,$A$89:$X$1001,MATCH(AG$26,$A$88:$X$88,0), FALSE), 0) *
    (LEN($A290) &gt; 0)</f>
        <v>0</v>
      </c>
      <c r="AH290" cm="1">
        <f t="array" ref="AH290">SUMPRODUCT(
    IFERROR(VLOOKUP($G290:$T290, $B$88:$X$1001,MATCH(AH$26,$B$88:$X$88,0), FALSE), 0) *
    (LEN($G290:$T290) &gt; 0)
)+IFERROR(VLOOKUP($A290,$A$89:$X$1001,MATCH(AH$26,$A$88:$X$88,0), FALSE), 0) *
    (LEN($A290) &gt; 0)</f>
        <v>0</v>
      </c>
      <c r="AI290">
        <f t="shared" si="20"/>
        <v>1</v>
      </c>
      <c r="AJ290" cm="1">
        <f t="array" ref="AJ290">1+SUMPRODUCT(
    IFERROR(VLOOKUP($G290:$T290, $B$88:$X$1001,MATCH(AJ$26,$B$88:$X$88,0), FALSE), 0) *
    (LEN($G290:$T290) &gt; 0)
)</f>
        <v>1</v>
      </c>
      <c r="AK290" cm="1">
        <f t="array" ref="AK290">1+SUMPRODUCT(
    IFERROR(VLOOKUP($G290:$T290, $B$88:$X$1001,MATCH(AK$26,$B$88:$X$88,0), FALSE), 0) *
    (LEN($G290:$T290) &gt; 0)
)</f>
        <v>1</v>
      </c>
      <c r="AL290" cm="1">
        <f t="array" ref="AL290">1+SUMPRODUCT(
    IFERROR(VLOOKUP($G290:$T290, $B$88:$X$1001,MATCH(AL$26,$B$88:$X$88,0), FALSE), 0) *
    (LEN($G290:$T290) &gt; 0)
)</f>
        <v>1</v>
      </c>
      <c r="AM290" cm="1">
        <f t="array" ref="AM290">1+SUMPRODUCT(
    IFERROR(VLOOKUP($G290:$T290, $B$88:$X$1001,MATCH(AM$26,$B$88:$X$88,0), FALSE), 0) *
    (LEN($G290:$T290) &gt; 0)
)</f>
        <v>1</v>
      </c>
      <c r="AN290" cm="1">
        <f t="array" ref="AN290">1+SUMPRODUCT(
    IFERROR(VLOOKUP($G290:$T290, $B$88:$X$1001,MATCH(AN$26,$B$88:$X$88,0), FALSE), 0) *
    (LEN($G290:$T290) &gt; 0)
)</f>
        <v>1</v>
      </c>
      <c r="AO290">
        <f t="shared" si="21"/>
        <v>1</v>
      </c>
      <c r="AQ290">
        <f t="shared" si="22"/>
        <v>0.5</v>
      </c>
    </row>
    <row r="291" spans="2:43" x14ac:dyDescent="0.25">
      <c r="B291">
        <f t="shared" si="17"/>
        <v>0</v>
      </c>
      <c r="C291">
        <f>B291*(1+表2_5462[[#This Row],[列24]]*(表2_5462[[#This Row],[列25]]-1))</f>
        <v>0</v>
      </c>
      <c r="D291">
        <f t="shared" si="18"/>
        <v>0</v>
      </c>
      <c r="E291" s="36" t="e">
        <f>表2_5462[[#This Row],[列3]]/$C$63</f>
        <v>#DIV/0!</v>
      </c>
      <c r="F291" t="s">
        <v>791</v>
      </c>
      <c r="U291">
        <f t="shared" si="11"/>
        <v>0</v>
      </c>
      <c r="V291" cm="1">
        <f t="array" ref="V291" xml:space="preserve"> IFERROR(VLOOKUP($A291,$A$87:$X$1001,MATCH(V$26,$A$88:$J$88,0), FALSE), 0) *
    (LEN($A291) &gt; 0)+SUMPRODUCT(
    IFERROR(VLOOKUP($G291:$T291, $B$88:$X$1001,MATCH(V$26,$B$88:$X$88,0), FALSE), 0) *
    (LEN($G291:$T291) &gt; 0)
)</f>
        <v>0</v>
      </c>
      <c r="W291">
        <f t="shared" si="12"/>
        <v>0</v>
      </c>
      <c r="X291">
        <f t="shared" si="12"/>
        <v>0</v>
      </c>
      <c r="Y291">
        <f t="shared" si="19"/>
        <v>0</v>
      </c>
      <c r="Z291">
        <f t="shared" si="14"/>
        <v>0</v>
      </c>
      <c r="AA291" cm="1">
        <f t="array" ref="AA291" xml:space="preserve"> IFERROR(VLOOKUP($A291,$A$87:$X$1001,MATCH(AA$26,$A$88:$J$88,0), FALSE), 0) *
    (LEN($A291) &gt; 0)+SUMPRODUCT(
    IFERROR(VLOOKUP($G291:$T291, $B$88:$X$1001,MATCH(AA$26,$B$88:$X$88,0), FALSE), 0) *
    (LEN($G291:$T291) &gt; 0)
)</f>
        <v>0</v>
      </c>
      <c r="AB291" cm="1">
        <f t="array" ref="AB291">1+SUMPRODUCT(
    IFERROR(VLOOKUP($G291:$T291, $B$88:$X$1001,MATCH(AB$26,$B$88:$X$88,0), FALSE), 0) *
    (LEN($G291:$T291) &gt; 0)
)+IFERROR(VLOOKUP($A291,$A$88:$X$1001,MATCH(AB$26,$A$88:$J$88,0), FALSE), 0) *
    (LEN($A291) &gt; 0)</f>
        <v>1</v>
      </c>
      <c r="AC291" cm="1">
        <f t="array" ref="AC291">1+SUMPRODUCT(
    IFERROR(VLOOKUP($G291:$T291, $B$88:$X$1001,MATCH(AC$26,$B$88:$X$88,0), FALSE), 0) *
    (LEN($G291:$T291) &gt; 0)
)</f>
        <v>1</v>
      </c>
      <c r="AD291" cm="1">
        <f t="array" ref="AD291">SUMPRODUCT(
    IFERROR(VLOOKUP($G291:$T291, $B$88:$X$1001,MATCH(AD$26,$B$88:$X$88,0), FALSE), 0) *
    (LEN($G291:$T291) &gt; 0)
)+IFERROR(VLOOKUP($A291,$A$89:$X$1001,MATCH(AD$26,$A$88:$X$88,0), FALSE), 0) *
    (LEN($A291) &gt; 0)</f>
        <v>0</v>
      </c>
      <c r="AE291" cm="1">
        <f t="array" ref="AE291">SUMPRODUCT(
    IFERROR(VLOOKUP($G291:$T291, $B$88:$X$1001,MATCH(AE$26,$B$88:$X$88,0), FALSE), 0) *
    (LEN($G291:$T291) &gt; 0)
)+IFERROR(VLOOKUP($A291,$A$89:$X$1001,MATCH(AE$26,$A$88:$X$88,0), FALSE), 0) *
    (LEN($A291) &gt; 0)</f>
        <v>0</v>
      </c>
      <c r="AF291" cm="1">
        <f t="array" ref="AF291">SUMPRODUCT(
    IFERROR(VLOOKUP($G291:$T291, $B$88:$X$1001,MATCH(AF$26,$B$88:$X$88,0), FALSE), 0) *
    (LEN($G291:$T291) &gt; 0)
)+IFERROR(VLOOKUP($A291,$A$89:$X$1001,MATCH(AF$26,$A$88:$X$88,0), FALSE), 0) *
    (LEN($A291) &gt; 0)</f>
        <v>0</v>
      </c>
      <c r="AG291" cm="1">
        <f t="array" ref="AG291">SUMPRODUCT(
    IFERROR(VLOOKUP($G291:$T291, $B$88:$X$1001,MATCH(AG$26,$B$88:$X$88,0), FALSE), 0) *
    (LEN($G291:$T291) &gt; 0)
)+IFERROR(VLOOKUP($A291,$A$89:$X$1001,MATCH(AG$26,$A$88:$X$88,0), FALSE), 0) *
    (LEN($A291) &gt; 0)</f>
        <v>0</v>
      </c>
      <c r="AH291" cm="1">
        <f t="array" ref="AH291">SUMPRODUCT(
    IFERROR(VLOOKUP($G291:$T291, $B$88:$X$1001,MATCH(AH$26,$B$88:$X$88,0), FALSE), 0) *
    (LEN($G291:$T291) &gt; 0)
)+IFERROR(VLOOKUP($A291,$A$89:$X$1001,MATCH(AH$26,$A$88:$X$88,0), FALSE), 0) *
    (LEN($A291) &gt; 0)</f>
        <v>0</v>
      </c>
      <c r="AI291">
        <f t="shared" si="20"/>
        <v>1</v>
      </c>
      <c r="AJ291" cm="1">
        <f t="array" ref="AJ291">1+SUMPRODUCT(
    IFERROR(VLOOKUP($G291:$T291, $B$88:$X$1001,MATCH(AJ$26,$B$88:$X$88,0), FALSE), 0) *
    (LEN($G291:$T291) &gt; 0)
)</f>
        <v>1</v>
      </c>
      <c r="AK291" cm="1">
        <f t="array" ref="AK291">1+SUMPRODUCT(
    IFERROR(VLOOKUP($G291:$T291, $B$88:$X$1001,MATCH(AK$26,$B$88:$X$88,0), FALSE), 0) *
    (LEN($G291:$T291) &gt; 0)
)</f>
        <v>1</v>
      </c>
      <c r="AL291" cm="1">
        <f t="array" ref="AL291">1+SUMPRODUCT(
    IFERROR(VLOOKUP($G291:$T291, $B$88:$X$1001,MATCH(AL$26,$B$88:$X$88,0), FALSE), 0) *
    (LEN($G291:$T291) &gt; 0)
)</f>
        <v>1</v>
      </c>
      <c r="AM291" cm="1">
        <f t="array" ref="AM291">1+SUMPRODUCT(
    IFERROR(VLOOKUP($G291:$T291, $B$88:$X$1001,MATCH(AM$26,$B$88:$X$88,0), FALSE), 0) *
    (LEN($G291:$T291) &gt; 0)
)</f>
        <v>1</v>
      </c>
      <c r="AN291" cm="1">
        <f t="array" ref="AN291">1+SUMPRODUCT(
    IFERROR(VLOOKUP($G291:$T291, $B$88:$X$1001,MATCH(AN$26,$B$88:$X$88,0), FALSE), 0) *
    (LEN($G291:$T291) &gt; 0)
)</f>
        <v>1</v>
      </c>
      <c r="AO291">
        <f t="shared" si="21"/>
        <v>1</v>
      </c>
      <c r="AQ291">
        <f t="shared" si="22"/>
        <v>0.5</v>
      </c>
    </row>
    <row r="292" spans="2:43" x14ac:dyDescent="0.25">
      <c r="B292">
        <f t="shared" si="17"/>
        <v>0</v>
      </c>
      <c r="C292">
        <f>B292*(1+表2_5462[[#This Row],[列24]]*(表2_5462[[#This Row],[列25]]-1))</f>
        <v>0</v>
      </c>
      <c r="D292">
        <f t="shared" si="18"/>
        <v>0</v>
      </c>
      <c r="E292" s="36" t="e">
        <f>表2_5462[[#This Row],[列3]]/$C$63</f>
        <v>#DIV/0!</v>
      </c>
      <c r="F292" t="s">
        <v>791</v>
      </c>
      <c r="U292">
        <f t="shared" si="11"/>
        <v>0</v>
      </c>
      <c r="V292" cm="1">
        <f t="array" ref="V292" xml:space="preserve"> IFERROR(VLOOKUP($A292,$A$87:$X$1001,MATCH(V$26,$A$88:$J$88,0), FALSE), 0) *
    (LEN($A292) &gt; 0)+SUMPRODUCT(
    IFERROR(VLOOKUP($G292:$T292, $B$88:$X$1001,MATCH(V$26,$B$88:$X$88,0), FALSE), 0) *
    (LEN($G292:$T292) &gt; 0)
)</f>
        <v>0</v>
      </c>
      <c r="W292">
        <f t="shared" si="12"/>
        <v>0</v>
      </c>
      <c r="X292">
        <f t="shared" si="12"/>
        <v>0</v>
      </c>
      <c r="Y292">
        <f t="shared" si="19"/>
        <v>0</v>
      </c>
      <c r="Z292">
        <f t="shared" si="14"/>
        <v>0</v>
      </c>
      <c r="AA292" cm="1">
        <f t="array" ref="AA292" xml:space="preserve"> IFERROR(VLOOKUP($A292,$A$87:$X$1001,MATCH(AA$26,$A$88:$J$88,0), FALSE), 0) *
    (LEN($A292) &gt; 0)+SUMPRODUCT(
    IFERROR(VLOOKUP($G292:$T292, $B$88:$X$1001,MATCH(AA$26,$B$88:$X$88,0), FALSE), 0) *
    (LEN($G292:$T292) &gt; 0)
)</f>
        <v>0</v>
      </c>
      <c r="AB292" cm="1">
        <f t="array" ref="AB292">1+SUMPRODUCT(
    IFERROR(VLOOKUP($G292:$T292, $B$88:$X$1001,MATCH(AB$26,$B$88:$X$88,0), FALSE), 0) *
    (LEN($G292:$T292) &gt; 0)
)+IFERROR(VLOOKUP($A292,$A$88:$X$1001,MATCH(AB$26,$A$88:$J$88,0), FALSE), 0) *
    (LEN($A292) &gt; 0)</f>
        <v>1</v>
      </c>
      <c r="AC292" cm="1">
        <f t="array" ref="AC292">1+SUMPRODUCT(
    IFERROR(VLOOKUP($G292:$T292, $B$88:$X$1001,MATCH(AC$26,$B$88:$X$88,0), FALSE), 0) *
    (LEN($G292:$T292) &gt; 0)
)</f>
        <v>1</v>
      </c>
      <c r="AD292" cm="1">
        <f t="array" ref="AD292">SUMPRODUCT(
    IFERROR(VLOOKUP($G292:$T292, $B$88:$X$1001,MATCH(AD$26,$B$88:$X$88,0), FALSE), 0) *
    (LEN($G292:$T292) &gt; 0)
)+IFERROR(VLOOKUP($A292,$A$89:$X$1001,MATCH(AD$26,$A$88:$X$88,0), FALSE), 0) *
    (LEN($A292) &gt; 0)</f>
        <v>0</v>
      </c>
      <c r="AE292" cm="1">
        <f t="array" ref="AE292">SUMPRODUCT(
    IFERROR(VLOOKUP($G292:$T292, $B$88:$X$1001,MATCH(AE$26,$B$88:$X$88,0), FALSE), 0) *
    (LEN($G292:$T292) &gt; 0)
)+IFERROR(VLOOKUP($A292,$A$89:$X$1001,MATCH(AE$26,$A$88:$X$88,0), FALSE), 0) *
    (LEN($A292) &gt; 0)</f>
        <v>0</v>
      </c>
      <c r="AF292" cm="1">
        <f t="array" ref="AF292">SUMPRODUCT(
    IFERROR(VLOOKUP($G292:$T292, $B$88:$X$1001,MATCH(AF$26,$B$88:$X$88,0), FALSE), 0) *
    (LEN($G292:$T292) &gt; 0)
)+IFERROR(VLOOKUP($A292,$A$89:$X$1001,MATCH(AF$26,$A$88:$X$88,0), FALSE), 0) *
    (LEN($A292) &gt; 0)</f>
        <v>0</v>
      </c>
      <c r="AG292" cm="1">
        <f t="array" ref="AG292">SUMPRODUCT(
    IFERROR(VLOOKUP($G292:$T292, $B$88:$X$1001,MATCH(AG$26,$B$88:$X$88,0), FALSE), 0) *
    (LEN($G292:$T292) &gt; 0)
)+IFERROR(VLOOKUP($A292,$A$89:$X$1001,MATCH(AG$26,$A$88:$X$88,0), FALSE), 0) *
    (LEN($A292) &gt; 0)</f>
        <v>0</v>
      </c>
      <c r="AH292" cm="1">
        <f t="array" ref="AH292">SUMPRODUCT(
    IFERROR(VLOOKUP($G292:$T292, $B$88:$X$1001,MATCH(AH$26,$B$88:$X$88,0), FALSE), 0) *
    (LEN($G292:$T292) &gt; 0)
)+IFERROR(VLOOKUP($A292,$A$89:$X$1001,MATCH(AH$26,$A$88:$X$88,0), FALSE), 0) *
    (LEN($A292) &gt; 0)</f>
        <v>0</v>
      </c>
      <c r="AI292">
        <f t="shared" si="20"/>
        <v>1</v>
      </c>
      <c r="AJ292" cm="1">
        <f t="array" ref="AJ292">1+SUMPRODUCT(
    IFERROR(VLOOKUP($G292:$T292, $B$88:$X$1001,MATCH(AJ$26,$B$88:$X$88,0), FALSE), 0) *
    (LEN($G292:$T292) &gt; 0)
)</f>
        <v>1</v>
      </c>
      <c r="AK292" cm="1">
        <f t="array" ref="AK292">1+SUMPRODUCT(
    IFERROR(VLOOKUP($G292:$T292, $B$88:$X$1001,MATCH(AK$26,$B$88:$X$88,0), FALSE), 0) *
    (LEN($G292:$T292) &gt; 0)
)</f>
        <v>1</v>
      </c>
      <c r="AL292" cm="1">
        <f t="array" ref="AL292">1+SUMPRODUCT(
    IFERROR(VLOOKUP($G292:$T292, $B$88:$X$1001,MATCH(AL$26,$B$88:$X$88,0), FALSE), 0) *
    (LEN($G292:$T292) &gt; 0)
)</f>
        <v>1</v>
      </c>
      <c r="AM292" cm="1">
        <f t="array" ref="AM292">1+SUMPRODUCT(
    IFERROR(VLOOKUP($G292:$T292, $B$88:$X$1001,MATCH(AM$26,$B$88:$X$88,0), FALSE), 0) *
    (LEN($G292:$T292) &gt; 0)
)</f>
        <v>1</v>
      </c>
      <c r="AN292" cm="1">
        <f t="array" ref="AN292">1+SUMPRODUCT(
    IFERROR(VLOOKUP($G292:$T292, $B$88:$X$1001,MATCH(AN$26,$B$88:$X$88,0), FALSE), 0) *
    (LEN($G292:$T292) &gt; 0)
)</f>
        <v>1</v>
      </c>
      <c r="AO292">
        <f t="shared" si="21"/>
        <v>1</v>
      </c>
      <c r="AQ292">
        <f t="shared" si="22"/>
        <v>0.5</v>
      </c>
    </row>
    <row r="293" spans="2:43" x14ac:dyDescent="0.25">
      <c r="B293">
        <f t="shared" si="17"/>
        <v>0</v>
      </c>
      <c r="C293">
        <f>B293*(1+表2_5462[[#This Row],[列24]]*(表2_5462[[#This Row],[列25]]-1))</f>
        <v>0</v>
      </c>
      <c r="D293">
        <f t="shared" si="18"/>
        <v>0</v>
      </c>
      <c r="E293" s="36" t="e">
        <f>表2_5462[[#This Row],[列3]]/$C$63</f>
        <v>#DIV/0!</v>
      </c>
      <c r="F293" t="s">
        <v>791</v>
      </c>
      <c r="U293">
        <f t="shared" si="11"/>
        <v>0</v>
      </c>
      <c r="V293" cm="1">
        <f t="array" ref="V293" xml:space="preserve"> IFERROR(VLOOKUP($A293,$A$87:$X$1001,MATCH(V$26,$A$88:$J$88,0), FALSE), 0) *
    (LEN($A293) &gt; 0)+SUMPRODUCT(
    IFERROR(VLOOKUP($G293:$T293, $B$88:$X$1001,MATCH(V$26,$B$88:$X$88,0), FALSE), 0) *
    (LEN($G293:$T293) &gt; 0)
)</f>
        <v>0</v>
      </c>
      <c r="W293">
        <f t="shared" si="12"/>
        <v>0</v>
      </c>
      <c r="X293">
        <f t="shared" si="12"/>
        <v>0</v>
      </c>
      <c r="Y293">
        <f t="shared" si="19"/>
        <v>0</v>
      </c>
      <c r="Z293">
        <f t="shared" si="14"/>
        <v>0</v>
      </c>
      <c r="AA293" cm="1">
        <f t="array" ref="AA293" xml:space="preserve"> IFERROR(VLOOKUP($A293,$A$87:$X$1001,MATCH(AA$26,$A$88:$J$88,0), FALSE), 0) *
    (LEN($A293) &gt; 0)+SUMPRODUCT(
    IFERROR(VLOOKUP($G293:$T293, $B$88:$X$1001,MATCH(AA$26,$B$88:$X$88,0), FALSE), 0) *
    (LEN($G293:$T293) &gt; 0)
)</f>
        <v>0</v>
      </c>
      <c r="AB293" cm="1">
        <f t="array" ref="AB293">1+SUMPRODUCT(
    IFERROR(VLOOKUP($G293:$T293, $B$88:$X$1001,MATCH(AB$26,$B$88:$X$88,0), FALSE), 0) *
    (LEN($G293:$T293) &gt; 0)
)+IFERROR(VLOOKUP($A293,$A$88:$X$1001,MATCH(AB$26,$A$88:$J$88,0), FALSE), 0) *
    (LEN($A293) &gt; 0)</f>
        <v>1</v>
      </c>
      <c r="AC293" cm="1">
        <f t="array" ref="AC293">1+SUMPRODUCT(
    IFERROR(VLOOKUP($G293:$T293, $B$88:$X$1001,MATCH(AC$26,$B$88:$X$88,0), FALSE), 0) *
    (LEN($G293:$T293) &gt; 0)
)</f>
        <v>1</v>
      </c>
      <c r="AD293" cm="1">
        <f t="array" ref="AD293">SUMPRODUCT(
    IFERROR(VLOOKUP($G293:$T293, $B$88:$X$1001,MATCH(AD$26,$B$88:$X$88,0), FALSE), 0) *
    (LEN($G293:$T293) &gt; 0)
)+IFERROR(VLOOKUP($A293,$A$89:$X$1001,MATCH(AD$26,$A$88:$X$88,0), FALSE), 0) *
    (LEN($A293) &gt; 0)</f>
        <v>0</v>
      </c>
      <c r="AE293" cm="1">
        <f t="array" ref="AE293">SUMPRODUCT(
    IFERROR(VLOOKUP($G293:$T293, $B$88:$X$1001,MATCH(AE$26,$B$88:$X$88,0), FALSE), 0) *
    (LEN($G293:$T293) &gt; 0)
)+IFERROR(VLOOKUP($A293,$A$89:$X$1001,MATCH(AE$26,$A$88:$X$88,0), FALSE), 0) *
    (LEN($A293) &gt; 0)</f>
        <v>0</v>
      </c>
      <c r="AF293" cm="1">
        <f t="array" ref="AF293">SUMPRODUCT(
    IFERROR(VLOOKUP($G293:$T293, $B$88:$X$1001,MATCH(AF$26,$B$88:$X$88,0), FALSE), 0) *
    (LEN($G293:$T293) &gt; 0)
)+IFERROR(VLOOKUP($A293,$A$89:$X$1001,MATCH(AF$26,$A$88:$X$88,0), FALSE), 0) *
    (LEN($A293) &gt; 0)</f>
        <v>0</v>
      </c>
      <c r="AG293" cm="1">
        <f t="array" ref="AG293">SUMPRODUCT(
    IFERROR(VLOOKUP($G293:$T293, $B$88:$X$1001,MATCH(AG$26,$B$88:$X$88,0), FALSE), 0) *
    (LEN($G293:$T293) &gt; 0)
)+IFERROR(VLOOKUP($A293,$A$89:$X$1001,MATCH(AG$26,$A$88:$X$88,0), FALSE), 0) *
    (LEN($A293) &gt; 0)</f>
        <v>0</v>
      </c>
      <c r="AH293" cm="1">
        <f t="array" ref="AH293">SUMPRODUCT(
    IFERROR(VLOOKUP($G293:$T293, $B$88:$X$1001,MATCH(AH$26,$B$88:$X$88,0), FALSE), 0) *
    (LEN($G293:$T293) &gt; 0)
)+IFERROR(VLOOKUP($A293,$A$89:$X$1001,MATCH(AH$26,$A$88:$X$88,0), FALSE), 0) *
    (LEN($A293) &gt; 0)</f>
        <v>0</v>
      </c>
      <c r="AI293">
        <f t="shared" si="20"/>
        <v>1</v>
      </c>
      <c r="AJ293" cm="1">
        <f t="array" ref="AJ293">1+SUMPRODUCT(
    IFERROR(VLOOKUP($G293:$T293, $B$88:$X$1001,MATCH(AJ$26,$B$88:$X$88,0), FALSE), 0) *
    (LEN($G293:$T293) &gt; 0)
)</f>
        <v>1</v>
      </c>
      <c r="AK293" cm="1">
        <f t="array" ref="AK293">1+SUMPRODUCT(
    IFERROR(VLOOKUP($G293:$T293, $B$88:$X$1001,MATCH(AK$26,$B$88:$X$88,0), FALSE), 0) *
    (LEN($G293:$T293) &gt; 0)
)</f>
        <v>1</v>
      </c>
      <c r="AL293" cm="1">
        <f t="array" ref="AL293">1+SUMPRODUCT(
    IFERROR(VLOOKUP($G293:$T293, $B$88:$X$1001,MATCH(AL$26,$B$88:$X$88,0), FALSE), 0) *
    (LEN($G293:$T293) &gt; 0)
)</f>
        <v>1</v>
      </c>
      <c r="AM293" cm="1">
        <f t="array" ref="AM293">1+SUMPRODUCT(
    IFERROR(VLOOKUP($G293:$T293, $B$88:$X$1001,MATCH(AM$26,$B$88:$X$88,0), FALSE), 0) *
    (LEN($G293:$T293) &gt; 0)
)</f>
        <v>1</v>
      </c>
      <c r="AN293" cm="1">
        <f t="array" ref="AN293">1+SUMPRODUCT(
    IFERROR(VLOOKUP($G293:$T293, $B$88:$X$1001,MATCH(AN$26,$B$88:$X$88,0), FALSE), 0) *
    (LEN($G293:$T293) &gt; 0)
)</f>
        <v>1</v>
      </c>
      <c r="AO293">
        <f t="shared" si="21"/>
        <v>1</v>
      </c>
      <c r="AQ293">
        <f t="shared" si="22"/>
        <v>0.5</v>
      </c>
    </row>
    <row r="294" spans="2:43" x14ac:dyDescent="0.25">
      <c r="B294">
        <f t="shared" si="17"/>
        <v>0</v>
      </c>
      <c r="C294">
        <f>B294*(1+表2_5462[[#This Row],[列24]]*(表2_5462[[#This Row],[列25]]-1))</f>
        <v>0</v>
      </c>
      <c r="D294">
        <f t="shared" si="18"/>
        <v>0</v>
      </c>
      <c r="E294" s="36" t="e">
        <f>表2_5462[[#This Row],[列3]]/$C$63</f>
        <v>#DIV/0!</v>
      </c>
      <c r="F294" t="s">
        <v>791</v>
      </c>
      <c r="U294">
        <f t="shared" si="11"/>
        <v>0</v>
      </c>
      <c r="V294" cm="1">
        <f t="array" ref="V294" xml:space="preserve"> IFERROR(VLOOKUP($A294,$A$87:$X$1001,MATCH(V$26,$A$88:$J$88,0), FALSE), 0) *
    (LEN($A294) &gt; 0)+SUMPRODUCT(
    IFERROR(VLOOKUP($G294:$T294, $B$88:$X$1001,MATCH(V$26,$B$88:$X$88,0), FALSE), 0) *
    (LEN($G294:$T294) &gt; 0)
)</f>
        <v>0</v>
      </c>
      <c r="W294">
        <f t="shared" si="12"/>
        <v>0</v>
      </c>
      <c r="X294">
        <f t="shared" si="12"/>
        <v>0</v>
      </c>
      <c r="Y294">
        <f t="shared" si="19"/>
        <v>0</v>
      </c>
      <c r="Z294">
        <f t="shared" si="14"/>
        <v>0</v>
      </c>
      <c r="AA294" cm="1">
        <f t="array" ref="AA294" xml:space="preserve"> IFERROR(VLOOKUP($A294,$A$87:$X$1001,MATCH(AA$26,$A$88:$J$88,0), FALSE), 0) *
    (LEN($A294) &gt; 0)+SUMPRODUCT(
    IFERROR(VLOOKUP($G294:$T294, $B$88:$X$1001,MATCH(AA$26,$B$88:$X$88,0), FALSE), 0) *
    (LEN($G294:$T294) &gt; 0)
)</f>
        <v>0</v>
      </c>
      <c r="AB294" cm="1">
        <f t="array" ref="AB294">1+SUMPRODUCT(
    IFERROR(VLOOKUP($G294:$T294, $B$88:$X$1001,MATCH(AB$26,$B$88:$X$88,0), FALSE), 0) *
    (LEN($G294:$T294) &gt; 0)
)+IFERROR(VLOOKUP($A294,$A$88:$X$1001,MATCH(AB$26,$A$88:$J$88,0), FALSE), 0) *
    (LEN($A294) &gt; 0)</f>
        <v>1</v>
      </c>
      <c r="AC294" cm="1">
        <f t="array" ref="AC294">1+SUMPRODUCT(
    IFERROR(VLOOKUP($G294:$T294, $B$88:$X$1001,MATCH(AC$26,$B$88:$X$88,0), FALSE), 0) *
    (LEN($G294:$T294) &gt; 0)
)</f>
        <v>1</v>
      </c>
      <c r="AD294" cm="1">
        <f t="array" ref="AD294">SUMPRODUCT(
    IFERROR(VLOOKUP($G294:$T294, $B$88:$X$1001,MATCH(AD$26,$B$88:$X$88,0), FALSE), 0) *
    (LEN($G294:$T294) &gt; 0)
)+IFERROR(VLOOKUP($A294,$A$89:$X$1001,MATCH(AD$26,$A$88:$X$88,0), FALSE), 0) *
    (LEN($A294) &gt; 0)</f>
        <v>0</v>
      </c>
      <c r="AE294" cm="1">
        <f t="array" ref="AE294">SUMPRODUCT(
    IFERROR(VLOOKUP($G294:$T294, $B$88:$X$1001,MATCH(AE$26,$B$88:$X$88,0), FALSE), 0) *
    (LEN($G294:$T294) &gt; 0)
)+IFERROR(VLOOKUP($A294,$A$89:$X$1001,MATCH(AE$26,$A$88:$X$88,0), FALSE), 0) *
    (LEN($A294) &gt; 0)</f>
        <v>0</v>
      </c>
      <c r="AF294" cm="1">
        <f t="array" ref="AF294">SUMPRODUCT(
    IFERROR(VLOOKUP($G294:$T294, $B$88:$X$1001,MATCH(AF$26,$B$88:$X$88,0), FALSE), 0) *
    (LEN($G294:$T294) &gt; 0)
)+IFERROR(VLOOKUP($A294,$A$89:$X$1001,MATCH(AF$26,$A$88:$X$88,0), FALSE), 0) *
    (LEN($A294) &gt; 0)</f>
        <v>0</v>
      </c>
      <c r="AG294" cm="1">
        <f t="array" ref="AG294">SUMPRODUCT(
    IFERROR(VLOOKUP($G294:$T294, $B$88:$X$1001,MATCH(AG$26,$B$88:$X$88,0), FALSE), 0) *
    (LEN($G294:$T294) &gt; 0)
)+IFERROR(VLOOKUP($A294,$A$89:$X$1001,MATCH(AG$26,$A$88:$X$88,0), FALSE), 0) *
    (LEN($A294) &gt; 0)</f>
        <v>0</v>
      </c>
      <c r="AH294" cm="1">
        <f t="array" ref="AH294">SUMPRODUCT(
    IFERROR(VLOOKUP($G294:$T294, $B$88:$X$1001,MATCH(AH$26,$B$88:$X$88,0), FALSE), 0) *
    (LEN($G294:$T294) &gt; 0)
)+IFERROR(VLOOKUP($A294,$A$89:$X$1001,MATCH(AH$26,$A$88:$X$88,0), FALSE), 0) *
    (LEN($A294) &gt; 0)</f>
        <v>0</v>
      </c>
      <c r="AI294">
        <f t="shared" si="20"/>
        <v>1</v>
      </c>
      <c r="AJ294" cm="1">
        <f t="array" ref="AJ294">1+SUMPRODUCT(
    IFERROR(VLOOKUP($G294:$T294, $B$88:$X$1001,MATCH(AJ$26,$B$88:$X$88,0), FALSE), 0) *
    (LEN($G294:$T294) &gt; 0)
)</f>
        <v>1</v>
      </c>
      <c r="AK294" cm="1">
        <f t="array" ref="AK294">1+SUMPRODUCT(
    IFERROR(VLOOKUP($G294:$T294, $B$88:$X$1001,MATCH(AK$26,$B$88:$X$88,0), FALSE), 0) *
    (LEN($G294:$T294) &gt; 0)
)</f>
        <v>1</v>
      </c>
      <c r="AL294" cm="1">
        <f t="array" ref="AL294">1+SUMPRODUCT(
    IFERROR(VLOOKUP($G294:$T294, $B$88:$X$1001,MATCH(AL$26,$B$88:$X$88,0), FALSE), 0) *
    (LEN($G294:$T294) &gt; 0)
)</f>
        <v>1</v>
      </c>
      <c r="AM294" cm="1">
        <f t="array" ref="AM294">1+SUMPRODUCT(
    IFERROR(VLOOKUP($G294:$T294, $B$88:$X$1001,MATCH(AM$26,$B$88:$X$88,0), FALSE), 0) *
    (LEN($G294:$T294) &gt; 0)
)</f>
        <v>1</v>
      </c>
      <c r="AN294" cm="1">
        <f t="array" ref="AN294">1+SUMPRODUCT(
    IFERROR(VLOOKUP($G294:$T294, $B$88:$X$1001,MATCH(AN$26,$B$88:$X$88,0), FALSE), 0) *
    (LEN($G294:$T294) &gt; 0)
)</f>
        <v>1</v>
      </c>
      <c r="AO294">
        <f t="shared" si="21"/>
        <v>1</v>
      </c>
      <c r="AQ294">
        <f t="shared" si="22"/>
        <v>0.5</v>
      </c>
    </row>
    <row r="295" spans="2:43" x14ac:dyDescent="0.25">
      <c r="B295">
        <f t="shared" si="17"/>
        <v>0</v>
      </c>
      <c r="C295">
        <f>B295*(1+表2_5462[[#This Row],[列24]]*(表2_5462[[#This Row],[列25]]-1))</f>
        <v>0</v>
      </c>
      <c r="D295">
        <f t="shared" si="18"/>
        <v>0</v>
      </c>
      <c r="E295" s="36" t="e">
        <f>表2_5462[[#This Row],[列3]]/$C$63</f>
        <v>#DIV/0!</v>
      </c>
      <c r="F295" t="s">
        <v>791</v>
      </c>
      <c r="U295">
        <f t="shared" si="11"/>
        <v>0</v>
      </c>
      <c r="V295" cm="1">
        <f t="array" ref="V295" xml:space="preserve"> IFERROR(VLOOKUP($A295,$A$87:$X$1001,MATCH(V$26,$A$88:$J$88,0), FALSE), 0) *
    (LEN($A295) &gt; 0)+SUMPRODUCT(
    IFERROR(VLOOKUP($G295:$T295, $B$88:$X$1001,MATCH(V$26,$B$88:$X$88,0), FALSE), 0) *
    (LEN($G295:$T295) &gt; 0)
)</f>
        <v>0</v>
      </c>
      <c r="W295">
        <f t="shared" si="12"/>
        <v>0</v>
      </c>
      <c r="X295">
        <f t="shared" si="12"/>
        <v>0</v>
      </c>
      <c r="Y295">
        <f t="shared" si="19"/>
        <v>0</v>
      </c>
      <c r="Z295">
        <f t="shared" si="14"/>
        <v>0</v>
      </c>
      <c r="AA295" cm="1">
        <f t="array" ref="AA295" xml:space="preserve"> IFERROR(VLOOKUP($A295,$A$87:$X$1001,MATCH(AA$26,$A$88:$J$88,0), FALSE), 0) *
    (LEN($A295) &gt; 0)+SUMPRODUCT(
    IFERROR(VLOOKUP($G295:$T295, $B$88:$X$1001,MATCH(AA$26,$B$88:$X$88,0), FALSE), 0) *
    (LEN($G295:$T295) &gt; 0)
)</f>
        <v>0</v>
      </c>
      <c r="AB295" cm="1">
        <f t="array" ref="AB295">1+SUMPRODUCT(
    IFERROR(VLOOKUP($G295:$T295, $B$88:$X$1001,MATCH(AB$26,$B$88:$X$88,0), FALSE), 0) *
    (LEN($G295:$T295) &gt; 0)
)+IFERROR(VLOOKUP($A295,$A$88:$X$1001,MATCH(AB$26,$A$88:$J$88,0), FALSE), 0) *
    (LEN($A295) &gt; 0)</f>
        <v>1</v>
      </c>
      <c r="AC295" cm="1">
        <f t="array" ref="AC295">1+SUMPRODUCT(
    IFERROR(VLOOKUP($G295:$T295, $B$88:$X$1001,MATCH(AC$26,$B$88:$X$88,0), FALSE), 0) *
    (LEN($G295:$T295) &gt; 0)
)</f>
        <v>1</v>
      </c>
      <c r="AD295" cm="1">
        <f t="array" ref="AD295">SUMPRODUCT(
    IFERROR(VLOOKUP($G295:$T295, $B$88:$X$1001,MATCH(AD$26,$B$88:$X$88,0), FALSE), 0) *
    (LEN($G295:$T295) &gt; 0)
)+IFERROR(VLOOKUP($A295,$A$89:$X$1001,MATCH(AD$26,$A$88:$X$88,0), FALSE), 0) *
    (LEN($A295) &gt; 0)</f>
        <v>0</v>
      </c>
      <c r="AE295" cm="1">
        <f t="array" ref="AE295">SUMPRODUCT(
    IFERROR(VLOOKUP($G295:$T295, $B$88:$X$1001,MATCH(AE$26,$B$88:$X$88,0), FALSE), 0) *
    (LEN($G295:$T295) &gt; 0)
)+IFERROR(VLOOKUP($A295,$A$89:$X$1001,MATCH(AE$26,$A$88:$X$88,0), FALSE), 0) *
    (LEN($A295) &gt; 0)</f>
        <v>0</v>
      </c>
      <c r="AF295" cm="1">
        <f t="array" ref="AF295">SUMPRODUCT(
    IFERROR(VLOOKUP($G295:$T295, $B$88:$X$1001,MATCH(AF$26,$B$88:$X$88,0), FALSE), 0) *
    (LEN($G295:$T295) &gt; 0)
)+IFERROR(VLOOKUP($A295,$A$89:$X$1001,MATCH(AF$26,$A$88:$X$88,0), FALSE), 0) *
    (LEN($A295) &gt; 0)</f>
        <v>0</v>
      </c>
      <c r="AG295" cm="1">
        <f t="array" ref="AG295">SUMPRODUCT(
    IFERROR(VLOOKUP($G295:$T295, $B$88:$X$1001,MATCH(AG$26,$B$88:$X$88,0), FALSE), 0) *
    (LEN($G295:$T295) &gt; 0)
)+IFERROR(VLOOKUP($A295,$A$89:$X$1001,MATCH(AG$26,$A$88:$X$88,0), FALSE), 0) *
    (LEN($A295) &gt; 0)</f>
        <v>0</v>
      </c>
      <c r="AH295" cm="1">
        <f t="array" ref="AH295">SUMPRODUCT(
    IFERROR(VLOOKUP($G295:$T295, $B$88:$X$1001,MATCH(AH$26,$B$88:$X$88,0), FALSE), 0) *
    (LEN($G295:$T295) &gt; 0)
)+IFERROR(VLOOKUP($A295,$A$89:$X$1001,MATCH(AH$26,$A$88:$X$88,0), FALSE), 0) *
    (LEN($A295) &gt; 0)</f>
        <v>0</v>
      </c>
      <c r="AI295">
        <f t="shared" si="20"/>
        <v>1</v>
      </c>
      <c r="AJ295" cm="1">
        <f t="array" ref="AJ295">1+SUMPRODUCT(
    IFERROR(VLOOKUP($G295:$T295, $B$88:$X$1001,MATCH(AJ$26,$B$88:$X$88,0), FALSE), 0) *
    (LEN($G295:$T295) &gt; 0)
)</f>
        <v>1</v>
      </c>
      <c r="AK295" cm="1">
        <f t="array" ref="AK295">1+SUMPRODUCT(
    IFERROR(VLOOKUP($G295:$T295, $B$88:$X$1001,MATCH(AK$26,$B$88:$X$88,0), FALSE), 0) *
    (LEN($G295:$T295) &gt; 0)
)</f>
        <v>1</v>
      </c>
      <c r="AL295" cm="1">
        <f t="array" ref="AL295">1+SUMPRODUCT(
    IFERROR(VLOOKUP($G295:$T295, $B$88:$X$1001,MATCH(AL$26,$B$88:$X$88,0), FALSE), 0) *
    (LEN($G295:$T295) &gt; 0)
)</f>
        <v>1</v>
      </c>
      <c r="AM295" cm="1">
        <f t="array" ref="AM295">1+SUMPRODUCT(
    IFERROR(VLOOKUP($G295:$T295, $B$88:$X$1001,MATCH(AM$26,$B$88:$X$88,0), FALSE), 0) *
    (LEN($G295:$T295) &gt; 0)
)</f>
        <v>1</v>
      </c>
      <c r="AN295" cm="1">
        <f t="array" ref="AN295">1+SUMPRODUCT(
    IFERROR(VLOOKUP($G295:$T295, $B$88:$X$1001,MATCH(AN$26,$B$88:$X$88,0), FALSE), 0) *
    (LEN($G295:$T295) &gt; 0)
)</f>
        <v>1</v>
      </c>
      <c r="AO295">
        <f t="shared" si="21"/>
        <v>1</v>
      </c>
      <c r="AQ295">
        <f t="shared" si="22"/>
        <v>0.5</v>
      </c>
    </row>
    <row r="296" spans="2:43" x14ac:dyDescent="0.25">
      <c r="B296">
        <f t="shared" si="17"/>
        <v>0</v>
      </c>
      <c r="C296">
        <f>B296*(1+表2_5462[[#This Row],[列24]]*(表2_5462[[#This Row],[列25]]-1))</f>
        <v>0</v>
      </c>
      <c r="D296">
        <f t="shared" si="18"/>
        <v>0</v>
      </c>
      <c r="E296" s="36" t="e">
        <f>表2_5462[[#This Row],[列3]]/$C$63</f>
        <v>#DIV/0!</v>
      </c>
      <c r="F296" t="s">
        <v>791</v>
      </c>
      <c r="U296">
        <f t="shared" si="11"/>
        <v>0</v>
      </c>
      <c r="V296" cm="1">
        <f t="array" ref="V296" xml:space="preserve"> IFERROR(VLOOKUP($A296,$A$87:$X$1001,MATCH(V$26,$A$88:$J$88,0), FALSE), 0) *
    (LEN($A296) &gt; 0)+SUMPRODUCT(
    IFERROR(VLOOKUP($G296:$T296, $B$88:$X$1001,MATCH(V$26,$B$88:$X$88,0), FALSE), 0) *
    (LEN($G296:$T296) &gt; 0)
)</f>
        <v>0</v>
      </c>
      <c r="W296">
        <f t="shared" si="12"/>
        <v>0</v>
      </c>
      <c r="X296">
        <f t="shared" si="12"/>
        <v>0</v>
      </c>
      <c r="Y296">
        <f t="shared" si="19"/>
        <v>0</v>
      </c>
      <c r="Z296">
        <f t="shared" si="14"/>
        <v>0</v>
      </c>
      <c r="AA296" cm="1">
        <f t="array" ref="AA296" xml:space="preserve"> IFERROR(VLOOKUP($A296,$A$87:$X$1001,MATCH(AA$26,$A$88:$J$88,0), FALSE), 0) *
    (LEN($A296) &gt; 0)+SUMPRODUCT(
    IFERROR(VLOOKUP($G296:$T296, $B$88:$X$1001,MATCH(AA$26,$B$88:$X$88,0), FALSE), 0) *
    (LEN($G296:$T296) &gt; 0)
)</f>
        <v>0</v>
      </c>
      <c r="AB296" cm="1">
        <f t="array" ref="AB296">1+SUMPRODUCT(
    IFERROR(VLOOKUP($G296:$T296, $B$88:$X$1001,MATCH(AB$26,$B$88:$X$88,0), FALSE), 0) *
    (LEN($G296:$T296) &gt; 0)
)+IFERROR(VLOOKUP($A296,$A$88:$X$1001,MATCH(AB$26,$A$88:$J$88,0), FALSE), 0) *
    (LEN($A296) &gt; 0)</f>
        <v>1</v>
      </c>
      <c r="AC296" cm="1">
        <f t="array" ref="AC296">1+SUMPRODUCT(
    IFERROR(VLOOKUP($G296:$T296, $B$88:$X$1001,MATCH(AC$26,$B$88:$X$88,0), FALSE), 0) *
    (LEN($G296:$T296) &gt; 0)
)</f>
        <v>1</v>
      </c>
      <c r="AD296" cm="1">
        <f t="array" ref="AD296">SUMPRODUCT(
    IFERROR(VLOOKUP($G296:$T296, $B$88:$X$1001,MATCH(AD$26,$B$88:$X$88,0), FALSE), 0) *
    (LEN($G296:$T296) &gt; 0)
)+IFERROR(VLOOKUP($A296,$A$89:$X$1001,MATCH(AD$26,$A$88:$X$88,0), FALSE), 0) *
    (LEN($A296) &gt; 0)</f>
        <v>0</v>
      </c>
      <c r="AE296" cm="1">
        <f t="array" ref="AE296">SUMPRODUCT(
    IFERROR(VLOOKUP($G296:$T296, $B$88:$X$1001,MATCH(AE$26,$B$88:$X$88,0), FALSE), 0) *
    (LEN($G296:$T296) &gt; 0)
)+IFERROR(VLOOKUP($A296,$A$89:$X$1001,MATCH(AE$26,$A$88:$X$88,0), FALSE), 0) *
    (LEN($A296) &gt; 0)</f>
        <v>0</v>
      </c>
      <c r="AF296" cm="1">
        <f t="array" ref="AF296">SUMPRODUCT(
    IFERROR(VLOOKUP($G296:$T296, $B$88:$X$1001,MATCH(AF$26,$B$88:$X$88,0), FALSE), 0) *
    (LEN($G296:$T296) &gt; 0)
)+IFERROR(VLOOKUP($A296,$A$89:$X$1001,MATCH(AF$26,$A$88:$X$88,0), FALSE), 0) *
    (LEN($A296) &gt; 0)</f>
        <v>0</v>
      </c>
      <c r="AG296" cm="1">
        <f t="array" ref="AG296">SUMPRODUCT(
    IFERROR(VLOOKUP($G296:$T296, $B$88:$X$1001,MATCH(AG$26,$B$88:$X$88,0), FALSE), 0) *
    (LEN($G296:$T296) &gt; 0)
)+IFERROR(VLOOKUP($A296,$A$89:$X$1001,MATCH(AG$26,$A$88:$X$88,0), FALSE), 0) *
    (LEN($A296) &gt; 0)</f>
        <v>0</v>
      </c>
      <c r="AH296" cm="1">
        <f t="array" ref="AH296">SUMPRODUCT(
    IFERROR(VLOOKUP($G296:$T296, $B$88:$X$1001,MATCH(AH$26,$B$88:$X$88,0), FALSE), 0) *
    (LEN($G296:$T296) &gt; 0)
)+IFERROR(VLOOKUP($A296,$A$89:$X$1001,MATCH(AH$26,$A$88:$X$88,0), FALSE), 0) *
    (LEN($A296) &gt; 0)</f>
        <v>0</v>
      </c>
      <c r="AI296">
        <f t="shared" si="20"/>
        <v>1</v>
      </c>
      <c r="AJ296" cm="1">
        <f t="array" ref="AJ296">1+SUMPRODUCT(
    IFERROR(VLOOKUP($G296:$T296, $B$88:$X$1001,MATCH(AJ$26,$B$88:$X$88,0), FALSE), 0) *
    (LEN($G296:$T296) &gt; 0)
)</f>
        <v>1</v>
      </c>
      <c r="AK296" cm="1">
        <f t="array" ref="AK296">1+SUMPRODUCT(
    IFERROR(VLOOKUP($G296:$T296, $B$88:$X$1001,MATCH(AK$26,$B$88:$X$88,0), FALSE), 0) *
    (LEN($G296:$T296) &gt; 0)
)</f>
        <v>1</v>
      </c>
      <c r="AL296" cm="1">
        <f t="array" ref="AL296">1+SUMPRODUCT(
    IFERROR(VLOOKUP($G296:$T296, $B$88:$X$1001,MATCH(AL$26,$B$88:$X$88,0), FALSE), 0) *
    (LEN($G296:$T296) &gt; 0)
)</f>
        <v>1</v>
      </c>
      <c r="AM296" cm="1">
        <f t="array" ref="AM296">1+SUMPRODUCT(
    IFERROR(VLOOKUP($G296:$T296, $B$88:$X$1001,MATCH(AM$26,$B$88:$X$88,0), FALSE), 0) *
    (LEN($G296:$T296) &gt; 0)
)</f>
        <v>1</v>
      </c>
      <c r="AN296" cm="1">
        <f t="array" ref="AN296">1+SUMPRODUCT(
    IFERROR(VLOOKUP($G296:$T296, $B$88:$X$1001,MATCH(AN$26,$B$88:$X$88,0), FALSE), 0) *
    (LEN($G296:$T296) &gt; 0)
)</f>
        <v>1</v>
      </c>
      <c r="AO296">
        <f t="shared" si="21"/>
        <v>1</v>
      </c>
      <c r="AQ296">
        <f t="shared" si="22"/>
        <v>0.5</v>
      </c>
    </row>
    <row r="297" spans="2:43" x14ac:dyDescent="0.25">
      <c r="B297">
        <f t="shared" si="17"/>
        <v>0</v>
      </c>
      <c r="C297">
        <f>B297*(1+表2_5462[[#This Row],[列24]]*(表2_5462[[#This Row],[列25]]-1))</f>
        <v>0</v>
      </c>
      <c r="D297">
        <f t="shared" si="18"/>
        <v>0</v>
      </c>
      <c r="E297" s="36" t="e">
        <f>表2_5462[[#This Row],[列3]]/$C$63</f>
        <v>#DIV/0!</v>
      </c>
      <c r="F297" t="s">
        <v>791</v>
      </c>
      <c r="U297">
        <f t="shared" si="11"/>
        <v>0</v>
      </c>
      <c r="V297" cm="1">
        <f t="array" ref="V297" xml:space="preserve"> IFERROR(VLOOKUP($A297,$A$87:$X$1001,MATCH(V$26,$A$88:$J$88,0), FALSE), 0) *
    (LEN($A297) &gt; 0)+SUMPRODUCT(
    IFERROR(VLOOKUP($G297:$T297, $B$88:$X$1001,MATCH(V$26,$B$88:$X$88,0), FALSE), 0) *
    (LEN($G297:$T297) &gt; 0)
)</f>
        <v>0</v>
      </c>
      <c r="W297">
        <f t="shared" si="12"/>
        <v>0</v>
      </c>
      <c r="X297">
        <f t="shared" si="12"/>
        <v>0</v>
      </c>
      <c r="Y297">
        <f t="shared" si="19"/>
        <v>0</v>
      </c>
      <c r="Z297">
        <f t="shared" si="14"/>
        <v>0</v>
      </c>
      <c r="AA297" cm="1">
        <f t="array" ref="AA297" xml:space="preserve"> IFERROR(VLOOKUP($A297,$A$87:$X$1001,MATCH(AA$26,$A$88:$J$88,0), FALSE), 0) *
    (LEN($A297) &gt; 0)+SUMPRODUCT(
    IFERROR(VLOOKUP($G297:$T297, $B$88:$X$1001,MATCH(AA$26,$B$88:$X$88,0), FALSE), 0) *
    (LEN($G297:$T297) &gt; 0)
)</f>
        <v>0</v>
      </c>
      <c r="AB297" cm="1">
        <f t="array" ref="AB297">1+SUMPRODUCT(
    IFERROR(VLOOKUP($G297:$T297, $B$88:$X$1001,MATCH(AB$26,$B$88:$X$88,0), FALSE), 0) *
    (LEN($G297:$T297) &gt; 0)
)+IFERROR(VLOOKUP($A297,$A$88:$X$1001,MATCH(AB$26,$A$88:$J$88,0), FALSE), 0) *
    (LEN($A297) &gt; 0)</f>
        <v>1</v>
      </c>
      <c r="AC297" cm="1">
        <f t="array" ref="AC297">1+SUMPRODUCT(
    IFERROR(VLOOKUP($G297:$T297, $B$88:$X$1001,MATCH(AC$26,$B$88:$X$88,0), FALSE), 0) *
    (LEN($G297:$T297) &gt; 0)
)</f>
        <v>1</v>
      </c>
      <c r="AD297" cm="1">
        <f t="array" ref="AD297">SUMPRODUCT(
    IFERROR(VLOOKUP($G297:$T297, $B$88:$X$1001,MATCH(AD$26,$B$88:$X$88,0), FALSE), 0) *
    (LEN($G297:$T297) &gt; 0)
)+IFERROR(VLOOKUP($A297,$A$89:$X$1001,MATCH(AD$26,$A$88:$X$88,0), FALSE), 0) *
    (LEN($A297) &gt; 0)</f>
        <v>0</v>
      </c>
      <c r="AE297" cm="1">
        <f t="array" ref="AE297">SUMPRODUCT(
    IFERROR(VLOOKUP($G297:$T297, $B$88:$X$1001,MATCH(AE$26,$B$88:$X$88,0), FALSE), 0) *
    (LEN($G297:$T297) &gt; 0)
)+IFERROR(VLOOKUP($A297,$A$89:$X$1001,MATCH(AE$26,$A$88:$X$88,0), FALSE), 0) *
    (LEN($A297) &gt; 0)</f>
        <v>0</v>
      </c>
      <c r="AF297" cm="1">
        <f t="array" ref="AF297">SUMPRODUCT(
    IFERROR(VLOOKUP($G297:$T297, $B$88:$X$1001,MATCH(AF$26,$B$88:$X$88,0), FALSE), 0) *
    (LEN($G297:$T297) &gt; 0)
)+IFERROR(VLOOKUP($A297,$A$89:$X$1001,MATCH(AF$26,$A$88:$X$88,0), FALSE), 0) *
    (LEN($A297) &gt; 0)</f>
        <v>0</v>
      </c>
      <c r="AG297" cm="1">
        <f t="array" ref="AG297">SUMPRODUCT(
    IFERROR(VLOOKUP($G297:$T297, $B$88:$X$1001,MATCH(AG$26,$B$88:$X$88,0), FALSE), 0) *
    (LEN($G297:$T297) &gt; 0)
)+IFERROR(VLOOKUP($A297,$A$89:$X$1001,MATCH(AG$26,$A$88:$X$88,0), FALSE), 0) *
    (LEN($A297) &gt; 0)</f>
        <v>0</v>
      </c>
      <c r="AH297" cm="1">
        <f t="array" ref="AH297">SUMPRODUCT(
    IFERROR(VLOOKUP($G297:$T297, $B$88:$X$1001,MATCH(AH$26,$B$88:$X$88,0), FALSE), 0) *
    (LEN($G297:$T297) &gt; 0)
)+IFERROR(VLOOKUP($A297,$A$89:$X$1001,MATCH(AH$26,$A$88:$X$88,0), FALSE), 0) *
    (LEN($A297) &gt; 0)</f>
        <v>0</v>
      </c>
      <c r="AI297">
        <f t="shared" si="20"/>
        <v>1</v>
      </c>
      <c r="AJ297" cm="1">
        <f t="array" ref="AJ297">1+SUMPRODUCT(
    IFERROR(VLOOKUP($G297:$T297, $B$88:$X$1001,MATCH(AJ$26,$B$88:$X$88,0), FALSE), 0) *
    (LEN($G297:$T297) &gt; 0)
)</f>
        <v>1</v>
      </c>
      <c r="AK297" cm="1">
        <f t="array" ref="AK297">1+SUMPRODUCT(
    IFERROR(VLOOKUP($G297:$T297, $B$88:$X$1001,MATCH(AK$26,$B$88:$X$88,0), FALSE), 0) *
    (LEN($G297:$T297) &gt; 0)
)</f>
        <v>1</v>
      </c>
      <c r="AL297" cm="1">
        <f t="array" ref="AL297">1+SUMPRODUCT(
    IFERROR(VLOOKUP($G297:$T297, $B$88:$X$1001,MATCH(AL$26,$B$88:$X$88,0), FALSE), 0) *
    (LEN($G297:$T297) &gt; 0)
)</f>
        <v>1</v>
      </c>
      <c r="AM297" cm="1">
        <f t="array" ref="AM297">1+SUMPRODUCT(
    IFERROR(VLOOKUP($G297:$T297, $B$88:$X$1001,MATCH(AM$26,$B$88:$X$88,0), FALSE), 0) *
    (LEN($G297:$T297) &gt; 0)
)</f>
        <v>1</v>
      </c>
      <c r="AN297" cm="1">
        <f t="array" ref="AN297">1+SUMPRODUCT(
    IFERROR(VLOOKUP($G297:$T297, $B$88:$X$1001,MATCH(AN$26,$B$88:$X$88,0), FALSE), 0) *
    (LEN($G297:$T297) &gt; 0)
)</f>
        <v>1</v>
      </c>
      <c r="AO297">
        <f t="shared" si="21"/>
        <v>1</v>
      </c>
      <c r="AQ297">
        <f t="shared" si="22"/>
        <v>0.5</v>
      </c>
    </row>
    <row r="298" spans="2:43" x14ac:dyDescent="0.25">
      <c r="B298">
        <f t="shared" si="17"/>
        <v>0</v>
      </c>
      <c r="C298">
        <f>B298*(1+表2_5462[[#This Row],[列24]]*(表2_5462[[#This Row],[列25]]-1))</f>
        <v>0</v>
      </c>
      <c r="D298">
        <f t="shared" si="18"/>
        <v>0</v>
      </c>
      <c r="E298" s="36" t="e">
        <f>表2_5462[[#This Row],[列3]]/$C$63</f>
        <v>#DIV/0!</v>
      </c>
      <c r="F298" t="s">
        <v>791</v>
      </c>
      <c r="U298">
        <f t="shared" si="11"/>
        <v>0</v>
      </c>
      <c r="V298" cm="1">
        <f t="array" ref="V298" xml:space="preserve"> IFERROR(VLOOKUP($A298,$A$87:$X$1001,MATCH(V$26,$A$88:$J$88,0), FALSE), 0) *
    (LEN($A298) &gt; 0)+SUMPRODUCT(
    IFERROR(VLOOKUP($G298:$T298, $B$88:$X$1001,MATCH(V$26,$B$88:$X$88,0), FALSE), 0) *
    (LEN($G298:$T298) &gt; 0)
)</f>
        <v>0</v>
      </c>
      <c r="W298">
        <f t="shared" si="12"/>
        <v>0</v>
      </c>
      <c r="X298">
        <f t="shared" si="12"/>
        <v>0</v>
      </c>
      <c r="Y298">
        <f t="shared" si="19"/>
        <v>0</v>
      </c>
      <c r="Z298">
        <f t="shared" si="14"/>
        <v>0</v>
      </c>
      <c r="AA298" cm="1">
        <f t="array" ref="AA298" xml:space="preserve"> IFERROR(VLOOKUP($A298,$A$87:$X$1001,MATCH(AA$26,$A$88:$J$88,0), FALSE), 0) *
    (LEN($A298) &gt; 0)+SUMPRODUCT(
    IFERROR(VLOOKUP($G298:$T298, $B$88:$X$1001,MATCH(AA$26,$B$88:$X$88,0), FALSE), 0) *
    (LEN($G298:$T298) &gt; 0)
)</f>
        <v>0</v>
      </c>
      <c r="AB298" cm="1">
        <f t="array" ref="AB298">1+SUMPRODUCT(
    IFERROR(VLOOKUP($G298:$T298, $B$88:$X$1001,MATCH(AB$26,$B$88:$X$88,0), FALSE), 0) *
    (LEN($G298:$T298) &gt; 0)
)+IFERROR(VLOOKUP($A298,$A$88:$X$1001,MATCH(AB$26,$A$88:$J$88,0), FALSE), 0) *
    (LEN($A298) &gt; 0)</f>
        <v>1</v>
      </c>
      <c r="AC298" cm="1">
        <f t="array" ref="AC298">1+SUMPRODUCT(
    IFERROR(VLOOKUP($G298:$T298, $B$88:$X$1001,MATCH(AC$26,$B$88:$X$88,0), FALSE), 0) *
    (LEN($G298:$T298) &gt; 0)
)</f>
        <v>1</v>
      </c>
      <c r="AD298" cm="1">
        <f t="array" ref="AD298">SUMPRODUCT(
    IFERROR(VLOOKUP($G298:$T298, $B$88:$X$1001,MATCH(AD$26,$B$88:$X$88,0), FALSE), 0) *
    (LEN($G298:$T298) &gt; 0)
)+IFERROR(VLOOKUP($A298,$A$89:$X$1001,MATCH(AD$26,$A$88:$X$88,0), FALSE), 0) *
    (LEN($A298) &gt; 0)</f>
        <v>0</v>
      </c>
      <c r="AE298" cm="1">
        <f t="array" ref="AE298">SUMPRODUCT(
    IFERROR(VLOOKUP($G298:$T298, $B$88:$X$1001,MATCH(AE$26,$B$88:$X$88,0), FALSE), 0) *
    (LEN($G298:$T298) &gt; 0)
)+IFERROR(VLOOKUP($A298,$A$89:$X$1001,MATCH(AE$26,$A$88:$X$88,0), FALSE), 0) *
    (LEN($A298) &gt; 0)</f>
        <v>0</v>
      </c>
      <c r="AF298" cm="1">
        <f t="array" ref="AF298">SUMPRODUCT(
    IFERROR(VLOOKUP($G298:$T298, $B$88:$X$1001,MATCH(AF$26,$B$88:$X$88,0), FALSE), 0) *
    (LEN($G298:$T298) &gt; 0)
)+IFERROR(VLOOKUP($A298,$A$89:$X$1001,MATCH(AF$26,$A$88:$X$88,0), FALSE), 0) *
    (LEN($A298) &gt; 0)</f>
        <v>0</v>
      </c>
      <c r="AG298" cm="1">
        <f t="array" ref="AG298">SUMPRODUCT(
    IFERROR(VLOOKUP($G298:$T298, $B$88:$X$1001,MATCH(AG$26,$B$88:$X$88,0), FALSE), 0) *
    (LEN($G298:$T298) &gt; 0)
)+IFERROR(VLOOKUP($A298,$A$89:$X$1001,MATCH(AG$26,$A$88:$X$88,0), FALSE), 0) *
    (LEN($A298) &gt; 0)</f>
        <v>0</v>
      </c>
      <c r="AH298" cm="1">
        <f t="array" ref="AH298">SUMPRODUCT(
    IFERROR(VLOOKUP($G298:$T298, $B$88:$X$1001,MATCH(AH$26,$B$88:$X$88,0), FALSE), 0) *
    (LEN($G298:$T298) &gt; 0)
)+IFERROR(VLOOKUP($A298,$A$89:$X$1001,MATCH(AH$26,$A$88:$X$88,0), FALSE), 0) *
    (LEN($A298) &gt; 0)</f>
        <v>0</v>
      </c>
      <c r="AI298">
        <f t="shared" si="20"/>
        <v>1</v>
      </c>
      <c r="AJ298" cm="1">
        <f t="array" ref="AJ298">1+SUMPRODUCT(
    IFERROR(VLOOKUP($G298:$T298, $B$88:$X$1001,MATCH(AJ$26,$B$88:$X$88,0), FALSE), 0) *
    (LEN($G298:$T298) &gt; 0)
)</f>
        <v>1</v>
      </c>
      <c r="AK298" cm="1">
        <f t="array" ref="AK298">1+SUMPRODUCT(
    IFERROR(VLOOKUP($G298:$T298, $B$88:$X$1001,MATCH(AK$26,$B$88:$X$88,0), FALSE), 0) *
    (LEN($G298:$T298) &gt; 0)
)</f>
        <v>1</v>
      </c>
      <c r="AL298" cm="1">
        <f t="array" ref="AL298">1+SUMPRODUCT(
    IFERROR(VLOOKUP($G298:$T298, $B$88:$X$1001,MATCH(AL$26,$B$88:$X$88,0), FALSE), 0) *
    (LEN($G298:$T298) &gt; 0)
)</f>
        <v>1</v>
      </c>
      <c r="AM298" cm="1">
        <f t="array" ref="AM298">1+SUMPRODUCT(
    IFERROR(VLOOKUP($G298:$T298, $B$88:$X$1001,MATCH(AM$26,$B$88:$X$88,0), FALSE), 0) *
    (LEN($G298:$T298) &gt; 0)
)</f>
        <v>1</v>
      </c>
      <c r="AN298" cm="1">
        <f t="array" ref="AN298">1+SUMPRODUCT(
    IFERROR(VLOOKUP($G298:$T298, $B$88:$X$1001,MATCH(AN$26,$B$88:$X$88,0), FALSE), 0) *
    (LEN($G298:$T298) &gt; 0)
)</f>
        <v>1</v>
      </c>
      <c r="AO298">
        <f t="shared" si="21"/>
        <v>1</v>
      </c>
      <c r="AQ298">
        <f t="shared" si="22"/>
        <v>0.5</v>
      </c>
    </row>
    <row r="299" spans="2:43" x14ac:dyDescent="0.25">
      <c r="B299">
        <f t="shared" si="17"/>
        <v>0</v>
      </c>
      <c r="C299">
        <f>B299*(1+表2_5462[[#This Row],[列24]]*(表2_5462[[#This Row],[列25]]-1))</f>
        <v>0</v>
      </c>
      <c r="D299">
        <f t="shared" si="18"/>
        <v>0</v>
      </c>
      <c r="E299" s="36" t="e">
        <f>表2_5462[[#This Row],[列3]]/$C$63</f>
        <v>#DIV/0!</v>
      </c>
      <c r="F299" t="s">
        <v>791</v>
      </c>
      <c r="U299">
        <f t="shared" si="11"/>
        <v>0</v>
      </c>
      <c r="V299" cm="1">
        <f t="array" ref="V299" xml:space="preserve"> IFERROR(VLOOKUP($A299,$A$87:$X$1001,MATCH(V$26,$A$88:$J$88,0), FALSE), 0) *
    (LEN($A299) &gt; 0)+SUMPRODUCT(
    IFERROR(VLOOKUP($G299:$T299, $B$88:$X$1001,MATCH(V$26,$B$88:$X$88,0), FALSE), 0) *
    (LEN($G299:$T299) &gt; 0)
)</f>
        <v>0</v>
      </c>
      <c r="W299">
        <f t="shared" si="12"/>
        <v>0</v>
      </c>
      <c r="X299">
        <f t="shared" si="12"/>
        <v>0</v>
      </c>
      <c r="Y299">
        <f t="shared" si="19"/>
        <v>0</v>
      </c>
      <c r="Z299">
        <f t="shared" si="14"/>
        <v>0</v>
      </c>
      <c r="AA299" cm="1">
        <f t="array" ref="AA299" xml:space="preserve"> IFERROR(VLOOKUP($A299,$A$87:$X$1001,MATCH(AA$26,$A$88:$J$88,0), FALSE), 0) *
    (LEN($A299) &gt; 0)+SUMPRODUCT(
    IFERROR(VLOOKUP($G299:$T299, $B$88:$X$1001,MATCH(AA$26,$B$88:$X$88,0), FALSE), 0) *
    (LEN($G299:$T299) &gt; 0)
)</f>
        <v>0</v>
      </c>
      <c r="AB299" cm="1">
        <f t="array" ref="AB299">1+SUMPRODUCT(
    IFERROR(VLOOKUP($G299:$T299, $B$88:$X$1001,MATCH(AB$26,$B$88:$X$88,0), FALSE), 0) *
    (LEN($G299:$T299) &gt; 0)
)+IFERROR(VLOOKUP($A299,$A$88:$X$1001,MATCH(AB$26,$A$88:$J$88,0), FALSE), 0) *
    (LEN($A299) &gt; 0)</f>
        <v>1</v>
      </c>
      <c r="AC299" cm="1">
        <f t="array" ref="AC299">1+SUMPRODUCT(
    IFERROR(VLOOKUP($G299:$T299, $B$88:$X$1001,MATCH(AC$26,$B$88:$X$88,0), FALSE), 0) *
    (LEN($G299:$T299) &gt; 0)
)</f>
        <v>1</v>
      </c>
      <c r="AD299" cm="1">
        <f t="array" ref="AD299">SUMPRODUCT(
    IFERROR(VLOOKUP($G299:$T299, $B$88:$X$1001,MATCH(AD$26,$B$88:$X$88,0), FALSE), 0) *
    (LEN($G299:$T299) &gt; 0)
)+IFERROR(VLOOKUP($A299,$A$89:$X$1001,MATCH(AD$26,$A$88:$X$88,0), FALSE), 0) *
    (LEN($A299) &gt; 0)</f>
        <v>0</v>
      </c>
      <c r="AE299" cm="1">
        <f t="array" ref="AE299">SUMPRODUCT(
    IFERROR(VLOOKUP($G299:$T299, $B$88:$X$1001,MATCH(AE$26,$B$88:$X$88,0), FALSE), 0) *
    (LEN($G299:$T299) &gt; 0)
)+IFERROR(VLOOKUP($A299,$A$89:$X$1001,MATCH(AE$26,$A$88:$X$88,0), FALSE), 0) *
    (LEN($A299) &gt; 0)</f>
        <v>0</v>
      </c>
      <c r="AF299" cm="1">
        <f t="array" ref="AF299">SUMPRODUCT(
    IFERROR(VLOOKUP($G299:$T299, $B$88:$X$1001,MATCH(AF$26,$B$88:$X$88,0), FALSE), 0) *
    (LEN($G299:$T299) &gt; 0)
)+IFERROR(VLOOKUP($A299,$A$89:$X$1001,MATCH(AF$26,$A$88:$X$88,0), FALSE), 0) *
    (LEN($A299) &gt; 0)</f>
        <v>0</v>
      </c>
      <c r="AG299" cm="1">
        <f t="array" ref="AG299">SUMPRODUCT(
    IFERROR(VLOOKUP($G299:$T299, $B$88:$X$1001,MATCH(AG$26,$B$88:$X$88,0), FALSE), 0) *
    (LEN($G299:$T299) &gt; 0)
)+IFERROR(VLOOKUP($A299,$A$89:$X$1001,MATCH(AG$26,$A$88:$X$88,0), FALSE), 0) *
    (LEN($A299) &gt; 0)</f>
        <v>0</v>
      </c>
      <c r="AH299" cm="1">
        <f t="array" ref="AH299">SUMPRODUCT(
    IFERROR(VLOOKUP($G299:$T299, $B$88:$X$1001,MATCH(AH$26,$B$88:$X$88,0), FALSE), 0) *
    (LEN($G299:$T299) &gt; 0)
)+IFERROR(VLOOKUP($A299,$A$89:$X$1001,MATCH(AH$26,$A$88:$X$88,0), FALSE), 0) *
    (LEN($A299) &gt; 0)</f>
        <v>0</v>
      </c>
      <c r="AI299">
        <f t="shared" si="20"/>
        <v>1</v>
      </c>
      <c r="AJ299" cm="1">
        <f t="array" ref="AJ299">1+SUMPRODUCT(
    IFERROR(VLOOKUP($G299:$T299, $B$88:$X$1001,MATCH(AJ$26,$B$88:$X$88,0), FALSE), 0) *
    (LEN($G299:$T299) &gt; 0)
)</f>
        <v>1</v>
      </c>
      <c r="AK299" cm="1">
        <f t="array" ref="AK299">1+SUMPRODUCT(
    IFERROR(VLOOKUP($G299:$T299, $B$88:$X$1001,MATCH(AK$26,$B$88:$X$88,0), FALSE), 0) *
    (LEN($G299:$T299) &gt; 0)
)</f>
        <v>1</v>
      </c>
      <c r="AL299" cm="1">
        <f t="array" ref="AL299">1+SUMPRODUCT(
    IFERROR(VLOOKUP($G299:$T299, $B$88:$X$1001,MATCH(AL$26,$B$88:$X$88,0), FALSE), 0) *
    (LEN($G299:$T299) &gt; 0)
)</f>
        <v>1</v>
      </c>
      <c r="AM299" cm="1">
        <f t="array" ref="AM299">1+SUMPRODUCT(
    IFERROR(VLOOKUP($G299:$T299, $B$88:$X$1001,MATCH(AM$26,$B$88:$X$88,0), FALSE), 0) *
    (LEN($G299:$T299) &gt; 0)
)</f>
        <v>1</v>
      </c>
      <c r="AN299" cm="1">
        <f t="array" ref="AN299">1+SUMPRODUCT(
    IFERROR(VLOOKUP($G299:$T299, $B$88:$X$1001,MATCH(AN$26,$B$88:$X$88,0), FALSE), 0) *
    (LEN($G299:$T299) &gt; 0)
)</f>
        <v>1</v>
      </c>
      <c r="AO299">
        <f t="shared" si="21"/>
        <v>1</v>
      </c>
      <c r="AQ299">
        <f t="shared" si="22"/>
        <v>0.5</v>
      </c>
    </row>
    <row r="300" spans="2:43" x14ac:dyDescent="0.25">
      <c r="B300">
        <f t="shared" si="17"/>
        <v>0</v>
      </c>
      <c r="C300">
        <f>B300*(1+表2_5462[[#This Row],[列24]]*(表2_5462[[#This Row],[列25]]-1))</f>
        <v>0</v>
      </c>
      <c r="D300">
        <f t="shared" si="18"/>
        <v>0</v>
      </c>
      <c r="E300" s="36" t="e">
        <f>表2_5462[[#This Row],[列3]]/$C$63</f>
        <v>#DIV/0!</v>
      </c>
      <c r="F300" t="s">
        <v>791</v>
      </c>
      <c r="U300">
        <f t="shared" si="11"/>
        <v>0</v>
      </c>
      <c r="V300" cm="1">
        <f t="array" ref="V300" xml:space="preserve"> IFERROR(VLOOKUP($A300,$A$87:$X$1001,MATCH(V$26,$A$88:$J$88,0), FALSE), 0) *
    (LEN($A300) &gt; 0)+SUMPRODUCT(
    IFERROR(VLOOKUP($G300:$T300, $B$88:$X$1001,MATCH(V$26,$B$88:$X$88,0), FALSE), 0) *
    (LEN($G300:$T300) &gt; 0)
)</f>
        <v>0</v>
      </c>
      <c r="W300">
        <f t="shared" si="12"/>
        <v>0</v>
      </c>
      <c r="X300">
        <f t="shared" si="12"/>
        <v>0</v>
      </c>
      <c r="Y300">
        <f t="shared" si="19"/>
        <v>0</v>
      </c>
      <c r="Z300">
        <f t="shared" si="14"/>
        <v>0</v>
      </c>
      <c r="AA300" cm="1">
        <f t="array" ref="AA300" xml:space="preserve"> IFERROR(VLOOKUP($A300,$A$87:$X$1001,MATCH(AA$26,$A$88:$J$88,0), FALSE), 0) *
    (LEN($A300) &gt; 0)+SUMPRODUCT(
    IFERROR(VLOOKUP($G300:$T300, $B$88:$X$1001,MATCH(AA$26,$B$88:$X$88,0), FALSE), 0) *
    (LEN($G300:$T300) &gt; 0)
)</f>
        <v>0</v>
      </c>
      <c r="AB300" cm="1">
        <f t="array" ref="AB300">1+SUMPRODUCT(
    IFERROR(VLOOKUP($G300:$T300, $B$88:$X$1001,MATCH(AB$26,$B$88:$X$88,0), FALSE), 0) *
    (LEN($G300:$T300) &gt; 0)
)+IFERROR(VLOOKUP($A300,$A$88:$X$1001,MATCH(AB$26,$A$88:$J$88,0), FALSE), 0) *
    (LEN($A300) &gt; 0)</f>
        <v>1</v>
      </c>
      <c r="AC300" cm="1">
        <f t="array" ref="AC300">1+SUMPRODUCT(
    IFERROR(VLOOKUP($G300:$T300, $B$88:$X$1001,MATCH(AC$26,$B$88:$X$88,0), FALSE), 0) *
    (LEN($G300:$T300) &gt; 0)
)</f>
        <v>1</v>
      </c>
      <c r="AD300" cm="1">
        <f t="array" ref="AD300">SUMPRODUCT(
    IFERROR(VLOOKUP($G300:$T300, $B$88:$X$1001,MATCH(AD$26,$B$88:$X$88,0), FALSE), 0) *
    (LEN($G300:$T300) &gt; 0)
)+IFERROR(VLOOKUP($A300,$A$89:$X$1001,MATCH(AD$26,$A$88:$X$88,0), FALSE), 0) *
    (LEN($A300) &gt; 0)</f>
        <v>0</v>
      </c>
      <c r="AE300" cm="1">
        <f t="array" ref="AE300">SUMPRODUCT(
    IFERROR(VLOOKUP($G300:$T300, $B$88:$X$1001,MATCH(AE$26,$B$88:$X$88,0), FALSE), 0) *
    (LEN($G300:$T300) &gt; 0)
)+IFERROR(VLOOKUP($A300,$A$89:$X$1001,MATCH(AE$26,$A$88:$X$88,0), FALSE), 0) *
    (LEN($A300) &gt; 0)</f>
        <v>0</v>
      </c>
      <c r="AF300" cm="1">
        <f t="array" ref="AF300">SUMPRODUCT(
    IFERROR(VLOOKUP($G300:$T300, $B$88:$X$1001,MATCH(AF$26,$B$88:$X$88,0), FALSE), 0) *
    (LEN($G300:$T300) &gt; 0)
)+IFERROR(VLOOKUP($A300,$A$89:$X$1001,MATCH(AF$26,$A$88:$X$88,0), FALSE), 0) *
    (LEN($A300) &gt; 0)</f>
        <v>0</v>
      </c>
      <c r="AG300" cm="1">
        <f t="array" ref="AG300">SUMPRODUCT(
    IFERROR(VLOOKUP($G300:$T300, $B$88:$X$1001,MATCH(AG$26,$B$88:$X$88,0), FALSE), 0) *
    (LEN($G300:$T300) &gt; 0)
)+IFERROR(VLOOKUP($A300,$A$89:$X$1001,MATCH(AG$26,$A$88:$X$88,0), FALSE), 0) *
    (LEN($A300) &gt; 0)</f>
        <v>0</v>
      </c>
      <c r="AH300" cm="1">
        <f t="array" ref="AH300">SUMPRODUCT(
    IFERROR(VLOOKUP($G300:$T300, $B$88:$X$1001,MATCH(AH$26,$B$88:$X$88,0), FALSE), 0) *
    (LEN($G300:$T300) &gt; 0)
)+IFERROR(VLOOKUP($A300,$A$89:$X$1001,MATCH(AH$26,$A$88:$X$88,0), FALSE), 0) *
    (LEN($A300) &gt; 0)</f>
        <v>0</v>
      </c>
      <c r="AI300">
        <f t="shared" si="20"/>
        <v>1</v>
      </c>
      <c r="AJ300" cm="1">
        <f t="array" ref="AJ300">1+SUMPRODUCT(
    IFERROR(VLOOKUP($G300:$T300, $B$88:$X$1001,MATCH(AJ$26,$B$88:$X$88,0), FALSE), 0) *
    (LEN($G300:$T300) &gt; 0)
)</f>
        <v>1</v>
      </c>
      <c r="AK300" cm="1">
        <f t="array" ref="AK300">1+SUMPRODUCT(
    IFERROR(VLOOKUP($G300:$T300, $B$88:$X$1001,MATCH(AK$26,$B$88:$X$88,0), FALSE), 0) *
    (LEN($G300:$T300) &gt; 0)
)</f>
        <v>1</v>
      </c>
      <c r="AL300" cm="1">
        <f t="array" ref="AL300">1+SUMPRODUCT(
    IFERROR(VLOOKUP($G300:$T300, $B$88:$X$1001,MATCH(AL$26,$B$88:$X$88,0), FALSE), 0) *
    (LEN($G300:$T300) &gt; 0)
)</f>
        <v>1</v>
      </c>
      <c r="AM300" cm="1">
        <f t="array" ref="AM300">1+SUMPRODUCT(
    IFERROR(VLOOKUP($G300:$T300, $B$88:$X$1001,MATCH(AM$26,$B$88:$X$88,0), FALSE), 0) *
    (LEN($G300:$T300) &gt; 0)
)</f>
        <v>1</v>
      </c>
      <c r="AN300" cm="1">
        <f t="array" ref="AN300">1+SUMPRODUCT(
    IFERROR(VLOOKUP($G300:$T300, $B$88:$X$1001,MATCH(AN$26,$B$88:$X$88,0), FALSE), 0) *
    (LEN($G300:$T300) &gt; 0)
)</f>
        <v>1</v>
      </c>
      <c r="AO300">
        <f t="shared" si="21"/>
        <v>1</v>
      </c>
      <c r="AQ300">
        <f t="shared" si="22"/>
        <v>0.5</v>
      </c>
    </row>
    <row r="301" spans="2:43" x14ac:dyDescent="0.25">
      <c r="B301">
        <f t="shared" si="17"/>
        <v>0</v>
      </c>
      <c r="C301">
        <f>B301*(1+表2_5462[[#This Row],[列24]]*(表2_5462[[#This Row],[列25]]-1))</f>
        <v>0</v>
      </c>
      <c r="D301">
        <f t="shared" si="18"/>
        <v>0</v>
      </c>
      <c r="E301" s="36" t="e">
        <f>表2_5462[[#This Row],[列3]]/$C$63</f>
        <v>#DIV/0!</v>
      </c>
      <c r="F301" t="s">
        <v>791</v>
      </c>
      <c r="U301">
        <f t="shared" si="11"/>
        <v>0</v>
      </c>
      <c r="V301" cm="1">
        <f t="array" ref="V301" xml:space="preserve"> IFERROR(VLOOKUP($A301,$A$87:$X$1001,MATCH(V$26,$A$88:$J$88,0), FALSE), 0) *
    (LEN($A301) &gt; 0)+SUMPRODUCT(
    IFERROR(VLOOKUP($G301:$T301, $B$88:$X$1001,MATCH(V$26,$B$88:$X$88,0), FALSE), 0) *
    (LEN($G301:$T301) &gt; 0)
)</f>
        <v>0</v>
      </c>
      <c r="W301">
        <f t="shared" si="12"/>
        <v>0</v>
      </c>
      <c r="X301">
        <f t="shared" si="12"/>
        <v>0</v>
      </c>
      <c r="Y301">
        <f t="shared" si="19"/>
        <v>0</v>
      </c>
      <c r="Z301">
        <f t="shared" si="14"/>
        <v>0</v>
      </c>
      <c r="AA301" cm="1">
        <f t="array" ref="AA301" xml:space="preserve"> IFERROR(VLOOKUP($A301,$A$87:$X$1001,MATCH(AA$26,$A$88:$J$88,0), FALSE), 0) *
    (LEN($A301) &gt; 0)+SUMPRODUCT(
    IFERROR(VLOOKUP($G301:$T301, $B$88:$X$1001,MATCH(AA$26,$B$88:$X$88,0), FALSE), 0) *
    (LEN($G301:$T301) &gt; 0)
)</f>
        <v>0</v>
      </c>
      <c r="AB301" cm="1">
        <f t="array" ref="AB301">1+SUMPRODUCT(
    IFERROR(VLOOKUP($G301:$T301, $B$88:$X$1001,MATCH(AB$26,$B$88:$X$88,0), FALSE), 0) *
    (LEN($G301:$T301) &gt; 0)
)+IFERROR(VLOOKUP($A301,$A$88:$X$1001,MATCH(AB$26,$A$88:$J$88,0), FALSE), 0) *
    (LEN($A301) &gt; 0)</f>
        <v>1</v>
      </c>
      <c r="AC301" cm="1">
        <f t="array" ref="AC301">1+SUMPRODUCT(
    IFERROR(VLOOKUP($G301:$T301, $B$88:$X$1001,MATCH(AC$26,$B$88:$X$88,0), FALSE), 0) *
    (LEN($G301:$T301) &gt; 0)
)</f>
        <v>1</v>
      </c>
      <c r="AD301" cm="1">
        <f t="array" ref="AD301">SUMPRODUCT(
    IFERROR(VLOOKUP($G301:$T301, $B$88:$X$1001,MATCH(AD$26,$B$88:$X$88,0), FALSE), 0) *
    (LEN($G301:$T301) &gt; 0)
)+IFERROR(VLOOKUP($A301,$A$89:$X$1001,MATCH(AD$26,$A$88:$X$88,0), FALSE), 0) *
    (LEN($A301) &gt; 0)</f>
        <v>0</v>
      </c>
      <c r="AE301" cm="1">
        <f t="array" ref="AE301">SUMPRODUCT(
    IFERROR(VLOOKUP($G301:$T301, $B$88:$X$1001,MATCH(AE$26,$B$88:$X$88,0), FALSE), 0) *
    (LEN($G301:$T301) &gt; 0)
)+IFERROR(VLOOKUP($A301,$A$89:$X$1001,MATCH(AE$26,$A$88:$X$88,0), FALSE), 0) *
    (LEN($A301) &gt; 0)</f>
        <v>0</v>
      </c>
      <c r="AF301" cm="1">
        <f t="array" ref="AF301">SUMPRODUCT(
    IFERROR(VLOOKUP($G301:$T301, $B$88:$X$1001,MATCH(AF$26,$B$88:$X$88,0), FALSE), 0) *
    (LEN($G301:$T301) &gt; 0)
)+IFERROR(VLOOKUP($A301,$A$89:$X$1001,MATCH(AF$26,$A$88:$X$88,0), FALSE), 0) *
    (LEN($A301) &gt; 0)</f>
        <v>0</v>
      </c>
      <c r="AG301" cm="1">
        <f t="array" ref="AG301">SUMPRODUCT(
    IFERROR(VLOOKUP($G301:$T301, $B$88:$X$1001,MATCH(AG$26,$B$88:$X$88,0), FALSE), 0) *
    (LEN($G301:$T301) &gt; 0)
)+IFERROR(VLOOKUP($A301,$A$89:$X$1001,MATCH(AG$26,$A$88:$X$88,0), FALSE), 0) *
    (LEN($A301) &gt; 0)</f>
        <v>0</v>
      </c>
      <c r="AH301" cm="1">
        <f t="array" ref="AH301">SUMPRODUCT(
    IFERROR(VLOOKUP($G301:$T301, $B$88:$X$1001,MATCH(AH$26,$B$88:$X$88,0), FALSE), 0) *
    (LEN($G301:$T301) &gt; 0)
)+IFERROR(VLOOKUP($A301,$A$89:$X$1001,MATCH(AH$26,$A$88:$X$88,0), FALSE), 0) *
    (LEN($A301) &gt; 0)</f>
        <v>0</v>
      </c>
      <c r="AI301">
        <f t="shared" si="20"/>
        <v>1</v>
      </c>
      <c r="AJ301" cm="1">
        <f t="array" ref="AJ301">1+SUMPRODUCT(
    IFERROR(VLOOKUP($G301:$T301, $B$88:$X$1001,MATCH(AJ$26,$B$88:$X$88,0), FALSE), 0) *
    (LEN($G301:$T301) &gt; 0)
)</f>
        <v>1</v>
      </c>
      <c r="AK301" cm="1">
        <f t="array" ref="AK301">1+SUMPRODUCT(
    IFERROR(VLOOKUP($G301:$T301, $B$88:$X$1001,MATCH(AK$26,$B$88:$X$88,0), FALSE), 0) *
    (LEN($G301:$T301) &gt; 0)
)</f>
        <v>1</v>
      </c>
      <c r="AL301" cm="1">
        <f t="array" ref="AL301">1+SUMPRODUCT(
    IFERROR(VLOOKUP($G301:$T301, $B$88:$X$1001,MATCH(AL$26,$B$88:$X$88,0), FALSE), 0) *
    (LEN($G301:$T301) &gt; 0)
)</f>
        <v>1</v>
      </c>
      <c r="AM301" cm="1">
        <f t="array" ref="AM301">1+SUMPRODUCT(
    IFERROR(VLOOKUP($G301:$T301, $B$88:$X$1001,MATCH(AM$26,$B$88:$X$88,0), FALSE), 0) *
    (LEN($G301:$T301) &gt; 0)
)</f>
        <v>1</v>
      </c>
      <c r="AN301" cm="1">
        <f t="array" ref="AN301">1+SUMPRODUCT(
    IFERROR(VLOOKUP($G301:$T301, $B$88:$X$1001,MATCH(AN$26,$B$88:$X$88,0), FALSE), 0) *
    (LEN($G301:$T301) &gt; 0)
)</f>
        <v>1</v>
      </c>
      <c r="AO301">
        <f t="shared" si="21"/>
        <v>1</v>
      </c>
      <c r="AQ301">
        <f t="shared" si="22"/>
        <v>0.5</v>
      </c>
    </row>
    <row r="302" spans="2:43" x14ac:dyDescent="0.25">
      <c r="C302"/>
    </row>
    <row r="303" spans="2:43" x14ac:dyDescent="0.25">
      <c r="C303"/>
    </row>
    <row r="304" spans="2:43" x14ac:dyDescent="0.25">
      <c r="B304" t="s">
        <v>1034</v>
      </c>
      <c r="C304">
        <f>SUM(C271:C280)</f>
        <v>0</v>
      </c>
    </row>
    <row r="305" spans="2:5" x14ac:dyDescent="0.25">
      <c r="B305" t="s">
        <v>1036</v>
      </c>
      <c r="C305"/>
    </row>
    <row r="306" spans="2:5" x14ac:dyDescent="0.25">
      <c r="B306" t="s">
        <v>1035</v>
      </c>
      <c r="C306" t="e">
        <f>C304/C305</f>
        <v>#DIV/0!</v>
      </c>
      <c r="E306" s="36"/>
    </row>
    <row r="307" spans="2:5" x14ac:dyDescent="0.25">
      <c r="B307" t="s">
        <v>1037</v>
      </c>
      <c r="C307"/>
    </row>
    <row r="308" spans="2:5" x14ac:dyDescent="0.25">
      <c r="B308" t="s">
        <v>1038</v>
      </c>
      <c r="C308" t="e">
        <f>C304/C307</f>
        <v>#DIV/0!</v>
      </c>
    </row>
    <row r="309" spans="2:5" x14ac:dyDescent="0.25">
      <c r="C309"/>
    </row>
    <row r="310" spans="2:5" x14ac:dyDescent="0.25">
      <c r="C310"/>
    </row>
    <row r="311" spans="2:5" x14ac:dyDescent="0.25">
      <c r="C311"/>
    </row>
    <row r="312" spans="2:5" x14ac:dyDescent="0.25">
      <c r="C312"/>
    </row>
    <row r="313" spans="2:5" x14ac:dyDescent="0.25">
      <c r="C313"/>
    </row>
    <row r="314" spans="2:5" x14ac:dyDescent="0.25">
      <c r="C314"/>
    </row>
    <row r="315" spans="2:5" x14ac:dyDescent="0.25">
      <c r="C315"/>
    </row>
    <row r="316" spans="2:5" x14ac:dyDescent="0.25">
      <c r="C316"/>
    </row>
    <row r="317" spans="2:5" x14ac:dyDescent="0.25">
      <c r="C317"/>
    </row>
    <row r="318" spans="2:5" x14ac:dyDescent="0.25">
      <c r="C318"/>
    </row>
    <row r="319" spans="2:5" x14ac:dyDescent="0.25">
      <c r="C319"/>
    </row>
    <row r="320" spans="2:5" x14ac:dyDescent="0.25">
      <c r="C320"/>
    </row>
    <row r="321" spans="1:45" x14ac:dyDescent="0.25">
      <c r="C321"/>
    </row>
    <row r="322" spans="1:45" x14ac:dyDescent="0.25">
      <c r="C322"/>
    </row>
    <row r="323" spans="1:45" x14ac:dyDescent="0.25">
      <c r="C323"/>
    </row>
    <row r="324" spans="1:45" x14ac:dyDescent="0.25">
      <c r="C324"/>
    </row>
    <row r="325" spans="1:45" x14ac:dyDescent="0.25">
      <c r="C325"/>
    </row>
    <row r="326" spans="1:45" x14ac:dyDescent="0.25">
      <c r="C326"/>
    </row>
    <row r="327" spans="1:45" x14ac:dyDescent="0.25">
      <c r="C327"/>
    </row>
    <row r="328" spans="1:45" x14ac:dyDescent="0.25">
      <c r="C328"/>
    </row>
    <row r="329" spans="1:45" x14ac:dyDescent="0.25">
      <c r="C329"/>
    </row>
    <row r="330" spans="1:45" x14ac:dyDescent="0.25">
      <c r="A330" s="92"/>
      <c r="B330" s="92"/>
      <c r="C330" s="123"/>
      <c r="D330" s="123"/>
      <c r="E330" s="123"/>
      <c r="F330" s="123"/>
      <c r="G330" s="123"/>
      <c r="H330" s="124"/>
      <c r="I330" s="124"/>
      <c r="J330" s="124"/>
      <c r="K330" s="124"/>
      <c r="L330" s="125"/>
      <c r="M330" s="125"/>
      <c r="N330" s="125"/>
      <c r="O330" s="125"/>
      <c r="P330" s="125"/>
      <c r="Q330" s="125"/>
      <c r="R330" s="124"/>
      <c r="S330" s="124"/>
      <c r="T330" s="124"/>
      <c r="U330" s="124"/>
      <c r="V330" s="124"/>
      <c r="W330" s="124"/>
      <c r="X330" s="124"/>
      <c r="Y330" s="92"/>
      <c r="Z330" s="92"/>
      <c r="AA330" s="92"/>
      <c r="AB330" s="92"/>
      <c r="AC330" s="92"/>
      <c r="AD330" s="92"/>
      <c r="AE330" s="92"/>
      <c r="AF330" s="92"/>
      <c r="AG330" s="92"/>
      <c r="AH330" s="92"/>
      <c r="AI330" s="92"/>
      <c r="AJ330" s="92"/>
      <c r="AK330" s="92"/>
      <c r="AL330" s="92"/>
      <c r="AM330" s="92"/>
      <c r="AN330" s="92"/>
      <c r="AO330" s="92"/>
      <c r="AP330" s="92"/>
      <c r="AQ330" s="92"/>
      <c r="AR330" s="92"/>
      <c r="AS330" s="92"/>
    </row>
    <row r="331" spans="1:45" x14ac:dyDescent="0.25">
      <c r="C331" s="91"/>
      <c r="D331" s="91"/>
      <c r="E331" s="91"/>
      <c r="F331" s="91"/>
      <c r="G331" s="91"/>
      <c r="H331" s="122"/>
      <c r="I331" s="122"/>
      <c r="J331" s="122"/>
      <c r="K331" s="122"/>
      <c r="L331" s="122"/>
      <c r="M331" s="122"/>
      <c r="N331" s="122"/>
      <c r="O331" s="122"/>
      <c r="P331" s="122"/>
      <c r="Q331" s="122"/>
      <c r="R331" s="122"/>
      <c r="S331" s="122"/>
      <c r="T331" s="122"/>
      <c r="U331" s="122"/>
      <c r="V331" s="122"/>
      <c r="W331" s="122"/>
      <c r="X331" s="122"/>
    </row>
    <row r="332" spans="1:45" x14ac:dyDescent="0.25">
      <c r="C332"/>
    </row>
    <row r="333" spans="1:45" x14ac:dyDescent="0.25">
      <c r="C333"/>
    </row>
    <row r="334" spans="1:45" x14ac:dyDescent="0.25">
      <c r="C334"/>
    </row>
    <row r="335" spans="1:45" x14ac:dyDescent="0.25">
      <c r="C335"/>
    </row>
    <row r="336" spans="1:45" x14ac:dyDescent="0.25">
      <c r="C336"/>
    </row>
    <row r="337" spans="1:3" x14ac:dyDescent="0.25">
      <c r="C337"/>
    </row>
    <row r="338" spans="1:3" x14ac:dyDescent="0.25">
      <c r="C338"/>
    </row>
    <row r="339" spans="1:3" x14ac:dyDescent="0.25">
      <c r="C339"/>
    </row>
    <row r="340" spans="1:3" x14ac:dyDescent="0.25">
      <c r="B340" s="22"/>
      <c r="C340"/>
    </row>
    <row r="341" spans="1:3" x14ac:dyDescent="0.25">
      <c r="A341" s="22"/>
      <c r="C341"/>
    </row>
    <row r="342" spans="1:3" x14ac:dyDescent="0.25">
      <c r="A342" s="22"/>
      <c r="C342"/>
    </row>
    <row r="343" spans="1:3" x14ac:dyDescent="0.25">
      <c r="A343" s="22"/>
      <c r="C343"/>
    </row>
    <row r="344" spans="1:3" x14ac:dyDescent="0.25">
      <c r="A344" s="22"/>
      <c r="C344"/>
    </row>
    <row r="345" spans="1:3" x14ac:dyDescent="0.25">
      <c r="A345" s="22"/>
      <c r="C345"/>
    </row>
    <row r="346" spans="1:3" x14ac:dyDescent="0.25">
      <c r="A346" s="22"/>
      <c r="C346"/>
    </row>
    <row r="347" spans="1:3" x14ac:dyDescent="0.25">
      <c r="A347" s="22"/>
      <c r="C347"/>
    </row>
    <row r="348" spans="1:3" x14ac:dyDescent="0.25">
      <c r="A348" s="22"/>
      <c r="C348"/>
    </row>
    <row r="349" spans="1:3" x14ac:dyDescent="0.25">
      <c r="A349" s="22"/>
      <c r="C349"/>
    </row>
    <row r="350" spans="1:3" x14ac:dyDescent="0.25">
      <c r="A350" s="22"/>
      <c r="C350"/>
    </row>
    <row r="351" spans="1:3" x14ac:dyDescent="0.25">
      <c r="A351" s="22"/>
      <c r="C351"/>
    </row>
    <row r="352" spans="1:3" x14ac:dyDescent="0.25">
      <c r="C352"/>
    </row>
    <row r="353" spans="1:24" x14ac:dyDescent="0.25">
      <c r="B353" s="22"/>
      <c r="C353"/>
    </row>
    <row r="354" spans="1:24" x14ac:dyDescent="0.25">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row>
    <row r="355" spans="1:24" x14ac:dyDescent="0.25">
      <c r="C355"/>
    </row>
    <row r="356" spans="1:24" x14ac:dyDescent="0.25">
      <c r="C356"/>
    </row>
    <row r="357" spans="1:24" x14ac:dyDescent="0.25">
      <c r="C357"/>
    </row>
    <row r="358" spans="1:24" x14ac:dyDescent="0.25">
      <c r="C358"/>
    </row>
    <row r="359" spans="1:24" x14ac:dyDescent="0.25">
      <c r="C359"/>
    </row>
    <row r="360" spans="1:24" x14ac:dyDescent="0.25">
      <c r="C360"/>
    </row>
    <row r="361" spans="1:24" x14ac:dyDescent="0.25">
      <c r="C361"/>
    </row>
    <row r="362" spans="1:24" x14ac:dyDescent="0.25">
      <c r="C362"/>
    </row>
    <row r="363" spans="1:24" x14ac:dyDescent="0.25">
      <c r="C363"/>
    </row>
    <row r="364" spans="1:24" x14ac:dyDescent="0.25">
      <c r="C364"/>
    </row>
    <row r="365" spans="1:24" x14ac:dyDescent="0.25">
      <c r="C365"/>
    </row>
    <row r="366" spans="1:24" x14ac:dyDescent="0.25">
      <c r="C366"/>
    </row>
    <row r="367" spans="1:24" x14ac:dyDescent="0.25">
      <c r="C367"/>
    </row>
    <row r="368" spans="1:24" x14ac:dyDescent="0.25">
      <c r="C368"/>
    </row>
    <row r="369" spans="1:45" x14ac:dyDescent="0.25">
      <c r="C369"/>
    </row>
    <row r="370" spans="1:45" x14ac:dyDescent="0.25">
      <c r="C370"/>
    </row>
    <row r="371" spans="1:45" x14ac:dyDescent="0.25">
      <c r="C371"/>
    </row>
    <row r="372" spans="1:45" x14ac:dyDescent="0.25">
      <c r="C372"/>
    </row>
    <row r="373" spans="1:45" x14ac:dyDescent="0.25">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row>
    <row r="374" spans="1:45" x14ac:dyDescent="0.25">
      <c r="C374"/>
    </row>
    <row r="375" spans="1:45" x14ac:dyDescent="0.25">
      <c r="B375" s="22"/>
      <c r="C375"/>
    </row>
    <row r="376" spans="1:45" x14ac:dyDescent="0.25">
      <c r="B376" s="22"/>
      <c r="C376"/>
      <c r="X376" s="29"/>
    </row>
    <row r="377" spans="1:45" x14ac:dyDescent="0.25">
      <c r="B377" s="22"/>
      <c r="C377"/>
      <c r="X377" s="29"/>
    </row>
    <row r="378" spans="1:45" x14ac:dyDescent="0.25">
      <c r="B378" s="22"/>
      <c r="C378"/>
      <c r="X378" s="29"/>
    </row>
    <row r="379" spans="1:45" x14ac:dyDescent="0.25">
      <c r="B379" s="22"/>
      <c r="C379"/>
      <c r="X379" s="29"/>
    </row>
    <row r="380" spans="1:45" x14ac:dyDescent="0.25">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row>
    <row r="381" spans="1:45" x14ac:dyDescent="0.25">
      <c r="B381" s="22"/>
      <c r="C381"/>
      <c r="X381" s="29"/>
    </row>
    <row r="382" spans="1:45" x14ac:dyDescent="0.25">
      <c r="B382" s="22"/>
      <c r="C382"/>
      <c r="X382" s="29"/>
    </row>
    <row r="383" spans="1:45" x14ac:dyDescent="0.25">
      <c r="C383"/>
    </row>
    <row r="384" spans="1:45" x14ac:dyDescent="0.25">
      <c r="C384"/>
    </row>
    <row r="385" spans="3:3" x14ac:dyDescent="0.25">
      <c r="C385"/>
    </row>
    <row r="386" spans="3:3" x14ac:dyDescent="0.25">
      <c r="C386"/>
    </row>
    <row r="387" spans="3:3" x14ac:dyDescent="0.25">
      <c r="C387"/>
    </row>
    <row r="388" spans="3:3" x14ac:dyDescent="0.25">
      <c r="C388"/>
    </row>
    <row r="389" spans="3:3" x14ac:dyDescent="0.25">
      <c r="C389"/>
    </row>
    <row r="390" spans="3:3" x14ac:dyDescent="0.25">
      <c r="C390"/>
    </row>
    <row r="391" spans="3:3" x14ac:dyDescent="0.25">
      <c r="C391"/>
    </row>
    <row r="392" spans="3:3" x14ac:dyDescent="0.25">
      <c r="C392"/>
    </row>
    <row r="393" spans="3:3" x14ac:dyDescent="0.25">
      <c r="C393"/>
    </row>
    <row r="394" spans="3:3" x14ac:dyDescent="0.25">
      <c r="C394"/>
    </row>
    <row r="395" spans="3:3" x14ac:dyDescent="0.25">
      <c r="C395"/>
    </row>
    <row r="396" spans="3:3" x14ac:dyDescent="0.25">
      <c r="C396"/>
    </row>
    <row r="397" spans="3:3" x14ac:dyDescent="0.25">
      <c r="C397"/>
    </row>
    <row r="398" spans="3:3" x14ac:dyDescent="0.25">
      <c r="C398"/>
    </row>
    <row r="399" spans="3:3" x14ac:dyDescent="0.25">
      <c r="C399"/>
    </row>
    <row r="400" spans="3:3" x14ac:dyDescent="0.25">
      <c r="C400"/>
    </row>
    <row r="401" spans="3:3" x14ac:dyDescent="0.25">
      <c r="C401"/>
    </row>
    <row r="402" spans="3:3" x14ac:dyDescent="0.25">
      <c r="C402"/>
    </row>
    <row r="403" spans="3:3" x14ac:dyDescent="0.25">
      <c r="C403"/>
    </row>
    <row r="404" spans="3:3" x14ac:dyDescent="0.25">
      <c r="C404"/>
    </row>
    <row r="405" spans="3:3" x14ac:dyDescent="0.25">
      <c r="C405"/>
    </row>
    <row r="406" spans="3:3" x14ac:dyDescent="0.25">
      <c r="C406"/>
    </row>
    <row r="407" spans="3:3" x14ac:dyDescent="0.25">
      <c r="C407"/>
    </row>
    <row r="408" spans="3:3" x14ac:dyDescent="0.25">
      <c r="C408"/>
    </row>
    <row r="409" spans="3:3" x14ac:dyDescent="0.25">
      <c r="C409"/>
    </row>
    <row r="410" spans="3:3" x14ac:dyDescent="0.25">
      <c r="C410"/>
    </row>
    <row r="411" spans="3:3" x14ac:dyDescent="0.25">
      <c r="C411"/>
    </row>
    <row r="412" spans="3:3" x14ac:dyDescent="0.25">
      <c r="C412"/>
    </row>
    <row r="413" spans="3:3" x14ac:dyDescent="0.25">
      <c r="C413"/>
    </row>
    <row r="414" spans="3:3" x14ac:dyDescent="0.25">
      <c r="C414"/>
    </row>
    <row r="415" spans="3:3" x14ac:dyDescent="0.25">
      <c r="C415"/>
    </row>
    <row r="416" spans="3:3" x14ac:dyDescent="0.25">
      <c r="C416"/>
    </row>
    <row r="417" spans="3:3" x14ac:dyDescent="0.25">
      <c r="C417"/>
    </row>
    <row r="418" spans="3:3" x14ac:dyDescent="0.25">
      <c r="C418"/>
    </row>
    <row r="419" spans="3:3" x14ac:dyDescent="0.25">
      <c r="C419"/>
    </row>
    <row r="420" spans="3:3" x14ac:dyDescent="0.25">
      <c r="C420"/>
    </row>
    <row r="421" spans="3:3" x14ac:dyDescent="0.25">
      <c r="C421"/>
    </row>
    <row r="422" spans="3:3" x14ac:dyDescent="0.25">
      <c r="C422"/>
    </row>
    <row r="423" spans="3:3" x14ac:dyDescent="0.25">
      <c r="C423"/>
    </row>
    <row r="424" spans="3:3" x14ac:dyDescent="0.25">
      <c r="C424"/>
    </row>
    <row r="425" spans="3:3" x14ac:dyDescent="0.25">
      <c r="C425"/>
    </row>
    <row r="426" spans="3:3" x14ac:dyDescent="0.25">
      <c r="C426"/>
    </row>
    <row r="427" spans="3:3" x14ac:dyDescent="0.25">
      <c r="C427"/>
    </row>
    <row r="428" spans="3:3" x14ac:dyDescent="0.25">
      <c r="C428"/>
    </row>
    <row r="429" spans="3:3" x14ac:dyDescent="0.25">
      <c r="C429"/>
    </row>
    <row r="430" spans="3:3" x14ac:dyDescent="0.25">
      <c r="C430"/>
    </row>
    <row r="431" spans="3:3" x14ac:dyDescent="0.25">
      <c r="C431"/>
    </row>
    <row r="432" spans="3:3" x14ac:dyDescent="0.25">
      <c r="C432"/>
    </row>
    <row r="433" spans="3:3" x14ac:dyDescent="0.25">
      <c r="C433"/>
    </row>
    <row r="434" spans="3:3" x14ac:dyDescent="0.25">
      <c r="C434"/>
    </row>
    <row r="435" spans="3:3" x14ac:dyDescent="0.25">
      <c r="C435"/>
    </row>
    <row r="436" spans="3:3" x14ac:dyDescent="0.25">
      <c r="C436"/>
    </row>
    <row r="437" spans="3:3" x14ac:dyDescent="0.25">
      <c r="C437"/>
    </row>
    <row r="438" spans="3:3" x14ac:dyDescent="0.25">
      <c r="C438"/>
    </row>
    <row r="439" spans="3:3" x14ac:dyDescent="0.25">
      <c r="C439"/>
    </row>
    <row r="440" spans="3:3" x14ac:dyDescent="0.25">
      <c r="C440"/>
    </row>
    <row r="441" spans="3:3" x14ac:dyDescent="0.25">
      <c r="C441"/>
    </row>
    <row r="442" spans="3:3" x14ac:dyDescent="0.25">
      <c r="C442"/>
    </row>
    <row r="443" spans="3:3" x14ac:dyDescent="0.25">
      <c r="C443"/>
    </row>
    <row r="444" spans="3:3" x14ac:dyDescent="0.25">
      <c r="C444"/>
    </row>
    <row r="445" spans="3:3" x14ac:dyDescent="0.25">
      <c r="C445"/>
    </row>
    <row r="446" spans="3:3" x14ac:dyDescent="0.25">
      <c r="C446"/>
    </row>
  </sheetData>
  <mergeCells count="1">
    <mergeCell ref="G1:K1"/>
  </mergeCells>
  <phoneticPr fontId="1" type="noConversion"/>
  <dataValidations disablePrompts="1" count="6">
    <dataValidation type="list" allowBlank="1" showInputMessage="1" showErrorMessage="1" sqref="A302:A320" xr:uid="{7585D87D-C591-4877-8D8B-71A58C4C8529}">
      <formula1>$A$90:$A$123</formula1>
    </dataValidation>
    <dataValidation type="list" allowBlank="1" showInputMessage="1" showErrorMessage="1" sqref="G302:T325" xr:uid="{1820C362-8427-42B5-9B3A-6D423CDAD48B}">
      <formula1>$B$88:$B$154</formula1>
    </dataValidation>
    <dataValidation type="list" allowBlank="1" showInputMessage="1" showErrorMessage="1" sqref="F271:F305" xr:uid="{85D89B34-EFD5-4B94-B8C1-81599B819769}">
      <formula1>"是,否"</formula1>
    </dataValidation>
    <dataValidation type="list" allowBlank="1" showInputMessage="1" showErrorMessage="1" sqref="A271:A301" xr:uid="{656ACC62-CBFF-4F49-B53D-C5C270382629}">
      <formula1>$A$89:$A$154</formula1>
    </dataValidation>
    <dataValidation type="list" allowBlank="1" showInputMessage="1" showErrorMessage="1" sqref="G271:T301" xr:uid="{D13A1414-3565-4AC7-90BD-023BB7A333EC}">
      <formula1>$B$89:$B$155</formula1>
    </dataValidation>
    <dataValidation type="list" allowBlank="1" showInputMessage="1" showErrorMessage="1" promptTitle="注意" prompt="输入完整装备名_x000a_·壹型之类的全部替换成一_x000a_50型前缀省略" sqref="D180:G180" xr:uid="{EEBD194D-A819-4A9F-BB1D-C7BC10511F5B}">
      <formula1>#REF!</formula1>
    </dataValidation>
  </dataValidations>
  <hyperlinks>
    <hyperlink ref="G1" r:id="rId1" xr:uid="{51B0D89E-6C07-4029-AC83-3A24C852B9E9}"/>
  </hyperlinks>
  <pageMargins left="0.7" right="0.7" top="0.75" bottom="0.75" header="0.3" footer="0.3"/>
  <pageSetup paperSize="9" orientation="portrait" r:id="rId2"/>
  <drawing r:id="rId3"/>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6C53A-34F2-4021-AA4F-B9222E2140B3}">
  <sheetPr codeName="Sheet1"/>
  <dimension ref="B2:Q57"/>
  <sheetViews>
    <sheetView topLeftCell="A37" zoomScaleNormal="100" workbookViewId="0">
      <selection activeCell="J59" sqref="J59"/>
    </sheetView>
  </sheetViews>
  <sheetFormatPr defaultRowHeight="13.8" x14ac:dyDescent="0.25"/>
  <cols>
    <col min="1" max="1" width="3.6640625" customWidth="1"/>
    <col min="3" max="3" width="33.88671875" customWidth="1"/>
    <col min="4" max="4" width="34.77734375" customWidth="1"/>
    <col min="5" max="5" width="18.77734375" customWidth="1"/>
    <col min="6" max="6" width="12.6640625" customWidth="1"/>
    <col min="8" max="8" width="12" customWidth="1"/>
    <col min="9" max="9" width="25.5546875" customWidth="1"/>
    <col min="14" max="14" width="25.109375" customWidth="1"/>
  </cols>
  <sheetData>
    <row r="2" spans="2:17" x14ac:dyDescent="0.25">
      <c r="B2" t="s">
        <v>0</v>
      </c>
      <c r="D2" s="1" t="s">
        <v>1</v>
      </c>
    </row>
    <row r="4" spans="2:17" x14ac:dyDescent="0.25">
      <c r="B4" t="s">
        <v>3</v>
      </c>
    </row>
    <row r="6" spans="2:17" x14ac:dyDescent="0.25">
      <c r="B6" s="2" t="s">
        <v>2</v>
      </c>
    </row>
    <row r="8" spans="2:17" s="10" customFormat="1" x14ac:dyDescent="0.25">
      <c r="B8" s="10" t="s">
        <v>5</v>
      </c>
    </row>
    <row r="9" spans="2:17" x14ac:dyDescent="0.25">
      <c r="B9" t="s">
        <v>33</v>
      </c>
      <c r="C9" t="s">
        <v>34</v>
      </c>
      <c r="D9" t="s">
        <v>35</v>
      </c>
      <c r="E9" t="s">
        <v>36</v>
      </c>
      <c r="F9" t="s">
        <v>37</v>
      </c>
      <c r="G9" t="s">
        <v>38</v>
      </c>
      <c r="H9" s="8" t="s">
        <v>39</v>
      </c>
      <c r="I9" s="8" t="s">
        <v>40</v>
      </c>
      <c r="J9" t="s">
        <v>41</v>
      </c>
      <c r="K9" t="s">
        <v>42</v>
      </c>
      <c r="L9" t="s">
        <v>43</v>
      </c>
      <c r="M9" t="s">
        <v>44</v>
      </c>
      <c r="N9" t="s">
        <v>45</v>
      </c>
      <c r="O9" s="8" t="s">
        <v>46</v>
      </c>
      <c r="P9" t="s">
        <v>47</v>
      </c>
      <c r="Q9" t="s">
        <v>48</v>
      </c>
    </row>
    <row r="10" spans="2:17" x14ac:dyDescent="0.25">
      <c r="B10" t="s">
        <v>49</v>
      </c>
      <c r="C10" t="s">
        <v>50</v>
      </c>
      <c r="D10" t="s">
        <v>51</v>
      </c>
      <c r="E10" t="s">
        <v>52</v>
      </c>
      <c r="F10" t="s">
        <v>53</v>
      </c>
      <c r="G10" t="s">
        <v>54</v>
      </c>
      <c r="H10" s="8"/>
      <c r="I10" s="8"/>
      <c r="J10" t="s">
        <v>55</v>
      </c>
      <c r="K10" t="s">
        <v>56</v>
      </c>
      <c r="L10">
        <v>0.5</v>
      </c>
      <c r="M10">
        <v>1.3</v>
      </c>
      <c r="N10" t="s">
        <v>57</v>
      </c>
      <c r="O10" s="8"/>
      <c r="P10" t="s">
        <v>58</v>
      </c>
      <c r="Q10" t="s">
        <v>59</v>
      </c>
    </row>
    <row r="11" spans="2:17" x14ac:dyDescent="0.25">
      <c r="B11" t="s">
        <v>60</v>
      </c>
      <c r="H11" s="8" t="s">
        <v>61</v>
      </c>
      <c r="I11" s="8" t="s">
        <v>62</v>
      </c>
      <c r="L11">
        <f>140/240</f>
        <v>0.58333333333333337</v>
      </c>
      <c r="M11">
        <v>1</v>
      </c>
      <c r="N11" t="s">
        <v>63</v>
      </c>
      <c r="O11" s="8"/>
    </row>
    <row r="13" spans="2:17" x14ac:dyDescent="0.25">
      <c r="B13" t="s">
        <v>64</v>
      </c>
    </row>
    <row r="14" spans="2:17" x14ac:dyDescent="0.25">
      <c r="B14" t="s">
        <v>33</v>
      </c>
      <c r="C14" t="s">
        <v>34</v>
      </c>
      <c r="D14" t="s">
        <v>35</v>
      </c>
      <c r="E14" s="9" t="s">
        <v>38</v>
      </c>
      <c r="F14" s="9" t="s">
        <v>41</v>
      </c>
      <c r="G14" s="9" t="s">
        <v>42</v>
      </c>
      <c r="H14" s="9" t="s">
        <v>47</v>
      </c>
      <c r="I14" s="9" t="s">
        <v>45</v>
      </c>
      <c r="J14" t="s">
        <v>43</v>
      </c>
      <c r="K14" t="s">
        <v>44</v>
      </c>
      <c r="L14" t="s">
        <v>36</v>
      </c>
      <c r="M14" t="s">
        <v>37</v>
      </c>
      <c r="N14" t="s">
        <v>48</v>
      </c>
    </row>
    <row r="15" spans="2:17" x14ac:dyDescent="0.25">
      <c r="B15" t="s">
        <v>49</v>
      </c>
      <c r="C15" t="s">
        <v>50</v>
      </c>
      <c r="D15" t="s">
        <v>51</v>
      </c>
      <c r="E15" s="9" t="s">
        <v>54</v>
      </c>
      <c r="F15" s="9" t="s">
        <v>55</v>
      </c>
      <c r="G15" s="9" t="s">
        <v>56</v>
      </c>
      <c r="H15" s="9" t="s">
        <v>58</v>
      </c>
      <c r="I15" s="9" t="s">
        <v>57</v>
      </c>
      <c r="J15">
        <v>0.5</v>
      </c>
      <c r="K15">
        <v>1.3</v>
      </c>
      <c r="L15" t="s">
        <v>52</v>
      </c>
      <c r="M15" t="s">
        <v>65</v>
      </c>
      <c r="N15" t="s">
        <v>59</v>
      </c>
    </row>
    <row r="16" spans="2:17" x14ac:dyDescent="0.25">
      <c r="E16" s="9"/>
      <c r="F16" s="9"/>
      <c r="G16" s="9"/>
      <c r="H16" s="9"/>
      <c r="I16" s="9" t="s">
        <v>63</v>
      </c>
      <c r="J16">
        <f>140/240</f>
        <v>0.58333333333333337</v>
      </c>
      <c r="K16">
        <v>1</v>
      </c>
    </row>
    <row r="18" spans="2:5" x14ac:dyDescent="0.25">
      <c r="B18" t="s">
        <v>28</v>
      </c>
    </row>
    <row r="19" spans="2:5" x14ac:dyDescent="0.25">
      <c r="B19" t="s">
        <v>30</v>
      </c>
    </row>
    <row r="20" spans="2:5" x14ac:dyDescent="0.25">
      <c r="B20" s="11" t="s">
        <v>29</v>
      </c>
      <c r="C20" s="9"/>
      <c r="D20" s="9"/>
    </row>
    <row r="21" spans="2:5" x14ac:dyDescent="0.25">
      <c r="B21" t="s">
        <v>32</v>
      </c>
    </row>
    <row r="22" spans="2:5" x14ac:dyDescent="0.25">
      <c r="B22" s="8" t="s">
        <v>31</v>
      </c>
      <c r="C22" s="8"/>
      <c r="D22" s="8"/>
    </row>
    <row r="26" spans="2:5" s="10" customFormat="1" x14ac:dyDescent="0.25">
      <c r="B26" s="10" t="s">
        <v>4</v>
      </c>
    </row>
    <row r="27" spans="2:5" x14ac:dyDescent="0.25">
      <c r="B27" t="s">
        <v>66</v>
      </c>
      <c r="C27" t="s">
        <v>67</v>
      </c>
      <c r="D27" t="s">
        <v>68</v>
      </c>
      <c r="E27" t="s">
        <v>69</v>
      </c>
    </row>
    <row r="28" spans="2:5" x14ac:dyDescent="0.25">
      <c r="B28" t="s">
        <v>70</v>
      </c>
      <c r="D28" t="s">
        <v>71</v>
      </c>
      <c r="E28" t="s">
        <v>72</v>
      </c>
    </row>
    <row r="29" spans="2:5" x14ac:dyDescent="0.25">
      <c r="B29" t="s">
        <v>73</v>
      </c>
      <c r="D29" t="s">
        <v>74</v>
      </c>
    </row>
    <row r="31" spans="2:5" ht="17.399999999999999" x14ac:dyDescent="0.25">
      <c r="B31" s="3" t="s">
        <v>6</v>
      </c>
    </row>
    <row r="32" spans="2:5" x14ac:dyDescent="0.25">
      <c r="B32" s="4"/>
    </row>
    <row r="33" spans="2:2" x14ac:dyDescent="0.25">
      <c r="B33" s="5" t="s">
        <v>7</v>
      </c>
    </row>
    <row r="34" spans="2:2" x14ac:dyDescent="0.25">
      <c r="B34" s="5" t="s">
        <v>8</v>
      </c>
    </row>
    <row r="35" spans="2:2" x14ac:dyDescent="0.25">
      <c r="B35" s="5" t="s">
        <v>9</v>
      </c>
    </row>
    <row r="36" spans="2:2" x14ac:dyDescent="0.25">
      <c r="B36" s="5" t="s">
        <v>10</v>
      </c>
    </row>
    <row r="37" spans="2:2" x14ac:dyDescent="0.25">
      <c r="B37" s="5" t="s">
        <v>11</v>
      </c>
    </row>
    <row r="38" spans="2:2" x14ac:dyDescent="0.25">
      <c r="B38" s="5" t="s">
        <v>12</v>
      </c>
    </row>
    <row r="39" spans="2:2" x14ac:dyDescent="0.25">
      <c r="B39" s="5" t="s">
        <v>13</v>
      </c>
    </row>
    <row r="41" spans="2:2" x14ac:dyDescent="0.25">
      <c r="B41" s="6" t="s">
        <v>14</v>
      </c>
    </row>
    <row r="42" spans="2:2" x14ac:dyDescent="0.25">
      <c r="B42" s="6" t="s">
        <v>15</v>
      </c>
    </row>
    <row r="43" spans="2:2" x14ac:dyDescent="0.25">
      <c r="B43" s="6" t="s">
        <v>16</v>
      </c>
    </row>
    <row r="44" spans="2:2" x14ac:dyDescent="0.25">
      <c r="B44" s="6" t="s">
        <v>17</v>
      </c>
    </row>
    <row r="45" spans="2:2" x14ac:dyDescent="0.25">
      <c r="B45" s="6" t="s">
        <v>18</v>
      </c>
    </row>
    <row r="46" spans="2:2" x14ac:dyDescent="0.25">
      <c r="B46" s="7"/>
    </row>
    <row r="47" spans="2:2" ht="17.399999999999999" x14ac:dyDescent="0.25">
      <c r="B47" s="3" t="s">
        <v>19</v>
      </c>
    </row>
    <row r="48" spans="2:2" x14ac:dyDescent="0.25">
      <c r="B48" s="4"/>
    </row>
    <row r="49" spans="2:2" x14ac:dyDescent="0.25">
      <c r="B49" s="5" t="s">
        <v>20</v>
      </c>
    </row>
    <row r="50" spans="2:2" x14ac:dyDescent="0.25">
      <c r="B50" s="5" t="s">
        <v>21</v>
      </c>
    </row>
    <row r="51" spans="2:2" x14ac:dyDescent="0.25">
      <c r="B51" s="5" t="s">
        <v>22</v>
      </c>
    </row>
    <row r="52" spans="2:2" x14ac:dyDescent="0.25">
      <c r="B52" s="5" t="s">
        <v>23</v>
      </c>
    </row>
    <row r="53" spans="2:2" x14ac:dyDescent="0.25">
      <c r="B53" s="5" t="s">
        <v>24</v>
      </c>
    </row>
    <row r="55" spans="2:2" x14ac:dyDescent="0.25">
      <c r="B55" s="6" t="s">
        <v>25</v>
      </c>
    </row>
    <row r="56" spans="2:2" x14ac:dyDescent="0.25">
      <c r="B56" s="6" t="s">
        <v>26</v>
      </c>
    </row>
    <row r="57" spans="2:2" x14ac:dyDescent="0.25">
      <c r="B57" s="6" t="s">
        <v>27</v>
      </c>
    </row>
  </sheetData>
  <phoneticPr fontId="1" type="noConversion"/>
  <hyperlinks>
    <hyperlink ref="D2" r:id="rId1" xr:uid="{017F69FF-01A6-4743-A151-262FFB83E937}"/>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96C9C-F9AD-41E5-A229-D8647B2AC7A6}">
  <sheetPr codeName="Sheet2"/>
  <dimension ref="A1:F38"/>
  <sheetViews>
    <sheetView topLeftCell="A19" workbookViewId="0">
      <selection activeCell="H20" sqref="H20"/>
    </sheetView>
  </sheetViews>
  <sheetFormatPr defaultRowHeight="13.8" x14ac:dyDescent="0.25"/>
  <cols>
    <col min="2" max="2" width="9.6640625" customWidth="1"/>
    <col min="3" max="3" width="15" customWidth="1"/>
    <col min="4" max="4" width="21" customWidth="1"/>
    <col min="5" max="5" width="24" customWidth="1"/>
  </cols>
  <sheetData>
    <row r="1" spans="1:6" x14ac:dyDescent="0.25">
      <c r="B1" t="s">
        <v>123</v>
      </c>
    </row>
    <row r="2" spans="1:6" s="71" customFormat="1" x14ac:dyDescent="0.25">
      <c r="B2" s="71" t="s">
        <v>91</v>
      </c>
      <c r="C2" s="72" t="s">
        <v>97</v>
      </c>
      <c r="D2" s="71" t="s">
        <v>98</v>
      </c>
      <c r="E2" s="71" t="s">
        <v>99</v>
      </c>
      <c r="F2" s="71" t="s">
        <v>906</v>
      </c>
    </row>
    <row r="3" spans="1:6" x14ac:dyDescent="0.25">
      <c r="A3" t="s">
        <v>109</v>
      </c>
      <c r="B3" t="s">
        <v>110</v>
      </c>
      <c r="C3" t="s">
        <v>890</v>
      </c>
      <c r="D3" t="s">
        <v>111</v>
      </c>
      <c r="E3" s="13" t="s">
        <v>648</v>
      </c>
      <c r="F3" t="s">
        <v>112</v>
      </c>
    </row>
    <row r="9" spans="1:6" ht="20.399999999999999" customHeight="1" x14ac:dyDescent="0.25">
      <c r="A9" t="s">
        <v>167</v>
      </c>
      <c r="B9" t="s">
        <v>168</v>
      </c>
      <c r="C9" s="14" t="s">
        <v>187</v>
      </c>
      <c r="D9" s="14" t="s">
        <v>188</v>
      </c>
      <c r="E9" s="13" t="s">
        <v>170</v>
      </c>
      <c r="F9" t="s">
        <v>169</v>
      </c>
    </row>
    <row r="10" spans="1:6" ht="20.399999999999999" customHeight="1" x14ac:dyDescent="0.25">
      <c r="B10" t="s">
        <v>184</v>
      </c>
      <c r="C10" s="14" t="s">
        <v>191</v>
      </c>
      <c r="D10" s="14" t="s">
        <v>190</v>
      </c>
      <c r="E10" s="13" t="s">
        <v>185</v>
      </c>
      <c r="F10" t="s">
        <v>186</v>
      </c>
    </row>
    <row r="11" spans="1:6" x14ac:dyDescent="0.25">
      <c r="B11" t="s">
        <v>182</v>
      </c>
      <c r="C11" t="s">
        <v>799</v>
      </c>
      <c r="D11" t="s">
        <v>189</v>
      </c>
      <c r="E11" t="s">
        <v>681</v>
      </c>
      <c r="F11" t="s">
        <v>1069</v>
      </c>
    </row>
    <row r="12" spans="1:6" x14ac:dyDescent="0.25">
      <c r="B12" t="s">
        <v>764</v>
      </c>
      <c r="C12" s="14" t="s">
        <v>765</v>
      </c>
      <c r="D12" s="14" t="s">
        <v>767</v>
      </c>
      <c r="E12" t="s">
        <v>769</v>
      </c>
      <c r="F12" t="s">
        <v>766</v>
      </c>
    </row>
    <row r="13" spans="1:6" s="68" customFormat="1" x14ac:dyDescent="0.25">
      <c r="B13" s="68" t="s">
        <v>1061</v>
      </c>
      <c r="C13" s="74" t="s">
        <v>765</v>
      </c>
      <c r="D13" s="74" t="s">
        <v>1062</v>
      </c>
      <c r="E13" s="76" t="s">
        <v>1063</v>
      </c>
      <c r="F13" s="76" t="s">
        <v>1064</v>
      </c>
    </row>
    <row r="14" spans="1:6" s="12" customFormat="1" x14ac:dyDescent="0.25">
      <c r="B14" s="12" t="s">
        <v>1277</v>
      </c>
      <c r="C14" s="151" t="s">
        <v>765</v>
      </c>
      <c r="D14" s="151" t="s">
        <v>1160</v>
      </c>
      <c r="E14" s="82" t="s">
        <v>1480</v>
      </c>
      <c r="F14" s="12" t="s">
        <v>1481</v>
      </c>
    </row>
    <row r="15" spans="1:6" s="68" customFormat="1" x14ac:dyDescent="0.25">
      <c r="B15" s="68" t="s">
        <v>1405</v>
      </c>
      <c r="C15" s="74" t="s">
        <v>765</v>
      </c>
      <c r="D15" s="74" t="s">
        <v>1406</v>
      </c>
      <c r="E15" s="76" t="s">
        <v>1407</v>
      </c>
      <c r="F15" s="76" t="s">
        <v>1408</v>
      </c>
    </row>
    <row r="16" spans="1:6" s="68" customFormat="1" ht="15" x14ac:dyDescent="0.35">
      <c r="B16" s="68" t="s">
        <v>1448</v>
      </c>
      <c r="C16" s="74" t="s">
        <v>1449</v>
      </c>
      <c r="D16" s="74" t="s">
        <v>1450</v>
      </c>
      <c r="E16" s="126" t="s">
        <v>1452</v>
      </c>
      <c r="F16" s="76" t="s">
        <v>1451</v>
      </c>
    </row>
    <row r="17" spans="1:6" x14ac:dyDescent="0.25">
      <c r="B17" s="68" t="s">
        <v>1349</v>
      </c>
      <c r="C17" s="74" t="s">
        <v>989</v>
      </c>
      <c r="D17" s="75" t="s">
        <v>1033</v>
      </c>
    </row>
    <row r="18" spans="1:6" x14ac:dyDescent="0.25">
      <c r="C18" s="14"/>
      <c r="D18" s="14"/>
    </row>
    <row r="19" spans="1:6" x14ac:dyDescent="0.25">
      <c r="C19" s="14"/>
      <c r="D19" s="14"/>
    </row>
    <row r="20" spans="1:6" x14ac:dyDescent="0.25">
      <c r="C20" s="14"/>
      <c r="D20" s="14"/>
    </row>
    <row r="22" spans="1:6" x14ac:dyDescent="0.25">
      <c r="A22" t="s">
        <v>654</v>
      </c>
      <c r="B22" t="s">
        <v>653</v>
      </c>
      <c r="C22" s="14" t="s">
        <v>679</v>
      </c>
      <c r="D22" s="14" t="s">
        <v>111</v>
      </c>
      <c r="E22" t="s">
        <v>705</v>
      </c>
      <c r="F22" t="s">
        <v>655</v>
      </c>
    </row>
    <row r="23" spans="1:6" x14ac:dyDescent="0.25">
      <c r="B23" t="s">
        <v>657</v>
      </c>
      <c r="C23" s="14" t="s">
        <v>679</v>
      </c>
      <c r="D23" s="14" t="s">
        <v>924</v>
      </c>
      <c r="E23" t="s">
        <v>658</v>
      </c>
      <c r="F23" t="s">
        <v>656</v>
      </c>
    </row>
    <row r="24" spans="1:6" x14ac:dyDescent="0.25">
      <c r="B24" t="s">
        <v>926</v>
      </c>
      <c r="C24" s="74" t="s">
        <v>927</v>
      </c>
      <c r="D24" s="75" t="s">
        <v>932</v>
      </c>
      <c r="E24" t="s">
        <v>928</v>
      </c>
      <c r="F24" t="s">
        <v>933</v>
      </c>
    </row>
    <row r="25" spans="1:6" x14ac:dyDescent="0.25">
      <c r="B25" t="s">
        <v>929</v>
      </c>
      <c r="C25" s="74" t="s">
        <v>911</v>
      </c>
      <c r="D25" s="75" t="s">
        <v>932</v>
      </c>
      <c r="E25" s="76" t="s">
        <v>930</v>
      </c>
      <c r="F25" s="76" t="s">
        <v>931</v>
      </c>
    </row>
    <row r="26" spans="1:6" x14ac:dyDescent="0.25">
      <c r="B26" t="s">
        <v>988</v>
      </c>
      <c r="C26" s="74" t="s">
        <v>989</v>
      </c>
      <c r="D26" s="75" t="s">
        <v>1033</v>
      </c>
    </row>
    <row r="27" spans="1:6" x14ac:dyDescent="0.25">
      <c r="C27" s="14"/>
      <c r="D27" s="14"/>
    </row>
    <row r="28" spans="1:6" x14ac:dyDescent="0.25">
      <c r="C28" s="14"/>
      <c r="D28" s="14"/>
    </row>
    <row r="31" spans="1:6" x14ac:dyDescent="0.25">
      <c r="A31" t="s">
        <v>738</v>
      </c>
      <c r="B31" t="s">
        <v>739</v>
      </c>
      <c r="C31" s="14" t="s">
        <v>857</v>
      </c>
      <c r="D31" s="14" t="s">
        <v>859</v>
      </c>
      <c r="E31" t="s">
        <v>751</v>
      </c>
      <c r="F31" t="s">
        <v>740</v>
      </c>
    </row>
    <row r="32" spans="1:6" x14ac:dyDescent="0.25">
      <c r="B32" t="s">
        <v>741</v>
      </c>
      <c r="C32" s="14" t="s">
        <v>857</v>
      </c>
      <c r="D32" s="14" t="s">
        <v>858</v>
      </c>
      <c r="E32" t="s">
        <v>744</v>
      </c>
      <c r="F32" t="s">
        <v>742</v>
      </c>
    </row>
    <row r="33" spans="2:6" x14ac:dyDescent="0.25">
      <c r="B33" t="s">
        <v>902</v>
      </c>
      <c r="C33" s="14" t="s">
        <v>903</v>
      </c>
      <c r="D33" s="14" t="s">
        <v>858</v>
      </c>
      <c r="E33" t="s">
        <v>904</v>
      </c>
      <c r="F33" t="s">
        <v>905</v>
      </c>
    </row>
    <row r="34" spans="2:6" x14ac:dyDescent="0.25">
      <c r="B34" t="s">
        <v>910</v>
      </c>
      <c r="C34" s="14" t="s">
        <v>911</v>
      </c>
      <c r="D34" s="14" t="s">
        <v>914</v>
      </c>
      <c r="E34" t="s">
        <v>912</v>
      </c>
      <c r="F34" t="s">
        <v>913</v>
      </c>
    </row>
    <row r="35" spans="2:6" s="68" customFormat="1" ht="15" x14ac:dyDescent="0.35">
      <c r="B35" s="68" t="s">
        <v>1159</v>
      </c>
      <c r="C35" s="74" t="s">
        <v>927</v>
      </c>
      <c r="D35" s="74" t="s">
        <v>1160</v>
      </c>
      <c r="E35" s="126" t="s">
        <v>1164</v>
      </c>
      <c r="F35" s="76" t="s">
        <v>1161</v>
      </c>
    </row>
    <row r="36" spans="2:6" s="68" customFormat="1" ht="15" x14ac:dyDescent="0.35">
      <c r="B36" s="68" t="s">
        <v>1214</v>
      </c>
      <c r="C36" s="74" t="s">
        <v>911</v>
      </c>
      <c r="D36" s="75" t="s">
        <v>1215</v>
      </c>
      <c r="E36" s="76" t="s">
        <v>930</v>
      </c>
      <c r="F36" s="126" t="s">
        <v>1216</v>
      </c>
    </row>
    <row r="37" spans="2:6" s="68" customFormat="1" x14ac:dyDescent="0.25">
      <c r="B37" s="68" t="s">
        <v>1411</v>
      </c>
      <c r="C37" s="74" t="s">
        <v>765</v>
      </c>
      <c r="D37" s="75" t="s">
        <v>1412</v>
      </c>
      <c r="E37" s="76" t="s">
        <v>1413</v>
      </c>
      <c r="F37" s="76" t="s">
        <v>1414</v>
      </c>
    </row>
    <row r="38" spans="2:6" s="68" customFormat="1" x14ac:dyDescent="0.25">
      <c r="B38" s="68" t="s">
        <v>1415</v>
      </c>
      <c r="C38" s="74" t="s">
        <v>1416</v>
      </c>
      <c r="D38" s="74" t="s">
        <v>1417</v>
      </c>
      <c r="E38" s="76" t="s">
        <v>1418</v>
      </c>
      <c r="F38" s="76" t="s">
        <v>1419</v>
      </c>
    </row>
  </sheetData>
  <phoneticPr fontId="1"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40772-5511-4FFC-8555-CAE15C28F112}">
  <sheetPr codeName="Sheet15"/>
  <dimension ref="A1:F38"/>
  <sheetViews>
    <sheetView topLeftCell="A7" zoomScaleNormal="100" workbookViewId="0">
      <selection activeCell="E18" sqref="E18"/>
    </sheetView>
  </sheetViews>
  <sheetFormatPr defaultRowHeight="13.8" x14ac:dyDescent="0.25"/>
  <cols>
    <col min="2" max="2" width="9.6640625" customWidth="1"/>
    <col min="3" max="3" width="15" customWidth="1"/>
    <col min="4" max="4" width="21" customWidth="1"/>
    <col min="5" max="5" width="24" customWidth="1"/>
  </cols>
  <sheetData>
    <row r="1" spans="1:6" x14ac:dyDescent="0.25">
      <c r="B1" t="s">
        <v>123</v>
      </c>
    </row>
    <row r="2" spans="1:6" s="71" customFormat="1" x14ac:dyDescent="0.25">
      <c r="B2" s="71" t="s">
        <v>91</v>
      </c>
      <c r="C2" s="72" t="s">
        <v>97</v>
      </c>
      <c r="D2" s="71" t="s">
        <v>98</v>
      </c>
      <c r="E2" s="71" t="s">
        <v>99</v>
      </c>
      <c r="F2" s="71" t="s">
        <v>906</v>
      </c>
    </row>
    <row r="3" spans="1:6" x14ac:dyDescent="0.25">
      <c r="A3" t="s">
        <v>109</v>
      </c>
      <c r="B3" t="s">
        <v>110</v>
      </c>
      <c r="C3" t="s">
        <v>890</v>
      </c>
      <c r="D3" t="s">
        <v>111</v>
      </c>
      <c r="E3" s="13" t="s">
        <v>648</v>
      </c>
      <c r="F3" t="s">
        <v>112</v>
      </c>
    </row>
    <row r="9" spans="1:6" ht="20.399999999999999" customHeight="1" x14ac:dyDescent="0.25">
      <c r="A9" t="s">
        <v>167</v>
      </c>
      <c r="B9" t="s">
        <v>168</v>
      </c>
      <c r="C9" s="14" t="s">
        <v>187</v>
      </c>
      <c r="D9" s="14" t="s">
        <v>188</v>
      </c>
      <c r="E9" s="13" t="s">
        <v>170</v>
      </c>
      <c r="F9" t="s">
        <v>169</v>
      </c>
    </row>
    <row r="10" spans="1:6" ht="20.399999999999999" customHeight="1" x14ac:dyDescent="0.25">
      <c r="B10" t="s">
        <v>184</v>
      </c>
      <c r="C10" s="14" t="s">
        <v>191</v>
      </c>
      <c r="D10" s="14" t="s">
        <v>190</v>
      </c>
      <c r="E10" s="13" t="s">
        <v>185</v>
      </c>
      <c r="F10" t="s">
        <v>186</v>
      </c>
    </row>
    <row r="11" spans="1:6" x14ac:dyDescent="0.25">
      <c r="B11" t="s">
        <v>182</v>
      </c>
      <c r="C11" t="s">
        <v>799</v>
      </c>
      <c r="D11" t="s">
        <v>189</v>
      </c>
      <c r="E11" t="s">
        <v>681</v>
      </c>
      <c r="F11" t="s">
        <v>1069</v>
      </c>
    </row>
    <row r="12" spans="1:6" x14ac:dyDescent="0.25">
      <c r="B12" t="s">
        <v>764</v>
      </c>
      <c r="C12" s="14" t="s">
        <v>765</v>
      </c>
      <c r="D12" s="14" t="s">
        <v>767</v>
      </c>
      <c r="E12" t="s">
        <v>769</v>
      </c>
      <c r="F12" t="s">
        <v>766</v>
      </c>
    </row>
    <row r="13" spans="1:6" s="68" customFormat="1" x14ac:dyDescent="0.25">
      <c r="B13" s="68" t="s">
        <v>1061</v>
      </c>
      <c r="C13" s="74" t="s">
        <v>765</v>
      </c>
      <c r="D13" s="74" t="s">
        <v>1062</v>
      </c>
      <c r="E13" s="76" t="s">
        <v>1063</v>
      </c>
      <c r="F13" s="76" t="s">
        <v>1064</v>
      </c>
    </row>
    <row r="14" spans="1:6" s="12" customFormat="1" x14ac:dyDescent="0.25">
      <c r="B14" s="12" t="s">
        <v>1277</v>
      </c>
      <c r="C14" s="151" t="s">
        <v>765</v>
      </c>
      <c r="D14" s="151" t="s">
        <v>1160</v>
      </c>
      <c r="E14" s="12" t="s">
        <v>1297</v>
      </c>
      <c r="F14" s="12" t="s">
        <v>1298</v>
      </c>
    </row>
    <row r="15" spans="1:6" s="68" customFormat="1" x14ac:dyDescent="0.25">
      <c r="B15" s="68" t="s">
        <v>1405</v>
      </c>
      <c r="C15" s="74" t="s">
        <v>765</v>
      </c>
      <c r="D15" s="74" t="s">
        <v>1406</v>
      </c>
      <c r="E15" s="76" t="s">
        <v>1407</v>
      </c>
      <c r="F15" s="76" t="s">
        <v>1408</v>
      </c>
    </row>
    <row r="16" spans="1:6" s="68" customFormat="1" ht="15" x14ac:dyDescent="0.35">
      <c r="B16" s="68" t="s">
        <v>1448</v>
      </c>
      <c r="C16" s="74" t="s">
        <v>1449</v>
      </c>
      <c r="D16" s="74" t="s">
        <v>1450</v>
      </c>
      <c r="E16" s="126" t="s">
        <v>1452</v>
      </c>
      <c r="F16" s="76" t="s">
        <v>1451</v>
      </c>
    </row>
    <row r="17" spans="1:6" x14ac:dyDescent="0.25">
      <c r="B17" s="68" t="s">
        <v>1349</v>
      </c>
      <c r="C17" s="74" t="s">
        <v>989</v>
      </c>
      <c r="D17" s="75" t="s">
        <v>1033</v>
      </c>
    </row>
    <row r="18" spans="1:6" x14ac:dyDescent="0.25">
      <c r="C18" s="14"/>
      <c r="D18" s="14"/>
    </row>
    <row r="19" spans="1:6" x14ac:dyDescent="0.25">
      <c r="C19" s="14"/>
      <c r="D19" s="14"/>
    </row>
    <row r="20" spans="1:6" x14ac:dyDescent="0.25">
      <c r="C20" s="14"/>
      <c r="D20" s="14"/>
    </row>
    <row r="22" spans="1:6" x14ac:dyDescent="0.25">
      <c r="A22" t="s">
        <v>654</v>
      </c>
      <c r="B22" t="s">
        <v>653</v>
      </c>
      <c r="C22" s="14" t="s">
        <v>679</v>
      </c>
      <c r="D22" s="14" t="s">
        <v>111</v>
      </c>
      <c r="E22" t="s">
        <v>705</v>
      </c>
      <c r="F22" t="s">
        <v>655</v>
      </c>
    </row>
    <row r="23" spans="1:6" x14ac:dyDescent="0.25">
      <c r="B23" t="s">
        <v>657</v>
      </c>
      <c r="C23" s="14" t="s">
        <v>679</v>
      </c>
      <c r="D23" s="14" t="s">
        <v>924</v>
      </c>
      <c r="E23" t="s">
        <v>658</v>
      </c>
      <c r="F23" t="s">
        <v>656</v>
      </c>
    </row>
    <row r="24" spans="1:6" x14ac:dyDescent="0.25">
      <c r="B24" t="s">
        <v>926</v>
      </c>
      <c r="C24" s="74" t="s">
        <v>927</v>
      </c>
      <c r="D24" s="75" t="s">
        <v>932</v>
      </c>
      <c r="E24" t="s">
        <v>928</v>
      </c>
      <c r="F24" t="s">
        <v>933</v>
      </c>
    </row>
    <row r="25" spans="1:6" x14ac:dyDescent="0.25">
      <c r="B25" t="s">
        <v>929</v>
      </c>
      <c r="C25" s="74" t="s">
        <v>911</v>
      </c>
      <c r="D25" s="75" t="s">
        <v>932</v>
      </c>
      <c r="E25" s="76" t="s">
        <v>930</v>
      </c>
      <c r="F25" s="76" t="s">
        <v>931</v>
      </c>
    </row>
    <row r="26" spans="1:6" x14ac:dyDescent="0.25">
      <c r="B26" t="s">
        <v>988</v>
      </c>
      <c r="C26" s="74" t="s">
        <v>989</v>
      </c>
      <c r="D26" s="75" t="s">
        <v>1033</v>
      </c>
    </row>
    <row r="27" spans="1:6" x14ac:dyDescent="0.25">
      <c r="C27" s="14"/>
      <c r="D27" s="14"/>
    </row>
    <row r="28" spans="1:6" x14ac:dyDescent="0.25">
      <c r="C28" s="14"/>
      <c r="D28" s="14"/>
    </row>
    <row r="31" spans="1:6" x14ac:dyDescent="0.25">
      <c r="A31" t="s">
        <v>738</v>
      </c>
      <c r="B31" t="s">
        <v>739</v>
      </c>
      <c r="C31" s="14" t="s">
        <v>857</v>
      </c>
      <c r="D31" s="14" t="s">
        <v>859</v>
      </c>
      <c r="E31" t="s">
        <v>751</v>
      </c>
      <c r="F31" t="s">
        <v>740</v>
      </c>
    </row>
    <row r="32" spans="1:6" x14ac:dyDescent="0.25">
      <c r="B32" t="s">
        <v>741</v>
      </c>
      <c r="C32" s="14" t="s">
        <v>857</v>
      </c>
      <c r="D32" s="14" t="s">
        <v>858</v>
      </c>
      <c r="E32" t="s">
        <v>744</v>
      </c>
      <c r="F32" t="s">
        <v>742</v>
      </c>
    </row>
    <row r="33" spans="2:6" x14ac:dyDescent="0.25">
      <c r="B33" t="s">
        <v>902</v>
      </c>
      <c r="C33" s="14" t="s">
        <v>903</v>
      </c>
      <c r="D33" s="14" t="s">
        <v>858</v>
      </c>
      <c r="E33" t="s">
        <v>904</v>
      </c>
      <c r="F33" t="s">
        <v>905</v>
      </c>
    </row>
    <row r="34" spans="2:6" x14ac:dyDescent="0.25">
      <c r="B34" t="s">
        <v>910</v>
      </c>
      <c r="C34" s="14" t="s">
        <v>911</v>
      </c>
      <c r="D34" s="14" t="s">
        <v>914</v>
      </c>
      <c r="E34" t="s">
        <v>912</v>
      </c>
      <c r="F34" t="s">
        <v>913</v>
      </c>
    </row>
    <row r="35" spans="2:6" s="68" customFormat="1" ht="15" x14ac:dyDescent="0.35">
      <c r="B35" s="68" t="s">
        <v>1159</v>
      </c>
      <c r="C35" s="74" t="s">
        <v>927</v>
      </c>
      <c r="D35" s="74" t="s">
        <v>1160</v>
      </c>
      <c r="E35" s="126" t="s">
        <v>1164</v>
      </c>
      <c r="F35" s="76" t="s">
        <v>1161</v>
      </c>
    </row>
    <row r="36" spans="2:6" s="68" customFormat="1" ht="15" x14ac:dyDescent="0.35">
      <c r="B36" s="68" t="s">
        <v>1214</v>
      </c>
      <c r="C36" s="74" t="s">
        <v>911</v>
      </c>
      <c r="D36" s="75" t="s">
        <v>1215</v>
      </c>
      <c r="E36" s="76" t="s">
        <v>930</v>
      </c>
      <c r="F36" s="126" t="s">
        <v>1216</v>
      </c>
    </row>
    <row r="37" spans="2:6" s="68" customFormat="1" x14ac:dyDescent="0.25">
      <c r="B37" s="68" t="s">
        <v>1411</v>
      </c>
      <c r="C37" s="74" t="s">
        <v>765</v>
      </c>
      <c r="D37" s="75" t="s">
        <v>1412</v>
      </c>
      <c r="E37" s="76" t="s">
        <v>1413</v>
      </c>
      <c r="F37" s="76" t="s">
        <v>1414</v>
      </c>
    </row>
    <row r="38" spans="2:6" s="68" customFormat="1" x14ac:dyDescent="0.25">
      <c r="B38" s="68" t="s">
        <v>1415</v>
      </c>
      <c r="C38" s="74" t="s">
        <v>1416</v>
      </c>
      <c r="D38" s="74" t="s">
        <v>1417</v>
      </c>
      <c r="E38" s="76" t="s">
        <v>1418</v>
      </c>
      <c r="F38" s="76" t="s">
        <v>1419</v>
      </c>
    </row>
  </sheetData>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7E899-321D-405F-BCD3-BC0B1834E89B}">
  <sheetPr codeName="Sheet7"/>
  <dimension ref="A1:AQ281"/>
  <sheetViews>
    <sheetView topLeftCell="A205" zoomScaleNormal="100" workbookViewId="0">
      <selection activeCell="M126" sqref="A126:XFD126"/>
    </sheetView>
  </sheetViews>
  <sheetFormatPr defaultRowHeight="13.8" x14ac:dyDescent="0.25"/>
  <cols>
    <col min="1" max="1" width="12.88671875" customWidth="1"/>
    <col min="2" max="2" width="22.88671875" customWidth="1"/>
    <col min="3" max="3" width="24.6640625" customWidth="1"/>
    <col min="4" max="4" width="26" customWidth="1"/>
    <col min="5" max="5" width="12.44140625" customWidth="1"/>
    <col min="6" max="6" width="16.5546875" customWidth="1"/>
    <col min="7" max="7" width="16.6640625" customWidth="1"/>
    <col min="8" max="8" width="10.88671875" customWidth="1"/>
    <col min="10" max="10" width="26.88671875" customWidth="1"/>
    <col min="11" max="11" width="15.77734375" customWidth="1"/>
    <col min="12" max="12" width="13.88671875" customWidth="1"/>
    <col min="13" max="13" width="15.6640625" customWidth="1"/>
    <col min="14" max="15" width="14.109375" customWidth="1"/>
    <col min="16" max="16" width="29.77734375" customWidth="1"/>
    <col min="17" max="17" width="8.88671875" customWidth="1"/>
    <col min="18" max="18" width="23" customWidth="1"/>
    <col min="19" max="19" width="30.88671875" customWidth="1"/>
    <col min="30" max="30" width="8.88671875" style="58"/>
    <col min="31" max="31" width="27.44140625" customWidth="1"/>
  </cols>
  <sheetData>
    <row r="1" spans="2:43" x14ac:dyDescent="0.25">
      <c r="AF1" s="60"/>
      <c r="AG1" s="60"/>
      <c r="AH1" s="60"/>
      <c r="AI1" s="60"/>
      <c r="AJ1" s="60"/>
      <c r="AK1" s="60"/>
      <c r="AL1" s="60"/>
      <c r="AM1" s="60"/>
      <c r="AN1" s="60"/>
      <c r="AO1" s="60"/>
      <c r="AP1" s="60"/>
      <c r="AQ1" s="60"/>
    </row>
    <row r="6" spans="2:43" x14ac:dyDescent="0.25">
      <c r="AF6" s="60">
        <v>1</v>
      </c>
      <c r="AG6" s="60">
        <v>2</v>
      </c>
      <c r="AH6" s="60">
        <v>3</v>
      </c>
      <c r="AI6" s="60">
        <v>4</v>
      </c>
      <c r="AJ6" s="60">
        <v>5</v>
      </c>
      <c r="AK6" s="60">
        <v>6</v>
      </c>
      <c r="AL6" s="60">
        <v>7</v>
      </c>
      <c r="AM6" s="60">
        <v>8</v>
      </c>
      <c r="AN6" s="60">
        <v>9</v>
      </c>
      <c r="AO6" s="60" t="s">
        <v>124</v>
      </c>
      <c r="AP6" s="60" t="s">
        <v>125</v>
      </c>
      <c r="AQ6" s="60" t="s">
        <v>126</v>
      </c>
    </row>
    <row r="7" spans="2:43" s="40" customFormat="1" ht="14.4" thickBot="1" x14ac:dyDescent="0.3">
      <c r="B7" s="40" t="s">
        <v>82</v>
      </c>
      <c r="AD7" s="59"/>
    </row>
    <row r="8" spans="2:43" x14ac:dyDescent="0.25">
      <c r="B8" s="25" t="s">
        <v>961</v>
      </c>
      <c r="C8" s="26" t="s">
        <v>75</v>
      </c>
      <c r="D8" s="26" t="s">
        <v>85</v>
      </c>
      <c r="E8" s="26" t="s">
        <v>86</v>
      </c>
      <c r="F8" s="26" t="s">
        <v>87</v>
      </c>
      <c r="G8" s="26" t="s">
        <v>88</v>
      </c>
      <c r="H8" s="26" t="s">
        <v>89</v>
      </c>
      <c r="I8" s="26" t="s">
        <v>192</v>
      </c>
      <c r="J8" s="83"/>
      <c r="AE8" s="41" t="s">
        <v>76</v>
      </c>
    </row>
    <row r="9" spans="2:43" x14ac:dyDescent="0.25">
      <c r="B9" s="28" t="s">
        <v>91</v>
      </c>
      <c r="C9" s="21" t="s">
        <v>184</v>
      </c>
      <c r="D9" s="21" t="s">
        <v>760</v>
      </c>
      <c r="E9" s="21" t="s">
        <v>580</v>
      </c>
      <c r="F9" s="21" t="s">
        <v>582</v>
      </c>
      <c r="G9" s="21" t="s">
        <v>513</v>
      </c>
      <c r="H9" t="str">
        <f>IF(COUNTIF(E9:G9,LEFT(D9,2)&amp;"*")&gt;=2,LEFT(D9,2),
IF(COUNTIF(F9:G9,LEFT(E9,2)&amp;"*")=2,LEFT(E9,2),
""))</f>
        <v>长息</v>
      </c>
      <c r="I9" s="21">
        <v>0</v>
      </c>
      <c r="J9" s="29"/>
      <c r="AF9" s="15">
        <v>1</v>
      </c>
      <c r="AG9" s="15">
        <v>2</v>
      </c>
      <c r="AH9" s="15">
        <v>3</v>
      </c>
      <c r="AI9" s="15">
        <v>4</v>
      </c>
      <c r="AJ9" s="15">
        <v>5</v>
      </c>
      <c r="AK9" s="15">
        <v>6</v>
      </c>
      <c r="AL9" s="15">
        <v>7</v>
      </c>
      <c r="AM9" s="15">
        <v>8</v>
      </c>
      <c r="AN9" s="15">
        <v>9</v>
      </c>
      <c r="AO9" s="15" t="s">
        <v>124</v>
      </c>
      <c r="AP9" s="15" t="s">
        <v>125</v>
      </c>
      <c r="AQ9" s="15" t="s">
        <v>126</v>
      </c>
    </row>
    <row r="10" spans="2:43" x14ac:dyDescent="0.25">
      <c r="B10" s="28" t="s">
        <v>183</v>
      </c>
      <c r="D10" s="21">
        <v>3</v>
      </c>
      <c r="E10" s="21">
        <v>3</v>
      </c>
      <c r="F10" s="21">
        <v>3</v>
      </c>
      <c r="G10" s="21">
        <v>3</v>
      </c>
      <c r="J10" s="29"/>
      <c r="AE10" s="14" t="s">
        <v>160</v>
      </c>
      <c r="AF10" s="16">
        <v>1.42</v>
      </c>
      <c r="AG10" s="16">
        <v>1.56</v>
      </c>
      <c r="AH10" s="16">
        <v>1.71</v>
      </c>
      <c r="AI10" s="16">
        <v>1.85</v>
      </c>
      <c r="AJ10" s="16">
        <v>1.99</v>
      </c>
      <c r="AK10" s="16">
        <v>2.13</v>
      </c>
      <c r="AL10" s="16">
        <v>2.2799999999999998</v>
      </c>
      <c r="AM10" s="16">
        <v>2.42</v>
      </c>
      <c r="AN10" s="16">
        <v>2.56</v>
      </c>
      <c r="AO10" s="16">
        <v>2.74</v>
      </c>
      <c r="AP10" s="16">
        <v>2.95</v>
      </c>
      <c r="AQ10" s="16">
        <v>3.2</v>
      </c>
    </row>
    <row r="11" spans="2:43" x14ac:dyDescent="0.25">
      <c r="B11" s="84" t="s">
        <v>97</v>
      </c>
      <c r="C11" t="str">
        <f>_xlfn.XLOOKUP(C9,武器库!$B:$B,武器库!$C:$C,"")</f>
        <v>智识156</v>
      </c>
      <c r="D11" t="str">
        <f>VLOOKUP(D9,护甲库!$A:$M,2+D10*3,FALSE)</f>
        <v>意志113</v>
      </c>
      <c r="E11" t="str">
        <f>VLOOKUP(E9,护手库!$A:$M,2+E10*3,FALSE)</f>
        <v>智识84</v>
      </c>
      <c r="F11" t="str">
        <f>VLOOKUP(F9,配件库!$A:$M,2+F10*3,FALSE)</f>
        <v>意志41</v>
      </c>
      <c r="G11" t="str">
        <f>VLOOKUP(G9,配件库!$A:$M,2+G10*3,FALSE)</f>
        <v>智识53</v>
      </c>
      <c r="H11" s="11"/>
      <c r="J11" s="29"/>
      <c r="AE11" s="14" t="s">
        <v>155</v>
      </c>
      <c r="AF11" s="14">
        <v>10</v>
      </c>
      <c r="AG11" s="14">
        <v>10</v>
      </c>
      <c r="AH11" s="14">
        <v>10</v>
      </c>
      <c r="AI11" s="14">
        <v>10</v>
      </c>
      <c r="AJ11" s="14">
        <v>10</v>
      </c>
      <c r="AK11" s="14">
        <v>10</v>
      </c>
      <c r="AL11" s="14">
        <v>10</v>
      </c>
      <c r="AM11" s="14">
        <v>10</v>
      </c>
      <c r="AN11" s="14">
        <v>10</v>
      </c>
      <c r="AO11" s="14">
        <v>10</v>
      </c>
      <c r="AP11" s="14">
        <v>10</v>
      </c>
      <c r="AQ11" s="14">
        <v>10</v>
      </c>
    </row>
    <row r="12" spans="2:43" x14ac:dyDescent="0.25">
      <c r="B12" s="28" t="s">
        <v>98</v>
      </c>
      <c r="C12" s="43" t="str">
        <f>_xlfn.XLOOKUP(C9,武器库!$B:$B,武器库!$D:$D,"")</f>
        <v>治疗效率46.4</v>
      </c>
      <c r="D12" t="str">
        <f>VLOOKUP(D9,护甲库!$A:$M,3+D10*3,FALSE)</f>
        <v>智识75</v>
      </c>
      <c r="E12" t="str">
        <f>VLOOKUP(E9,护手库!$A:$M,3+E10*3,FALSE)</f>
        <v>意志55</v>
      </c>
      <c r="F12" t="str">
        <f>VLOOKUP(F9,配件库!$A:$M,3+F10*3,FALSE)</f>
        <v>智识27</v>
      </c>
      <c r="G12">
        <f>VLOOKUP(G9,配件库!$A:$M,3+G10*3,FALSE)</f>
        <v>0</v>
      </c>
      <c r="H12" s="9"/>
      <c r="J12" s="29"/>
      <c r="AE12" s="14" t="s">
        <v>193</v>
      </c>
      <c r="AF12" s="16">
        <v>0.12</v>
      </c>
      <c r="AG12" s="16">
        <v>0.12</v>
      </c>
      <c r="AH12" s="16">
        <v>0.12</v>
      </c>
      <c r="AI12" s="16">
        <v>0.13</v>
      </c>
      <c r="AJ12" s="16">
        <v>0.13</v>
      </c>
      <c r="AK12" s="16">
        <v>0.13</v>
      </c>
      <c r="AL12" s="16">
        <v>0.14000000000000001</v>
      </c>
      <c r="AM12" s="16">
        <v>0.14000000000000001</v>
      </c>
      <c r="AN12" s="16">
        <v>0.16</v>
      </c>
      <c r="AO12" s="16">
        <v>0.17</v>
      </c>
      <c r="AP12" s="16">
        <v>0.18</v>
      </c>
      <c r="AQ12" s="16">
        <v>0.2</v>
      </c>
    </row>
    <row r="13" spans="2:43" x14ac:dyDescent="0.25">
      <c r="B13" s="28" t="s">
        <v>99</v>
      </c>
      <c r="C13" s="43" t="str">
        <f>_xlfn.XLOOKUP(C9,武器库!$B:$B,武器库!$E:$E,"")</f>
        <v xml:space="preserve">	副能力25.6</v>
      </c>
      <c r="D13" s="43" t="str">
        <f>VLOOKUP(D9,护甲库!$A:$M,4+D10*3,FALSE)</f>
        <v>技艺26</v>
      </c>
      <c r="E13" s="43" t="str">
        <f>VLOOKUP(E9,护手库!$A:$M,4+E10*3,FALSE)</f>
        <v>充能26.7</v>
      </c>
      <c r="F13" s="43" t="str">
        <f>VLOOKUP(F9,配件库!$A:$M,4+F10*3,FALSE)</f>
        <v>充能32.0</v>
      </c>
      <c r="G13" s="43" t="str">
        <f>VLOOKUP(G9,配件库!$A:$M,4+G10*3,FALSE)</f>
        <v>战技53.8</v>
      </c>
      <c r="H13" s="9"/>
      <c r="J13" s="29"/>
      <c r="AE13" s="14" t="s">
        <v>194</v>
      </c>
      <c r="AF13" s="14">
        <v>30</v>
      </c>
      <c r="AG13" s="14">
        <v>30</v>
      </c>
      <c r="AH13" s="14">
        <v>30</v>
      </c>
      <c r="AI13" s="14">
        <v>30</v>
      </c>
      <c r="AJ13" s="14">
        <v>30</v>
      </c>
      <c r="AK13" s="14">
        <v>30</v>
      </c>
      <c r="AL13" s="14">
        <v>30</v>
      </c>
      <c r="AM13" s="14">
        <v>30</v>
      </c>
      <c r="AN13" s="14">
        <v>30</v>
      </c>
      <c r="AO13" s="14">
        <v>30</v>
      </c>
      <c r="AP13" s="14">
        <v>30</v>
      </c>
      <c r="AQ13" s="14">
        <v>30</v>
      </c>
    </row>
    <row r="14" spans="2:43" x14ac:dyDescent="0.25">
      <c r="B14" s="28" t="s">
        <v>90</v>
      </c>
      <c r="C14" t="str">
        <f>_xlfn.XLOOKUP(C9,武器库!$B:$B,武器库!$F:$F,"")</f>
        <v>装备者消耗腐蚀后，使目标敌人受到的法术伤害+16.0%，持续25秒。</v>
      </c>
      <c r="D14" s="22"/>
      <c r="F14" s="22"/>
      <c r="G14" s="9"/>
      <c r="H14" s="9"/>
      <c r="J14" s="29"/>
    </row>
    <row r="15" spans="2:43" ht="14.4" thickBot="1" x14ac:dyDescent="0.3">
      <c r="B15" s="30" t="s">
        <v>89</v>
      </c>
      <c r="C15" s="18" t="str">
        <f>VLOOKUP(H9,套装效果库!A:B,2,0)</f>
        <v>生命值+1000。装备者施加增幅、庇护、脆弱、虚弱后，使其他队友造成的伤害+16%，持续15秒。该效果无法叠加。</v>
      </c>
      <c r="D15" s="19"/>
      <c r="E15" s="18"/>
      <c r="F15" s="19"/>
      <c r="G15" s="20"/>
      <c r="H15" s="20"/>
      <c r="I15" s="18"/>
      <c r="J15" s="31"/>
    </row>
    <row r="18" spans="2:26" x14ac:dyDescent="0.25">
      <c r="C18" t="s">
        <v>990</v>
      </c>
      <c r="D18" t="s">
        <v>1054</v>
      </c>
      <c r="K18" s="12"/>
      <c r="L18" s="17" t="s">
        <v>701</v>
      </c>
      <c r="M18" s="17" t="s">
        <v>157</v>
      </c>
      <c r="N18" s="17" t="s">
        <v>702</v>
      </c>
      <c r="O18" s="89" t="s">
        <v>158</v>
      </c>
    </row>
    <row r="19" spans="2:26" x14ac:dyDescent="0.25">
      <c r="C19" s="21" t="s">
        <v>162</v>
      </c>
      <c r="D19" s="21" t="s">
        <v>108</v>
      </c>
      <c r="E19" s="43" t="s">
        <v>107</v>
      </c>
      <c r="F19" s="43" t="s">
        <v>644</v>
      </c>
      <c r="G19" s="43" t="s">
        <v>76</v>
      </c>
      <c r="H19" s="43" t="s">
        <v>761</v>
      </c>
      <c r="I19" s="43"/>
      <c r="K19" t="s">
        <v>183</v>
      </c>
      <c r="L19" s="21">
        <v>0</v>
      </c>
      <c r="M19" s="21" t="s">
        <v>645</v>
      </c>
      <c r="N19" s="21">
        <v>0</v>
      </c>
      <c r="O19" s="37">
        <v>0</v>
      </c>
    </row>
    <row r="20" spans="2:26" x14ac:dyDescent="0.25">
      <c r="B20" t="s">
        <v>164</v>
      </c>
      <c r="C20" s="21">
        <f>145+60</f>
        <v>205</v>
      </c>
      <c r="D20" s="21">
        <v>118</v>
      </c>
      <c r="E20" cm="1">
        <f t="array" ref="E20">SUM(IFERROR(
    VALUE(MID($C10:$G13,
             SEARCH(E19, $C10:$G13) + LEN(E19),
             10)) *
    ISNUMBER(SEARCH(E19,$C10:$G13)),
    0
))/100+IFERROR(
    MID($C15, SEARCH(E19, $C15) + LEN(E19), 2) / 100,
    0
)</f>
        <v>0.25600000000000001</v>
      </c>
      <c r="F20" cm="1">
        <f t="array" ref="F20">SUM(IFERROR(
    VALUE(MID($C10:$G13,
             SEARCH(F19, $C10:$G13) + LEN(F19),
             10)) *
    ISNUMBER(SEARCH(F19,$C10:$G13)),
    0
))/100+IFERROR(
    MID($C15, SEARCH(F19, $C15) + LEN(F19), 2) / 100,
    0
)</f>
        <v>0.26</v>
      </c>
      <c r="G20" cm="1">
        <f t="array" ref="G20">SUM(IFERROR(
    VALUE(MID($C10:$G13,
             SEARCH(G19, $C10:$G13) + LEN(G19),
             10)) *
    ISNUMBER(SEARCH(G19,$C10:$G13)),
    0
))/100+IFERROR(
    MID($C15, SEARCH(G19, $C15) + LEN(G19), 2) / 100,
    0
)</f>
        <v>0.53799999999999992</v>
      </c>
      <c r="H20" cm="1">
        <f t="array" ref="H20">SUM(IFERROR(
    VALUE(MID($C10:$G13,
             SEARCH(H19, $C10:$G13) + LEN(H19),
             10)) *
    ISNUMBER(SEARCH(H19,$C10:$G13)),
    0
))/100+IFERROR(
    MID($C15, SEARCH(H19, $C15) + LEN(H19), 2) / 100,
    0
)</f>
        <v>0.46399999999999997</v>
      </c>
      <c r="I20" cm="1">
        <f t="array" ref="I20">SUM(IFERROR(
    VALUE(MID($C10:$G13,
             SEARCH(I19, $C10:$G13) + LEN(I19),
             10)) *
    ISNUMBER(SEARCH(I19,$C10:$G13)),
    0
))/100+IFERROR(
    MID($C15, SEARCH(I19, $C15) + LEN(I19), 2) / 100,
    0
)</f>
        <v>0.12</v>
      </c>
      <c r="K20" t="s">
        <v>195</v>
      </c>
      <c r="L20" s="23" cm="1">
        <f t="array" ref="L20">_xlfn.XLOOKUP(L19,$AE$6:$AQ$6,AE9:AQ15,0,0,1)</f>
        <v>0</v>
      </c>
      <c r="M20" s="23" cm="1">
        <f t="array" ref="M20:M23">_xlfn.XLOOKUP(M19,$AE$6:$AQ$6,AE10:AQ13,0,0,1)</f>
        <v>3.2</v>
      </c>
      <c r="N20" s="23" cm="1">
        <f t="array" ref="N20">_xlfn.XLOOKUP(N19,$AE$6:$AQ$6,AE40:AQ43,0,0,1)</f>
        <v>0</v>
      </c>
      <c r="O20" s="23" cm="1">
        <f t="array" ref="O20">_xlfn.XLOOKUP(O19,$AE$6:$AQ$6,AE48:AQ53,0,0,1)</f>
        <v>0</v>
      </c>
    </row>
    <row r="21" spans="2:26" x14ac:dyDescent="0.25">
      <c r="B21" s="22" t="s">
        <v>165</v>
      </c>
      <c r="C21" cm="1">
        <f t="array" ref="C21">SUM(IFERROR(
    VALUE(MID($C10:$G13,
             FIND(C19, $C10:$G13) + LEN(C19),
             10)) *
    ISNUMBER(FIND(C19, $C10:$G13)),
    0
))+SUM(IFERROR(
    VALUE(MID($C10:$G13,
             FIND(C18, $C10:$G13) + LEN(C18),
             10)) *
    ISNUMBER(FIND(C18, $C10:$G13)),
    0
))+IFERROR(
    MID($C15, SEARCH(C19, $C15) + LEN(C19), 2) / 100,
    0
)+IFERROR(
    MID($C15, SEARCH(C18, $C15) + LEN(C18), 2) / 100,
    0
)</f>
        <v>395</v>
      </c>
      <c r="D21" cm="1">
        <f t="array" ref="D21">SUM(IFERROR(
    VALUE(MID($C10:$G13,
             FIND(D19, $C10:$G13) + LEN(D19),
             10)) *
    ISNUMBER(FIND(D19, $C10:$G13)),
    0
))+SUM(IFERROR(
    VALUE(MID($C10:$G13,
             FIND(D18, $C10:$G13) + LEN(D18),
             10)) *
    ISNUMBER(FIND(D18, $C10:$G13)),
    0
))+IFERROR(
    MID($C15, SEARCH(D19, $C15) + LEN(D19), 2) / 100,
    0
)+IFERROR(
    MID($C15, SEARCH(D18, $C15) + LEN(D18), 2) / 100,
    0
)</f>
        <v>209</v>
      </c>
      <c r="M21">
        <v>10</v>
      </c>
    </row>
    <row r="22" spans="2:26" x14ac:dyDescent="0.25">
      <c r="B22" s="22" t="s">
        <v>166</v>
      </c>
      <c r="C22" s="12" cm="1">
        <f t="array" ref="C22">ROUNDUP(SUM(C20:C21)*(1+IF(LEN(TRIM(LEFT(C18,3)))=0, 0,
   SUMPRODUCT(
       IFERROR(
           VALUE(MID($C10:$G13,
                   SEARCH(LEFT(C18,3), $C10:$G13) + 3,
                   10)) *
           ISNUMBER(SEARCH(LEFT(C18,3), $C10:$G13)),
           0
       )
   )+IFERROR(
    MID($C15, SEARCH(C19, $C15) + LEN(C19), 2) / 100,
    0
)
)/100),0)</f>
        <v>600</v>
      </c>
      <c r="D22" s="12" cm="1">
        <f t="array" ref="D22">ROUNDUP(SUM(D20:D21)*(1+IF(LEN(TRIM(LEFT(D18,3)))=0, 0,
   SUMPRODUCT(
       IFERROR(
           VALUE(MID($C10:$G13,
                   SEARCH(LEFT(D18,3), $C10:$G13) + 3,
                   10)) *
           ISNUMBER(SEARCH(LEFT(D18,3), $C10:$G13)),
           0
       )
   )+IFERROR(
    MID($C15, SEARCH(D19, $C15) + LEN(D19), 2) / 100,
    0
)
)/100),0)</f>
        <v>411</v>
      </c>
      <c r="M22">
        <v>0.2</v>
      </c>
    </row>
    <row r="23" spans="2:26" x14ac:dyDescent="0.25">
      <c r="B23" s="22" t="s">
        <v>93</v>
      </c>
      <c r="C23">
        <f>C22*0.005+D22*0.002</f>
        <v>3.8220000000000001</v>
      </c>
      <c r="D23" s="12"/>
      <c r="M23">
        <v>30</v>
      </c>
    </row>
    <row r="24" spans="2:26" x14ac:dyDescent="0.25">
      <c r="B24" s="22"/>
      <c r="D24" s="12"/>
    </row>
    <row r="25" spans="2:26" x14ac:dyDescent="0.25">
      <c r="B25" s="22"/>
      <c r="D25" s="12"/>
    </row>
    <row r="26" spans="2:26" x14ac:dyDescent="0.25">
      <c r="B26" s="22"/>
      <c r="D26" s="12"/>
    </row>
    <row r="27" spans="2:26" x14ac:dyDescent="0.25">
      <c r="B27" s="22"/>
      <c r="D27" s="12"/>
    </row>
    <row r="28" spans="2:26" x14ac:dyDescent="0.25">
      <c r="B28" s="22"/>
      <c r="D28" s="12"/>
    </row>
    <row r="29" spans="2:26" x14ac:dyDescent="0.25">
      <c r="B29" s="22"/>
      <c r="D29" s="12"/>
    </row>
    <row r="30" spans="2:26" x14ac:dyDescent="0.25">
      <c r="B30" s="22"/>
      <c r="D30" s="12"/>
    </row>
    <row r="31" spans="2:26" x14ac:dyDescent="0.25">
      <c r="C31" s="22"/>
      <c r="D31" s="12"/>
      <c r="E31" s="12"/>
      <c r="F31" s="12"/>
    </row>
    <row r="32" spans="2:26" ht="14.4" thickBot="1" x14ac:dyDescent="0.3">
      <c r="C32" s="28" t="s">
        <v>978</v>
      </c>
      <c r="E32" s="61" t="s">
        <v>755</v>
      </c>
      <c r="F32" s="61"/>
      <c r="G32" s="61"/>
      <c r="H32" s="61"/>
      <c r="I32" s="61"/>
      <c r="J32" s="127" t="s">
        <v>785</v>
      </c>
      <c r="K32" s="127"/>
      <c r="L32" s="127"/>
      <c r="M32" s="127"/>
      <c r="N32" s="63" t="s">
        <v>154</v>
      </c>
      <c r="O32" s="63"/>
      <c r="P32" s="63"/>
      <c r="Q32" s="63"/>
      <c r="R32" s="63"/>
      <c r="S32" s="63"/>
      <c r="T32" s="8" t="s">
        <v>161</v>
      </c>
      <c r="U32" s="8"/>
      <c r="V32" s="8"/>
      <c r="W32" s="8"/>
      <c r="X32" s="8"/>
      <c r="Y32" s="8"/>
      <c r="Z32" s="8"/>
    </row>
    <row r="33" spans="1:43" x14ac:dyDescent="0.25">
      <c r="A33" s="25"/>
      <c r="B33" s="26" t="s">
        <v>695</v>
      </c>
      <c r="C33" s="17" t="s">
        <v>704</v>
      </c>
      <c r="D33" s="17" t="s">
        <v>991</v>
      </c>
      <c r="E33" s="52" t="s">
        <v>92</v>
      </c>
      <c r="F33" s="52" t="s">
        <v>94</v>
      </c>
      <c r="G33" s="52" t="s">
        <v>95</v>
      </c>
      <c r="H33" s="52" t="s">
        <v>93</v>
      </c>
      <c r="I33" s="52" t="s">
        <v>96</v>
      </c>
      <c r="J33" s="64" t="s">
        <v>688</v>
      </c>
      <c r="K33" s="64" t="s">
        <v>689</v>
      </c>
      <c r="L33" s="64" t="s">
        <v>690</v>
      </c>
      <c r="M33" s="64" t="s">
        <v>163</v>
      </c>
      <c r="N33" s="64" t="s">
        <v>707</v>
      </c>
      <c r="O33" s="64" t="s">
        <v>153</v>
      </c>
      <c r="P33" s="64" t="s">
        <v>76</v>
      </c>
      <c r="Q33" s="64" t="s">
        <v>77</v>
      </c>
      <c r="R33" s="64" t="s">
        <v>78</v>
      </c>
      <c r="S33" s="64" t="s">
        <v>703</v>
      </c>
      <c r="T33" s="64" t="s">
        <v>83</v>
      </c>
      <c r="U33" s="64" t="s">
        <v>80</v>
      </c>
      <c r="V33" s="64" t="s">
        <v>79</v>
      </c>
      <c r="W33" s="64" t="s">
        <v>691</v>
      </c>
      <c r="X33" s="64" t="s">
        <v>694</v>
      </c>
      <c r="Y33" s="64" t="s">
        <v>693</v>
      </c>
      <c r="Z33" s="64" t="s">
        <v>692</v>
      </c>
    </row>
    <row r="34" spans="1:43" x14ac:dyDescent="0.25">
      <c r="A34" s="28"/>
      <c r="B34" t="s">
        <v>82</v>
      </c>
      <c r="C34" t="s">
        <v>156</v>
      </c>
      <c r="D34" t="s">
        <v>805</v>
      </c>
    </row>
    <row r="35" spans="1:43" x14ac:dyDescent="0.25">
      <c r="C35" t="s">
        <v>699</v>
      </c>
      <c r="D35" s="22" t="s">
        <v>805</v>
      </c>
    </row>
    <row r="36" spans="1:43" x14ac:dyDescent="0.25">
      <c r="B36">
        <v>30</v>
      </c>
      <c r="C36" t="s">
        <v>805</v>
      </c>
      <c r="D36" s="22" t="s">
        <v>787</v>
      </c>
      <c r="T36">
        <f>IF($I$9&gt;0,$L$22+0.08,$L$22)</f>
        <v>0</v>
      </c>
    </row>
    <row r="37" spans="1:43" x14ac:dyDescent="0.25">
      <c r="B37">
        <v>25</v>
      </c>
      <c r="C37" t="s">
        <v>805</v>
      </c>
      <c r="D37" s="22" t="s">
        <v>788</v>
      </c>
      <c r="V37">
        <f>0.14</f>
        <v>0.14000000000000001</v>
      </c>
    </row>
    <row r="38" spans="1:43" ht="13.8" customHeight="1" x14ac:dyDescent="0.25">
      <c r="B38">
        <v>5</v>
      </c>
      <c r="C38" t="s">
        <v>805</v>
      </c>
      <c r="D38" s="22" t="s">
        <v>880</v>
      </c>
      <c r="E38" t="s">
        <v>762</v>
      </c>
      <c r="W38">
        <f>0.12*(1+2*$F$20*100/(300+100*$F$20))</f>
        <v>0.13914110429447851</v>
      </c>
    </row>
    <row r="39" spans="1:43" x14ac:dyDescent="0.25">
      <c r="B39">
        <v>10</v>
      </c>
      <c r="C39" t="s">
        <v>805</v>
      </c>
      <c r="D39" s="22" t="s">
        <v>881</v>
      </c>
      <c r="E39" t="s">
        <v>762</v>
      </c>
      <c r="W39">
        <f>0.078*(1+2*$F$20*100/(300+100*$F$20))</f>
        <v>9.0441717791411039E-2</v>
      </c>
    </row>
    <row r="40" spans="1:43" x14ac:dyDescent="0.25">
      <c r="B40">
        <v>15</v>
      </c>
      <c r="C40" t="s">
        <v>805</v>
      </c>
      <c r="D40" s="22" t="s">
        <v>801</v>
      </c>
      <c r="N40">
        <f>0.16</f>
        <v>0.16</v>
      </c>
    </row>
    <row r="44" spans="1:43" x14ac:dyDescent="0.25">
      <c r="D44" s="22"/>
    </row>
    <row r="46" spans="1:43" s="40" customFormat="1" ht="14.4" thickBot="1" x14ac:dyDescent="0.3">
      <c r="B46" s="40" t="s">
        <v>763</v>
      </c>
      <c r="AD46" s="59"/>
    </row>
    <row r="47" spans="1:43" x14ac:dyDescent="0.25">
      <c r="B47" s="25" t="s">
        <v>961</v>
      </c>
      <c r="C47" s="26" t="s">
        <v>75</v>
      </c>
      <c r="D47" s="26" t="s">
        <v>85</v>
      </c>
      <c r="E47" s="26" t="s">
        <v>86</v>
      </c>
      <c r="F47" s="26" t="s">
        <v>87</v>
      </c>
      <c r="G47" s="26" t="s">
        <v>88</v>
      </c>
      <c r="H47" s="26" t="s">
        <v>89</v>
      </c>
      <c r="I47" s="26" t="s">
        <v>192</v>
      </c>
      <c r="J47" s="83"/>
      <c r="AE47" s="41" t="s">
        <v>78</v>
      </c>
    </row>
    <row r="48" spans="1:43" x14ac:dyDescent="0.25">
      <c r="B48" s="28" t="s">
        <v>91</v>
      </c>
      <c r="C48" s="21" t="s">
        <v>764</v>
      </c>
      <c r="D48" s="21" t="s">
        <v>553</v>
      </c>
      <c r="E48" s="21" t="s">
        <v>580</v>
      </c>
      <c r="F48" s="21" t="s">
        <v>560</v>
      </c>
      <c r="G48" s="21" t="s">
        <v>560</v>
      </c>
      <c r="H48" t="str">
        <f>IF(COUNTIF(E48:G48,LEFT(D48,2)&amp;"*")&gt;=2,LEFT(D48,2),
IF(COUNTIF(F48:G48,LEFT(E48,2)&amp;"*")=2,LEFT(E48,2),
""))</f>
        <v>点剑</v>
      </c>
      <c r="I48" s="21">
        <v>0</v>
      </c>
      <c r="J48" s="29"/>
      <c r="AE48" s="15" t="s">
        <v>708</v>
      </c>
      <c r="AF48" s="14" t="s">
        <v>709</v>
      </c>
      <c r="AG48" s="14" t="s">
        <v>710</v>
      </c>
      <c r="AH48" s="14" t="s">
        <v>711</v>
      </c>
      <c r="AI48" s="14" t="s">
        <v>712</v>
      </c>
      <c r="AJ48" s="14" t="s">
        <v>713</v>
      </c>
      <c r="AK48" s="14" t="s">
        <v>714</v>
      </c>
      <c r="AL48" s="14" t="s">
        <v>715</v>
      </c>
      <c r="AM48" s="14" t="s">
        <v>716</v>
      </c>
      <c r="AN48" s="14" t="s">
        <v>717</v>
      </c>
      <c r="AO48" s="14" t="s">
        <v>718</v>
      </c>
      <c r="AP48" s="14" t="s">
        <v>719</v>
      </c>
      <c r="AQ48" s="14" t="s">
        <v>720</v>
      </c>
    </row>
    <row r="49" spans="2:43" x14ac:dyDescent="0.25">
      <c r="B49" s="28" t="s">
        <v>183</v>
      </c>
      <c r="D49" s="21">
        <v>3</v>
      </c>
      <c r="E49" s="21">
        <v>3</v>
      </c>
      <c r="F49" s="21">
        <v>3</v>
      </c>
      <c r="G49" s="21">
        <v>3</v>
      </c>
      <c r="J49" s="29"/>
      <c r="AE49" s="15" t="s">
        <v>146</v>
      </c>
      <c r="AF49" s="14">
        <v>90</v>
      </c>
      <c r="AG49" s="14">
        <v>90</v>
      </c>
      <c r="AH49" s="14">
        <v>90</v>
      </c>
      <c r="AI49" s="14">
        <v>90</v>
      </c>
      <c r="AJ49" s="14">
        <v>90</v>
      </c>
      <c r="AK49" s="14">
        <v>90</v>
      </c>
      <c r="AL49" s="14">
        <v>90</v>
      </c>
      <c r="AM49" s="14">
        <v>90</v>
      </c>
      <c r="AN49" s="14">
        <v>90</v>
      </c>
      <c r="AO49" s="14">
        <v>90</v>
      </c>
      <c r="AP49" s="14">
        <v>90</v>
      </c>
      <c r="AQ49" s="14">
        <v>90</v>
      </c>
    </row>
    <row r="50" spans="2:43" x14ac:dyDescent="0.25">
      <c r="B50" s="84" t="s">
        <v>97</v>
      </c>
      <c r="C50" t="str">
        <f>_xlfn.XLOOKUP(C48,武器库!$B:$B,武器库!$C:$C,"")</f>
        <v>意志+156</v>
      </c>
      <c r="D50" t="str">
        <f>VLOOKUP(D48,护甲库!$A:$M,2+D49*3,FALSE)</f>
        <v>力量113</v>
      </c>
      <c r="E50" t="str">
        <f>VLOOKUP(E48,护手库!$A:$M,2+E49*3,FALSE)</f>
        <v>智识84</v>
      </c>
      <c r="F50" t="str">
        <f>VLOOKUP(F48,配件库!$A:$M,2+F49*3,FALSE)</f>
        <v>力量53</v>
      </c>
      <c r="G50" t="str">
        <f>VLOOKUP(G48,配件库!$A:$M,2+G49*3,FALSE)</f>
        <v>力量53</v>
      </c>
      <c r="H50" s="11"/>
      <c r="J50" s="29"/>
      <c r="R50" s="12"/>
      <c r="T50" s="12"/>
      <c r="AE50" s="15" t="s">
        <v>137</v>
      </c>
      <c r="AF50" s="14" t="s">
        <v>721</v>
      </c>
      <c r="AG50" s="14" t="s">
        <v>721</v>
      </c>
      <c r="AH50" s="14" t="s">
        <v>721</v>
      </c>
      <c r="AI50" s="14" t="s">
        <v>721</v>
      </c>
      <c r="AJ50" s="14" t="s">
        <v>721</v>
      </c>
      <c r="AK50" s="14" t="s">
        <v>721</v>
      </c>
      <c r="AL50" s="14" t="s">
        <v>721</v>
      </c>
      <c r="AM50" s="14" t="s">
        <v>721</v>
      </c>
      <c r="AN50" s="14" t="s">
        <v>721</v>
      </c>
      <c r="AO50" s="14" t="s">
        <v>721</v>
      </c>
      <c r="AP50" s="14" t="s">
        <v>721</v>
      </c>
      <c r="AQ50" s="14" t="s">
        <v>721</v>
      </c>
    </row>
    <row r="51" spans="2:43" x14ac:dyDescent="0.25">
      <c r="B51" s="28" t="s">
        <v>98</v>
      </c>
      <c r="C51" s="43" t="str">
        <f>_xlfn.XLOOKUP(C48,武器库!$B:$B,武器库!$D:$D,"")</f>
        <v>充能46.4</v>
      </c>
      <c r="D51" t="str">
        <f>VLOOKUP(D48,护甲库!$A:$M,3+D49*3,FALSE)</f>
        <v>意志75</v>
      </c>
      <c r="E51" t="str">
        <f>VLOOKUP(E48,护手库!$A:$M,3+E49*3,FALSE)</f>
        <v>意志55</v>
      </c>
      <c r="F51">
        <f>VLOOKUP(F48,配件库!$A:$M,3+F49*3,FALSE)</f>
        <v>0</v>
      </c>
      <c r="G51">
        <f>VLOOKUP(G48,配件库!$A:$M,3+G49*3,FALSE)</f>
        <v>0</v>
      </c>
      <c r="H51" s="9"/>
      <c r="J51" s="29"/>
      <c r="P51" s="22"/>
      <c r="R51" s="24"/>
      <c r="AE51" s="15" t="s">
        <v>160</v>
      </c>
      <c r="AF51" s="16">
        <v>3.33</v>
      </c>
      <c r="AG51" s="16">
        <v>3.67</v>
      </c>
      <c r="AH51" s="16">
        <v>4</v>
      </c>
      <c r="AI51" s="16">
        <v>4.33</v>
      </c>
      <c r="AJ51" s="16">
        <v>4.67</v>
      </c>
      <c r="AK51" s="16">
        <v>5</v>
      </c>
      <c r="AL51" s="16">
        <v>5.34</v>
      </c>
      <c r="AM51" s="16">
        <v>5.67</v>
      </c>
      <c r="AN51" s="16">
        <v>6</v>
      </c>
      <c r="AO51" s="16">
        <v>6.42</v>
      </c>
      <c r="AP51" s="16">
        <v>6.92</v>
      </c>
      <c r="AQ51" s="16">
        <v>7.5</v>
      </c>
    </row>
    <row r="52" spans="2:43" x14ac:dyDescent="0.25">
      <c r="B52" s="28" t="s">
        <v>99</v>
      </c>
      <c r="C52" s="43" t="str">
        <f>_xlfn.XLOOKUP(C48,武器库!$B:$B,武器库!$E:$E,"")</f>
        <v>自然伤害+25.6</v>
      </c>
      <c r="D52" s="43" t="str">
        <f>VLOOKUP(D48,护甲库!$A:$M,4+D49*3,FALSE)</f>
        <v>充能16.0</v>
      </c>
      <c r="E52" s="43" t="str">
        <f>VLOOKUP(E48,护手库!$A:$M,4+E49*3,FALSE)</f>
        <v>充能26.7</v>
      </c>
      <c r="F52" s="43" t="str">
        <f>VLOOKUP(F48,配件库!$A:$M,4+F49*3,FALSE)</f>
        <v>技艺53</v>
      </c>
      <c r="G52" s="43" t="str">
        <f>VLOOKUP(G48,配件库!$A:$M,4+G49*3,FALSE)</f>
        <v>技艺53</v>
      </c>
      <c r="H52" s="9"/>
      <c r="J52" s="29"/>
      <c r="P52" s="22"/>
      <c r="R52" s="24"/>
      <c r="AE52" s="15" t="s">
        <v>155</v>
      </c>
      <c r="AF52" s="14">
        <v>20</v>
      </c>
      <c r="AG52" s="14">
        <v>20</v>
      </c>
      <c r="AH52" s="14">
        <v>20</v>
      </c>
      <c r="AI52" s="14">
        <v>20</v>
      </c>
      <c r="AJ52" s="14">
        <v>20</v>
      </c>
      <c r="AK52" s="14">
        <v>20</v>
      </c>
      <c r="AL52" s="14">
        <v>20</v>
      </c>
      <c r="AM52" s="14">
        <v>20</v>
      </c>
      <c r="AN52" s="14">
        <v>20</v>
      </c>
      <c r="AO52" s="14">
        <v>20</v>
      </c>
      <c r="AP52" s="14">
        <v>20</v>
      </c>
      <c r="AQ52" s="14">
        <v>20</v>
      </c>
    </row>
    <row r="53" spans="2:43" x14ac:dyDescent="0.25">
      <c r="B53" s="28" t="s">
        <v>90</v>
      </c>
      <c r="C53" t="str">
        <f>_xlfn.XLOOKUP(C48,武器库!$B:$B,武器库!$F:$F,"")</f>
        <v>装备者通过自身连携技造成击飞后，全队造成的法术伤害+19.2%，持续15秒。每有一个被击飞的敌人，全队造成的法术伤害额外+5.6%，最多+16.8%。</v>
      </c>
      <c r="D53" s="22"/>
      <c r="F53" s="22"/>
      <c r="G53" s="9"/>
      <c r="H53" s="9"/>
      <c r="J53" s="29"/>
      <c r="P53" s="22"/>
      <c r="R53" s="24"/>
      <c r="AE53" s="15" t="s">
        <v>722</v>
      </c>
      <c r="AF53" s="14">
        <v>5</v>
      </c>
      <c r="AG53" s="14">
        <v>5</v>
      </c>
      <c r="AH53" s="14">
        <v>5</v>
      </c>
      <c r="AI53" s="14">
        <v>5</v>
      </c>
      <c r="AJ53" s="14">
        <v>5</v>
      </c>
      <c r="AK53" s="14">
        <v>5</v>
      </c>
      <c r="AL53" s="14">
        <v>5</v>
      </c>
      <c r="AM53" s="14">
        <v>5</v>
      </c>
      <c r="AN53" s="14">
        <v>5</v>
      </c>
      <c r="AO53" s="14">
        <v>5</v>
      </c>
      <c r="AP53" s="14">
        <v>5</v>
      </c>
      <c r="AQ53" s="14">
        <v>5</v>
      </c>
    </row>
    <row r="54" spans="2:43" ht="14.4" thickBot="1" x14ac:dyDescent="0.3">
      <c r="B54" s="30" t="s">
        <v>89</v>
      </c>
      <c r="C54" s="18" t="str">
        <f>VLOOKUP(H48,套装效果库!A:B,2,0)</f>
        <v>失衡效率20。当装备者造成物理异常后，额外造成一次250%攻击力的物理伤害[10点失衡值]。该效果每15秒最多触发一次。</v>
      </c>
      <c r="D54" s="19"/>
      <c r="E54" s="18"/>
      <c r="F54" s="19"/>
      <c r="G54" s="20"/>
      <c r="H54" s="20"/>
      <c r="I54" s="18"/>
      <c r="J54" s="31"/>
      <c r="P54" s="22"/>
      <c r="R54" s="24"/>
      <c r="AE54" s="15" t="s">
        <v>723</v>
      </c>
      <c r="AF54" s="16">
        <v>0.8</v>
      </c>
      <c r="AG54" s="16">
        <v>0.8</v>
      </c>
      <c r="AH54" s="16">
        <v>0.8</v>
      </c>
      <c r="AI54" s="16">
        <v>0.8</v>
      </c>
      <c r="AJ54" s="16">
        <v>0.8</v>
      </c>
      <c r="AK54" s="16">
        <v>0.8</v>
      </c>
      <c r="AL54" s="16">
        <v>0.8</v>
      </c>
      <c r="AM54" s="16">
        <v>0.8</v>
      </c>
      <c r="AN54" s="16">
        <v>0.8</v>
      </c>
      <c r="AO54" s="16">
        <v>0.8</v>
      </c>
      <c r="AP54" s="16">
        <v>0.8</v>
      </c>
      <c r="AQ54" s="16">
        <v>0.8</v>
      </c>
    </row>
    <row r="55" spans="2:43" x14ac:dyDescent="0.25">
      <c r="P55" s="22"/>
      <c r="R55" s="24"/>
      <c r="AE55" s="15" t="s">
        <v>724</v>
      </c>
      <c r="AF55" s="16">
        <v>0.18</v>
      </c>
      <c r="AG55" s="16">
        <v>0.18</v>
      </c>
      <c r="AH55" s="16">
        <v>0.18</v>
      </c>
      <c r="AI55" s="16">
        <v>0.22</v>
      </c>
      <c r="AJ55" s="16">
        <v>0.22</v>
      </c>
      <c r="AK55" s="16">
        <v>0.22</v>
      </c>
      <c r="AL55" s="16">
        <v>0.26</v>
      </c>
      <c r="AM55" s="16">
        <v>0.26</v>
      </c>
      <c r="AN55" s="16">
        <v>0.26</v>
      </c>
      <c r="AO55" s="16">
        <v>0.3</v>
      </c>
      <c r="AP55" s="16">
        <v>0.3</v>
      </c>
      <c r="AQ55" s="16">
        <v>0.3</v>
      </c>
    </row>
    <row r="56" spans="2:43" x14ac:dyDescent="0.25">
      <c r="P56" s="22"/>
      <c r="R56" s="24"/>
      <c r="AE56" s="15" t="s">
        <v>725</v>
      </c>
      <c r="AF56" s="38">
        <v>1.7999999999999999E-2</v>
      </c>
      <c r="AG56" s="38">
        <v>1.7999999999999999E-2</v>
      </c>
      <c r="AH56" s="38">
        <v>1.7999999999999999E-2</v>
      </c>
      <c r="AI56" s="38">
        <v>2.1999999999999999E-2</v>
      </c>
      <c r="AJ56" s="38">
        <v>2.1999999999999999E-2</v>
      </c>
      <c r="AK56" s="38">
        <v>2.1999999999999999E-2</v>
      </c>
      <c r="AL56" s="38">
        <v>2.5999999999999999E-2</v>
      </c>
      <c r="AM56" s="38">
        <v>2.5999999999999999E-2</v>
      </c>
      <c r="AN56" s="38">
        <v>2.5999999999999999E-2</v>
      </c>
      <c r="AO56" s="16">
        <v>0.03</v>
      </c>
      <c r="AP56" s="16">
        <v>0.03</v>
      </c>
      <c r="AQ56" s="16">
        <v>0.03</v>
      </c>
    </row>
    <row r="57" spans="2:43" x14ac:dyDescent="0.25">
      <c r="C57" t="s">
        <v>990</v>
      </c>
      <c r="D57" t="s">
        <v>1054</v>
      </c>
      <c r="K57" s="12"/>
      <c r="L57" s="17" t="s">
        <v>701</v>
      </c>
      <c r="M57" s="17" t="s">
        <v>157</v>
      </c>
      <c r="N57" s="17" t="s">
        <v>702</v>
      </c>
      <c r="O57" s="89" t="s">
        <v>158</v>
      </c>
      <c r="P57" s="22"/>
      <c r="R57" s="24"/>
    </row>
    <row r="58" spans="2:43" x14ac:dyDescent="0.25">
      <c r="C58" s="21" t="s">
        <v>108</v>
      </c>
      <c r="D58" s="21" t="s">
        <v>162</v>
      </c>
      <c r="E58" s="43" t="s">
        <v>651</v>
      </c>
      <c r="F58" s="43" t="s">
        <v>644</v>
      </c>
      <c r="G58" s="43" t="s">
        <v>768</v>
      </c>
      <c r="H58" s="43"/>
      <c r="I58" s="43"/>
      <c r="K58" t="s">
        <v>183</v>
      </c>
      <c r="L58" s="21">
        <v>0</v>
      </c>
      <c r="M58" s="21">
        <v>0</v>
      </c>
      <c r="N58" s="21">
        <v>0</v>
      </c>
      <c r="O58" s="37" t="s">
        <v>645</v>
      </c>
      <c r="P58" s="22"/>
      <c r="R58" s="24"/>
      <c r="V58" s="67"/>
      <c r="W58" s="67"/>
    </row>
    <row r="59" spans="2:43" x14ac:dyDescent="0.25">
      <c r="B59" t="s">
        <v>164</v>
      </c>
      <c r="C59" s="21">
        <f>154+40</f>
        <v>194</v>
      </c>
      <c r="D59" s="21">
        <f>114</f>
        <v>114</v>
      </c>
      <c r="E59" cm="1">
        <f t="array" ref="E59">SUM(IFERROR(
    VALUE(MID($C49:$G52,
             SEARCH(E58, $C49:$G52) + LEN(E58),
             10)) *
    ISNUMBER(SEARCH(E58,$C49:$G52)),
    0
))/100+IFERROR(
    MID($C54, SEARCH(E58, $C54) + LEN(E58), 2) / 100,
    0
)</f>
        <v>0.8909999999999999</v>
      </c>
      <c r="F59" cm="1">
        <f t="array" ref="F59">SUM(IFERROR(
    VALUE(MID($C49:$G52,
             SEARCH(F58, $C49:$G52) + LEN(F58),
             10)) *
    ISNUMBER(SEARCH(F58,$C49:$G52)),
    0
))/100+IFERROR(
    MID($C54, SEARCH(F58, $C54) + LEN(F58), 2) / 100,
    0
)</f>
        <v>1.06</v>
      </c>
      <c r="G59" cm="1">
        <f t="array" ref="G59">SUM(IFERROR(
    VALUE(MID($C49:$G52,
             SEARCH(G58, $C49:$G52) + LEN(G58),
             10)) *
    ISNUMBER(SEARCH(G58,$C49:$G52)),
    0
))/100+IFERROR(
    MID($C54, SEARCH(G58, $C54) + LEN(G58), 2) / 100,
    0
)</f>
        <v>0.25600000000000001</v>
      </c>
      <c r="H59" cm="1">
        <f t="array" ref="H59">SUM(IFERROR(
    VALUE(MID($C49:$G52,
             SEARCH(H58, $C49:$G52) + LEN(H58),
             10)) *
    ISNUMBER(SEARCH(H58,$C49:$G52)),
    0
))/100+IFERROR(
    MID($C54, SEARCH(H58, $C54) + LEN(H58), 2) / 100,
    0
)</f>
        <v>0.12</v>
      </c>
      <c r="I59" cm="1">
        <f t="array" ref="I59">SUM(IFERROR(
    VALUE(MID($C49:$G52,
             SEARCH(I58, $C49:$G52) + LEN(I58),
             10)) *
    ISNUMBER(SEARCH(I58,$C49:$G52)),
    0
))/100+IFERROR(
    MID($C54, SEARCH(I58, $C54) + LEN(I58), 2) / 100,
    0
)</f>
        <v>0.12</v>
      </c>
      <c r="K59" t="s">
        <v>195</v>
      </c>
      <c r="L59" s="23" cm="1">
        <f t="array" ref="L59">_xlfn.XLOOKUP(L58,$AE$6:$AQ$6,AE48:AQ54,0,0,1)</f>
        <v>0</v>
      </c>
      <c r="M59" s="23" cm="1">
        <f t="array" ref="M59">_xlfn.XLOOKUP(M58,$AE$6:$AQ$6,AE60:AQ67,0,0,1)</f>
        <v>0</v>
      </c>
      <c r="N59" s="23" cm="1">
        <f t="array" ref="N59">_xlfn.XLOOKUP(N58,$AE$6:$AQ$6,AE72:AQ75,0,0,1)</f>
        <v>0</v>
      </c>
      <c r="O59" s="23" cm="1">
        <f t="array" ref="O59:O66">_xlfn.XLOOKUP(O58,$AE$6:$AQ$6,AE49:AQ56,0,0,1)</f>
        <v>90</v>
      </c>
      <c r="P59" s="22"/>
      <c r="R59" s="24"/>
    </row>
    <row r="60" spans="2:43" x14ac:dyDescent="0.25">
      <c r="B60" s="22" t="s">
        <v>165</v>
      </c>
      <c r="C60" cm="1">
        <f t="array" ref="C60">SUM(IFERROR(
    VALUE(MID($C49:$G52,
             FIND(C58, $C49:$G52) + LEN(C58),
             10)) *
    ISNUMBER(FIND(C58, $C49:$G52)),
    0
))+SUM(IFERROR(
    VALUE(MID($C49:$G52,
             FIND(C57, $C49:$G52) + LEN(C57),
             10)) *
    ISNUMBER(FIND(C57, $C49:$G52)),
    0
))+IFERROR(
    MID($C54, SEARCH(C58, $C54) + LEN(C58), 2) / 100,
    0
)+IFERROR(
    MID($C54, SEARCH(C57, $C54) + LEN(C57), 2) / 100,
    0
)</f>
        <v>286</v>
      </c>
      <c r="D60" cm="1">
        <f t="array" ref="D60">SUM(IFERROR(
    VALUE(MID($C49:$G52,
             FIND(D58, $C49:$G52) + LEN(D58),
             10)) *
    ISNUMBER(FIND(D58, $C49:$G52)),
    0
))+SUM(IFERROR(
    VALUE(MID($C49:$G52,
             FIND(D57, $C49:$G52) + LEN(D57),
             10)) *
    ISNUMBER(FIND(D57, $C49:$G52)),
    0
))+IFERROR(
    MID($C54, SEARCH(D58, $C54) + LEN(D58), 2) / 100,
    0
)+IFERROR(
    MID($C54, SEARCH(D57, $C54) + LEN(D57), 2) / 100,
    0
)</f>
        <v>84</v>
      </c>
      <c r="O60" t="str">
        <v>20秒</v>
      </c>
      <c r="P60" s="22"/>
      <c r="R60" s="24"/>
    </row>
    <row r="61" spans="2:43" x14ac:dyDescent="0.25">
      <c r="B61" s="22" t="s">
        <v>166</v>
      </c>
      <c r="C61" s="12" cm="1">
        <f t="array" ref="C61">ROUNDUP(SUM(C59:C60)*(1+IF(LEN(TRIM(LEFT(C57,3)))=0, 0,
   SUMPRODUCT(
       IFERROR(
           VALUE(MID($C49:$G52,
                   SEARCH(LEFT(C57,3), $C49:$G52) + 3,
                   10)) *
           ISNUMBER(SEARCH(LEFT(C57,3), $C49:$G52)),
           0
       )
   )+IFERROR(
    MID($C54, SEARCH(C58, $C54) + LEN(C58), 2) / 100,
    0
)
)/100),0)</f>
        <v>480</v>
      </c>
      <c r="D61" s="12" cm="1">
        <f t="array" ref="D61">ROUNDUP(SUM(D59:D60)*(1+IF(LEN(TRIM(LEFT(D57,3)))=0, 0,
   SUMPRODUCT(
       IFERROR(
           VALUE(MID($C49:$G52,
                   SEARCH(LEFT(D57,3), $C49:$G52) + 3,
                   10)) *
           ISNUMBER(SEARCH(LEFT(D57,3), $C49:$G52)),
           0
       )
   )+IFERROR(
    MID($C54, SEARCH(D58, $C54) + LEN(D58), 2) / 100,
    0
)
)/100),0)</f>
        <v>198</v>
      </c>
      <c r="O61">
        <v>7.5</v>
      </c>
      <c r="P61" s="22"/>
      <c r="R61" s="24"/>
    </row>
    <row r="62" spans="2:43" x14ac:dyDescent="0.25">
      <c r="B62" s="22" t="s">
        <v>93</v>
      </c>
      <c r="C62">
        <f>C61*0.005+D61*0.002</f>
        <v>2.7959999999999998</v>
      </c>
      <c r="D62" s="12"/>
      <c r="O62">
        <v>20</v>
      </c>
      <c r="P62" s="22"/>
      <c r="R62" s="24"/>
    </row>
    <row r="63" spans="2:43" x14ac:dyDescent="0.25">
      <c r="B63" s="22"/>
      <c r="D63" s="12"/>
      <c r="O63">
        <v>5</v>
      </c>
      <c r="P63" s="22"/>
      <c r="R63" s="24"/>
    </row>
    <row r="64" spans="2:43" x14ac:dyDescent="0.25">
      <c r="O64">
        <v>0.8</v>
      </c>
      <c r="P64" s="22"/>
    </row>
    <row r="65" spans="1:26" x14ac:dyDescent="0.25">
      <c r="D65" s="12"/>
      <c r="F65" s="12"/>
      <c r="O65">
        <v>0.3</v>
      </c>
      <c r="P65" s="22"/>
      <c r="R65" s="24"/>
    </row>
    <row r="66" spans="1:26" x14ac:dyDescent="0.25">
      <c r="B66" s="22"/>
      <c r="D66" s="24"/>
      <c r="O66">
        <v>0.03</v>
      </c>
      <c r="P66" s="22"/>
      <c r="R66" s="24"/>
    </row>
    <row r="67" spans="1:26" x14ac:dyDescent="0.25">
      <c r="C67" s="22"/>
      <c r="D67" s="12"/>
      <c r="E67" s="12"/>
      <c r="F67" s="12"/>
    </row>
    <row r="68" spans="1:26" ht="14.4" thickBot="1" x14ac:dyDescent="0.3">
      <c r="C68" s="28" t="s">
        <v>978</v>
      </c>
      <c r="E68" s="61" t="s">
        <v>755</v>
      </c>
      <c r="F68" s="61"/>
      <c r="G68" s="61"/>
      <c r="H68" s="61"/>
      <c r="I68" s="61"/>
      <c r="J68" s="127" t="s">
        <v>785</v>
      </c>
      <c r="K68" s="127"/>
      <c r="L68" s="127"/>
      <c r="M68" s="127"/>
      <c r="N68" s="63" t="s">
        <v>154</v>
      </c>
      <c r="O68" s="63"/>
      <c r="P68" s="63"/>
      <c r="Q68" s="63"/>
      <c r="R68" s="63"/>
      <c r="S68" s="63"/>
      <c r="T68" s="8" t="s">
        <v>161</v>
      </c>
      <c r="U68" s="8"/>
      <c r="V68" s="8"/>
      <c r="W68" s="8"/>
      <c r="X68" s="8"/>
      <c r="Y68" s="8"/>
      <c r="Z68" s="8"/>
    </row>
    <row r="69" spans="1:26" x14ac:dyDescent="0.25">
      <c r="A69" s="25"/>
      <c r="B69" s="26" t="s">
        <v>695</v>
      </c>
      <c r="C69" s="17" t="s">
        <v>704</v>
      </c>
      <c r="D69" s="17" t="s">
        <v>991</v>
      </c>
      <c r="E69" s="52" t="s">
        <v>92</v>
      </c>
      <c r="F69" s="52" t="s">
        <v>94</v>
      </c>
      <c r="G69" s="52" t="s">
        <v>95</v>
      </c>
      <c r="H69" s="52" t="s">
        <v>93</v>
      </c>
      <c r="I69" s="52" t="s">
        <v>96</v>
      </c>
      <c r="J69" s="64" t="s">
        <v>688</v>
      </c>
      <c r="K69" s="64" t="s">
        <v>689</v>
      </c>
      <c r="L69" s="64" t="s">
        <v>690</v>
      </c>
      <c r="M69" s="64" t="s">
        <v>163</v>
      </c>
      <c r="N69" s="64" t="s">
        <v>707</v>
      </c>
      <c r="O69" s="64" t="s">
        <v>153</v>
      </c>
      <c r="P69" s="64" t="s">
        <v>76</v>
      </c>
      <c r="Q69" s="64" t="s">
        <v>77</v>
      </c>
      <c r="R69" s="64" t="s">
        <v>78</v>
      </c>
      <c r="S69" s="64" t="s">
        <v>703</v>
      </c>
      <c r="T69" s="64" t="s">
        <v>83</v>
      </c>
      <c r="U69" s="64" t="s">
        <v>80</v>
      </c>
      <c r="V69" s="64" t="s">
        <v>79</v>
      </c>
      <c r="W69" s="64" t="s">
        <v>691</v>
      </c>
      <c r="X69" s="64" t="s">
        <v>694</v>
      </c>
      <c r="Y69" s="64" t="s">
        <v>693</v>
      </c>
      <c r="Z69" s="64" t="s">
        <v>692</v>
      </c>
    </row>
    <row r="70" spans="1:26" x14ac:dyDescent="0.25">
      <c r="A70" s="28"/>
      <c r="B70" t="s">
        <v>763</v>
      </c>
      <c r="C70" t="s">
        <v>853</v>
      </c>
      <c r="D70" t="s">
        <v>805</v>
      </c>
    </row>
    <row r="71" spans="1:26" x14ac:dyDescent="0.25">
      <c r="A71" s="28"/>
      <c r="C71" t="s">
        <v>854</v>
      </c>
      <c r="D71" t="s">
        <v>805</v>
      </c>
      <c r="Z71" s="29"/>
    </row>
    <row r="72" spans="1:26" x14ac:dyDescent="0.25">
      <c r="A72" s="28"/>
      <c r="C72" t="s">
        <v>855</v>
      </c>
      <c r="D72" t="s">
        <v>805</v>
      </c>
      <c r="Z72" s="29"/>
    </row>
    <row r="73" spans="1:26" x14ac:dyDescent="0.25">
      <c r="A73" s="28"/>
      <c r="B73">
        <v>5</v>
      </c>
      <c r="C73" t="s">
        <v>805</v>
      </c>
      <c r="D73" s="22" t="s">
        <v>868</v>
      </c>
      <c r="T73">
        <f>$O$65+$O$66*(IF($I$48&gt;=2,1,0)+0)*IF($I$48&gt;=2,2,1)</f>
        <v>0.3</v>
      </c>
      <c r="Z73" s="29"/>
    </row>
    <row r="74" spans="1:26" x14ac:dyDescent="0.25">
      <c r="A74" s="28"/>
      <c r="B74">
        <v>5</v>
      </c>
      <c r="C74" t="s">
        <v>805</v>
      </c>
      <c r="D74" s="22" t="s">
        <v>869</v>
      </c>
      <c r="T74">
        <f>$O$65+$O$66*(IF($I$48&gt;=2,1,0)+1)*IF($I$48&gt;=2,2,1)</f>
        <v>0.32999999999999996</v>
      </c>
      <c r="Z74" s="29"/>
    </row>
    <row r="75" spans="1:26" x14ac:dyDescent="0.25">
      <c r="A75" s="28"/>
      <c r="B75">
        <v>5</v>
      </c>
      <c r="C75" t="s">
        <v>805</v>
      </c>
      <c r="D75" s="22" t="s">
        <v>870</v>
      </c>
      <c r="T75">
        <f>$O$65+$O$66*(IF($I$48&gt;=2,1,2)+0)*IF($I$48&gt;=2,2,1)</f>
        <v>0.36</v>
      </c>
      <c r="Z75" s="29"/>
    </row>
    <row r="76" spans="1:26" x14ac:dyDescent="0.25">
      <c r="A76" s="28"/>
      <c r="B76">
        <v>5</v>
      </c>
      <c r="C76" t="s">
        <v>805</v>
      </c>
      <c r="D76" s="22" t="s">
        <v>871</v>
      </c>
      <c r="T76">
        <f>$O$65+$O$66*(IF($I$48&gt;=2,1,3)+0)*IF($I$48&gt;=2,2,1)</f>
        <v>0.39</v>
      </c>
      <c r="Z76" s="29"/>
    </row>
    <row r="77" spans="1:26" x14ac:dyDescent="0.25">
      <c r="A77" s="28"/>
      <c r="B77">
        <v>5</v>
      </c>
      <c r="C77" t="s">
        <v>805</v>
      </c>
      <c r="D77" t="s">
        <v>872</v>
      </c>
      <c r="T77">
        <f>$O$65+$O$66*(IF($I$48&gt;=2,1,4)+0)*IF($I$48&gt;=2,2,1)</f>
        <v>0.42</v>
      </c>
      <c r="Z77" s="29"/>
    </row>
    <row r="78" spans="1:26" x14ac:dyDescent="0.25">
      <c r="B78">
        <v>10</v>
      </c>
      <c r="C78" t="s">
        <v>805</v>
      </c>
      <c r="D78" t="s">
        <v>875</v>
      </c>
      <c r="W78">
        <f>0.078*(1+2*$F$59*100/(300+100*$F$59))</f>
        <v>0.11872906403940887</v>
      </c>
    </row>
    <row r="79" spans="1:26" x14ac:dyDescent="0.25">
      <c r="B79">
        <v>5</v>
      </c>
      <c r="C79" t="s">
        <v>805</v>
      </c>
      <c r="D79" t="s">
        <v>873</v>
      </c>
      <c r="W79">
        <f>0.12*(1+2*$F$59*100/(300+100*$F$59))</f>
        <v>0.1826600985221675</v>
      </c>
    </row>
    <row r="80" spans="1:26" x14ac:dyDescent="0.25">
      <c r="B80">
        <v>10</v>
      </c>
      <c r="C80" t="s">
        <v>805</v>
      </c>
      <c r="D80" t="s">
        <v>875</v>
      </c>
      <c r="W80">
        <f>0.078*(1+2*$F$59*100/(300+100*$F$59))*(1+1/3)</f>
        <v>0.15830541871921183</v>
      </c>
    </row>
    <row r="81" spans="1:43" x14ac:dyDescent="0.25">
      <c r="B81">
        <v>5</v>
      </c>
      <c r="C81" t="s">
        <v>805</v>
      </c>
      <c r="D81" t="s">
        <v>874</v>
      </c>
      <c r="W81">
        <f>0.12*(1+2*$F$59*100/(300+100*$F$59))*(1+1/3)</f>
        <v>0.24354679802955664</v>
      </c>
    </row>
    <row r="82" spans="1:43" x14ac:dyDescent="0.25">
      <c r="B82">
        <v>10</v>
      </c>
      <c r="C82" t="s">
        <v>805</v>
      </c>
      <c r="D82" t="s">
        <v>876</v>
      </c>
      <c r="W82">
        <f>0.078*(1+2*$F$59*100/(300+100*$F$59))*(1+2/3)</f>
        <v>0.19788177339901478</v>
      </c>
    </row>
    <row r="83" spans="1:43" x14ac:dyDescent="0.25">
      <c r="B83">
        <v>5</v>
      </c>
      <c r="C83" t="s">
        <v>805</v>
      </c>
      <c r="D83" t="s">
        <v>877</v>
      </c>
      <c r="W83">
        <f>0.12*(1+2*$F$59*100/(300+100*$F$59))*(1+2/3)</f>
        <v>0.30443349753694582</v>
      </c>
    </row>
    <row r="84" spans="1:43" x14ac:dyDescent="0.25">
      <c r="B84">
        <v>10</v>
      </c>
      <c r="C84" t="s">
        <v>805</v>
      </c>
      <c r="D84" t="s">
        <v>878</v>
      </c>
      <c r="W84">
        <f>0.078*(1+2*$F$59*100/(300+100*$F$59))*2</f>
        <v>0.23745812807881775</v>
      </c>
    </row>
    <row r="85" spans="1:43" x14ac:dyDescent="0.25">
      <c r="B85">
        <v>5</v>
      </c>
      <c r="C85" t="s">
        <v>805</v>
      </c>
      <c r="D85" t="s">
        <v>879</v>
      </c>
      <c r="W85">
        <f>0.12*(1+2*$F$59*100/(300+100*$F$59))*2</f>
        <v>0.36532019704433499</v>
      </c>
    </row>
    <row r="86" spans="1:43" x14ac:dyDescent="0.25">
      <c r="B86">
        <v>20</v>
      </c>
      <c r="C86" t="s">
        <v>805</v>
      </c>
      <c r="D86" s="22" t="s">
        <v>800</v>
      </c>
      <c r="F86">
        <f>0.128</f>
        <v>0.128</v>
      </c>
    </row>
    <row r="87" spans="1:43" x14ac:dyDescent="0.25">
      <c r="A87" s="28"/>
      <c r="B87">
        <v>15</v>
      </c>
      <c r="C87" t="s">
        <v>805</v>
      </c>
      <c r="D87" t="s">
        <v>865</v>
      </c>
      <c r="N87" s="24">
        <f>0.448</f>
        <v>0.44800000000000001</v>
      </c>
      <c r="Z87" s="29"/>
    </row>
    <row r="88" spans="1:43" x14ac:dyDescent="0.25">
      <c r="A88" s="28"/>
      <c r="B88">
        <v>15</v>
      </c>
      <c r="C88" t="s">
        <v>805</v>
      </c>
      <c r="D88" t="s">
        <v>923</v>
      </c>
      <c r="N88" s="24">
        <f>0.224</f>
        <v>0.224</v>
      </c>
      <c r="Z88" s="29"/>
    </row>
    <row r="92" spans="1:43" s="40" customFormat="1" ht="14.4" thickBot="1" x14ac:dyDescent="0.3">
      <c r="B92" s="40" t="s">
        <v>698</v>
      </c>
      <c r="AD92" s="59"/>
    </row>
    <row r="93" spans="1:43" x14ac:dyDescent="0.25">
      <c r="B93" s="25" t="s">
        <v>961</v>
      </c>
      <c r="C93" s="26" t="s">
        <v>75</v>
      </c>
      <c r="D93" s="26" t="s">
        <v>85</v>
      </c>
      <c r="E93" s="26" t="s">
        <v>86</v>
      </c>
      <c r="F93" s="26" t="s">
        <v>87</v>
      </c>
      <c r="G93" s="26" t="s">
        <v>88</v>
      </c>
      <c r="H93" s="26" t="s">
        <v>89</v>
      </c>
      <c r="I93" s="26" t="s">
        <v>192</v>
      </c>
      <c r="J93" s="83"/>
      <c r="R93" s="25"/>
      <c r="S93" s="26" t="s">
        <v>977</v>
      </c>
      <c r="T93" s="27" t="s">
        <v>963</v>
      </c>
      <c r="AE93" t="s">
        <v>153</v>
      </c>
    </row>
    <row r="94" spans="1:43" x14ac:dyDescent="0.25">
      <c r="B94" s="28" t="s">
        <v>91</v>
      </c>
      <c r="C94" s="21" t="s">
        <v>168</v>
      </c>
      <c r="D94" s="21" t="s">
        <v>608</v>
      </c>
      <c r="E94" s="21" t="s">
        <v>103</v>
      </c>
      <c r="F94" s="21" t="s">
        <v>1435</v>
      </c>
      <c r="G94" s="21" t="s">
        <v>1435</v>
      </c>
      <c r="I94" s="21">
        <v>5</v>
      </c>
      <c r="J94" s="29"/>
      <c r="R94" s="28"/>
      <c r="S94" t="s">
        <v>999</v>
      </c>
      <c r="T94" s="29"/>
      <c r="AE94" s="14"/>
      <c r="AF94" s="16"/>
      <c r="AG94" s="16"/>
      <c r="AH94" s="16"/>
      <c r="AI94" s="16"/>
      <c r="AJ94" s="16"/>
      <c r="AK94" s="16"/>
      <c r="AL94" s="16"/>
      <c r="AM94" s="16"/>
      <c r="AN94" s="16"/>
      <c r="AO94" s="16"/>
      <c r="AP94" s="16"/>
      <c r="AQ94" s="16"/>
    </row>
    <row r="95" spans="1:43" x14ac:dyDescent="0.25">
      <c r="B95" s="28" t="s">
        <v>183</v>
      </c>
      <c r="D95" s="21">
        <v>3</v>
      </c>
      <c r="E95" s="21">
        <v>3</v>
      </c>
      <c r="F95" s="21">
        <v>3</v>
      </c>
      <c r="G95" s="21">
        <v>3</v>
      </c>
      <c r="J95" s="29"/>
      <c r="R95" s="28"/>
      <c r="S95" t="s">
        <v>1032</v>
      </c>
      <c r="T95" s="29"/>
      <c r="AE95" s="14"/>
      <c r="AF95" s="16"/>
      <c r="AG95" s="16"/>
      <c r="AH95" s="16"/>
      <c r="AI95" s="16"/>
      <c r="AJ95" s="16"/>
      <c r="AK95" s="16"/>
      <c r="AL95" s="16"/>
      <c r="AM95" s="16"/>
      <c r="AN95" s="16"/>
      <c r="AO95" s="16"/>
      <c r="AP95" s="16"/>
      <c r="AQ95" s="16"/>
    </row>
    <row r="96" spans="1:43" x14ac:dyDescent="0.25">
      <c r="B96" s="84" t="s">
        <v>97</v>
      </c>
      <c r="C96" t="str">
        <f>_xlfn.XLOOKUP(C94,武器库!$B:$B,武器库!$C:$C,"")</f>
        <v>主能力值132</v>
      </c>
      <c r="D96" t="str">
        <f>VLOOKUP(D94,护甲库!$A:$M,2+D95*3,FALSE)</f>
        <v>智识149</v>
      </c>
      <c r="E96" t="str">
        <f>VLOOKUP(E94,护手库!$A:$M,2+E95*3,FALSE)</f>
        <v>智识84</v>
      </c>
      <c r="F96" t="str">
        <f>VLOOKUP(F94,配件库!$A:$M,2+F95*3,FALSE)</f>
        <v>智识41</v>
      </c>
      <c r="G96" t="str">
        <f>VLOOKUP(G94,配件库!$A:$M,2+G95*3,FALSE)</f>
        <v>智识41</v>
      </c>
      <c r="H96" s="11"/>
      <c r="J96" s="29"/>
      <c r="R96" s="28" t="s">
        <v>961</v>
      </c>
      <c r="T96" s="29" t="s">
        <v>964</v>
      </c>
      <c r="AE96" s="14"/>
      <c r="AF96" s="16"/>
      <c r="AG96" s="16"/>
      <c r="AH96" s="16"/>
      <c r="AI96" s="16"/>
      <c r="AJ96" s="16"/>
      <c r="AK96" s="16"/>
      <c r="AL96" s="16"/>
      <c r="AM96" s="16"/>
      <c r="AN96" s="16"/>
      <c r="AO96" s="16"/>
      <c r="AP96" s="16"/>
      <c r="AQ96" s="16"/>
    </row>
    <row r="97" spans="2:43" x14ac:dyDescent="0.25">
      <c r="B97" s="28" t="s">
        <v>98</v>
      </c>
      <c r="C97" s="43" t="str">
        <f>_xlfn.XLOOKUP(C94,武器库!$B:$B,武器库!$D:$D,"")</f>
        <v>源石技艺78</v>
      </c>
      <c r="D97">
        <f>VLOOKUP(D94,护甲库!$A:$M,3+D95*3,FALSE)</f>
        <v>0</v>
      </c>
      <c r="E97" t="str">
        <f>VLOOKUP(E94,护手库!$A:$M,3+E95*3,FALSE)</f>
        <v>力量55</v>
      </c>
      <c r="F97" t="str">
        <f>VLOOKUP(F94,配件库!$A:$M,3+F95*3,FALSE)</f>
        <v>敏捷27</v>
      </c>
      <c r="G97" t="str">
        <f>VLOOKUP(G94,配件库!$A:$M,3+G95*3,FALSE)</f>
        <v>敏捷27</v>
      </c>
      <c r="H97" s="9"/>
      <c r="J97" s="29"/>
      <c r="R97" s="28"/>
      <c r="S97" t="s">
        <v>965</v>
      </c>
      <c r="T97" s="29"/>
      <c r="AE97" s="14"/>
      <c r="AF97" s="16"/>
      <c r="AG97" s="16"/>
      <c r="AH97" s="16"/>
      <c r="AI97" s="16"/>
      <c r="AJ97" s="16"/>
      <c r="AK97" s="16"/>
      <c r="AL97" s="16"/>
      <c r="AM97" s="16"/>
      <c r="AN97" s="16"/>
      <c r="AO97" s="16"/>
      <c r="AP97" s="16"/>
      <c r="AQ97" s="16"/>
    </row>
    <row r="98" spans="2:43" x14ac:dyDescent="0.25">
      <c r="B98" s="28" t="s">
        <v>99</v>
      </c>
      <c r="C98" s="43" t="str">
        <f>_xlfn.XLOOKUP(C94,武器库!$B:$B,武器库!$E:$E,"")</f>
        <v xml:space="preserve">	副能力16.0</v>
      </c>
      <c r="D98" s="43" t="str">
        <f>VLOOKUP(D94,护甲库!$A:$M,4+D95*3,FALSE)</f>
        <v>充能16.7</v>
      </c>
      <c r="E98" s="43" t="str">
        <f>VLOOKUP(E94,护手库!$A:$M,4+E95*3,FALSE)</f>
        <v>充能26.7</v>
      </c>
      <c r="F98" s="43" t="str">
        <f>VLOOKUP(F94,配件库!$A:$M,4+F95*3,FALSE)</f>
        <v>副能力26.9</v>
      </c>
      <c r="G98" s="43" t="str">
        <f>VLOOKUP(G94,配件库!$A:$M,4+G95*3,FALSE)</f>
        <v>副能力26.9</v>
      </c>
      <c r="H98" s="9"/>
      <c r="J98" s="29"/>
      <c r="R98" s="28" t="s">
        <v>962</v>
      </c>
      <c r="S98" t="s">
        <v>967</v>
      </c>
      <c r="T98" s="29"/>
      <c r="AE98" s="14"/>
      <c r="AF98" s="16"/>
      <c r="AG98" s="16"/>
      <c r="AH98" s="16"/>
      <c r="AI98" s="16"/>
      <c r="AJ98" s="16"/>
      <c r="AK98" s="16"/>
      <c r="AL98" s="16"/>
      <c r="AM98" s="16"/>
      <c r="AN98" s="16"/>
      <c r="AO98" s="16"/>
      <c r="AP98" s="16"/>
      <c r="AQ98" s="16"/>
    </row>
    <row r="99" spans="2:43" x14ac:dyDescent="0.25">
      <c r="B99" s="28" t="s">
        <v>90</v>
      </c>
      <c r="C99" t="str">
        <f>_xlfn.XLOOKUP(C94,武器库!$B:$B,武器库!$F:$F,"")</f>
        <v>装备者造成法术爆发时，使目标敌人受到的法术伤害+14.4%，持续15秒。</v>
      </c>
      <c r="D99" s="22"/>
      <c r="F99" s="22"/>
      <c r="G99" s="9"/>
      <c r="H99" s="9"/>
      <c r="J99" s="29"/>
      <c r="R99" s="28"/>
      <c r="T99" s="29"/>
      <c r="AE99" s="14"/>
      <c r="AF99" s="16"/>
      <c r="AG99" s="16"/>
      <c r="AH99" s="16"/>
      <c r="AI99" s="16"/>
      <c r="AJ99" s="16"/>
      <c r="AK99" s="16"/>
      <c r="AL99" s="16"/>
      <c r="AM99" s="16"/>
      <c r="AN99" s="16"/>
      <c r="AO99" s="16"/>
      <c r="AP99" s="16"/>
      <c r="AQ99" s="16"/>
    </row>
    <row r="100" spans="2:43" ht="14.4" thickBot="1" x14ac:dyDescent="0.3">
      <c r="B100" s="30" t="s">
        <v>89</v>
      </c>
      <c r="C100" s="18" t="e">
        <f>VLOOKUP(H94,套装效果库!A:B,2,0)</f>
        <v>#N/A</v>
      </c>
      <c r="D100" s="19"/>
      <c r="E100" s="18"/>
      <c r="F100" s="19"/>
      <c r="G100" s="20"/>
      <c r="H100" s="20"/>
      <c r="I100" s="18"/>
      <c r="J100" s="31"/>
      <c r="R100" s="28" t="s">
        <v>968</v>
      </c>
      <c r="T100" s="29" t="s">
        <v>966</v>
      </c>
      <c r="AE100" s="14"/>
      <c r="AF100" s="16"/>
      <c r="AG100" s="16"/>
      <c r="AH100" s="16"/>
      <c r="AI100" s="16"/>
      <c r="AJ100" s="16"/>
      <c r="AK100" s="16"/>
      <c r="AL100" s="16"/>
      <c r="AM100" s="16"/>
      <c r="AN100" s="16"/>
      <c r="AO100" s="16"/>
      <c r="AP100" s="16"/>
      <c r="AQ100" s="16"/>
    </row>
    <row r="101" spans="2:43" x14ac:dyDescent="0.25">
      <c r="R101" s="28"/>
      <c r="S101" t="s">
        <v>970</v>
      </c>
      <c r="T101" s="29"/>
    </row>
    <row r="102" spans="2:43" x14ac:dyDescent="0.25">
      <c r="R102" s="28" t="s">
        <v>969</v>
      </c>
      <c r="S102" t="s">
        <v>971</v>
      </c>
      <c r="T102" s="29"/>
    </row>
    <row r="103" spans="2:43" x14ac:dyDescent="0.25">
      <c r="B103" s="17" t="s">
        <v>962</v>
      </c>
      <c r="C103" s="17" t="s">
        <v>990</v>
      </c>
      <c r="D103" s="17" t="s">
        <v>1054</v>
      </c>
      <c r="E103" s="17"/>
      <c r="F103" s="17"/>
      <c r="G103" s="17"/>
      <c r="H103" s="17"/>
      <c r="I103" s="17"/>
      <c r="K103" s="88" t="s">
        <v>195</v>
      </c>
      <c r="L103" s="17" t="s">
        <v>701</v>
      </c>
      <c r="M103" s="17" t="s">
        <v>157</v>
      </c>
      <c r="N103" s="17" t="s">
        <v>702</v>
      </c>
      <c r="O103" s="89" t="s">
        <v>158</v>
      </c>
      <c r="R103" s="28"/>
      <c r="S103" t="s">
        <v>972</v>
      </c>
      <c r="T103" s="29"/>
      <c r="AE103" s="14" t="s">
        <v>76</v>
      </c>
      <c r="AF103" s="82" t="s">
        <v>1055</v>
      </c>
    </row>
    <row r="104" spans="2:43" x14ac:dyDescent="0.25">
      <c r="C104" s="21" t="s">
        <v>108</v>
      </c>
      <c r="D104" s="21" t="s">
        <v>162</v>
      </c>
      <c r="E104" s="43" t="s">
        <v>163</v>
      </c>
      <c r="F104" s="43" t="s">
        <v>651</v>
      </c>
      <c r="G104" s="43"/>
      <c r="H104" s="43"/>
      <c r="I104" s="43"/>
      <c r="K104" t="s">
        <v>183</v>
      </c>
      <c r="L104" s="21">
        <v>0</v>
      </c>
      <c r="M104" s="21" t="s">
        <v>645</v>
      </c>
      <c r="N104" s="21">
        <v>0</v>
      </c>
      <c r="O104" s="37" t="s">
        <v>645</v>
      </c>
      <c r="R104" s="28"/>
      <c r="S104" t="s">
        <v>973</v>
      </c>
      <c r="T104" s="29"/>
      <c r="AE104" s="15"/>
      <c r="AF104" s="82" t="s">
        <v>1056</v>
      </c>
      <c r="AG104" s="15"/>
      <c r="AH104" s="15"/>
      <c r="AI104" s="15"/>
      <c r="AJ104" s="15"/>
      <c r="AK104" s="15"/>
      <c r="AL104" s="15"/>
      <c r="AM104" s="15"/>
      <c r="AN104" s="15"/>
      <c r="AO104" s="15"/>
      <c r="AP104" s="15"/>
      <c r="AQ104" s="15"/>
    </row>
    <row r="105" spans="2:43" ht="14.4" thickBot="1" x14ac:dyDescent="0.3">
      <c r="B105" t="s">
        <v>164</v>
      </c>
      <c r="C105" s="21">
        <f>179+60+IF(I94&gt;=2,20,0)</f>
        <v>259</v>
      </c>
      <c r="D105" s="21">
        <f>123</f>
        <v>123</v>
      </c>
      <c r="E105" cm="1">
        <f t="array" ref="E105">SUM(IFERROR(
    VALUE(MID($C95:$G98,
             SEARCH(E104, $C95:$G98) + LEN(E104),
             10)) *
    ISNUMBER(SEARCH(E104,$C95:$G98)),
    0
))/100+IFERROR(
    MID($C100, SEARCH(E104, $C100) + LEN(E104), 2) / 100,
    0
)</f>
        <v>0.78</v>
      </c>
      <c r="F105" cm="1">
        <f t="array" ref="F105">SUM(IFERROR(
    VALUE(MID($C95:$G98,
             SEARCH(F104, $C95:$G98) + LEN(F104),
             10)) *
    ISNUMBER(SEARCH(F104,$C95:$G98)),
    0
))/100+IFERROR(
    MID($C100, SEARCH(F104, $C100) + LEN(F104), 2) / 100,
    0
)</f>
        <v>0.434</v>
      </c>
      <c r="G105" cm="1">
        <f t="array" ref="G105">SUM(IFERROR(
    VALUE(MID($C95:$G98,
             SEARCH(G104, $C95:$G98) + LEN(G104),
             10)) *
    ISNUMBER(SEARCH(G104,$C95:$G98)),
    0
))/100+IFERROR(
    MID($C100, SEARCH(G104, $C100) + LEN(G104), 2) / 100,
    0
)</f>
        <v>0.12</v>
      </c>
      <c r="H105" cm="1">
        <f t="array" ref="H105">SUM(IFERROR(
    VALUE(MID($C95:$G98,
             SEARCH(H104, $C95:$G98) + LEN(H104),
             10)) *
    ISNUMBER(SEARCH(H104,$C95:$G98)),
    0
))/100+IFERROR(
    MID($C100, SEARCH(H104, $C100) + LEN(H104), 2) / 100,
    0
)</f>
        <v>0.12</v>
      </c>
      <c r="I105" cm="1">
        <f t="array" ref="I105">SUM(IFERROR(
    VALUE(MID($C95:$G98,
             SEARCH(I104, $C95:$G98) + LEN(I104),
             10)) *
    ISNUMBER(SEARCH(I104,$C95:$G98)),
    0
))/100+IFERROR(
    MID($C100, SEARCH(I104, $C100) + LEN(I104), 2) / 100,
    0
)</f>
        <v>0.12</v>
      </c>
      <c r="J105" s="42"/>
      <c r="L105" s="23" cm="1">
        <f t="array" ref="L105">_xlfn.XLOOKUP(L104,$AE$6:$AQ$6,AE94:AQ100,0,0,1)</f>
        <v>0</v>
      </c>
      <c r="M105" s="23" cm="1">
        <f t="array" ref="M105:M109">_xlfn.XLOOKUP(M104,$AE$6:$AQ$6,AE106:AQ110,0,0,1)</f>
        <v>324</v>
      </c>
      <c r="N105" s="23" cm="1">
        <f t="array" ref="N105">_xlfn.XLOOKUP(N104,$AE$6:$AQ$6,AE118:AQ121,0,0,1)</f>
        <v>0</v>
      </c>
      <c r="O105" s="23" cm="1">
        <f t="array" ref="O105:O110">_xlfn.XLOOKUP(O104,$AE$6:$AQ$6,AE120:AQ125,0,0,1)</f>
        <v>80</v>
      </c>
      <c r="P105" s="42"/>
      <c r="R105" s="28"/>
      <c r="T105" s="29" t="s">
        <v>974</v>
      </c>
      <c r="AE105" s="14"/>
      <c r="AF105" s="82" t="s">
        <v>1057</v>
      </c>
      <c r="AG105" s="16"/>
      <c r="AH105" s="16"/>
      <c r="AI105" s="16"/>
      <c r="AJ105" s="16"/>
      <c r="AK105" s="16"/>
      <c r="AL105" s="16"/>
      <c r="AM105" s="16"/>
      <c r="AN105" s="16"/>
      <c r="AO105" s="16"/>
      <c r="AP105" s="16"/>
      <c r="AQ105" s="16"/>
    </row>
    <row r="106" spans="2:43" ht="14.4" thickBot="1" x14ac:dyDescent="0.3">
      <c r="B106" s="22" t="s">
        <v>165</v>
      </c>
      <c r="C106" cm="1">
        <f t="array" ref="C106">SUM(IFERROR(
    VALUE(MID($C95:$G98,
             FIND(C104, $C95:$G98) + LEN(C104),
             10)) *
    ISNUMBER(FIND(C104, $C95:$G98)),
    0
))+SUM(IFERROR(
    VALUE(MID($C95:$G98,
             FIND(C103, $C95:$G98) + LEN(C103),
             10)) *
    ISNUMBER(FIND(C103, $C95:$G98)),
    0
))+IFERROR(
    MID($C100, SEARCH(C104, $C100) + LEN(C104), 2) / 100,
    0
)+IFERROR(
    MID($C100, SEARCH(C103, $C100) + LEN(C103), 2) / 100,
    0
)</f>
        <v>132</v>
      </c>
      <c r="D106" cm="1">
        <f t="array" ref="D106">SUM(IFERROR(
    VALUE(MID($C95:$G98,
             FIND(D104, $C95:$G98) + LEN(D104),
             10)) *
    ISNUMBER(FIND(D104, $C95:$G98)),
    0
))+SUM(IFERROR(
    VALUE(MID($C95:$G98,
             FIND(D103, $C95:$G98) + LEN(D103),
             10)) *
    ISNUMBER(FIND(D103, $C95:$G98)),
    0
))+IFERROR(
    MID($C100, SEARCH(D104, $C100) + LEN(D104), 2) / 100,
    0
)+IFERROR(
    MID($C100, SEARCH(D103, $C100) + LEN(D103), 2) / 100,
    0
)</f>
        <v>315</v>
      </c>
      <c r="J106" s="42"/>
      <c r="M106">
        <v>0.76</v>
      </c>
      <c r="O106">
        <v>0.24</v>
      </c>
      <c r="P106" s="42"/>
      <c r="R106" s="28"/>
      <c r="T106" s="29" t="s">
        <v>975</v>
      </c>
      <c r="AE106" s="78" t="s">
        <v>171</v>
      </c>
      <c r="AF106" s="80">
        <v>144</v>
      </c>
      <c r="AG106" s="80">
        <v>173</v>
      </c>
      <c r="AH106" s="80">
        <v>202</v>
      </c>
      <c r="AI106" s="80">
        <v>230</v>
      </c>
      <c r="AJ106" s="80">
        <v>245</v>
      </c>
      <c r="AK106" s="80">
        <v>259</v>
      </c>
      <c r="AL106" s="80">
        <v>274</v>
      </c>
      <c r="AM106" s="80">
        <v>288</v>
      </c>
      <c r="AN106" s="80">
        <v>302</v>
      </c>
      <c r="AO106" s="80">
        <v>310</v>
      </c>
      <c r="AP106" s="80">
        <v>317</v>
      </c>
      <c r="AQ106" s="80">
        <v>324</v>
      </c>
    </row>
    <row r="107" spans="2:43" ht="14.4" thickBot="1" x14ac:dyDescent="0.3">
      <c r="B107" s="22" t="s">
        <v>166</v>
      </c>
      <c r="C107" s="12" cm="1">
        <f t="array" ref="C107">ROUNDUP(SUM(C105:C106)*(1+IF(LEN(TRIM(LEFT(C103,3)))=0, 0,
   SUMPRODUCT(
       IFERROR(
           VALUE(MID($C95:$G98,
                   SEARCH(LEFT(C103,3), $C95:$G98) + 3,
                   10)) *
           ISNUMBER(SEARCH(LEFT(C103,3), $C95:$G98)),
           0
       )
   )+IFERROR(
    MID($C100, SEARCH(C104, $C100) + LEN(C104), 2) / 100,
    0
)
)/100),0)</f>
        <v>391</v>
      </c>
      <c r="D107" s="12" cm="1">
        <f t="array" ref="D107">ROUNDUP(SUM(D105:D106)*(1+IF(LEN(TRIM(LEFT(D103,3)))=0, 0,
   SUMPRODUCT(
       IFERROR(
           VALUE(MID($C95:$G98,
                   SEARCH(LEFT(D103,3), $C95:$G98) + 3,
                   10)) *
           ISNUMBER(SEARCH(LEFT(D103,3), $C95:$G98)),
           0
       )
   )+IFERROR(
    MID($C100, SEARCH(D104, $C100) + LEN(D104), 2) / 100,
    0
)
)/100),0)</f>
        <v>744</v>
      </c>
      <c r="J107" s="42"/>
      <c r="M107">
        <v>20</v>
      </c>
      <c r="O107">
        <v>0.24</v>
      </c>
      <c r="P107" s="42"/>
      <c r="R107" s="30"/>
      <c r="S107" s="18"/>
      <c r="T107" s="31" t="s">
        <v>976</v>
      </c>
      <c r="AE107" s="78" t="s">
        <v>172</v>
      </c>
      <c r="AF107" s="80">
        <v>0.34</v>
      </c>
      <c r="AG107" s="80">
        <v>0.4</v>
      </c>
      <c r="AH107" s="80">
        <v>0.47</v>
      </c>
      <c r="AI107" s="80">
        <v>0.54</v>
      </c>
      <c r="AJ107" s="80">
        <v>0.56999999999999995</v>
      </c>
      <c r="AK107" s="80">
        <v>0.6</v>
      </c>
      <c r="AL107" s="80">
        <v>0.64</v>
      </c>
      <c r="AM107" s="80">
        <v>0.67</v>
      </c>
      <c r="AN107" s="80">
        <v>0.71</v>
      </c>
      <c r="AO107" s="80">
        <v>0.72</v>
      </c>
      <c r="AP107" s="80">
        <v>0.74</v>
      </c>
      <c r="AQ107" s="80">
        <v>0.76</v>
      </c>
    </row>
    <row r="108" spans="2:43" ht="14.4" thickBot="1" x14ac:dyDescent="0.3">
      <c r="B108" s="85" t="s">
        <v>93</v>
      </c>
      <c r="C108" s="86">
        <f>C107*0.005+D107*0.002</f>
        <v>3.4430000000000001</v>
      </c>
      <c r="D108" s="87"/>
      <c r="E108" s="86"/>
      <c r="F108" s="86"/>
      <c r="G108" s="86"/>
      <c r="H108" s="86"/>
      <c r="I108" s="86"/>
      <c r="J108" s="42"/>
      <c r="M108">
        <v>0.15</v>
      </c>
      <c r="O108">
        <v>2.9999999999999997E-4</v>
      </c>
      <c r="P108" s="42"/>
      <c r="AE108" s="78" t="s">
        <v>173</v>
      </c>
      <c r="AF108" s="80">
        <v>20</v>
      </c>
      <c r="AG108" s="80">
        <v>20</v>
      </c>
      <c r="AH108" s="80">
        <v>20</v>
      </c>
      <c r="AI108" s="80">
        <v>20</v>
      </c>
      <c r="AJ108" s="80">
        <v>20</v>
      </c>
      <c r="AK108" s="80">
        <v>20</v>
      </c>
      <c r="AL108" s="80">
        <v>20</v>
      </c>
      <c r="AM108" s="80">
        <v>20</v>
      </c>
      <c r="AN108" s="80">
        <v>20</v>
      </c>
      <c r="AO108" s="80">
        <v>20</v>
      </c>
      <c r="AP108" s="80">
        <v>20</v>
      </c>
      <c r="AQ108" s="80">
        <v>20</v>
      </c>
    </row>
    <row r="109" spans="2:43" ht="14.4" thickBot="1" x14ac:dyDescent="0.3">
      <c r="J109" s="42"/>
      <c r="M109">
        <v>25</v>
      </c>
      <c r="O109">
        <v>0.36</v>
      </c>
      <c r="P109" s="42"/>
      <c r="AE109" s="78" t="s">
        <v>174</v>
      </c>
      <c r="AF109" s="79">
        <v>0.09</v>
      </c>
      <c r="AG109" s="79">
        <v>0.09</v>
      </c>
      <c r="AH109" s="79">
        <v>0.09</v>
      </c>
      <c r="AI109" s="79">
        <v>0.09</v>
      </c>
      <c r="AJ109" s="79">
        <v>0.09</v>
      </c>
      <c r="AK109" s="79">
        <v>0.11</v>
      </c>
      <c r="AL109" s="79">
        <v>0.11</v>
      </c>
      <c r="AM109" s="79">
        <v>0.11</v>
      </c>
      <c r="AN109" s="79">
        <v>0.13</v>
      </c>
      <c r="AO109" s="79">
        <v>0.13</v>
      </c>
      <c r="AP109" s="79">
        <v>0.13</v>
      </c>
      <c r="AQ109" s="79">
        <v>0.15</v>
      </c>
    </row>
    <row r="110" spans="2:43" ht="13.8" customHeight="1" x14ac:dyDescent="0.25">
      <c r="O110">
        <v>12</v>
      </c>
      <c r="P110" s="42"/>
      <c r="AE110" s="78" t="s">
        <v>175</v>
      </c>
      <c r="AF110" s="80">
        <v>25</v>
      </c>
      <c r="AG110" s="80">
        <v>25</v>
      </c>
      <c r="AH110" s="80">
        <v>25</v>
      </c>
      <c r="AI110" s="80">
        <v>25</v>
      </c>
      <c r="AJ110" s="80">
        <v>25</v>
      </c>
      <c r="AK110" s="80">
        <v>25</v>
      </c>
      <c r="AL110" s="80">
        <v>25</v>
      </c>
      <c r="AM110" s="80">
        <v>25</v>
      </c>
      <c r="AN110" s="80">
        <v>25</v>
      </c>
      <c r="AO110" s="80">
        <v>25</v>
      </c>
      <c r="AP110" s="80">
        <v>25</v>
      </c>
      <c r="AQ110" s="80">
        <v>25</v>
      </c>
    </row>
    <row r="111" spans="2:43" x14ac:dyDescent="0.25">
      <c r="E111" s="12"/>
      <c r="G111" s="12"/>
      <c r="AE111" s="14"/>
      <c r="AF111" s="16"/>
      <c r="AG111" s="16"/>
      <c r="AH111" s="16"/>
      <c r="AI111" s="16"/>
      <c r="AJ111" s="16"/>
      <c r="AK111" s="16"/>
      <c r="AL111" s="16"/>
      <c r="AM111" s="16"/>
      <c r="AN111" s="16"/>
      <c r="AO111" s="16"/>
      <c r="AP111" s="16"/>
      <c r="AQ111" s="16"/>
    </row>
    <row r="112" spans="2:43" x14ac:dyDescent="0.25">
      <c r="C112" s="22"/>
      <c r="AE112" s="14"/>
      <c r="AF112" s="14"/>
      <c r="AG112" s="14"/>
      <c r="AH112" s="14"/>
      <c r="AI112" s="14"/>
      <c r="AJ112" s="14"/>
      <c r="AK112" s="14"/>
      <c r="AL112" s="14"/>
      <c r="AM112" s="14"/>
      <c r="AN112" s="14"/>
      <c r="AO112" s="14"/>
      <c r="AP112" s="14"/>
      <c r="AQ112" s="14"/>
    </row>
    <row r="113" spans="2:43" x14ac:dyDescent="0.25">
      <c r="C113" s="22"/>
    </row>
    <row r="114" spans="2:43" x14ac:dyDescent="0.25">
      <c r="C114" s="22"/>
    </row>
    <row r="115" spans="2:43" ht="14.4" thickBot="1" x14ac:dyDescent="0.3">
      <c r="C115" s="28" t="s">
        <v>978</v>
      </c>
      <c r="E115" s="61" t="s">
        <v>755</v>
      </c>
      <c r="F115" s="61"/>
      <c r="G115" s="61"/>
      <c r="H115" s="61"/>
      <c r="I115" s="61"/>
      <c r="J115" s="127" t="s">
        <v>785</v>
      </c>
      <c r="K115" s="127"/>
      <c r="L115" s="127"/>
      <c r="M115" s="127"/>
      <c r="N115" s="63" t="s">
        <v>154</v>
      </c>
      <c r="O115" s="63"/>
      <c r="P115" s="63"/>
      <c r="Q115" s="63"/>
      <c r="R115" s="63"/>
      <c r="S115" s="63"/>
      <c r="T115" s="8" t="s">
        <v>161</v>
      </c>
      <c r="U115" s="8"/>
      <c r="V115" s="8"/>
      <c r="W115" s="8"/>
      <c r="X115" s="8"/>
      <c r="Y115" s="8"/>
      <c r="Z115" s="8"/>
      <c r="AE115" s="14" t="s">
        <v>77</v>
      </c>
    </row>
    <row r="116" spans="2:43" x14ac:dyDescent="0.25">
      <c r="B116" t="s">
        <v>695</v>
      </c>
      <c r="C116" s="17" t="s">
        <v>704</v>
      </c>
      <c r="D116" s="17" t="s">
        <v>991</v>
      </c>
      <c r="E116" s="52" t="s">
        <v>92</v>
      </c>
      <c r="F116" s="52" t="s">
        <v>94</v>
      </c>
      <c r="G116" s="52" t="s">
        <v>95</v>
      </c>
      <c r="H116" s="52" t="s">
        <v>93</v>
      </c>
      <c r="I116" s="52" t="s">
        <v>96</v>
      </c>
      <c r="J116" s="64" t="s">
        <v>688</v>
      </c>
      <c r="K116" s="64" t="s">
        <v>689</v>
      </c>
      <c r="L116" s="64" t="s">
        <v>690</v>
      </c>
      <c r="M116" s="64" t="s">
        <v>163</v>
      </c>
      <c r="N116" s="64" t="s">
        <v>707</v>
      </c>
      <c r="O116" s="64" t="s">
        <v>153</v>
      </c>
      <c r="P116" s="64" t="s">
        <v>76</v>
      </c>
      <c r="Q116" s="64" t="s">
        <v>77</v>
      </c>
      <c r="R116" s="64" t="s">
        <v>78</v>
      </c>
      <c r="S116" s="64" t="s">
        <v>703</v>
      </c>
      <c r="T116" s="64" t="s">
        <v>83</v>
      </c>
      <c r="U116" s="64" t="s">
        <v>80</v>
      </c>
      <c r="V116" s="64" t="s">
        <v>79</v>
      </c>
      <c r="W116" s="64" t="s">
        <v>691</v>
      </c>
      <c r="X116" s="64" t="s">
        <v>694</v>
      </c>
      <c r="Y116" s="64" t="s">
        <v>693</v>
      </c>
      <c r="Z116" s="64" t="s">
        <v>692</v>
      </c>
      <c r="AF116" s="15"/>
      <c r="AG116" s="15"/>
      <c r="AH116" s="15"/>
      <c r="AI116" s="15"/>
      <c r="AJ116" s="15"/>
      <c r="AK116" s="15"/>
      <c r="AL116" s="15"/>
      <c r="AM116" s="15"/>
      <c r="AN116" s="15"/>
      <c r="AO116" s="15"/>
      <c r="AP116" s="15"/>
      <c r="AQ116" s="15"/>
    </row>
    <row r="117" spans="2:43" x14ac:dyDescent="0.25">
      <c r="B117" t="s">
        <v>993</v>
      </c>
      <c r="E117" s="21"/>
      <c r="F117" s="43"/>
      <c r="G117" s="43"/>
      <c r="H117">
        <f>C108</f>
        <v>3.4430000000000001</v>
      </c>
      <c r="I117">
        <f>(E117*(1+F117)+G117)*(H117+1)</f>
        <v>0</v>
      </c>
      <c r="K117" s="43"/>
      <c r="L117" s="43"/>
      <c r="M117" s="43"/>
      <c r="N117" s="43"/>
      <c r="O117" s="43"/>
      <c r="P117" s="43"/>
      <c r="Q117" s="43"/>
      <c r="R117" s="43"/>
      <c r="AE117" s="14"/>
      <c r="AF117" s="14"/>
      <c r="AG117" s="14"/>
      <c r="AH117" s="14"/>
      <c r="AI117" s="14"/>
      <c r="AJ117" s="14"/>
      <c r="AK117" s="14"/>
      <c r="AL117" s="14"/>
      <c r="AM117" s="14"/>
      <c r="AN117" s="14"/>
      <c r="AO117" s="14"/>
      <c r="AP117" s="14"/>
      <c r="AQ117" s="14"/>
    </row>
    <row r="118" spans="2:43" x14ac:dyDescent="0.25">
      <c r="C118" t="s">
        <v>684</v>
      </c>
      <c r="D118" t="s">
        <v>805</v>
      </c>
      <c r="E118">
        <f>E117</f>
        <v>0</v>
      </c>
      <c r="F118">
        <f>F117</f>
        <v>0</v>
      </c>
      <c r="G118">
        <f>G117</f>
        <v>0</v>
      </c>
      <c r="H118">
        <f>H117</f>
        <v>3.4430000000000001</v>
      </c>
      <c r="I118">
        <f t="shared" ref="I118:I120" si="0">(E118*(1+F118)+G118)*(H118+1)</f>
        <v>0</v>
      </c>
      <c r="J118">
        <f>SUM(L105:L109)</f>
        <v>0</v>
      </c>
      <c r="K118">
        <f t="shared" ref="K118:R118" si="1">K117</f>
        <v>0</v>
      </c>
      <c r="L118">
        <f t="shared" si="1"/>
        <v>0</v>
      </c>
      <c r="M118">
        <f t="shared" si="1"/>
        <v>0</v>
      </c>
      <c r="N118">
        <f t="shared" si="1"/>
        <v>0</v>
      </c>
      <c r="O118">
        <f t="shared" si="1"/>
        <v>0</v>
      </c>
      <c r="P118">
        <f t="shared" si="1"/>
        <v>0</v>
      </c>
      <c r="Q118">
        <f t="shared" si="1"/>
        <v>0</v>
      </c>
      <c r="R118">
        <f t="shared" si="1"/>
        <v>0</v>
      </c>
      <c r="T118">
        <f>T117</f>
        <v>0</v>
      </c>
      <c r="U118">
        <f t="shared" ref="U118:X118" si="2">U117</f>
        <v>0</v>
      </c>
      <c r="V118">
        <f t="shared" si="2"/>
        <v>0</v>
      </c>
      <c r="W118">
        <f t="shared" si="2"/>
        <v>0</v>
      </c>
      <c r="X118">
        <f t="shared" si="2"/>
        <v>0</v>
      </c>
      <c r="AE118" s="14"/>
      <c r="AF118" s="16"/>
      <c r="AG118" s="16"/>
      <c r="AH118" s="16"/>
      <c r="AI118" s="16"/>
      <c r="AJ118" s="16"/>
      <c r="AK118" s="16"/>
      <c r="AL118" s="16"/>
      <c r="AM118" s="16"/>
      <c r="AN118" s="16"/>
      <c r="AO118" s="16"/>
      <c r="AP118" s="16"/>
      <c r="AQ118" s="16"/>
    </row>
    <row r="119" spans="2:43" ht="14.4" thickBot="1" x14ac:dyDescent="0.3">
      <c r="C119" t="s">
        <v>683</v>
      </c>
      <c r="D119" t="s">
        <v>805</v>
      </c>
      <c r="E119">
        <f t="shared" ref="E119:H119" si="3">E118</f>
        <v>0</v>
      </c>
      <c r="F119">
        <f t="shared" si="3"/>
        <v>0</v>
      </c>
      <c r="G119">
        <f t="shared" si="3"/>
        <v>0</v>
      </c>
      <c r="H119">
        <f t="shared" si="3"/>
        <v>3.4430000000000001</v>
      </c>
      <c r="I119">
        <f t="shared" si="0"/>
        <v>0</v>
      </c>
      <c r="J119">
        <f>SUM(L105:L108)</f>
        <v>0</v>
      </c>
      <c r="K119">
        <f t="shared" ref="K119:R119" si="4">K118</f>
        <v>0</v>
      </c>
      <c r="L119">
        <f t="shared" si="4"/>
        <v>0</v>
      </c>
      <c r="M119">
        <f t="shared" si="4"/>
        <v>0</v>
      </c>
      <c r="N119">
        <f t="shared" si="4"/>
        <v>0</v>
      </c>
      <c r="O119">
        <f t="shared" si="4"/>
        <v>0</v>
      </c>
      <c r="P119">
        <f t="shared" si="4"/>
        <v>0</v>
      </c>
      <c r="Q119">
        <f t="shared" si="4"/>
        <v>0</v>
      </c>
      <c r="R119">
        <f t="shared" si="4"/>
        <v>0</v>
      </c>
      <c r="T119">
        <f t="shared" ref="T119:X122" si="5">T118</f>
        <v>0</v>
      </c>
      <c r="U119">
        <f t="shared" si="5"/>
        <v>0</v>
      </c>
      <c r="V119">
        <f t="shared" si="5"/>
        <v>0</v>
      </c>
      <c r="W119">
        <f t="shared" si="5"/>
        <v>0</v>
      </c>
      <c r="X119">
        <f t="shared" si="5"/>
        <v>0</v>
      </c>
      <c r="AE119" s="14" t="s">
        <v>78</v>
      </c>
      <c r="AF119" s="14"/>
      <c r="AG119" s="14"/>
      <c r="AH119" s="14"/>
      <c r="AI119" s="14"/>
      <c r="AJ119" s="14"/>
      <c r="AK119" s="14"/>
      <c r="AL119" s="14"/>
      <c r="AM119" s="14"/>
      <c r="AN119" s="14"/>
      <c r="AO119" s="14"/>
      <c r="AP119" s="14"/>
      <c r="AQ119" s="14"/>
    </row>
    <row r="120" spans="2:43" ht="14.4" thickBot="1" x14ac:dyDescent="0.3">
      <c r="C120" t="s">
        <v>1058</v>
      </c>
      <c r="D120" t="s">
        <v>805</v>
      </c>
      <c r="E120">
        <f t="shared" ref="E120:H120" si="6">E119</f>
        <v>0</v>
      </c>
      <c r="F120">
        <f t="shared" si="6"/>
        <v>0</v>
      </c>
      <c r="G120">
        <f t="shared" si="6"/>
        <v>0</v>
      </c>
      <c r="H120">
        <f t="shared" si="6"/>
        <v>3.4430000000000001</v>
      </c>
      <c r="I120">
        <f t="shared" si="0"/>
        <v>0</v>
      </c>
      <c r="J120">
        <f>L109</f>
        <v>0</v>
      </c>
      <c r="K120">
        <f t="shared" ref="K120:R120" si="7">K119</f>
        <v>0</v>
      </c>
      <c r="L120">
        <f t="shared" si="7"/>
        <v>0</v>
      </c>
      <c r="M120">
        <f t="shared" si="7"/>
        <v>0</v>
      </c>
      <c r="N120">
        <f t="shared" si="7"/>
        <v>0</v>
      </c>
      <c r="O120">
        <f t="shared" si="7"/>
        <v>0</v>
      </c>
      <c r="P120">
        <f t="shared" si="7"/>
        <v>0</v>
      </c>
      <c r="Q120">
        <f t="shared" si="7"/>
        <v>0</v>
      </c>
      <c r="R120">
        <f t="shared" si="7"/>
        <v>0</v>
      </c>
      <c r="T120">
        <f t="shared" si="5"/>
        <v>0</v>
      </c>
      <c r="U120">
        <f t="shared" si="5"/>
        <v>0</v>
      </c>
      <c r="V120">
        <f t="shared" si="5"/>
        <v>0</v>
      </c>
      <c r="W120">
        <f t="shared" si="5"/>
        <v>0</v>
      </c>
      <c r="X120">
        <f t="shared" si="5"/>
        <v>0</v>
      </c>
      <c r="AE120" s="78" t="s">
        <v>146</v>
      </c>
      <c r="AF120" s="80">
        <v>80</v>
      </c>
      <c r="AG120" s="80">
        <v>80</v>
      </c>
      <c r="AH120" s="80">
        <v>80</v>
      </c>
      <c r="AI120" s="80">
        <v>80</v>
      </c>
      <c r="AJ120" s="80">
        <v>80</v>
      </c>
      <c r="AK120" s="80">
        <v>80</v>
      </c>
      <c r="AL120" s="80">
        <v>80</v>
      </c>
      <c r="AM120" s="80">
        <v>80</v>
      </c>
      <c r="AN120" s="80">
        <v>80</v>
      </c>
      <c r="AO120" s="80">
        <v>80</v>
      </c>
      <c r="AP120" s="80">
        <v>80</v>
      </c>
      <c r="AQ120" s="80">
        <v>80</v>
      </c>
    </row>
    <row r="121" spans="2:43" ht="14.4" thickBot="1" x14ac:dyDescent="0.3">
      <c r="D121" t="s">
        <v>805</v>
      </c>
      <c r="E121">
        <f t="shared" ref="E121:H121" si="8">E120</f>
        <v>0</v>
      </c>
      <c r="F121">
        <f t="shared" si="8"/>
        <v>0</v>
      </c>
      <c r="G121">
        <f t="shared" si="8"/>
        <v>0</v>
      </c>
      <c r="H121">
        <f t="shared" si="8"/>
        <v>3.4430000000000001</v>
      </c>
      <c r="I121">
        <f>(E121*(1+F121)+G121)*(H121+1)</f>
        <v>0</v>
      </c>
      <c r="J121">
        <f>L110</f>
        <v>0</v>
      </c>
      <c r="K121">
        <f t="shared" ref="K121:R121" si="9">K120</f>
        <v>0</v>
      </c>
      <c r="L121">
        <f t="shared" si="9"/>
        <v>0</v>
      </c>
      <c r="M121">
        <f t="shared" si="9"/>
        <v>0</v>
      </c>
      <c r="N121">
        <f t="shared" si="9"/>
        <v>0</v>
      </c>
      <c r="O121">
        <f t="shared" si="9"/>
        <v>0</v>
      </c>
      <c r="P121">
        <f t="shared" si="9"/>
        <v>0</v>
      </c>
      <c r="Q121">
        <f t="shared" si="9"/>
        <v>0</v>
      </c>
      <c r="R121">
        <f t="shared" si="9"/>
        <v>0</v>
      </c>
      <c r="T121">
        <f t="shared" si="5"/>
        <v>0</v>
      </c>
      <c r="U121">
        <f t="shared" si="5"/>
        <v>0</v>
      </c>
      <c r="V121">
        <f t="shared" si="5"/>
        <v>0</v>
      </c>
      <c r="W121">
        <f t="shared" si="5"/>
        <v>0</v>
      </c>
      <c r="X121">
        <f t="shared" si="5"/>
        <v>0</v>
      </c>
      <c r="AE121" s="78" t="s">
        <v>176</v>
      </c>
      <c r="AF121" s="79">
        <v>0.11</v>
      </c>
      <c r="AG121" s="79">
        <v>0.12</v>
      </c>
      <c r="AH121" s="79">
        <v>0.13</v>
      </c>
      <c r="AI121" s="79">
        <v>0.14000000000000001</v>
      </c>
      <c r="AJ121" s="79">
        <v>0.15</v>
      </c>
      <c r="AK121" s="79">
        <v>0.16</v>
      </c>
      <c r="AL121" s="79">
        <v>0.17</v>
      </c>
      <c r="AM121" s="79">
        <v>0.18</v>
      </c>
      <c r="AN121" s="79">
        <v>0.19</v>
      </c>
      <c r="AO121" s="79">
        <v>0.21</v>
      </c>
      <c r="AP121" s="79">
        <v>0.22</v>
      </c>
      <c r="AQ121" s="79">
        <v>0.24</v>
      </c>
    </row>
    <row r="122" spans="2:43" ht="14.4" thickBot="1" x14ac:dyDescent="0.3">
      <c r="D122" t="s">
        <v>805</v>
      </c>
      <c r="E122">
        <f t="shared" ref="E122:H122" si="10">E121</f>
        <v>0</v>
      </c>
      <c r="F122">
        <f t="shared" si="10"/>
        <v>0</v>
      </c>
      <c r="G122">
        <f t="shared" si="10"/>
        <v>0</v>
      </c>
      <c r="H122">
        <f t="shared" si="10"/>
        <v>3.4430000000000001</v>
      </c>
      <c r="I122">
        <f t="shared" ref="I122" si="11">(E122*(1+F122)+G122)*(H122+1)</f>
        <v>0</v>
      </c>
      <c r="J122">
        <f>L111</f>
        <v>0</v>
      </c>
      <c r="K122">
        <f t="shared" ref="K122:R122" si="12">K121</f>
        <v>0</v>
      </c>
      <c r="L122">
        <f t="shared" si="12"/>
        <v>0</v>
      </c>
      <c r="M122">
        <f t="shared" si="12"/>
        <v>0</v>
      </c>
      <c r="N122">
        <f t="shared" si="12"/>
        <v>0</v>
      </c>
      <c r="O122">
        <f t="shared" si="12"/>
        <v>0</v>
      </c>
      <c r="P122">
        <f t="shared" si="12"/>
        <v>0</v>
      </c>
      <c r="Q122">
        <f t="shared" si="12"/>
        <v>0</v>
      </c>
      <c r="R122">
        <f t="shared" si="12"/>
        <v>0</v>
      </c>
      <c r="T122">
        <f t="shared" si="5"/>
        <v>0</v>
      </c>
      <c r="U122">
        <f t="shared" si="5"/>
        <v>0</v>
      </c>
      <c r="V122">
        <f t="shared" si="5"/>
        <v>0</v>
      </c>
      <c r="W122">
        <f t="shared" si="5"/>
        <v>0</v>
      </c>
      <c r="X122">
        <f t="shared" si="5"/>
        <v>0</v>
      </c>
      <c r="AE122" s="78" t="s">
        <v>177</v>
      </c>
      <c r="AF122" s="79">
        <v>0.11</v>
      </c>
      <c r="AG122" s="79">
        <v>0.12</v>
      </c>
      <c r="AH122" s="79">
        <v>0.13</v>
      </c>
      <c r="AI122" s="79">
        <v>0.14000000000000001</v>
      </c>
      <c r="AJ122" s="79">
        <v>0.15</v>
      </c>
      <c r="AK122" s="79">
        <v>0.16</v>
      </c>
      <c r="AL122" s="79">
        <v>0.17</v>
      </c>
      <c r="AM122" s="79">
        <v>0.18</v>
      </c>
      <c r="AN122" s="79">
        <v>0.19</v>
      </c>
      <c r="AO122" s="79">
        <v>0.21</v>
      </c>
      <c r="AP122" s="79">
        <v>0.22</v>
      </c>
      <c r="AQ122" s="79">
        <v>0.24</v>
      </c>
    </row>
    <row r="123" spans="2:43" s="86" customFormat="1" ht="14.4" thickBot="1" x14ac:dyDescent="0.3">
      <c r="B123" s="86" t="s">
        <v>892</v>
      </c>
      <c r="S123"/>
      <c r="T123"/>
      <c r="U123"/>
      <c r="V123"/>
      <c r="W123"/>
      <c r="X123"/>
      <c r="Y123"/>
      <c r="Z123"/>
      <c r="AA123"/>
      <c r="AB123"/>
      <c r="AC123"/>
      <c r="AD123" s="96"/>
      <c r="AE123" s="78" t="s">
        <v>178</v>
      </c>
      <c r="AF123" s="81">
        <v>1.3999999999999999E-4</v>
      </c>
      <c r="AG123" s="81">
        <v>1.4999999999999999E-4</v>
      </c>
      <c r="AH123" s="81">
        <v>1.6000000000000001E-4</v>
      </c>
      <c r="AI123" s="81">
        <v>1.8000000000000001E-4</v>
      </c>
      <c r="AJ123" s="81">
        <v>1.9000000000000001E-4</v>
      </c>
      <c r="AK123" s="81">
        <v>2.0000000000000001E-4</v>
      </c>
      <c r="AL123" s="81">
        <v>2.2000000000000001E-4</v>
      </c>
      <c r="AM123" s="81">
        <v>2.3000000000000001E-4</v>
      </c>
      <c r="AN123" s="81">
        <v>2.4000000000000001E-4</v>
      </c>
      <c r="AO123" s="81">
        <v>2.5999999999999998E-4</v>
      </c>
      <c r="AP123" s="81">
        <v>2.7999999999999998E-4</v>
      </c>
      <c r="AQ123" s="81">
        <v>2.9999999999999997E-4</v>
      </c>
    </row>
    <row r="124" spans="2:43" ht="14.4" thickBot="1" x14ac:dyDescent="0.3">
      <c r="C124" t="s">
        <v>805</v>
      </c>
      <c r="D124" t="s">
        <v>1066</v>
      </c>
      <c r="S124" s="17"/>
      <c r="T124" s="17"/>
      <c r="U124" s="17">
        <f>M108+IF(I94&gt;=1,0.05,0)</f>
        <v>0.2</v>
      </c>
      <c r="V124" s="17"/>
      <c r="W124" s="17"/>
      <c r="X124" s="17"/>
      <c r="Y124" s="17"/>
      <c r="Z124" s="17"/>
      <c r="AE124" s="78" t="s">
        <v>179</v>
      </c>
      <c r="AF124" s="79">
        <v>0.3</v>
      </c>
      <c r="AG124" s="79">
        <v>0.3</v>
      </c>
      <c r="AH124" s="79">
        <v>0.3</v>
      </c>
      <c r="AI124" s="79">
        <v>0.3</v>
      </c>
      <c r="AJ124" s="79">
        <v>0.3</v>
      </c>
      <c r="AK124" s="79">
        <v>0.3</v>
      </c>
      <c r="AL124" s="79">
        <v>0.3</v>
      </c>
      <c r="AM124" s="79">
        <v>0.3</v>
      </c>
      <c r="AN124" s="79">
        <v>0.3</v>
      </c>
      <c r="AO124" s="79">
        <v>0.3</v>
      </c>
      <c r="AP124" s="79">
        <v>0.3</v>
      </c>
      <c r="AQ124" s="79">
        <v>0.36</v>
      </c>
    </row>
    <row r="125" spans="2:43" x14ac:dyDescent="0.25">
      <c r="C125" t="s">
        <v>805</v>
      </c>
      <c r="D125" t="s">
        <v>1058</v>
      </c>
      <c r="U125">
        <f>(O106+O108*D107)*IF(I94&gt;=5,1.1,1)</f>
        <v>0.50951999999999997</v>
      </c>
      <c r="AE125" s="78" t="s">
        <v>135</v>
      </c>
      <c r="AF125" s="80">
        <v>12</v>
      </c>
      <c r="AG125" s="80">
        <v>12</v>
      </c>
      <c r="AH125" s="80">
        <v>12</v>
      </c>
      <c r="AI125" s="80">
        <v>12</v>
      </c>
      <c r="AJ125" s="80">
        <v>12</v>
      </c>
      <c r="AK125" s="80">
        <v>12</v>
      </c>
      <c r="AL125" s="80">
        <v>12</v>
      </c>
      <c r="AM125" s="80">
        <v>12</v>
      </c>
      <c r="AN125" s="80">
        <v>12</v>
      </c>
      <c r="AO125" s="80">
        <v>12</v>
      </c>
      <c r="AP125" s="80">
        <v>12</v>
      </c>
      <c r="AQ125" s="80">
        <v>12</v>
      </c>
    </row>
    <row r="126" spans="2:43" x14ac:dyDescent="0.25">
      <c r="C126" t="s">
        <v>805</v>
      </c>
      <c r="D126" t="s">
        <v>1060</v>
      </c>
      <c r="V126">
        <f>0.1</f>
        <v>0.1</v>
      </c>
      <c r="AA126" s="86"/>
      <c r="AB126" s="86"/>
      <c r="AC126" s="86"/>
    </row>
    <row r="127" spans="2:43" x14ac:dyDescent="0.25">
      <c r="C127" t="s">
        <v>805</v>
      </c>
      <c r="D127" t="s">
        <v>1065</v>
      </c>
      <c r="F127">
        <f>0.144</f>
        <v>0.14399999999999999</v>
      </c>
    </row>
    <row r="128" spans="2:43" x14ac:dyDescent="0.25">
      <c r="C128" t="s">
        <v>805</v>
      </c>
      <c r="D128" t="s">
        <v>1059</v>
      </c>
      <c r="V128">
        <f>0.144</f>
        <v>0.14399999999999999</v>
      </c>
      <c r="AD128" s="77"/>
    </row>
    <row r="129" spans="2:43" x14ac:dyDescent="0.25">
      <c r="D129" s="12"/>
    </row>
    <row r="130" spans="2:43" x14ac:dyDescent="0.25">
      <c r="D130" s="12"/>
      <c r="P130" s="68"/>
    </row>
    <row r="137" spans="2:43" s="40" customFormat="1" ht="14.4" thickBot="1" x14ac:dyDescent="0.3">
      <c r="B137" s="40" t="s">
        <v>81</v>
      </c>
      <c r="AD137" s="59"/>
    </row>
    <row r="138" spans="2:43" x14ac:dyDescent="0.25">
      <c r="B138" s="25" t="s">
        <v>961</v>
      </c>
      <c r="C138" s="26" t="s">
        <v>75</v>
      </c>
      <c r="D138" s="26" t="s">
        <v>85</v>
      </c>
      <c r="E138" s="26" t="s">
        <v>86</v>
      </c>
      <c r="F138" s="26" t="s">
        <v>87</v>
      </c>
      <c r="G138" s="26" t="s">
        <v>88</v>
      </c>
      <c r="H138" s="26" t="s">
        <v>89</v>
      </c>
      <c r="I138" s="26" t="s">
        <v>192</v>
      </c>
      <c r="J138" s="83"/>
      <c r="Q138" s="25"/>
      <c r="R138" s="26" t="s">
        <v>977</v>
      </c>
      <c r="S138" s="27" t="s">
        <v>963</v>
      </c>
      <c r="AE138" t="s">
        <v>153</v>
      </c>
    </row>
    <row r="139" spans="2:43" x14ac:dyDescent="0.25">
      <c r="B139" s="28" t="s">
        <v>91</v>
      </c>
      <c r="C139" s="68" t="s">
        <v>1448</v>
      </c>
      <c r="D139" s="21" t="s">
        <v>574</v>
      </c>
      <c r="E139" s="21" t="s">
        <v>569</v>
      </c>
      <c r="F139" s="21" t="s">
        <v>577</v>
      </c>
      <c r="G139" s="21" t="s">
        <v>577</v>
      </c>
      <c r="H139" t="str">
        <f>IF(COUNTIF(E139:G139,LEFT(D139,2)&amp;"*")&gt;=2,LEFT(D139,2),
IF(COUNTIF(F139:G139,LEFT(E139,2)&amp;"*")=2,LEFT(E139,2),
""))</f>
        <v>脉冲</v>
      </c>
      <c r="I139" s="21">
        <v>5</v>
      </c>
      <c r="J139" s="29"/>
      <c r="Q139" s="28"/>
      <c r="R139" t="s">
        <v>999</v>
      </c>
      <c r="S139" s="29"/>
      <c r="AE139" s="14"/>
      <c r="AF139" s="16"/>
      <c r="AG139" s="16"/>
      <c r="AH139" s="16"/>
      <c r="AI139" s="16"/>
      <c r="AJ139" s="16"/>
      <c r="AK139" s="16"/>
      <c r="AL139" s="16"/>
      <c r="AM139" s="16"/>
      <c r="AN139" s="16"/>
      <c r="AO139" s="16"/>
      <c r="AP139" s="16"/>
      <c r="AQ139" s="16"/>
    </row>
    <row r="140" spans="2:43" x14ac:dyDescent="0.25">
      <c r="B140" s="28" t="s">
        <v>183</v>
      </c>
      <c r="D140" s="21">
        <v>3</v>
      </c>
      <c r="E140" s="21">
        <v>3</v>
      </c>
      <c r="F140" s="21">
        <v>3</v>
      </c>
      <c r="G140" s="21">
        <v>3</v>
      </c>
      <c r="J140" s="29"/>
      <c r="Q140" s="28"/>
      <c r="R140" t="s">
        <v>1032</v>
      </c>
      <c r="S140" s="29"/>
      <c r="AE140" s="14"/>
      <c r="AF140" s="16"/>
      <c r="AG140" s="16"/>
      <c r="AH140" s="16"/>
      <c r="AI140" s="16"/>
      <c r="AJ140" s="16"/>
      <c r="AK140" s="16"/>
      <c r="AL140" s="16"/>
      <c r="AM140" s="16"/>
      <c r="AN140" s="16"/>
      <c r="AO140" s="16"/>
      <c r="AP140" s="16"/>
      <c r="AQ140" s="16"/>
    </row>
    <row r="141" spans="2:43" x14ac:dyDescent="0.25">
      <c r="B141" s="84" t="s">
        <v>97</v>
      </c>
      <c r="C141" t="str">
        <f>_xlfn.XLOOKUP(C139,武器库!$B:$B,武器库!$C:$C,"")</f>
        <v>智识+124</v>
      </c>
      <c r="D141" t="str">
        <f>VLOOKUP(D139,护甲库!$A:$M,2+D140*3,FALSE)</f>
        <v>智识113</v>
      </c>
      <c r="E141" t="str">
        <f>VLOOKUP(E139,护手库!$A:$M,2+E140*3,FALSE)</f>
        <v>敏捷84</v>
      </c>
      <c r="F141" t="str">
        <f>VLOOKUP(F139,配件库!$A:$M,2+F140*3,FALSE)</f>
        <v>智识53</v>
      </c>
      <c r="G141" t="str">
        <f>VLOOKUP(G139,配件库!$A:$M,2+G140*3,FALSE)</f>
        <v>智识53</v>
      </c>
      <c r="H141" s="11"/>
      <c r="J141" s="29"/>
      <c r="Q141" s="28" t="s">
        <v>961</v>
      </c>
      <c r="S141" s="29" t="s">
        <v>964</v>
      </c>
      <c r="AE141" s="14"/>
      <c r="AF141" s="16"/>
      <c r="AG141" s="16"/>
      <c r="AH141" s="16"/>
      <c r="AI141" s="16"/>
      <c r="AJ141" s="16"/>
      <c r="AK141" s="16"/>
      <c r="AL141" s="16"/>
      <c r="AM141" s="16"/>
      <c r="AN141" s="16"/>
      <c r="AO141" s="16"/>
      <c r="AP141" s="16"/>
      <c r="AQ141" s="16"/>
    </row>
    <row r="142" spans="2:43" x14ac:dyDescent="0.25">
      <c r="B142" s="28" t="s">
        <v>98</v>
      </c>
      <c r="C142" s="43" t="str">
        <f>_xlfn.XLOOKUP(C139,武器库!$B:$B,武器库!$D:$D,"")</f>
        <v>电磁伤害+34.7</v>
      </c>
      <c r="D142" t="str">
        <f>VLOOKUP(D139,护甲库!$A:$M,3+D140*3,FALSE)</f>
        <v>意志75</v>
      </c>
      <c r="E142" t="str">
        <f>VLOOKUP(E139,护手库!$A:$M,3+E140*3,FALSE)</f>
        <v>力量55</v>
      </c>
      <c r="F142">
        <f>VLOOKUP(F139,配件库!$A:$M,3+F140*3,FALSE)</f>
        <v>0</v>
      </c>
      <c r="G142">
        <f>VLOOKUP(G139,配件库!$A:$M,3+G140*3,FALSE)</f>
        <v>0</v>
      </c>
      <c r="H142" s="9"/>
      <c r="J142" s="29"/>
      <c r="Q142" s="28"/>
      <c r="R142" t="s">
        <v>965</v>
      </c>
      <c r="S142" s="29"/>
      <c r="AE142" s="14"/>
      <c r="AF142" s="16"/>
      <c r="AG142" s="16"/>
      <c r="AH142" s="16"/>
      <c r="AI142" s="16"/>
      <c r="AJ142" s="16"/>
      <c r="AK142" s="16"/>
      <c r="AL142" s="16"/>
      <c r="AM142" s="16"/>
      <c r="AN142" s="16"/>
      <c r="AO142" s="16"/>
      <c r="AP142" s="16"/>
      <c r="AQ142" s="16"/>
    </row>
    <row r="143" spans="2:43" x14ac:dyDescent="0.25">
      <c r="B143" s="28" t="s">
        <v>99</v>
      </c>
      <c r="C143" s="43" t="str">
        <f>_xlfn.XLOOKUP(C139,武器库!$B:$B,武器库!$E:$E,"")</f>
        <v>源石技艺+16</v>
      </c>
      <c r="D143" s="43" t="str">
        <f>VLOOKUP(D139,护甲库!$A:$M,4+D140*3,FALSE)</f>
        <v>技艺26</v>
      </c>
      <c r="E143" s="43" t="str">
        <f>VLOOKUP(E139,护手库!$A:$M,4+E140*3,FALSE)</f>
        <v>技艺44</v>
      </c>
      <c r="F143" s="43" t="str">
        <f>VLOOKUP(F139,配件库!$A:$M,4+F140*3,FALSE)</f>
        <v>技艺53</v>
      </c>
      <c r="G143" s="43" t="str">
        <f>VLOOKUP(G139,配件库!$A:$M,4+G140*3,FALSE)</f>
        <v>技艺53</v>
      </c>
      <c r="H143" s="9"/>
      <c r="J143" s="29"/>
      <c r="Q143" s="28" t="s">
        <v>962</v>
      </c>
      <c r="R143" t="s">
        <v>967</v>
      </c>
      <c r="S143" s="29"/>
      <c r="AE143" s="14"/>
      <c r="AF143" s="16"/>
      <c r="AG143" s="16"/>
      <c r="AH143" s="16"/>
      <c r="AI143" s="16"/>
      <c r="AJ143" s="16"/>
      <c r="AK143" s="16"/>
      <c r="AL143" s="16"/>
      <c r="AM143" s="16"/>
      <c r="AN143" s="16"/>
      <c r="AO143" s="16"/>
      <c r="AP143" s="16"/>
      <c r="AQ143" s="16"/>
    </row>
    <row r="144" spans="2:43" x14ac:dyDescent="0.25">
      <c r="B144" s="28" t="s">
        <v>90</v>
      </c>
      <c r="C144" t="str">
        <f>_xlfn.XLOOKUP(C139,武器库!$B:$B,武器库!$F:$F,"")</f>
        <v>装备者施加导电时，全队获得物理和电磁伤害+12.8%，持续15秒。</v>
      </c>
      <c r="D144" s="22"/>
      <c r="F144" s="22"/>
      <c r="G144" s="9"/>
      <c r="H144" s="9"/>
      <c r="J144" s="29"/>
      <c r="Q144" s="28"/>
      <c r="S144" s="29"/>
      <c r="AE144" s="14"/>
      <c r="AF144" s="16"/>
      <c r="AG144" s="16"/>
      <c r="AH144" s="16"/>
      <c r="AI144" s="16"/>
      <c r="AJ144" s="16"/>
      <c r="AK144" s="16"/>
      <c r="AL144" s="16"/>
      <c r="AM144" s="16"/>
      <c r="AN144" s="16"/>
      <c r="AO144" s="16"/>
      <c r="AP144" s="16"/>
      <c r="AQ144" s="16"/>
    </row>
    <row r="145" spans="2:43" ht="14.4" thickBot="1" x14ac:dyDescent="0.3">
      <c r="B145" s="30" t="s">
        <v>89</v>
      </c>
      <c r="C145" s="18" t="str">
        <f>VLOOKUP(H139,套装效果库!A:B,2,0)</f>
        <v>源石技艺+30。当装备者施加导电后，电磁伤害+50%，持续10秒，该效果无法叠加；当装备者施加冻结后，寒冷伤害+50%，持续10秒，该效果无法叠加。</v>
      </c>
      <c r="D145" s="19"/>
      <c r="E145" s="18"/>
      <c r="F145" s="19"/>
      <c r="G145" s="20"/>
      <c r="H145" s="20"/>
      <c r="I145" s="18"/>
      <c r="J145" s="31"/>
      <c r="Q145" s="28" t="s">
        <v>968</v>
      </c>
      <c r="S145" s="29" t="s">
        <v>966</v>
      </c>
      <c r="AE145" s="14"/>
      <c r="AF145" s="16"/>
      <c r="AG145" s="16"/>
      <c r="AH145" s="16"/>
      <c r="AI145" s="16"/>
      <c r="AJ145" s="16"/>
      <c r="AK145" s="16"/>
      <c r="AL145" s="16"/>
      <c r="AM145" s="16"/>
      <c r="AN145" s="16"/>
      <c r="AO145" s="16"/>
      <c r="AP145" s="16"/>
      <c r="AQ145" s="16"/>
    </row>
    <row r="146" spans="2:43" x14ac:dyDescent="0.25">
      <c r="Q146" s="28"/>
      <c r="R146" t="s">
        <v>970</v>
      </c>
      <c r="S146" s="29"/>
    </row>
    <row r="147" spans="2:43" x14ac:dyDescent="0.25">
      <c r="Q147" s="28" t="s">
        <v>969</v>
      </c>
      <c r="R147" t="s">
        <v>971</v>
      </c>
      <c r="S147" s="29"/>
    </row>
    <row r="148" spans="2:43" x14ac:dyDescent="0.25">
      <c r="B148" s="17" t="s">
        <v>962</v>
      </c>
      <c r="C148" s="17" t="s">
        <v>990</v>
      </c>
      <c r="D148" s="17" t="s">
        <v>1054</v>
      </c>
      <c r="E148" s="17"/>
      <c r="F148" s="17"/>
      <c r="G148" s="17"/>
      <c r="H148" s="17"/>
      <c r="I148" s="17"/>
      <c r="K148" s="88" t="s">
        <v>195</v>
      </c>
      <c r="L148" s="17" t="s">
        <v>701</v>
      </c>
      <c r="M148" s="17" t="s">
        <v>157</v>
      </c>
      <c r="N148" s="17" t="s">
        <v>702</v>
      </c>
      <c r="O148" s="89" t="s">
        <v>158</v>
      </c>
      <c r="Q148" s="28"/>
      <c r="R148" t="s">
        <v>972</v>
      </c>
      <c r="S148" s="29"/>
      <c r="AE148" s="14" t="s">
        <v>76</v>
      </c>
    </row>
    <row r="149" spans="2:43" x14ac:dyDescent="0.25">
      <c r="C149" s="21"/>
      <c r="D149" s="21"/>
      <c r="E149" s="43" t="s">
        <v>644</v>
      </c>
      <c r="F149" s="43"/>
      <c r="G149" s="43"/>
      <c r="H149" s="43"/>
      <c r="I149" s="43"/>
      <c r="K149" t="s">
        <v>183</v>
      </c>
      <c r="L149" s="21">
        <v>0</v>
      </c>
      <c r="M149" s="21">
        <v>0</v>
      </c>
      <c r="N149" s="21">
        <v>0</v>
      </c>
      <c r="O149" s="37">
        <v>0</v>
      </c>
      <c r="Q149" s="28"/>
      <c r="R149" t="s">
        <v>973</v>
      </c>
      <c r="S149" s="29"/>
      <c r="AE149" s="15"/>
      <c r="AF149" s="15"/>
      <c r="AG149" s="15"/>
      <c r="AH149" s="15"/>
      <c r="AI149" s="15"/>
      <c r="AJ149" s="15"/>
      <c r="AK149" s="15"/>
      <c r="AL149" s="15"/>
      <c r="AM149" s="15"/>
      <c r="AN149" s="15"/>
      <c r="AO149" s="15"/>
      <c r="AP149" s="15"/>
      <c r="AQ149" s="15"/>
    </row>
    <row r="150" spans="2:43" x14ac:dyDescent="0.25">
      <c r="B150" t="s">
        <v>164</v>
      </c>
      <c r="C150" s="21">
        <f>179+60+IF(I139&gt;=2,20,0)</f>
        <v>259</v>
      </c>
      <c r="D150" s="21">
        <f>123</f>
        <v>123</v>
      </c>
      <c r="E150" cm="1">
        <f t="array" ref="E150">SUM(IFERROR(
    VALUE(MID($C140:$G143,
             SEARCH(E149, $C140:$G143) + LEN(E149),
             10)) *
    ISNUMBER(SEARCH(E149,$C140:$G143)),
    0
))/100+IFERROR(
    MID($C145, SEARCH(E149, $C145) + LEN(E149), 2) / 100,
    0
)</f>
        <v>1.95</v>
      </c>
      <c r="F150" cm="1">
        <f t="array" ref="F150">SUM(IFERROR(
    VALUE(MID($C140:$G143,
             SEARCH(F149, $C140:$G143) + LEN(F149),
             10)) *
    ISNUMBER(SEARCH(F149,$C140:$G143)),
    0
))/100+IFERROR(
    MID($C145, SEARCH(F149, $C145) + LEN(F149), 2) / 100,
    0
)</f>
        <v>0.12</v>
      </c>
      <c r="G150" cm="1">
        <f t="array" ref="G150">SUM(IFERROR(
    VALUE(MID($C140:$G143,
             SEARCH(G149, $C140:$G143) + LEN(G149),
             10)) *
    ISNUMBER(SEARCH(G149,$C140:$G143)),
    0
))/100+IFERROR(
    MID($C145, SEARCH(G149, $C145) + LEN(G149), 2) / 100,
    0
)</f>
        <v>0.12</v>
      </c>
      <c r="H150" cm="1">
        <f t="array" ref="H150">SUM(IFERROR(
    VALUE(MID($C140:$G143,
             SEARCH(H149, $C140:$G143) + LEN(H149),
             10)) *
    ISNUMBER(SEARCH(H149,$C140:$G143)),
    0
))/100+IFERROR(
    MID($C145, SEARCH(H149, $C145) + LEN(H149), 2) / 100,
    0
)</f>
        <v>0.12</v>
      </c>
      <c r="I150" cm="1">
        <f t="array" ref="I150">SUM(IFERROR(
    VALUE(MID($C140:$G143,
             SEARCH(I149, $C140:$G143) + LEN(I149),
             10)) *
    ISNUMBER(SEARCH(I149,$C140:$G143)),
    0
))/100+IFERROR(
    MID($C145, SEARCH(I149, $C145) + LEN(I149), 2) / 100,
    0
)</f>
        <v>0.12</v>
      </c>
      <c r="L150" s="23" cm="1">
        <f t="array" ref="L150">_xlfn.XLOOKUP(L149,$AE$6:$AQ$6,AE139:AQ145,0,0,1)</f>
        <v>0</v>
      </c>
      <c r="M150" s="23" cm="1">
        <f t="array" ref="M150">_xlfn.XLOOKUP(M149,$AE$6:$AQ$6,AE151:AQ158,0,0,1)</f>
        <v>0</v>
      </c>
      <c r="N150" s="23" cm="1">
        <f t="array" ref="N150">_xlfn.XLOOKUP(N149,$AE$6:$AQ$6,AE163:AQ165,0,0,1)</f>
        <v>0</v>
      </c>
      <c r="O150" s="23" cm="1">
        <f t="array" ref="O150">_xlfn.XLOOKUP(O149,$AE$6:$AQ$6,AE168:AQ173,0,0,1)</f>
        <v>0</v>
      </c>
      <c r="Q150" s="28"/>
      <c r="S150" s="29" t="s">
        <v>974</v>
      </c>
      <c r="AE150" s="14"/>
      <c r="AF150" s="16"/>
      <c r="AG150" s="16"/>
      <c r="AH150" s="16"/>
      <c r="AI150" s="16"/>
      <c r="AJ150" s="16"/>
      <c r="AK150" s="16"/>
      <c r="AL150" s="16"/>
      <c r="AM150" s="16"/>
      <c r="AN150" s="16"/>
      <c r="AO150" s="16"/>
      <c r="AP150" s="16"/>
      <c r="AQ150" s="16"/>
    </row>
    <row r="151" spans="2:43" x14ac:dyDescent="0.25">
      <c r="B151" s="22" t="s">
        <v>165</v>
      </c>
      <c r="C151" cm="1">
        <f t="array" ref="C151">SUM(IFERROR(
    VALUE(MID($C140:$G143,
             FIND(C149, $C140:$G143) + LEN(C149),
             10)) *
    ISNUMBER(FIND(C149, $C140:$G143)),
    0
))+SUM(IFERROR(
    VALUE(MID($C140:$G143,
             FIND(C148, $C140:$G143) + LEN(C148),
             10)) *
    ISNUMBER(FIND(C148, $C140:$G143)),
    0
))+IFERROR(
    MID($C145, SEARCH(C149, $C145) + LEN(C149), 2) / 100,
    0
)+IFERROR(
    MID($C145, SEARCH(C148, $C145) + LEN(C148), 2) / 100,
    0
)</f>
        <v>12</v>
      </c>
      <c r="D151" cm="1">
        <f t="array" ref="D151">SUM(IFERROR(
    VALUE(MID($C140:$G143,
             FIND(D149, $C140:$G143) + LEN(D149),
             10)) *
    ISNUMBER(FIND(D149, $C140:$G143)),
    0
))+SUM(IFERROR(
    VALUE(MID($C140:$G143,
             FIND(D148, $C140:$G143) + LEN(D148),
             10)) *
    ISNUMBER(FIND(D148, $C140:$G143)),
    0
))+IFERROR(
    MID($C145, SEARCH(D149, $C145) + LEN(D149), 2) / 100,
    0
)+IFERROR(
    MID($C145, SEARCH(D148, $C145) + LEN(D148), 2) / 100,
    0
)</f>
        <v>12</v>
      </c>
      <c r="Q151" s="28"/>
      <c r="S151" s="29" t="s">
        <v>975</v>
      </c>
      <c r="AE151" s="14"/>
      <c r="AF151" s="14"/>
      <c r="AG151" s="14"/>
      <c r="AH151" s="14"/>
      <c r="AI151" s="14"/>
      <c r="AJ151" s="14"/>
      <c r="AK151" s="14"/>
      <c r="AL151" s="14"/>
      <c r="AM151" s="14"/>
      <c r="AN151" s="14"/>
      <c r="AO151" s="14"/>
      <c r="AP151" s="14"/>
      <c r="AQ151" s="14"/>
    </row>
    <row r="152" spans="2:43" ht="14.4" thickBot="1" x14ac:dyDescent="0.3">
      <c r="B152" s="22" t="s">
        <v>166</v>
      </c>
      <c r="C152" s="12" cm="1">
        <f t="array" ref="C152">ROUNDUP(SUM(C150:C151)*(1+IF(LEN(TRIM(LEFT(C148,3)))=0, 0,
   SUMPRODUCT(
       IFERROR(
           VALUE(MID($C140:$G143,
                   SEARCH(LEFT(C148,3), $C140:$G143) + 3,
                   10)) *
           ISNUMBER(SEARCH(LEFT(C148,3), $C140:$G143)),
           0
       )
   )+IFERROR(
    MID($C145, SEARCH(C149, $C145) + LEN(C149), 2) / 100,
    0
)
)/100),0)</f>
        <v>271</v>
      </c>
      <c r="D152" s="12" cm="1">
        <f t="array" ref="D152">ROUNDUP(SUM(D150:D151)*(1+IF(LEN(TRIM(LEFT(D148,3)))=0, 0,
   SUMPRODUCT(
       IFERROR(
           VALUE(MID($C140:$G143,
                   SEARCH(LEFT(D148,3), $C140:$G143) + 3,
                   10)) *
           ISNUMBER(SEARCH(LEFT(D148,3), $C140:$G143)),
           0
       )
   )+IFERROR(
    MID($C145, SEARCH(D149, $C145) + LEN(D149), 2) / 100,
    0
)
)/100),0)</f>
        <v>135</v>
      </c>
      <c r="Q152" s="30"/>
      <c r="R152" s="18"/>
      <c r="S152" s="31" t="s">
        <v>976</v>
      </c>
      <c r="AE152" s="14"/>
      <c r="AF152" s="16"/>
      <c r="AG152" s="16"/>
      <c r="AH152" s="16"/>
      <c r="AI152" s="16"/>
      <c r="AJ152" s="16"/>
      <c r="AK152" s="16"/>
      <c r="AL152" s="16"/>
      <c r="AM152" s="16"/>
      <c r="AN152" s="16"/>
      <c r="AO152" s="16"/>
      <c r="AP152" s="16"/>
      <c r="AQ152" s="16"/>
    </row>
    <row r="153" spans="2:43" x14ac:dyDescent="0.25">
      <c r="B153" s="85" t="s">
        <v>93</v>
      </c>
      <c r="C153" s="86">
        <f>C152*0.005+D152*0.002</f>
        <v>1.625</v>
      </c>
      <c r="D153" s="87"/>
      <c r="E153" s="86"/>
      <c r="F153" s="86"/>
      <c r="G153" s="86"/>
      <c r="H153" s="86"/>
      <c r="I153" s="86"/>
      <c r="AE153" s="14"/>
      <c r="AF153" s="14"/>
      <c r="AG153" s="14"/>
      <c r="AH153" s="14"/>
      <c r="AI153" s="14"/>
      <c r="AJ153" s="14"/>
      <c r="AK153" s="14"/>
      <c r="AL153" s="14"/>
      <c r="AM153" s="14"/>
      <c r="AN153" s="14"/>
      <c r="AO153" s="14"/>
      <c r="AP153" s="14"/>
      <c r="AQ153" s="14"/>
    </row>
    <row r="154" spans="2:43" x14ac:dyDescent="0.25">
      <c r="AE154" s="14"/>
      <c r="AF154" s="14"/>
      <c r="AG154" s="14"/>
      <c r="AH154" s="14"/>
      <c r="AI154" s="14"/>
      <c r="AJ154" s="14"/>
      <c r="AK154" s="14"/>
      <c r="AL154" s="14"/>
      <c r="AM154" s="14"/>
      <c r="AN154" s="14"/>
      <c r="AO154" s="14"/>
      <c r="AP154" s="14"/>
      <c r="AQ154" s="14"/>
    </row>
    <row r="155" spans="2:43" ht="13.8" customHeight="1" x14ac:dyDescent="0.25">
      <c r="AE155" s="14"/>
      <c r="AF155" s="16"/>
      <c r="AG155" s="16"/>
      <c r="AH155" s="16"/>
      <c r="AI155" s="38"/>
      <c r="AJ155" s="38"/>
      <c r="AK155" s="38"/>
      <c r="AL155" s="16"/>
      <c r="AM155" s="16"/>
      <c r="AN155" s="16"/>
      <c r="AO155" s="38"/>
      <c r="AP155" s="38"/>
      <c r="AQ155" s="16"/>
    </row>
    <row r="156" spans="2:43" x14ac:dyDescent="0.25">
      <c r="E156" s="12"/>
      <c r="G156" s="12"/>
      <c r="AE156" s="14"/>
      <c r="AF156" s="16"/>
      <c r="AG156" s="16"/>
      <c r="AH156" s="16"/>
      <c r="AI156" s="16"/>
      <c r="AJ156" s="16"/>
      <c r="AK156" s="16"/>
      <c r="AL156" s="16"/>
      <c r="AM156" s="16"/>
      <c r="AN156" s="16"/>
      <c r="AO156" s="16"/>
      <c r="AP156" s="16"/>
      <c r="AQ156" s="16"/>
    </row>
    <row r="157" spans="2:43" x14ac:dyDescent="0.25">
      <c r="C157" s="22"/>
      <c r="AE157" s="14"/>
      <c r="AF157" s="14"/>
      <c r="AG157" s="14"/>
      <c r="AH157" s="14"/>
      <c r="AI157" s="14"/>
      <c r="AJ157" s="14"/>
      <c r="AK157" s="14"/>
      <c r="AL157" s="14"/>
      <c r="AM157" s="14"/>
      <c r="AN157" s="14"/>
      <c r="AO157" s="14"/>
      <c r="AP157" s="14"/>
      <c r="AQ157" s="14"/>
    </row>
    <row r="158" spans="2:43" x14ac:dyDescent="0.25">
      <c r="C158" s="22"/>
    </row>
    <row r="159" spans="2:43" x14ac:dyDescent="0.25">
      <c r="C159" s="22"/>
    </row>
    <row r="160" spans="2:43" ht="14.4" thickBot="1" x14ac:dyDescent="0.3">
      <c r="C160" s="28" t="s">
        <v>978</v>
      </c>
      <c r="E160" s="61" t="s">
        <v>755</v>
      </c>
      <c r="F160" s="61"/>
      <c r="G160" s="61"/>
      <c r="H160" s="61"/>
      <c r="I160" s="61"/>
      <c r="J160" s="127" t="s">
        <v>785</v>
      </c>
      <c r="K160" s="127"/>
      <c r="L160" s="127"/>
      <c r="M160" s="127"/>
      <c r="N160" s="63" t="s">
        <v>154</v>
      </c>
      <c r="O160" s="63"/>
      <c r="P160" s="63"/>
      <c r="Q160" s="63"/>
      <c r="R160" s="63"/>
      <c r="S160" s="63"/>
      <c r="T160" s="8" t="s">
        <v>161</v>
      </c>
      <c r="U160" s="8"/>
      <c r="V160" s="8"/>
      <c r="W160" s="8"/>
      <c r="X160" s="8"/>
      <c r="Y160" s="8"/>
      <c r="Z160" s="8"/>
      <c r="AE160" s="14" t="s">
        <v>77</v>
      </c>
    </row>
    <row r="161" spans="2:43" x14ac:dyDescent="0.25">
      <c r="B161" t="s">
        <v>695</v>
      </c>
      <c r="C161" s="17" t="s">
        <v>704</v>
      </c>
      <c r="D161" s="17" t="s">
        <v>991</v>
      </c>
      <c r="E161" s="52" t="s">
        <v>92</v>
      </c>
      <c r="F161" s="52" t="s">
        <v>94</v>
      </c>
      <c r="G161" s="52" t="s">
        <v>95</v>
      </c>
      <c r="H161" s="52" t="s">
        <v>93</v>
      </c>
      <c r="I161" s="52" t="s">
        <v>96</v>
      </c>
      <c r="J161" s="64" t="s">
        <v>688</v>
      </c>
      <c r="K161" s="64" t="s">
        <v>689</v>
      </c>
      <c r="L161" s="64" t="s">
        <v>690</v>
      </c>
      <c r="M161" s="64" t="s">
        <v>163</v>
      </c>
      <c r="N161" s="64" t="s">
        <v>707</v>
      </c>
      <c r="O161" s="64" t="s">
        <v>153</v>
      </c>
      <c r="P161" s="64" t="s">
        <v>76</v>
      </c>
      <c r="Q161" s="64" t="s">
        <v>77</v>
      </c>
      <c r="R161" s="64" t="s">
        <v>78</v>
      </c>
      <c r="S161" s="64" t="s">
        <v>703</v>
      </c>
      <c r="T161" s="64" t="s">
        <v>83</v>
      </c>
      <c r="U161" s="64" t="s">
        <v>80</v>
      </c>
      <c r="V161" s="64" t="s">
        <v>79</v>
      </c>
      <c r="W161" s="64" t="s">
        <v>691</v>
      </c>
      <c r="X161" s="64" t="s">
        <v>694</v>
      </c>
      <c r="Y161" s="64" t="s">
        <v>693</v>
      </c>
      <c r="Z161" s="64" t="s">
        <v>692</v>
      </c>
      <c r="AF161" s="15"/>
      <c r="AG161" s="15"/>
      <c r="AH161" s="15"/>
      <c r="AI161" s="15"/>
      <c r="AJ161" s="15"/>
      <c r="AK161" s="15"/>
      <c r="AL161" s="15"/>
      <c r="AM161" s="15"/>
      <c r="AN161" s="15"/>
      <c r="AO161" s="15"/>
      <c r="AP161" s="15"/>
      <c r="AQ161" s="15"/>
    </row>
    <row r="162" spans="2:43" x14ac:dyDescent="0.25">
      <c r="B162" t="s">
        <v>993</v>
      </c>
      <c r="E162" s="21"/>
      <c r="F162" s="43"/>
      <c r="G162" s="43"/>
      <c r="H162">
        <f>C153</f>
        <v>1.625</v>
      </c>
      <c r="I162">
        <f>(E162*(1+F162)+G162)*(H162+1)</f>
        <v>0</v>
      </c>
      <c r="K162" s="43"/>
      <c r="L162" s="43"/>
      <c r="M162" s="43"/>
      <c r="N162" s="43"/>
      <c r="O162" s="43"/>
      <c r="P162" s="43"/>
      <c r="Q162" s="43"/>
      <c r="R162" s="43"/>
      <c r="AE162" s="14"/>
      <c r="AF162" s="14"/>
      <c r="AG162" s="14"/>
      <c r="AH162" s="14"/>
      <c r="AI162" s="14"/>
      <c r="AJ162" s="14"/>
      <c r="AK162" s="14"/>
      <c r="AL162" s="14"/>
      <c r="AM162" s="14"/>
      <c r="AN162" s="14"/>
      <c r="AO162" s="14"/>
      <c r="AP162" s="14"/>
      <c r="AQ162" s="14"/>
    </row>
    <row r="163" spans="2:43" x14ac:dyDescent="0.25">
      <c r="C163" t="s">
        <v>159</v>
      </c>
      <c r="D163" t="s">
        <v>805</v>
      </c>
      <c r="E163">
        <f t="shared" ref="E163:H164" si="13">E162</f>
        <v>0</v>
      </c>
      <c r="F163">
        <f t="shared" si="13"/>
        <v>0</v>
      </c>
      <c r="G163">
        <f t="shared" si="13"/>
        <v>0</v>
      </c>
      <c r="H163">
        <f t="shared" si="13"/>
        <v>1.625</v>
      </c>
      <c r="I163">
        <f t="shared" ref="I163:I165" si="14">(E163*(1+F163)+G163)*(H163+1)</f>
        <v>0</v>
      </c>
      <c r="J163">
        <f>SUM(L150:L154)</f>
        <v>0</v>
      </c>
      <c r="K163">
        <f t="shared" ref="K163:R164" si="15">K162</f>
        <v>0</v>
      </c>
      <c r="L163">
        <f t="shared" si="15"/>
        <v>0</v>
      </c>
      <c r="M163">
        <f t="shared" si="15"/>
        <v>0</v>
      </c>
      <c r="N163">
        <f t="shared" si="15"/>
        <v>0</v>
      </c>
      <c r="O163">
        <f t="shared" si="15"/>
        <v>0</v>
      </c>
      <c r="P163">
        <f t="shared" si="15"/>
        <v>0</v>
      </c>
      <c r="Q163">
        <f t="shared" si="15"/>
        <v>0</v>
      </c>
      <c r="R163">
        <f t="shared" si="15"/>
        <v>0</v>
      </c>
      <c r="T163">
        <f t="shared" ref="T163:X164" si="16">T162</f>
        <v>0</v>
      </c>
      <c r="U163">
        <f t="shared" si="16"/>
        <v>0</v>
      </c>
      <c r="V163">
        <f t="shared" si="16"/>
        <v>0</v>
      </c>
      <c r="W163">
        <f t="shared" si="16"/>
        <v>0</v>
      </c>
      <c r="X163">
        <f t="shared" si="16"/>
        <v>0</v>
      </c>
      <c r="AE163" s="14"/>
      <c r="AF163" s="16"/>
      <c r="AG163" s="16"/>
      <c r="AH163" s="16"/>
      <c r="AI163" s="16"/>
      <c r="AJ163" s="16"/>
      <c r="AK163" s="16"/>
      <c r="AL163" s="16"/>
      <c r="AM163" s="16"/>
      <c r="AN163" s="16"/>
      <c r="AO163" s="16"/>
      <c r="AP163" s="16"/>
      <c r="AQ163" s="16"/>
    </row>
    <row r="164" spans="2:43" x14ac:dyDescent="0.25">
      <c r="C164" t="s">
        <v>1447</v>
      </c>
      <c r="D164" t="s">
        <v>805</v>
      </c>
      <c r="E164">
        <f t="shared" si="13"/>
        <v>0</v>
      </c>
      <c r="F164">
        <f t="shared" si="13"/>
        <v>0</v>
      </c>
      <c r="G164">
        <f t="shared" si="13"/>
        <v>0</v>
      </c>
      <c r="H164">
        <f t="shared" si="13"/>
        <v>1.625</v>
      </c>
      <c r="I164">
        <f t="shared" ref="I164" si="17">(E164*(1+F164)+G164)*(H164+1)</f>
        <v>0</v>
      </c>
      <c r="J164">
        <f>SUM(L151:L155)</f>
        <v>0</v>
      </c>
      <c r="K164">
        <f t="shared" si="15"/>
        <v>0</v>
      </c>
      <c r="L164">
        <f t="shared" si="15"/>
        <v>0</v>
      </c>
      <c r="M164">
        <f t="shared" si="15"/>
        <v>0</v>
      </c>
      <c r="N164">
        <f t="shared" si="15"/>
        <v>0</v>
      </c>
      <c r="O164">
        <f t="shared" si="15"/>
        <v>0</v>
      </c>
      <c r="P164">
        <f t="shared" si="15"/>
        <v>0</v>
      </c>
      <c r="Q164">
        <f t="shared" si="15"/>
        <v>0</v>
      </c>
      <c r="R164">
        <f t="shared" si="15"/>
        <v>0</v>
      </c>
      <c r="T164">
        <f t="shared" si="16"/>
        <v>0</v>
      </c>
      <c r="U164">
        <f t="shared" si="16"/>
        <v>0</v>
      </c>
      <c r="V164">
        <f t="shared" si="16"/>
        <v>0</v>
      </c>
      <c r="W164">
        <f t="shared" si="16"/>
        <v>0</v>
      </c>
      <c r="X164">
        <f t="shared" si="16"/>
        <v>0</v>
      </c>
      <c r="AE164" s="14"/>
      <c r="AF164" s="16"/>
      <c r="AG164" s="16"/>
      <c r="AH164" s="16"/>
      <c r="AI164" s="16"/>
      <c r="AJ164" s="16"/>
      <c r="AK164" s="16"/>
      <c r="AL164" s="16"/>
      <c r="AM164" s="16"/>
      <c r="AN164" s="16"/>
      <c r="AO164" s="16"/>
      <c r="AP164" s="16"/>
      <c r="AQ164" s="16"/>
    </row>
    <row r="165" spans="2:43" x14ac:dyDescent="0.25">
      <c r="C165" t="s">
        <v>1067</v>
      </c>
      <c r="D165" t="s">
        <v>805</v>
      </c>
      <c r="E165">
        <f t="shared" ref="E165:H165" si="18">E163</f>
        <v>0</v>
      </c>
      <c r="F165">
        <f t="shared" si="18"/>
        <v>0</v>
      </c>
      <c r="G165">
        <f t="shared" si="18"/>
        <v>0</v>
      </c>
      <c r="H165">
        <f t="shared" si="18"/>
        <v>1.625</v>
      </c>
      <c r="I165">
        <f t="shared" si="14"/>
        <v>0</v>
      </c>
      <c r="J165">
        <f>SUM(L150:L153)</f>
        <v>0</v>
      </c>
      <c r="K165">
        <f t="shared" ref="K165:R165" si="19">K163</f>
        <v>0</v>
      </c>
      <c r="L165">
        <f t="shared" si="19"/>
        <v>0</v>
      </c>
      <c r="M165">
        <f t="shared" si="19"/>
        <v>0</v>
      </c>
      <c r="N165">
        <f t="shared" si="19"/>
        <v>0</v>
      </c>
      <c r="O165">
        <f t="shared" si="19"/>
        <v>0</v>
      </c>
      <c r="P165">
        <f t="shared" si="19"/>
        <v>0</v>
      </c>
      <c r="Q165">
        <f t="shared" si="19"/>
        <v>0</v>
      </c>
      <c r="R165">
        <f t="shared" si="19"/>
        <v>0</v>
      </c>
      <c r="T165">
        <f t="shared" ref="T165:X165" si="20">T163</f>
        <v>0</v>
      </c>
      <c r="U165">
        <f t="shared" si="20"/>
        <v>0</v>
      </c>
      <c r="V165">
        <f t="shared" si="20"/>
        <v>0</v>
      </c>
      <c r="W165">
        <f t="shared" si="20"/>
        <v>0</v>
      </c>
      <c r="X165">
        <f t="shared" si="20"/>
        <v>0</v>
      </c>
      <c r="AE165" s="14"/>
      <c r="AF165" s="14"/>
      <c r="AG165" s="14"/>
      <c r="AH165" s="14"/>
      <c r="AI165" s="14"/>
      <c r="AJ165" s="14"/>
      <c r="AK165" s="14"/>
      <c r="AL165" s="14"/>
      <c r="AM165" s="14"/>
      <c r="AN165" s="14"/>
      <c r="AO165" s="14"/>
      <c r="AP165" s="14"/>
      <c r="AQ165" s="14"/>
    </row>
    <row r="166" spans="2:43" x14ac:dyDescent="0.25">
      <c r="B166">
        <f>5*IF(I139&gt;=1,1.75,1)</f>
        <v>8.75</v>
      </c>
      <c r="C166" t="s">
        <v>805</v>
      </c>
      <c r="D166" t="s">
        <v>680</v>
      </c>
      <c r="S166" s="17"/>
      <c r="T166" s="17"/>
      <c r="U166" s="17"/>
      <c r="V166" s="17">
        <f>0.12*IF(I139&gt;=4,1.33,1)*(1+2*E150*100/(300+E150*100))</f>
        <v>0.28534545454545451</v>
      </c>
      <c r="W166" s="17"/>
      <c r="X166" s="17"/>
      <c r="Y166" s="17"/>
      <c r="Z166" s="17"/>
    </row>
    <row r="167" spans="2:43" x14ac:dyDescent="0.25">
      <c r="C167" t="s">
        <v>805</v>
      </c>
      <c r="D167" t="s">
        <v>1068</v>
      </c>
      <c r="F167">
        <f>0.128</f>
        <v>0.128</v>
      </c>
      <c r="AE167" s="86"/>
      <c r="AF167" s="86"/>
      <c r="AG167" s="86"/>
      <c r="AH167" s="86"/>
      <c r="AI167" s="86"/>
      <c r="AJ167" s="86"/>
      <c r="AK167" s="86"/>
      <c r="AL167" s="86"/>
      <c r="AM167" s="86"/>
      <c r="AN167" s="86"/>
      <c r="AO167" s="86"/>
      <c r="AP167" s="86"/>
      <c r="AQ167" s="86"/>
    </row>
    <row r="168" spans="2:43" x14ac:dyDescent="0.25">
      <c r="C168" t="s">
        <v>805</v>
      </c>
      <c r="D168" t="s">
        <v>1453</v>
      </c>
      <c r="N168">
        <f>0.128</f>
        <v>0.128</v>
      </c>
      <c r="AA168" s="86"/>
      <c r="AB168" s="86"/>
      <c r="AC168" s="86"/>
    </row>
    <row r="170" spans="2:43" x14ac:dyDescent="0.25">
      <c r="D170" s="12"/>
      <c r="AD170" s="77"/>
    </row>
    <row r="171" spans="2:43" x14ac:dyDescent="0.25">
      <c r="D171" s="12"/>
    </row>
    <row r="172" spans="2:43" x14ac:dyDescent="0.25">
      <c r="D172" s="12"/>
      <c r="P172" s="68"/>
    </row>
    <row r="173" spans="2:43" x14ac:dyDescent="0.25">
      <c r="D173" s="22"/>
    </row>
    <row r="175" spans="2:43" x14ac:dyDescent="0.25">
      <c r="D175" s="12"/>
      <c r="AD175" s="77"/>
    </row>
    <row r="176" spans="2:43" x14ac:dyDescent="0.25">
      <c r="AD176"/>
    </row>
    <row r="179" spans="2:43" s="40" customFormat="1" ht="14.4" thickBot="1" x14ac:dyDescent="0.3">
      <c r="B179" s="40" t="s">
        <v>1456</v>
      </c>
      <c r="AD179" s="59"/>
    </row>
    <row r="180" spans="2:43" x14ac:dyDescent="0.25">
      <c r="B180" s="25" t="s">
        <v>961</v>
      </c>
      <c r="C180" s="26" t="s">
        <v>75</v>
      </c>
      <c r="D180" s="26" t="s">
        <v>85</v>
      </c>
      <c r="E180" s="26" t="s">
        <v>86</v>
      </c>
      <c r="F180" s="26" t="s">
        <v>87</v>
      </c>
      <c r="G180" s="26" t="s">
        <v>88</v>
      </c>
      <c r="H180" s="26" t="s">
        <v>89</v>
      </c>
      <c r="I180" s="26" t="s">
        <v>192</v>
      </c>
      <c r="J180" s="83"/>
      <c r="Q180" s="25"/>
      <c r="R180" s="26" t="s">
        <v>977</v>
      </c>
      <c r="S180" s="27" t="s">
        <v>963</v>
      </c>
      <c r="AE180" t="s">
        <v>153</v>
      </c>
    </row>
    <row r="181" spans="2:43" x14ac:dyDescent="0.25">
      <c r="B181" s="28" t="s">
        <v>91</v>
      </c>
      <c r="C181" s="21" t="s">
        <v>168</v>
      </c>
      <c r="D181" s="21" t="s">
        <v>1070</v>
      </c>
      <c r="E181" s="21" t="s">
        <v>1457</v>
      </c>
      <c r="F181" s="21" t="s">
        <v>1458</v>
      </c>
      <c r="G181" s="21" t="s">
        <v>1458</v>
      </c>
      <c r="H181" t="str">
        <f>IF(COUNTIF(E181:G181,LEFT(D181,2)&amp;"*")&gt;=2,LEFT(D181,2),
IF(COUNTIF(F181:G181,LEFT(E181,2)&amp;"*")=2,LEFT(E181,2),
""))</f>
        <v>长息</v>
      </c>
      <c r="I181" s="21">
        <v>5</v>
      </c>
      <c r="J181" s="29"/>
      <c r="Q181" s="28"/>
      <c r="R181" t="s">
        <v>999</v>
      </c>
      <c r="S181" s="29"/>
      <c r="AE181" s="14"/>
      <c r="AF181" s="16"/>
      <c r="AG181" s="16"/>
      <c r="AH181" s="16"/>
      <c r="AI181" s="16"/>
      <c r="AJ181" s="16"/>
      <c r="AK181" s="16"/>
      <c r="AL181" s="16"/>
      <c r="AM181" s="16"/>
      <c r="AN181" s="16"/>
      <c r="AO181" s="16"/>
      <c r="AP181" s="16"/>
      <c r="AQ181" s="16"/>
    </row>
    <row r="182" spans="2:43" ht="14.4" thickBot="1" x14ac:dyDescent="0.3">
      <c r="B182" s="28" t="s">
        <v>183</v>
      </c>
      <c r="D182" s="21">
        <v>3</v>
      </c>
      <c r="E182" s="21">
        <v>3</v>
      </c>
      <c r="F182" s="21">
        <v>3</v>
      </c>
      <c r="G182" s="21">
        <v>3</v>
      </c>
      <c r="J182" s="29"/>
      <c r="Q182" s="28"/>
      <c r="R182" t="s">
        <v>1032</v>
      </c>
      <c r="S182" s="29"/>
      <c r="AE182" s="14" t="s">
        <v>76</v>
      </c>
      <c r="AF182" s="82" t="s">
        <v>1459</v>
      </c>
      <c r="AG182" s="16"/>
      <c r="AH182" s="16"/>
      <c r="AI182" s="16"/>
      <c r="AJ182" s="16"/>
      <c r="AK182" s="16"/>
      <c r="AL182" s="16"/>
      <c r="AM182" s="16"/>
      <c r="AN182" s="16"/>
      <c r="AO182" s="16"/>
      <c r="AP182" s="16"/>
      <c r="AQ182" s="16"/>
    </row>
    <row r="183" spans="2:43" ht="14.4" thickBot="1" x14ac:dyDescent="0.3">
      <c r="B183" s="84" t="s">
        <v>97</v>
      </c>
      <c r="C183" t="str">
        <f>_xlfn.XLOOKUP(C181,武器库!$B:$B,武器库!$C:$C,"")</f>
        <v>主能力值132</v>
      </c>
      <c r="D183" t="str">
        <f>VLOOKUP(D181,护甲库!$A:$M,2+D182*3,FALSE)</f>
        <v>智识113</v>
      </c>
      <c r="E183" t="str">
        <f>VLOOKUP(E181,护手库!$A:$M,2+E182*3,FALSE)</f>
        <v>智识84</v>
      </c>
      <c r="F183" t="str">
        <f>VLOOKUP(F181,配件库!$A:$M,2+F182*3,FALSE)</f>
        <v>智识41</v>
      </c>
      <c r="G183" t="str">
        <f>VLOOKUP(G181,配件库!$A:$M,2+G182*3,FALSE)</f>
        <v>智识41</v>
      </c>
      <c r="H183" s="11"/>
      <c r="J183" s="29"/>
      <c r="Q183" s="28" t="s">
        <v>961</v>
      </c>
      <c r="S183" s="29" t="s">
        <v>964</v>
      </c>
      <c r="AE183" s="78" t="s">
        <v>160</v>
      </c>
      <c r="AF183" s="79">
        <v>0.89</v>
      </c>
      <c r="AG183" s="79">
        <v>0.98</v>
      </c>
      <c r="AH183" s="79">
        <v>1.07</v>
      </c>
      <c r="AI183" s="79">
        <v>1.1599999999999999</v>
      </c>
      <c r="AJ183" s="79">
        <v>1.24</v>
      </c>
      <c r="AK183" s="79">
        <v>1.33</v>
      </c>
      <c r="AL183" s="79">
        <v>1.42</v>
      </c>
      <c r="AM183" s="79">
        <v>1.51</v>
      </c>
      <c r="AN183" s="79">
        <v>1.6</v>
      </c>
      <c r="AO183" s="79">
        <v>1.71</v>
      </c>
      <c r="AP183" s="79">
        <v>1.85</v>
      </c>
      <c r="AQ183" s="79">
        <v>2</v>
      </c>
    </row>
    <row r="184" spans="2:43" ht="14.4" thickBot="1" x14ac:dyDescent="0.3">
      <c r="B184" s="28" t="s">
        <v>98</v>
      </c>
      <c r="C184" s="43" t="str">
        <f>_xlfn.XLOOKUP(C181,武器库!$B:$B,武器库!$D:$D,"")</f>
        <v>源石技艺78</v>
      </c>
      <c r="D184" t="str">
        <f>VLOOKUP(D181,护甲库!$A:$M,3+D182*3,FALSE)</f>
        <v>力量75</v>
      </c>
      <c r="E184" t="str">
        <f>VLOOKUP(E181,护手库!$A:$M,3+E182*3,FALSE)</f>
        <v>意志55</v>
      </c>
      <c r="F184" t="str">
        <f>VLOOKUP(F181,配件库!$A:$M,3+F182*3,FALSE)</f>
        <v>力量27</v>
      </c>
      <c r="G184" t="str">
        <f>VLOOKUP(G181,配件库!$A:$M,3+G182*3,FALSE)</f>
        <v>力量27</v>
      </c>
      <c r="H184" s="9"/>
      <c r="J184" s="29"/>
      <c r="Q184" s="28"/>
      <c r="R184" t="s">
        <v>965</v>
      </c>
      <c r="S184" s="29"/>
      <c r="AE184" s="78" t="s">
        <v>135</v>
      </c>
      <c r="AF184" s="80">
        <v>60</v>
      </c>
      <c r="AG184" s="80">
        <v>60</v>
      </c>
      <c r="AH184" s="80">
        <v>60</v>
      </c>
      <c r="AI184" s="80">
        <v>60</v>
      </c>
      <c r="AJ184" s="80">
        <v>60</v>
      </c>
      <c r="AK184" s="80">
        <v>60</v>
      </c>
      <c r="AL184" s="80">
        <v>60</v>
      </c>
      <c r="AM184" s="80">
        <v>60</v>
      </c>
      <c r="AN184" s="80">
        <v>60</v>
      </c>
      <c r="AO184" s="80">
        <v>60</v>
      </c>
      <c r="AP184" s="80">
        <v>60</v>
      </c>
      <c r="AQ184" s="80">
        <v>60</v>
      </c>
    </row>
    <row r="185" spans="2:43" ht="14.4" thickBot="1" x14ac:dyDescent="0.3">
      <c r="B185" s="28" t="s">
        <v>99</v>
      </c>
      <c r="C185" s="43" t="str">
        <f>_xlfn.XLOOKUP(C181,武器库!$B:$B,武器库!$E:$E,"")</f>
        <v xml:space="preserve">	副能力16.0</v>
      </c>
      <c r="D185" s="43" t="str">
        <f>VLOOKUP(D181,护甲库!$A:$M,4+D182*3,FALSE)</f>
        <v>充能16.0</v>
      </c>
      <c r="E185" s="43" t="str">
        <f>VLOOKUP(E181,护手库!$A:$M,4+E182*3,FALSE)</f>
        <v>充能26.7</v>
      </c>
      <c r="F185" s="43" t="str">
        <f>VLOOKUP(F181,配件库!$A:$M,4+F182*3,FALSE)</f>
        <v>充能32.0</v>
      </c>
      <c r="G185" s="43" t="str">
        <f>VLOOKUP(G181,配件库!$A:$M,4+G182*3,FALSE)</f>
        <v>充能32.0</v>
      </c>
      <c r="H185" s="9"/>
      <c r="J185" s="29"/>
      <c r="Q185" s="28" t="s">
        <v>962</v>
      </c>
      <c r="R185" t="s">
        <v>967</v>
      </c>
      <c r="S185" s="29"/>
      <c r="AE185" s="78" t="s">
        <v>1460</v>
      </c>
      <c r="AF185" s="79">
        <v>0.05</v>
      </c>
      <c r="AG185" s="79">
        <v>0.05</v>
      </c>
      <c r="AH185" s="79">
        <v>0.06</v>
      </c>
      <c r="AI185" s="79">
        <v>0.06</v>
      </c>
      <c r="AJ185" s="79">
        <v>7.0000000000000007E-2</v>
      </c>
      <c r="AK185" s="79">
        <v>7.0000000000000007E-2</v>
      </c>
      <c r="AL185" s="79">
        <v>0.08</v>
      </c>
      <c r="AM185" s="79">
        <v>0.08</v>
      </c>
      <c r="AN185" s="79">
        <v>0.08</v>
      </c>
      <c r="AO185" s="79">
        <v>0.09</v>
      </c>
      <c r="AP185" s="79">
        <v>0.09</v>
      </c>
      <c r="AQ185" s="79">
        <v>0.1</v>
      </c>
    </row>
    <row r="186" spans="2:43" x14ac:dyDescent="0.25">
      <c r="B186" s="28" t="s">
        <v>90</v>
      </c>
      <c r="C186" t="str">
        <f>_xlfn.XLOOKUP(C181,武器库!$B:$B,武器库!$F:$F,"")</f>
        <v>装备者造成法术爆发时，使目标敌人受到的法术伤害+14.4%，持续15秒。</v>
      </c>
      <c r="D186" s="22"/>
      <c r="F186" s="22"/>
      <c r="G186" s="9"/>
      <c r="H186" s="9"/>
      <c r="J186" s="29"/>
      <c r="Q186" s="28"/>
      <c r="S186" s="29"/>
      <c r="AE186" s="78" t="s">
        <v>1461</v>
      </c>
      <c r="AF186" s="79">
        <v>0.05</v>
      </c>
      <c r="AG186" s="79">
        <v>0.05</v>
      </c>
      <c r="AH186" s="79">
        <v>0.06</v>
      </c>
      <c r="AI186" s="79">
        <v>0.06</v>
      </c>
      <c r="AJ186" s="79">
        <v>7.0000000000000007E-2</v>
      </c>
      <c r="AK186" s="79">
        <v>7.0000000000000007E-2</v>
      </c>
      <c r="AL186" s="79">
        <v>0.08</v>
      </c>
      <c r="AM186" s="79">
        <v>0.08</v>
      </c>
      <c r="AN186" s="79">
        <v>0.08</v>
      </c>
      <c r="AO186" s="79">
        <v>0.09</v>
      </c>
      <c r="AP186" s="79">
        <v>0.09</v>
      </c>
      <c r="AQ186" s="79">
        <v>0.1</v>
      </c>
    </row>
    <row r="187" spans="2:43" ht="14.4" thickBot="1" x14ac:dyDescent="0.3">
      <c r="B187" s="30" t="s">
        <v>89</v>
      </c>
      <c r="C187" s="18" t="str">
        <f>VLOOKUP(H181,套装效果库!A:B,2,0)</f>
        <v>生命值+1000。装备者施加增幅、庇护、脆弱、虚弱后，使其他队友造成的伤害+16%，持续15秒。该效果无法叠加。</v>
      </c>
      <c r="D187" s="19"/>
      <c r="E187" s="18"/>
      <c r="F187" s="19"/>
      <c r="G187" s="20"/>
      <c r="H187" s="20"/>
      <c r="I187" s="18"/>
      <c r="J187" s="31"/>
      <c r="Q187" s="28" t="s">
        <v>968</v>
      </c>
      <c r="S187" s="29" t="s">
        <v>966</v>
      </c>
      <c r="AE187" s="14"/>
      <c r="AF187" s="16"/>
      <c r="AG187" s="16"/>
      <c r="AH187" s="16"/>
      <c r="AI187" s="16"/>
      <c r="AJ187" s="16"/>
      <c r="AK187" s="16"/>
      <c r="AL187" s="16"/>
      <c r="AM187" s="16"/>
      <c r="AN187" s="16"/>
      <c r="AO187" s="16"/>
      <c r="AP187" s="16"/>
      <c r="AQ187" s="16"/>
    </row>
    <row r="188" spans="2:43" x14ac:dyDescent="0.25">
      <c r="Q188" s="28"/>
      <c r="R188" t="s">
        <v>970</v>
      </c>
      <c r="S188" s="29"/>
    </row>
    <row r="189" spans="2:43" x14ac:dyDescent="0.25">
      <c r="Q189" s="28" t="s">
        <v>969</v>
      </c>
      <c r="R189" t="s">
        <v>971</v>
      </c>
      <c r="S189" s="29"/>
    </row>
    <row r="190" spans="2:43" x14ac:dyDescent="0.25">
      <c r="B190" s="17" t="s">
        <v>962</v>
      </c>
      <c r="C190" s="17" t="s">
        <v>990</v>
      </c>
      <c r="D190" s="17" t="s">
        <v>1054</v>
      </c>
      <c r="E190" s="17"/>
      <c r="F190" s="17"/>
      <c r="G190" s="17"/>
      <c r="H190" s="17"/>
      <c r="I190" s="17"/>
      <c r="K190" s="88" t="s">
        <v>195</v>
      </c>
      <c r="L190" s="17" t="s">
        <v>701</v>
      </c>
      <c r="M190" s="17" t="s">
        <v>157</v>
      </c>
      <c r="N190" s="17" t="s">
        <v>702</v>
      </c>
      <c r="O190" s="89" t="s">
        <v>158</v>
      </c>
      <c r="Q190" s="28"/>
      <c r="R190" t="s">
        <v>972</v>
      </c>
      <c r="S190" s="29"/>
      <c r="AE190" t="s">
        <v>77</v>
      </c>
      <c r="AF190" s="82" t="s">
        <v>1462</v>
      </c>
    </row>
    <row r="191" spans="2:43" ht="14.4" thickBot="1" x14ac:dyDescent="0.3">
      <c r="C191" s="21" t="s">
        <v>162</v>
      </c>
      <c r="D191" s="21" t="s">
        <v>106</v>
      </c>
      <c r="E191" s="43" t="s">
        <v>644</v>
      </c>
      <c r="F191" s="43" t="s">
        <v>651</v>
      </c>
      <c r="G191" s="43"/>
      <c r="H191" s="43"/>
      <c r="I191" s="43"/>
      <c r="K191" t="s">
        <v>183</v>
      </c>
      <c r="L191" s="21">
        <v>9</v>
      </c>
      <c r="M191" s="21">
        <v>9</v>
      </c>
      <c r="N191" s="21">
        <v>9</v>
      </c>
      <c r="O191" s="37">
        <v>9</v>
      </c>
      <c r="Q191" s="28"/>
      <c r="R191" t="s">
        <v>973</v>
      </c>
      <c r="S191" s="29"/>
      <c r="AE191" s="15"/>
      <c r="AF191" s="82" t="s">
        <v>1463</v>
      </c>
      <c r="AG191" s="15"/>
      <c r="AH191" s="15"/>
      <c r="AI191" s="15"/>
      <c r="AJ191" s="15"/>
      <c r="AK191" s="15"/>
      <c r="AL191" s="15"/>
      <c r="AM191" s="15"/>
      <c r="AN191" s="15"/>
      <c r="AO191" s="15"/>
      <c r="AP191" s="15"/>
      <c r="AQ191" s="15"/>
    </row>
    <row r="192" spans="2:43" ht="14.4" thickBot="1" x14ac:dyDescent="0.3">
      <c r="B192" t="s">
        <v>164</v>
      </c>
      <c r="C192" s="21">
        <f>179+60+IF(I181&gt;=2,20,0)</f>
        <v>259</v>
      </c>
      <c r="D192" s="21">
        <f>123</f>
        <v>123</v>
      </c>
      <c r="E192" cm="1">
        <f t="array" ref="E192">SUM(IFERROR(
    VALUE(MID($C182:$G185,
             SEARCH(E191, $C182:$G185) + LEN(E191),
             10)) *
    ISNUMBER(SEARCH(E191,$C182:$G185)),
    0
))/100+IFERROR(
    MID($C187, SEARCH(E191, $C187) + LEN(E191), 2) / 100,
    0
)</f>
        <v>0.78</v>
      </c>
      <c r="F192" cm="1">
        <f t="array" ref="F192">SUM(IFERROR(
    VALUE(MID($C182:$G185,
             SEARCH(F191, $C182:$G185) + LEN(F191),
             10)) *
    ISNUMBER(SEARCH(F191,$C182:$G185)),
    0
))/100+IFERROR(
    MID($C187, SEARCH(F191, $C187) + LEN(F191), 2) / 100,
    0
)</f>
        <v>1.0669999999999999</v>
      </c>
      <c r="G192" cm="1">
        <f t="array" ref="G192">SUM(IFERROR(
    VALUE(MID($C182:$G185,
             SEARCH(G191, $C182:$G185) + LEN(G191),
             10)) *
    ISNUMBER(SEARCH(G191,$C182:$G185)),
    0
))/100+IFERROR(
    MID($C187, SEARCH(G191, $C187) + LEN(G191), 2) / 100,
    0
)</f>
        <v>0.12</v>
      </c>
      <c r="H192" cm="1">
        <f t="array" ref="H192">SUM(IFERROR(
    VALUE(MID($C182:$G185,
             SEARCH(H191, $C182:$G185) + LEN(H191),
             10)) *
    ISNUMBER(SEARCH(H191,$C182:$G185)),
    0
))/100+IFERROR(
    MID($C187, SEARCH(H191, $C187) + LEN(H191), 2) / 100,
    0
)</f>
        <v>0.12</v>
      </c>
      <c r="I192" cm="1">
        <f t="array" ref="I192">SUM(IFERROR(
    VALUE(MID($C182:$G185,
             SEARCH(I191, $C182:$G185) + LEN(I191),
             10)) *
    ISNUMBER(SEARCH(I191,$C182:$G185)),
    0
))/100+IFERROR(
    MID($C187, SEARCH(I191, $C187) + LEN(I191), 2) / 100,
    0
)</f>
        <v>0.12</v>
      </c>
      <c r="L192" s="23" t="e">
        <f>_xlfn.XLOOKUP(L191,$AE$6:$AQ$6,,0,0,1)</f>
        <v>#VALUE!</v>
      </c>
      <c r="M192" s="23" cm="1">
        <f t="array" ref="M192:M195">_xlfn.XLOOKUP(M191,$AE$6:$AQ$6,AE183:AQ186,0,0,1)</f>
        <v>1.6</v>
      </c>
      <c r="N192" s="23" t="str" cm="1">
        <f t="array" ref="N192:N195">_xlfn.XLOOKUP(N191,$AE$6:$AQ$6,AE192:AQ195,0,0,1)</f>
        <v>25s</v>
      </c>
      <c r="O192" s="23" cm="1">
        <f t="array" ref="O192:O195">_xlfn.XLOOKUP(O191,$AE$6:$AQ$6,AE198:AQ201,0,0,1)</f>
        <v>100</v>
      </c>
      <c r="Q192" s="28"/>
      <c r="S192" s="29" t="s">
        <v>974</v>
      </c>
      <c r="AE192" s="78" t="s">
        <v>137</v>
      </c>
      <c r="AF192" s="80" t="s">
        <v>1464</v>
      </c>
      <c r="AG192" s="80" t="s">
        <v>1464</v>
      </c>
      <c r="AH192" s="80" t="s">
        <v>1464</v>
      </c>
      <c r="AI192" s="80" t="s">
        <v>1464</v>
      </c>
      <c r="AJ192" s="80" t="s">
        <v>1464</v>
      </c>
      <c r="AK192" s="80" t="s">
        <v>1464</v>
      </c>
      <c r="AL192" s="80" t="s">
        <v>1464</v>
      </c>
      <c r="AM192" s="80" t="s">
        <v>1464</v>
      </c>
      <c r="AN192" s="80" t="s">
        <v>1464</v>
      </c>
      <c r="AO192" s="80" t="s">
        <v>1464</v>
      </c>
      <c r="AP192" s="80" t="s">
        <v>1464</v>
      </c>
      <c r="AQ192" s="80" t="s">
        <v>1465</v>
      </c>
    </row>
    <row r="193" spans="2:43" ht="14.4" thickBot="1" x14ac:dyDescent="0.3">
      <c r="B193" s="22" t="s">
        <v>165</v>
      </c>
      <c r="C193" cm="1">
        <f t="array" ref="C193">SUM(IFERROR(
    VALUE(MID($C182:$G185,
             FIND(C191, $C182:$G185) + LEN(C191),
             10)) *
    ISNUMBER(FIND(C191, $C182:$G185)),
    0
))+SUM(IFERROR(
    VALUE(MID($C182:$G185,
             FIND(C190, $C182:$G185) + LEN(C190),
             10)) *
    ISNUMBER(FIND(C190, $C182:$G185)),
    0
))+IFERROR(
    MID($C187, SEARCH(C191, $C187) + LEN(C191), 2) / 100,
    0
)+IFERROR(
    MID($C187, SEARCH(C190, $C187) + LEN(C190), 2) / 100,
    0
)</f>
        <v>411</v>
      </c>
      <c r="D193" cm="1">
        <f t="array" ref="D193">SUM(IFERROR(
    VALUE(MID($C182:$G185,
             FIND(D191, $C182:$G185) + LEN(D191),
             10)) *
    ISNUMBER(FIND(D191, $C182:$G185)),
    0
))+SUM(IFERROR(
    VALUE(MID($C182:$G185,
             FIND(D190, $C182:$G185) + LEN(D190),
             10)) *
    ISNUMBER(FIND(D190, $C182:$G185)),
    0
))+IFERROR(
    MID($C187, SEARCH(D191, $C187) + LEN(D191), 2) / 100,
    0
)+IFERROR(
    MID($C187, SEARCH(D190, $C187) + LEN(D190), 2) / 100,
    0
)</f>
        <v>129</v>
      </c>
      <c r="M193">
        <v>60</v>
      </c>
      <c r="N193">
        <v>2.72</v>
      </c>
      <c r="O193">
        <v>0.16</v>
      </c>
      <c r="Q193" s="28"/>
      <c r="S193" s="29" t="s">
        <v>975</v>
      </c>
      <c r="AE193" s="78" t="s">
        <v>160</v>
      </c>
      <c r="AF193" s="79">
        <v>1.51</v>
      </c>
      <c r="AG193" s="79">
        <v>1.66</v>
      </c>
      <c r="AH193" s="79">
        <v>1.81</v>
      </c>
      <c r="AI193" s="79">
        <v>1.96</v>
      </c>
      <c r="AJ193" s="79">
        <v>2.11</v>
      </c>
      <c r="AK193" s="79">
        <v>2.27</v>
      </c>
      <c r="AL193" s="79">
        <v>2.42</v>
      </c>
      <c r="AM193" s="79">
        <v>2.57</v>
      </c>
      <c r="AN193" s="79">
        <v>2.72</v>
      </c>
      <c r="AO193" s="79">
        <v>2.91</v>
      </c>
      <c r="AP193" s="79">
        <v>3.13</v>
      </c>
      <c r="AQ193" s="79">
        <v>3.4</v>
      </c>
    </row>
    <row r="194" spans="2:43" ht="14.4" thickBot="1" x14ac:dyDescent="0.3">
      <c r="B194" s="22" t="s">
        <v>166</v>
      </c>
      <c r="C194" s="12" cm="1">
        <f t="array" ref="C194">ROUNDUP(SUM(C192:C193)*(1+IF(LEN(TRIM(LEFT(C190,3)))=0, 0,
   SUMPRODUCT(
       IFERROR(
           VALUE(MID($C182:$G185,
                   SEARCH(LEFT(C190,3), $C182:$G185) + 3,
                   10)) *
           ISNUMBER(SEARCH(LEFT(C190,3), $C182:$G185)),
           0
       )
   )+IFERROR(
    MID($C187, SEARCH(C191, $C187) + LEN(C191), 2) / 100,
    0
)
)/100),0)</f>
        <v>670</v>
      </c>
      <c r="D194" s="12" cm="1">
        <f t="array" ref="D194">ROUNDUP(SUM(D192:D193)*(1+IF(LEN(TRIM(LEFT(D190,3)))=0, 0,
   SUMPRODUCT(
       IFERROR(
           VALUE(MID($C182:$G185,
                   SEARCH(LEFT(D190,3), $C182:$G185) + 3,
                   10)) *
           ISNUMBER(SEARCH(LEFT(D190,3), $C182:$G185)),
           0
       )
   )+IFERROR(
    MID($C187, SEARCH(D191, $C187) + LEN(D191), 2) / 100,
    0
)
)/100),0)</f>
        <v>293</v>
      </c>
      <c r="M194">
        <v>0.08</v>
      </c>
      <c r="N194">
        <v>10</v>
      </c>
      <c r="O194">
        <v>0.16</v>
      </c>
      <c r="Q194" s="30"/>
      <c r="R194" s="18"/>
      <c r="S194" s="31" t="s">
        <v>976</v>
      </c>
      <c r="AE194" s="78" t="s">
        <v>155</v>
      </c>
      <c r="AF194" s="80">
        <v>10</v>
      </c>
      <c r="AG194" s="80">
        <v>10</v>
      </c>
      <c r="AH194" s="80">
        <v>10</v>
      </c>
      <c r="AI194" s="80">
        <v>10</v>
      </c>
      <c r="AJ194" s="80">
        <v>10</v>
      </c>
      <c r="AK194" s="80">
        <v>10</v>
      </c>
      <c r="AL194" s="80">
        <v>10</v>
      </c>
      <c r="AM194" s="80">
        <v>10</v>
      </c>
      <c r="AN194" s="80">
        <v>10</v>
      </c>
      <c r="AO194" s="80">
        <v>10</v>
      </c>
      <c r="AP194" s="80">
        <v>10</v>
      </c>
      <c r="AQ194" s="80">
        <v>10</v>
      </c>
    </row>
    <row r="195" spans="2:43" x14ac:dyDescent="0.25">
      <c r="B195" s="85" t="s">
        <v>93</v>
      </c>
      <c r="C195" s="86">
        <f>C194*0.005+D194*0.002</f>
        <v>3.9359999999999999</v>
      </c>
      <c r="D195" s="87"/>
      <c r="E195" s="86"/>
      <c r="F195" s="86"/>
      <c r="G195" s="86"/>
      <c r="H195" s="86"/>
      <c r="I195" s="86"/>
      <c r="M195">
        <v>0.08</v>
      </c>
      <c r="N195">
        <v>10</v>
      </c>
      <c r="O195">
        <v>12</v>
      </c>
      <c r="AE195" s="78" t="s">
        <v>136</v>
      </c>
      <c r="AF195" s="80">
        <v>10</v>
      </c>
      <c r="AG195" s="80">
        <v>10</v>
      </c>
      <c r="AH195" s="80">
        <v>10</v>
      </c>
      <c r="AI195" s="80">
        <v>10</v>
      </c>
      <c r="AJ195" s="80">
        <v>10</v>
      </c>
      <c r="AK195" s="80">
        <v>10</v>
      </c>
      <c r="AL195" s="80">
        <v>10</v>
      </c>
      <c r="AM195" s="80">
        <v>10</v>
      </c>
      <c r="AN195" s="80">
        <v>10</v>
      </c>
      <c r="AO195" s="80">
        <v>10</v>
      </c>
      <c r="AP195" s="80">
        <v>10</v>
      </c>
      <c r="AQ195" s="80">
        <v>10</v>
      </c>
    </row>
    <row r="196" spans="2:43" x14ac:dyDescent="0.25">
      <c r="AE196" s="14"/>
      <c r="AF196" s="14"/>
      <c r="AG196" s="14"/>
      <c r="AH196" s="14"/>
      <c r="AI196" s="14"/>
      <c r="AJ196" s="14"/>
      <c r="AK196" s="14"/>
      <c r="AL196" s="14"/>
      <c r="AM196" s="14"/>
      <c r="AN196" s="14"/>
      <c r="AO196" s="14"/>
      <c r="AP196" s="14"/>
      <c r="AQ196" s="14"/>
    </row>
    <row r="197" spans="2:43" ht="13.8" customHeight="1" thickBot="1" x14ac:dyDescent="0.3">
      <c r="AE197" s="14" t="s">
        <v>78</v>
      </c>
      <c r="AF197" s="82" t="s">
        <v>1466</v>
      </c>
      <c r="AG197" s="16"/>
      <c r="AH197" s="16"/>
      <c r="AI197" s="38"/>
      <c r="AJ197" s="38"/>
      <c r="AK197" s="38"/>
      <c r="AL197" s="16"/>
      <c r="AM197" s="16"/>
      <c r="AN197" s="16"/>
      <c r="AO197" s="38"/>
      <c r="AP197" s="38"/>
      <c r="AQ197" s="16"/>
    </row>
    <row r="198" spans="2:43" ht="14.4" thickBot="1" x14ac:dyDescent="0.3">
      <c r="E198" s="12"/>
      <c r="G198" s="12"/>
      <c r="AE198" s="78" t="s">
        <v>146</v>
      </c>
      <c r="AF198" s="80">
        <v>100</v>
      </c>
      <c r="AG198" s="80">
        <v>100</v>
      </c>
      <c r="AH198" s="80">
        <v>100</v>
      </c>
      <c r="AI198" s="80">
        <v>100</v>
      </c>
      <c r="AJ198" s="80">
        <v>100</v>
      </c>
      <c r="AK198" s="80">
        <v>100</v>
      </c>
      <c r="AL198" s="80">
        <v>100</v>
      </c>
      <c r="AM198" s="80">
        <v>100</v>
      </c>
      <c r="AN198" s="80">
        <v>100</v>
      </c>
      <c r="AO198" s="80">
        <v>100</v>
      </c>
      <c r="AP198" s="80">
        <v>100</v>
      </c>
      <c r="AQ198" s="80">
        <v>100</v>
      </c>
    </row>
    <row r="199" spans="2:43" ht="14.4" thickBot="1" x14ac:dyDescent="0.3">
      <c r="C199" s="22"/>
      <c r="AE199" s="78" t="s">
        <v>1467</v>
      </c>
      <c r="AF199" s="79">
        <v>0.08</v>
      </c>
      <c r="AG199" s="79">
        <v>0.09</v>
      </c>
      <c r="AH199" s="79">
        <v>0.1</v>
      </c>
      <c r="AI199" s="79">
        <v>0.11</v>
      </c>
      <c r="AJ199" s="79">
        <v>0.12</v>
      </c>
      <c r="AK199" s="79">
        <v>0.13</v>
      </c>
      <c r="AL199" s="79">
        <v>0.14000000000000001</v>
      </c>
      <c r="AM199" s="79">
        <v>0.15</v>
      </c>
      <c r="AN199" s="79">
        <v>0.16</v>
      </c>
      <c r="AO199" s="79">
        <v>0.17</v>
      </c>
      <c r="AP199" s="79">
        <v>0.18</v>
      </c>
      <c r="AQ199" s="79">
        <v>0.2</v>
      </c>
    </row>
    <row r="200" spans="2:43" ht="14.4" thickBot="1" x14ac:dyDescent="0.3">
      <c r="C200" s="22"/>
      <c r="AE200" s="78" t="s">
        <v>1468</v>
      </c>
      <c r="AF200" s="79">
        <v>0.08</v>
      </c>
      <c r="AG200" s="79">
        <v>0.09</v>
      </c>
      <c r="AH200" s="79">
        <v>0.1</v>
      </c>
      <c r="AI200" s="79">
        <v>0.11</v>
      </c>
      <c r="AJ200" s="79">
        <v>0.12</v>
      </c>
      <c r="AK200" s="79">
        <v>0.13</v>
      </c>
      <c r="AL200" s="79">
        <v>0.14000000000000001</v>
      </c>
      <c r="AM200" s="79">
        <v>0.15</v>
      </c>
      <c r="AN200" s="79">
        <v>0.16</v>
      </c>
      <c r="AO200" s="79">
        <v>0.17</v>
      </c>
      <c r="AP200" s="79">
        <v>0.18</v>
      </c>
      <c r="AQ200" s="79">
        <v>0.2</v>
      </c>
    </row>
    <row r="201" spans="2:43" x14ac:dyDescent="0.25">
      <c r="C201" s="22"/>
      <c r="AE201" s="78" t="s">
        <v>135</v>
      </c>
      <c r="AF201" s="80">
        <v>12</v>
      </c>
      <c r="AG201" s="80">
        <v>12</v>
      </c>
      <c r="AH201" s="80">
        <v>12</v>
      </c>
      <c r="AI201" s="80">
        <v>12</v>
      </c>
      <c r="AJ201" s="80">
        <v>12</v>
      </c>
      <c r="AK201" s="80">
        <v>12</v>
      </c>
      <c r="AL201" s="80">
        <v>12</v>
      </c>
      <c r="AM201" s="80">
        <v>12</v>
      </c>
      <c r="AN201" s="80">
        <v>12</v>
      </c>
      <c r="AO201" s="80">
        <v>12</v>
      </c>
      <c r="AP201" s="80">
        <v>12</v>
      </c>
      <c r="AQ201" s="80">
        <v>12</v>
      </c>
    </row>
    <row r="202" spans="2:43" ht="14.4" thickBot="1" x14ac:dyDescent="0.3">
      <c r="C202" s="28" t="s">
        <v>978</v>
      </c>
      <c r="E202" s="61" t="s">
        <v>755</v>
      </c>
      <c r="F202" s="61"/>
      <c r="G202" s="61"/>
      <c r="H202" s="61"/>
      <c r="I202" s="61"/>
      <c r="J202" s="127" t="s">
        <v>785</v>
      </c>
      <c r="K202" s="127"/>
      <c r="L202" s="127"/>
      <c r="M202" s="127"/>
      <c r="N202" s="63" t="s">
        <v>154</v>
      </c>
      <c r="O202" s="63"/>
      <c r="P202" s="63"/>
      <c r="Q202" s="63"/>
      <c r="R202" s="63"/>
      <c r="S202" s="63"/>
      <c r="T202" s="8" t="s">
        <v>161</v>
      </c>
      <c r="U202" s="8"/>
      <c r="V202" s="8"/>
      <c r="W202" s="8"/>
      <c r="X202" s="8"/>
      <c r="Y202" s="8"/>
      <c r="Z202" s="8"/>
      <c r="AE202" s="14"/>
    </row>
    <row r="203" spans="2:43" x14ac:dyDescent="0.25">
      <c r="B203" t="s">
        <v>695</v>
      </c>
      <c r="C203" s="17" t="s">
        <v>704</v>
      </c>
      <c r="D203" s="17" t="s">
        <v>991</v>
      </c>
      <c r="E203" s="52" t="s">
        <v>92</v>
      </c>
      <c r="F203" s="52" t="s">
        <v>94</v>
      </c>
      <c r="G203" s="52" t="s">
        <v>95</v>
      </c>
      <c r="H203" s="52" t="s">
        <v>93</v>
      </c>
      <c r="I203" s="52" t="s">
        <v>96</v>
      </c>
      <c r="J203" s="64" t="s">
        <v>688</v>
      </c>
      <c r="K203" s="64" t="s">
        <v>689</v>
      </c>
      <c r="L203" s="64" t="s">
        <v>690</v>
      </c>
      <c r="M203" s="64" t="s">
        <v>163</v>
      </c>
      <c r="N203" s="64" t="s">
        <v>707</v>
      </c>
      <c r="O203" s="64" t="s">
        <v>153</v>
      </c>
      <c r="P203" s="64" t="s">
        <v>76</v>
      </c>
      <c r="Q203" s="64" t="s">
        <v>77</v>
      </c>
      <c r="R203" s="64" t="s">
        <v>78</v>
      </c>
      <c r="S203" s="64" t="s">
        <v>703</v>
      </c>
      <c r="T203" s="64" t="s">
        <v>83</v>
      </c>
      <c r="U203" s="64" t="s">
        <v>80</v>
      </c>
      <c r="V203" s="64" t="s">
        <v>79</v>
      </c>
      <c r="W203" s="64" t="s">
        <v>691</v>
      </c>
      <c r="X203" s="64" t="s">
        <v>694</v>
      </c>
      <c r="Y203" s="64" t="s">
        <v>693</v>
      </c>
      <c r="Z203" s="64" t="s">
        <v>692</v>
      </c>
      <c r="AF203" s="15"/>
      <c r="AG203" s="15"/>
      <c r="AH203" s="15"/>
      <c r="AI203" s="15"/>
      <c r="AJ203" s="15"/>
      <c r="AK203" s="15"/>
      <c r="AL203" s="15"/>
      <c r="AM203" s="15"/>
      <c r="AN203" s="15"/>
      <c r="AO203" s="15"/>
      <c r="AP203" s="15"/>
      <c r="AQ203" s="15"/>
    </row>
    <row r="204" spans="2:43" x14ac:dyDescent="0.25">
      <c r="B204" t="s">
        <v>1471</v>
      </c>
      <c r="E204" s="21"/>
      <c r="F204" s="43"/>
      <c r="G204" s="43"/>
      <c r="H204">
        <f>C195</f>
        <v>3.9359999999999999</v>
      </c>
      <c r="I204">
        <f>(E204*(1+F204)+G204)*(H204+1)</f>
        <v>0</v>
      </c>
      <c r="K204" s="43"/>
      <c r="L204" s="43"/>
      <c r="M204" s="43"/>
      <c r="N204" s="43"/>
      <c r="O204" s="43"/>
      <c r="P204" s="43"/>
      <c r="Q204" s="43"/>
      <c r="R204" s="43"/>
      <c r="AE204" s="14"/>
      <c r="AF204" s="14"/>
      <c r="AG204" s="14"/>
      <c r="AH204" s="14"/>
      <c r="AI204" s="14"/>
      <c r="AJ204" s="14"/>
      <c r="AK204" s="14"/>
      <c r="AL204" s="14"/>
      <c r="AM204" s="14"/>
      <c r="AN204" s="14"/>
      <c r="AO204" s="14"/>
      <c r="AP204" s="14"/>
      <c r="AQ204" s="14"/>
    </row>
    <row r="205" spans="2:43" x14ac:dyDescent="0.25">
      <c r="C205" t="s">
        <v>1472</v>
      </c>
      <c r="D205" t="s">
        <v>805</v>
      </c>
      <c r="E205">
        <f>E204</f>
        <v>0</v>
      </c>
      <c r="F205">
        <f>F204</f>
        <v>0</v>
      </c>
      <c r="G205">
        <f>G204</f>
        <v>0</v>
      </c>
      <c r="H205">
        <f>H204</f>
        <v>3.9359999999999999</v>
      </c>
      <c r="I205">
        <f t="shared" ref="I205:I207" si="21">(E205*(1+F205)+G205)*(H205+1)</f>
        <v>0</v>
      </c>
      <c r="K205">
        <f t="shared" ref="K205:R205" si="22">K204</f>
        <v>0</v>
      </c>
      <c r="L205">
        <f t="shared" si="22"/>
        <v>0</v>
      </c>
      <c r="M205">
        <f t="shared" si="22"/>
        <v>0</v>
      </c>
      <c r="N205">
        <f t="shared" si="22"/>
        <v>0</v>
      </c>
      <c r="O205">
        <f t="shared" si="22"/>
        <v>0</v>
      </c>
      <c r="P205">
        <f t="shared" si="22"/>
        <v>0</v>
      </c>
      <c r="Q205">
        <f t="shared" si="22"/>
        <v>0</v>
      </c>
      <c r="R205">
        <f t="shared" si="22"/>
        <v>0</v>
      </c>
      <c r="T205">
        <f>T204</f>
        <v>0</v>
      </c>
      <c r="U205">
        <f t="shared" ref="U205:X205" si="23">U204</f>
        <v>0</v>
      </c>
      <c r="V205">
        <f t="shared" si="23"/>
        <v>0</v>
      </c>
      <c r="W205">
        <f t="shared" si="23"/>
        <v>0</v>
      </c>
      <c r="X205">
        <f t="shared" si="23"/>
        <v>0</v>
      </c>
      <c r="AE205" s="14"/>
      <c r="AF205" s="16"/>
      <c r="AG205" s="16"/>
      <c r="AH205" s="16"/>
      <c r="AI205" s="16"/>
      <c r="AJ205" s="16"/>
      <c r="AK205" s="16"/>
      <c r="AL205" s="16"/>
      <c r="AM205" s="16"/>
      <c r="AN205" s="16"/>
      <c r="AO205" s="16"/>
      <c r="AP205" s="16"/>
      <c r="AQ205" s="16"/>
    </row>
    <row r="206" spans="2:43" x14ac:dyDescent="0.25">
      <c r="C206" t="s">
        <v>1473</v>
      </c>
      <c r="D206" t="s">
        <v>805</v>
      </c>
      <c r="E206">
        <f t="shared" ref="E206:H206" si="24">E205</f>
        <v>0</v>
      </c>
      <c r="F206">
        <f t="shared" si="24"/>
        <v>0</v>
      </c>
      <c r="G206">
        <f t="shared" si="24"/>
        <v>0</v>
      </c>
      <c r="H206">
        <f t="shared" si="24"/>
        <v>3.9359999999999999</v>
      </c>
      <c r="I206">
        <f t="shared" si="21"/>
        <v>0</v>
      </c>
      <c r="K206">
        <f t="shared" ref="K206:R206" si="25">K205</f>
        <v>0</v>
      </c>
      <c r="L206">
        <f t="shared" si="25"/>
        <v>0</v>
      </c>
      <c r="M206">
        <f t="shared" si="25"/>
        <v>0</v>
      </c>
      <c r="N206">
        <f t="shared" si="25"/>
        <v>0</v>
      </c>
      <c r="O206">
        <f t="shared" si="25"/>
        <v>0</v>
      </c>
      <c r="P206">
        <f t="shared" si="25"/>
        <v>0</v>
      </c>
      <c r="Q206">
        <f t="shared" si="25"/>
        <v>0</v>
      </c>
      <c r="R206">
        <f t="shared" si="25"/>
        <v>0</v>
      </c>
      <c r="T206">
        <f t="shared" ref="T206:X206" si="26">T205</f>
        <v>0</v>
      </c>
      <c r="U206">
        <f t="shared" si="26"/>
        <v>0</v>
      </c>
      <c r="V206">
        <f t="shared" si="26"/>
        <v>0</v>
      </c>
      <c r="W206">
        <f t="shared" si="26"/>
        <v>0</v>
      </c>
      <c r="X206">
        <f t="shared" si="26"/>
        <v>0</v>
      </c>
      <c r="AE206" s="14"/>
      <c r="AF206" s="14"/>
      <c r="AG206" s="14"/>
      <c r="AH206" s="14"/>
      <c r="AI206" s="14"/>
      <c r="AJ206" s="14"/>
      <c r="AK206" s="14"/>
      <c r="AL206" s="14"/>
      <c r="AM206" s="14"/>
      <c r="AN206" s="14"/>
      <c r="AO206" s="14"/>
      <c r="AP206" s="14"/>
      <c r="AQ206" s="14"/>
    </row>
    <row r="207" spans="2:43" x14ac:dyDescent="0.25">
      <c r="C207" t="s">
        <v>1474</v>
      </c>
      <c r="D207" t="s">
        <v>805</v>
      </c>
      <c r="E207">
        <f t="shared" ref="E207:H207" si="27">E206</f>
        <v>0</v>
      </c>
      <c r="F207">
        <f t="shared" si="27"/>
        <v>0</v>
      </c>
      <c r="G207">
        <f t="shared" si="27"/>
        <v>0</v>
      </c>
      <c r="H207">
        <f t="shared" si="27"/>
        <v>3.9359999999999999</v>
      </c>
      <c r="I207">
        <f t="shared" si="21"/>
        <v>0</v>
      </c>
      <c r="K207">
        <f t="shared" ref="K207:R207" si="28">K206</f>
        <v>0</v>
      </c>
      <c r="L207">
        <f t="shared" si="28"/>
        <v>0</v>
      </c>
      <c r="M207">
        <f t="shared" si="28"/>
        <v>0</v>
      </c>
      <c r="N207">
        <f t="shared" si="28"/>
        <v>0</v>
      </c>
      <c r="O207">
        <f t="shared" si="28"/>
        <v>0</v>
      </c>
      <c r="P207">
        <f t="shared" si="28"/>
        <v>0</v>
      </c>
      <c r="Q207">
        <f t="shared" si="28"/>
        <v>0</v>
      </c>
      <c r="R207">
        <f t="shared" si="28"/>
        <v>0</v>
      </c>
      <c r="T207">
        <f t="shared" ref="T207:X207" si="29">T206</f>
        <v>0</v>
      </c>
      <c r="U207">
        <f t="shared" si="29"/>
        <v>0</v>
      </c>
      <c r="V207">
        <f t="shared" si="29"/>
        <v>0</v>
      </c>
      <c r="W207">
        <f t="shared" si="29"/>
        <v>0</v>
      </c>
      <c r="X207">
        <f t="shared" si="29"/>
        <v>0</v>
      </c>
      <c r="AE207" s="14"/>
      <c r="AF207" s="14"/>
      <c r="AG207" s="14"/>
      <c r="AH207" s="14"/>
      <c r="AI207" s="14"/>
      <c r="AJ207" s="14"/>
      <c r="AK207" s="14"/>
      <c r="AL207" s="14"/>
      <c r="AM207" s="14"/>
      <c r="AN207" s="14"/>
      <c r="AO207" s="14"/>
      <c r="AP207" s="14"/>
      <c r="AQ207" s="14"/>
    </row>
    <row r="208" spans="2:43" x14ac:dyDescent="0.25">
      <c r="C208" t="s">
        <v>1475</v>
      </c>
      <c r="D208" t="s">
        <v>805</v>
      </c>
      <c r="E208">
        <f t="shared" ref="E208:H208" si="30">E207</f>
        <v>0</v>
      </c>
      <c r="F208">
        <f t="shared" si="30"/>
        <v>0</v>
      </c>
      <c r="G208">
        <f t="shared" si="30"/>
        <v>0</v>
      </c>
      <c r="H208">
        <f t="shared" si="30"/>
        <v>3.9359999999999999</v>
      </c>
      <c r="I208">
        <f>(E208*(1+F208)+G208)*(H208+1)</f>
        <v>0</v>
      </c>
      <c r="K208">
        <f t="shared" ref="K208:R208" si="31">K207</f>
        <v>0</v>
      </c>
      <c r="L208">
        <f t="shared" si="31"/>
        <v>0</v>
      </c>
      <c r="M208">
        <f t="shared" si="31"/>
        <v>0</v>
      </c>
      <c r="N208">
        <f t="shared" si="31"/>
        <v>0</v>
      </c>
      <c r="O208">
        <f t="shared" si="31"/>
        <v>0</v>
      </c>
      <c r="P208">
        <f t="shared" si="31"/>
        <v>0</v>
      </c>
      <c r="Q208">
        <f t="shared" si="31"/>
        <v>0</v>
      </c>
      <c r="R208">
        <f t="shared" si="31"/>
        <v>0</v>
      </c>
      <c r="T208">
        <f t="shared" ref="T208:X208" si="32">T207</f>
        <v>0</v>
      </c>
      <c r="U208">
        <f t="shared" si="32"/>
        <v>0</v>
      </c>
      <c r="V208">
        <f t="shared" si="32"/>
        <v>0</v>
      </c>
      <c r="W208">
        <f t="shared" si="32"/>
        <v>0</v>
      </c>
      <c r="X208">
        <f t="shared" si="32"/>
        <v>0</v>
      </c>
    </row>
    <row r="209" spans="3:43" x14ac:dyDescent="0.25">
      <c r="C209" t="s">
        <v>1476</v>
      </c>
      <c r="D209" t="s">
        <v>805</v>
      </c>
      <c r="E209">
        <f t="shared" ref="E209:H209" si="33">E208</f>
        <v>0</v>
      </c>
      <c r="F209">
        <f t="shared" si="33"/>
        <v>0</v>
      </c>
      <c r="G209">
        <f t="shared" si="33"/>
        <v>0</v>
      </c>
      <c r="H209">
        <f t="shared" si="33"/>
        <v>3.9359999999999999</v>
      </c>
      <c r="I209">
        <f t="shared" ref="I209" si="34">(E209*(1+F209)+G209)*(H209+1)</f>
        <v>0</v>
      </c>
      <c r="K209">
        <f t="shared" ref="K209:R209" si="35">K208</f>
        <v>0</v>
      </c>
      <c r="L209">
        <f t="shared" si="35"/>
        <v>0</v>
      </c>
      <c r="M209">
        <f t="shared" si="35"/>
        <v>0</v>
      </c>
      <c r="N209">
        <f t="shared" si="35"/>
        <v>0</v>
      </c>
      <c r="O209">
        <f t="shared" si="35"/>
        <v>0</v>
      </c>
      <c r="P209">
        <f t="shared" si="35"/>
        <v>0</v>
      </c>
      <c r="Q209">
        <f t="shared" si="35"/>
        <v>0</v>
      </c>
      <c r="R209">
        <f t="shared" si="35"/>
        <v>0</v>
      </c>
      <c r="T209">
        <f t="shared" ref="T209:X209" si="36">T208</f>
        <v>0</v>
      </c>
      <c r="U209">
        <f t="shared" si="36"/>
        <v>0</v>
      </c>
      <c r="V209">
        <f t="shared" si="36"/>
        <v>0</v>
      </c>
      <c r="W209">
        <f t="shared" si="36"/>
        <v>0</v>
      </c>
      <c r="X209">
        <f t="shared" si="36"/>
        <v>0</v>
      </c>
    </row>
    <row r="210" spans="3:43" x14ac:dyDescent="0.25">
      <c r="C210" t="s">
        <v>805</v>
      </c>
      <c r="D210" t="s">
        <v>1470</v>
      </c>
      <c r="S210" s="17"/>
      <c r="T210" s="17">
        <f>M194</f>
        <v>0.08</v>
      </c>
      <c r="U210" s="17"/>
      <c r="V210" s="17"/>
      <c r="W210" s="17"/>
      <c r="X210" s="17"/>
      <c r="Y210" s="17"/>
      <c r="Z210" s="17"/>
    </row>
    <row r="211" spans="3:43" x14ac:dyDescent="0.25">
      <c r="C211" t="s">
        <v>805</v>
      </c>
      <c r="D211" t="s">
        <v>1469</v>
      </c>
      <c r="U211">
        <f>O193*IF(I181&gt;=1,1.1,1)</f>
        <v>0.17600000000000002</v>
      </c>
      <c r="AE211" s="86"/>
      <c r="AF211" s="86"/>
      <c r="AG211" s="86"/>
      <c r="AH211" s="86"/>
      <c r="AI211" s="86"/>
      <c r="AJ211" s="86"/>
      <c r="AK211" s="86"/>
      <c r="AL211" s="86"/>
      <c r="AM211" s="86"/>
      <c r="AN211" s="86"/>
      <c r="AO211" s="86"/>
      <c r="AP211" s="86"/>
      <c r="AQ211" s="86"/>
    </row>
    <row r="212" spans="3:43" x14ac:dyDescent="0.25">
      <c r="C212" t="s">
        <v>805</v>
      </c>
      <c r="D212" t="s">
        <v>1477</v>
      </c>
      <c r="T212">
        <f>T210+IF(I181&gt;=5,0.04,0)</f>
        <v>0.12</v>
      </c>
      <c r="AA212" s="86"/>
      <c r="AB212" s="86"/>
      <c r="AC212" s="86"/>
    </row>
    <row r="213" spans="3:43" x14ac:dyDescent="0.25">
      <c r="C213" t="s">
        <v>805</v>
      </c>
      <c r="D213" t="s">
        <v>1478</v>
      </c>
      <c r="V213">
        <f>0.144</f>
        <v>0.14399999999999999</v>
      </c>
    </row>
    <row r="214" spans="3:43" x14ac:dyDescent="0.25">
      <c r="D214" s="12"/>
      <c r="AD214" s="77"/>
    </row>
    <row r="215" spans="3:43" x14ac:dyDescent="0.25">
      <c r="D215" s="12"/>
    </row>
    <row r="216" spans="3:43" x14ac:dyDescent="0.25">
      <c r="D216" s="12"/>
      <c r="P216" s="68"/>
    </row>
    <row r="217" spans="3:43" x14ac:dyDescent="0.25">
      <c r="D217" s="22"/>
    </row>
    <row r="219" spans="3:43" x14ac:dyDescent="0.25">
      <c r="D219" s="12"/>
      <c r="AD219" s="77"/>
    </row>
    <row r="220" spans="3:43" x14ac:dyDescent="0.25">
      <c r="AD220"/>
    </row>
    <row r="239" spans="2:31" s="40" customFormat="1" ht="14.4" thickBot="1" x14ac:dyDescent="0.3">
      <c r="B239" s="40" t="s">
        <v>992</v>
      </c>
      <c r="AD239" s="59"/>
    </row>
    <row r="240" spans="2:31" x14ac:dyDescent="0.25">
      <c r="B240" s="25" t="s">
        <v>961</v>
      </c>
      <c r="C240" s="26" t="s">
        <v>75</v>
      </c>
      <c r="D240" s="26" t="s">
        <v>85</v>
      </c>
      <c r="E240" s="26" t="s">
        <v>86</v>
      </c>
      <c r="F240" s="26" t="s">
        <v>87</v>
      </c>
      <c r="G240" s="26" t="s">
        <v>88</v>
      </c>
      <c r="H240" s="26" t="s">
        <v>89</v>
      </c>
      <c r="I240" s="26" t="s">
        <v>192</v>
      </c>
      <c r="J240" s="83"/>
      <c r="Q240" s="25"/>
      <c r="R240" s="26" t="s">
        <v>977</v>
      </c>
      <c r="S240" s="27" t="s">
        <v>963</v>
      </c>
      <c r="AE240" t="s">
        <v>153</v>
      </c>
    </row>
    <row r="241" spans="2:43" x14ac:dyDescent="0.25">
      <c r="B241" s="28" t="s">
        <v>91</v>
      </c>
      <c r="C241" s="21"/>
      <c r="D241" s="21"/>
      <c r="E241" s="21"/>
      <c r="F241" s="21"/>
      <c r="G241" s="21"/>
      <c r="H241" t="str">
        <f>IF(COUNTIF(E241:G241,LEFT(D241,2)&amp;"*")&gt;=2,LEFT(D241,2),
IF(COUNTIF(F241:G241,LEFT(E241,2)&amp;"*")=2,LEFT(E241,2),
""))</f>
        <v/>
      </c>
      <c r="I241" s="21">
        <v>0</v>
      </c>
      <c r="J241" s="29"/>
      <c r="Q241" s="28"/>
      <c r="R241" t="s">
        <v>999</v>
      </c>
      <c r="S241" s="29"/>
      <c r="AE241" s="14"/>
      <c r="AF241" s="16"/>
      <c r="AG241" s="16"/>
      <c r="AH241" s="16"/>
      <c r="AI241" s="16"/>
      <c r="AJ241" s="16"/>
      <c r="AK241" s="16"/>
      <c r="AL241" s="16"/>
      <c r="AM241" s="16"/>
      <c r="AN241" s="16"/>
      <c r="AO241" s="16"/>
      <c r="AP241" s="16"/>
      <c r="AQ241" s="16"/>
    </row>
    <row r="242" spans="2:43" x14ac:dyDescent="0.25">
      <c r="B242" s="28" t="s">
        <v>183</v>
      </c>
      <c r="D242" s="21">
        <v>3</v>
      </c>
      <c r="E242" s="21">
        <v>3</v>
      </c>
      <c r="F242" s="21">
        <v>3</v>
      </c>
      <c r="G242" s="21">
        <v>3</v>
      </c>
      <c r="J242" s="29"/>
      <c r="Q242" s="28"/>
      <c r="R242" t="s">
        <v>1032</v>
      </c>
      <c r="S242" s="29"/>
      <c r="AE242" s="14"/>
      <c r="AF242" s="16"/>
      <c r="AG242" s="16"/>
      <c r="AH242" s="16"/>
      <c r="AI242" s="16"/>
      <c r="AJ242" s="16"/>
      <c r="AK242" s="16"/>
      <c r="AL242" s="16"/>
      <c r="AM242" s="16"/>
      <c r="AN242" s="16"/>
      <c r="AO242" s="16"/>
      <c r="AP242" s="16"/>
      <c r="AQ242" s="16"/>
    </row>
    <row r="243" spans="2:43" x14ac:dyDescent="0.25">
      <c r="B243" s="84" t="s">
        <v>97</v>
      </c>
      <c r="C243">
        <f>_xlfn.XLOOKUP(C241,武器库!$B:$B,武器库!$C:$C,"")</f>
        <v>0</v>
      </c>
      <c r="D243" t="e">
        <f>VLOOKUP(D241,护甲库!$A:$M,2+D242*3,FALSE)</f>
        <v>#N/A</v>
      </c>
      <c r="E243" t="e">
        <f>VLOOKUP(E241,护手库!$A:$M,2+E242*3,FALSE)</f>
        <v>#N/A</v>
      </c>
      <c r="F243" t="e">
        <f>VLOOKUP(F241,配件库!$A:$M,2+F242*3,FALSE)</f>
        <v>#N/A</v>
      </c>
      <c r="G243" t="e">
        <f>VLOOKUP(G241,配件库!$A:$M,2+G242*3,FALSE)</f>
        <v>#N/A</v>
      </c>
      <c r="H243" s="11"/>
      <c r="J243" s="29"/>
      <c r="Q243" s="28" t="s">
        <v>961</v>
      </c>
      <c r="S243" s="29" t="s">
        <v>964</v>
      </c>
      <c r="AE243" s="14"/>
      <c r="AF243" s="16"/>
      <c r="AG243" s="16"/>
      <c r="AH243" s="16"/>
      <c r="AI243" s="16"/>
      <c r="AJ243" s="16"/>
      <c r="AK243" s="16"/>
      <c r="AL243" s="16"/>
      <c r="AM243" s="16"/>
      <c r="AN243" s="16"/>
      <c r="AO243" s="16"/>
      <c r="AP243" s="16"/>
      <c r="AQ243" s="16"/>
    </row>
    <row r="244" spans="2:43" x14ac:dyDescent="0.25">
      <c r="B244" s="28" t="s">
        <v>98</v>
      </c>
      <c r="C244" s="43">
        <f>_xlfn.XLOOKUP(C241,武器库!$B:$B,武器库!$D:$D,"")</f>
        <v>0</v>
      </c>
      <c r="D244" t="e">
        <f>VLOOKUP(D241,护甲库!$A:$M,3+D242*3,FALSE)</f>
        <v>#N/A</v>
      </c>
      <c r="E244" t="e">
        <f>VLOOKUP(E241,护手库!$A:$M,3+E242*3,FALSE)</f>
        <v>#N/A</v>
      </c>
      <c r="F244" t="e">
        <f>VLOOKUP(F241,配件库!$A:$M,3+F242*3,FALSE)</f>
        <v>#N/A</v>
      </c>
      <c r="G244" t="e">
        <f>VLOOKUP(G241,配件库!$A:$M,3+G242*3,FALSE)</f>
        <v>#N/A</v>
      </c>
      <c r="H244" s="9"/>
      <c r="J244" s="29"/>
      <c r="Q244" s="28"/>
      <c r="R244" t="s">
        <v>965</v>
      </c>
      <c r="S244" s="29"/>
      <c r="AE244" s="14"/>
      <c r="AF244" s="16"/>
      <c r="AG244" s="16"/>
      <c r="AH244" s="16"/>
      <c r="AI244" s="16"/>
      <c r="AJ244" s="16"/>
      <c r="AK244" s="16"/>
      <c r="AL244" s="16"/>
      <c r="AM244" s="16"/>
      <c r="AN244" s="16"/>
      <c r="AO244" s="16"/>
      <c r="AP244" s="16"/>
      <c r="AQ244" s="16"/>
    </row>
    <row r="245" spans="2:43" x14ac:dyDescent="0.25">
      <c r="B245" s="28" t="s">
        <v>99</v>
      </c>
      <c r="C245" s="43">
        <f>_xlfn.XLOOKUP(C241,武器库!$B:$B,武器库!$E:$E,"")</f>
        <v>0</v>
      </c>
      <c r="D245" s="43" t="e">
        <f>VLOOKUP(D241,护甲库!$A:$M,4+D242*3,FALSE)</f>
        <v>#N/A</v>
      </c>
      <c r="E245" s="43" t="e">
        <f>VLOOKUP(E241,护手库!$A:$M,4+E242*3,FALSE)</f>
        <v>#N/A</v>
      </c>
      <c r="F245" s="43" t="e">
        <f>VLOOKUP(F241,配件库!$A:$M,4+F242*3,FALSE)</f>
        <v>#N/A</v>
      </c>
      <c r="G245" s="43" t="e">
        <f>VLOOKUP(G241,配件库!$A:$M,4+G242*3,FALSE)</f>
        <v>#N/A</v>
      </c>
      <c r="H245" s="9"/>
      <c r="J245" s="29"/>
      <c r="Q245" s="28" t="s">
        <v>962</v>
      </c>
      <c r="R245" t="s">
        <v>967</v>
      </c>
      <c r="S245" s="29"/>
      <c r="AE245" s="14"/>
      <c r="AF245" s="16"/>
      <c r="AG245" s="16"/>
      <c r="AH245" s="16"/>
      <c r="AI245" s="16"/>
      <c r="AJ245" s="16"/>
      <c r="AK245" s="16"/>
      <c r="AL245" s="16"/>
      <c r="AM245" s="16"/>
      <c r="AN245" s="16"/>
      <c r="AO245" s="16"/>
      <c r="AP245" s="16"/>
      <c r="AQ245" s="16"/>
    </row>
    <row r="246" spans="2:43" x14ac:dyDescent="0.25">
      <c r="B246" s="28" t="s">
        <v>90</v>
      </c>
      <c r="C246">
        <f>_xlfn.XLOOKUP(C241,武器库!$B:$B,武器库!$F:$F,"")</f>
        <v>0</v>
      </c>
      <c r="D246" s="22"/>
      <c r="F246" s="22"/>
      <c r="G246" s="9"/>
      <c r="H246" s="9"/>
      <c r="J246" s="29"/>
      <c r="Q246" s="28"/>
      <c r="S246" s="29"/>
      <c r="AE246" s="14"/>
      <c r="AF246" s="16"/>
      <c r="AG246" s="16"/>
      <c r="AH246" s="16"/>
      <c r="AI246" s="16"/>
      <c r="AJ246" s="16"/>
      <c r="AK246" s="16"/>
      <c r="AL246" s="16"/>
      <c r="AM246" s="16"/>
      <c r="AN246" s="16"/>
      <c r="AO246" s="16"/>
      <c r="AP246" s="16"/>
      <c r="AQ246" s="16"/>
    </row>
    <row r="247" spans="2:43" ht="14.4" thickBot="1" x14ac:dyDescent="0.3">
      <c r="B247" s="30" t="s">
        <v>89</v>
      </c>
      <c r="C247" s="18" t="e">
        <f>VLOOKUP(H241,套装效果库!A:B,2,0)</f>
        <v>#N/A</v>
      </c>
      <c r="D247" s="19"/>
      <c r="E247" s="18"/>
      <c r="F247" s="19"/>
      <c r="G247" s="20"/>
      <c r="H247" s="20"/>
      <c r="I247" s="18"/>
      <c r="J247" s="31"/>
      <c r="Q247" s="28" t="s">
        <v>968</v>
      </c>
      <c r="S247" s="29" t="s">
        <v>966</v>
      </c>
      <c r="AE247" s="14"/>
      <c r="AF247" s="16"/>
      <c r="AG247" s="16"/>
      <c r="AH247" s="16"/>
      <c r="AI247" s="16"/>
      <c r="AJ247" s="16"/>
      <c r="AK247" s="16"/>
      <c r="AL247" s="16"/>
      <c r="AM247" s="16"/>
      <c r="AN247" s="16"/>
      <c r="AO247" s="16"/>
      <c r="AP247" s="16"/>
      <c r="AQ247" s="16"/>
    </row>
    <row r="248" spans="2:43" x14ac:dyDescent="0.25">
      <c r="Q248" s="28"/>
      <c r="R248" t="s">
        <v>970</v>
      </c>
      <c r="S248" s="29"/>
    </row>
    <row r="249" spans="2:43" x14ac:dyDescent="0.25">
      <c r="Q249" s="28" t="s">
        <v>969</v>
      </c>
      <c r="R249" t="s">
        <v>971</v>
      </c>
      <c r="S249" s="29"/>
    </row>
    <row r="250" spans="2:43" x14ac:dyDescent="0.25">
      <c r="B250" s="17" t="s">
        <v>962</v>
      </c>
      <c r="C250" s="17" t="s">
        <v>990</v>
      </c>
      <c r="D250" s="17" t="s">
        <v>1054</v>
      </c>
      <c r="E250" s="17"/>
      <c r="F250" s="17"/>
      <c r="G250" s="17"/>
      <c r="H250" s="17"/>
      <c r="I250" s="17"/>
      <c r="K250" s="88" t="s">
        <v>195</v>
      </c>
      <c r="L250" s="17" t="s">
        <v>701</v>
      </c>
      <c r="M250" s="17" t="s">
        <v>157</v>
      </c>
      <c r="N250" s="17" t="s">
        <v>702</v>
      </c>
      <c r="O250" s="89" t="s">
        <v>158</v>
      </c>
      <c r="Q250" s="28"/>
      <c r="R250" t="s">
        <v>972</v>
      </c>
      <c r="S250" s="29"/>
      <c r="AE250" s="14" t="s">
        <v>76</v>
      </c>
    </row>
    <row r="251" spans="2:43" x14ac:dyDescent="0.25">
      <c r="C251" s="21"/>
      <c r="D251" s="21"/>
      <c r="E251" s="156"/>
      <c r="F251" s="156"/>
      <c r="G251" s="156"/>
      <c r="H251" s="156"/>
      <c r="I251" s="156"/>
      <c r="K251" t="s">
        <v>183</v>
      </c>
      <c r="L251" s="21">
        <v>0</v>
      </c>
      <c r="M251" s="21">
        <v>0</v>
      </c>
      <c r="N251" s="21">
        <v>0</v>
      </c>
      <c r="O251" s="37">
        <v>0</v>
      </c>
      <c r="Q251" s="28"/>
      <c r="R251" t="s">
        <v>973</v>
      </c>
      <c r="S251" s="29"/>
      <c r="AE251" s="15"/>
      <c r="AF251" s="15"/>
      <c r="AG251" s="15"/>
      <c r="AH251" s="15"/>
      <c r="AI251" s="15"/>
      <c r="AJ251" s="15"/>
      <c r="AK251" s="15"/>
      <c r="AL251" s="15"/>
      <c r="AM251" s="15"/>
      <c r="AN251" s="15"/>
      <c r="AO251" s="15"/>
      <c r="AP251" s="15"/>
      <c r="AQ251" s="15"/>
    </row>
    <row r="252" spans="2:43" x14ac:dyDescent="0.25">
      <c r="B252" t="s">
        <v>164</v>
      </c>
      <c r="C252" s="21">
        <f>179+60+IF(I241&gt;=2,20,0)</f>
        <v>239</v>
      </c>
      <c r="D252" s="21">
        <f>123</f>
        <v>123</v>
      </c>
      <c r="E252" cm="1">
        <f t="array" ref="E252">SUM(IFERROR(
    VALUE(MID($C242:$G245,
             SEARCH(E251, $C242:$G245) + LEN(E251),
             10)) *
    ISNUMBER(SEARCH(E251,$C242:$G245)),
    0
))/100+IFERROR(
    MID($C247, SEARCH(E251, $C247) + LEN(E251), 2) / 100,
    0
)</f>
        <v>0.12</v>
      </c>
      <c r="F252" cm="1">
        <f t="array" ref="F252">SUM(IFERROR(
    VALUE(MID($C242:$G245,
             SEARCH(F251, $C242:$G245) + LEN(F251),
             10)) *
    ISNUMBER(SEARCH(F251,$C242:$G245)),
    0
))/100+IFERROR(
    MID($C247, SEARCH(F251, $C247) + LEN(F251), 2) / 100,
    0
)</f>
        <v>0.12</v>
      </c>
      <c r="G252" cm="1">
        <f t="array" ref="G252">SUM(IFERROR(
    VALUE(MID($C242:$G245,
             SEARCH(G251, $C242:$G245) + LEN(G251),
             10)) *
    ISNUMBER(SEARCH(G251,$C242:$G245)),
    0
))/100+IFERROR(
    MID($C247, SEARCH(G251, $C247) + LEN(G251), 2) / 100,
    0
)</f>
        <v>0.12</v>
      </c>
      <c r="H252" cm="1">
        <f t="array" ref="H252">SUM(IFERROR(
    VALUE(MID($C242:$G245,
             SEARCH(H251, $C242:$G245) + LEN(H251),
             10)) *
    ISNUMBER(SEARCH(H251,$C242:$G245)),
    0
))/100+IFERROR(
    MID($C247, SEARCH(H251, $C247) + LEN(H251), 2) / 100,
    0
)</f>
        <v>0.12</v>
      </c>
      <c r="I252" cm="1">
        <f t="array" ref="I252">SUM(IFERROR(
    VALUE(MID($C242:$G245,
             SEARCH(I251, $C242:$G245) + LEN(I251),
             10)) *
    ISNUMBER(SEARCH(I251,$C242:$G245)),
    0
))/100+IFERROR(
    MID($C247, SEARCH(I251, $C247) + LEN(I251), 2) / 100,
    0
)</f>
        <v>0.12</v>
      </c>
      <c r="L252" s="23" cm="1">
        <f t="array" ref="L252">_xlfn.XLOOKUP(L251,$AE$6:$AQ$6,AE241:AQ247,0,0,1)</f>
        <v>0</v>
      </c>
      <c r="M252" s="23" cm="1">
        <f t="array" ref="M252">_xlfn.XLOOKUP(M251,$AE$6:$AQ$6,AE253:AQ260,0,0,1)</f>
        <v>0</v>
      </c>
      <c r="N252" s="23" cm="1">
        <f t="array" ref="N252">_xlfn.XLOOKUP(N251,$AE$6:$AQ$6,AE265:AQ268,0,0,1)</f>
        <v>0</v>
      </c>
      <c r="O252" s="23" cm="1">
        <f t="array" ref="O252">_xlfn.XLOOKUP(O251,$AE$6:$AQ$6,AE273:AQ278,0,0,1)</f>
        <v>0</v>
      </c>
      <c r="Q252" s="28"/>
      <c r="S252" s="29" t="s">
        <v>974</v>
      </c>
      <c r="AE252" s="14"/>
      <c r="AF252" s="16"/>
      <c r="AG252" s="16"/>
      <c r="AH252" s="16"/>
      <c r="AI252" s="16"/>
      <c r="AJ252" s="16"/>
      <c r="AK252" s="16"/>
      <c r="AL252" s="16"/>
      <c r="AM252" s="16"/>
      <c r="AN252" s="16"/>
      <c r="AO252" s="16"/>
      <c r="AP252" s="16"/>
      <c r="AQ252" s="16"/>
    </row>
    <row r="253" spans="2:43" x14ac:dyDescent="0.25">
      <c r="B253" s="22" t="s">
        <v>165</v>
      </c>
      <c r="C253" cm="1">
        <f t="array" ref="C253">SUM(IFERROR(
    VALUE(MID($C242:$G245,
             FIND(C251, $C242:$G245) + LEN(C251),
             10)) *
    ISNUMBER(FIND(C251, $C242:$G245)),
    0
))+SUM(IFERROR(
    VALUE(MID($C242:$G245,
             FIND(C250, $C242:$G245) + LEN(C250),
             10)) *
    ISNUMBER(FIND(C250, $C242:$G245)),
    0
))+IFERROR(
    MID($C247, SEARCH(C251, $C247) + LEN(C251), 2) / 100,
    0
)+IFERROR(
    MID($C247, SEARCH(C250, $C247) + LEN(C250), 2) / 100,
    0
)</f>
        <v>12</v>
      </c>
      <c r="D253" cm="1">
        <f t="array" ref="D253">SUM(IFERROR(
    VALUE(MID($C242:$G245,
             FIND(D251, $C242:$G245) + LEN(D251),
             10)) *
    ISNUMBER(FIND(D251, $C242:$G245)),
    0
))+SUM(IFERROR(
    VALUE(MID($C242:$G245,
             FIND(D250, $C242:$G245) + LEN(D250),
             10)) *
    ISNUMBER(FIND(D250, $C242:$G245)),
    0
))+IFERROR(
    MID($C247, SEARCH(D251, $C247) + LEN(D251), 2) / 100,
    0
)+IFERROR(
    MID($C247, SEARCH(D250, $C247) + LEN(D250), 2) / 100,
    0
)</f>
        <v>12</v>
      </c>
      <c r="Q253" s="28"/>
      <c r="S253" s="29" t="s">
        <v>975</v>
      </c>
      <c r="AE253" s="14"/>
      <c r="AF253" s="14"/>
      <c r="AG253" s="14"/>
      <c r="AH253" s="14"/>
      <c r="AI253" s="14"/>
      <c r="AJ253" s="14"/>
      <c r="AK253" s="14"/>
      <c r="AL253" s="14"/>
      <c r="AM253" s="14"/>
      <c r="AN253" s="14"/>
      <c r="AO253" s="14"/>
      <c r="AP253" s="14"/>
      <c r="AQ253" s="14"/>
    </row>
    <row r="254" spans="2:43" ht="14.4" thickBot="1" x14ac:dyDescent="0.3">
      <c r="B254" s="22" t="s">
        <v>166</v>
      </c>
      <c r="C254" s="12" cm="1">
        <f t="array" ref="C254">ROUNDUP(SUM(C252:C253)*(1+IF(LEN(TRIM(LEFT(C250,3)))=0, 0,
   SUMPRODUCT(
       IFERROR(
           VALUE(MID($C242:$G245,
                   SEARCH(LEFT(C250,3), $C242:$G245) + 3,
                   10)) *
           ISNUMBER(SEARCH(LEFT(C250,3), $C242:$G245)),
           0
       )
   )+IFERROR(
    MID($C247, SEARCH(C251, $C247) + LEN(C251), 2) / 100,
    0
)
)/100),0)</f>
        <v>251</v>
      </c>
      <c r="D254" s="12" cm="1">
        <f t="array" ref="D254">ROUNDUP(SUM(D252:D253)*(1+IF(LEN(TRIM(LEFT(D250,3)))=0, 0,
   SUMPRODUCT(
       IFERROR(
           VALUE(MID($C242:$G245,
                   SEARCH(LEFT(D250,3), $C242:$G245) + 3,
                   10)) *
           ISNUMBER(SEARCH(LEFT(D250,3), $C242:$G245)),
           0
       )
   )+IFERROR(
    MID($C247, SEARCH(D251, $C247) + LEN(D251), 2) / 100,
    0
)
)/100),0)</f>
        <v>135</v>
      </c>
      <c r="Q254" s="30"/>
      <c r="R254" s="18"/>
      <c r="S254" s="31" t="s">
        <v>976</v>
      </c>
      <c r="AE254" s="14"/>
      <c r="AF254" s="16"/>
      <c r="AG254" s="16"/>
      <c r="AH254" s="16"/>
      <c r="AI254" s="16"/>
      <c r="AJ254" s="16"/>
      <c r="AK254" s="16"/>
      <c r="AL254" s="16"/>
      <c r="AM254" s="16"/>
      <c r="AN254" s="16"/>
      <c r="AO254" s="16"/>
      <c r="AP254" s="16"/>
      <c r="AQ254" s="16"/>
    </row>
    <row r="255" spans="2:43" x14ac:dyDescent="0.25">
      <c r="B255" s="85" t="s">
        <v>93</v>
      </c>
      <c r="C255" s="86">
        <f>C254*0.005+D254*0.002</f>
        <v>1.5250000000000001</v>
      </c>
      <c r="D255" s="87"/>
      <c r="E255" s="86"/>
      <c r="F255" s="86"/>
      <c r="G255" s="86"/>
      <c r="H255" s="86"/>
      <c r="I255" s="86"/>
      <c r="AE255" s="14"/>
      <c r="AF255" s="14"/>
      <c r="AG255" s="14"/>
      <c r="AH255" s="14"/>
      <c r="AI255" s="14"/>
      <c r="AJ255" s="14"/>
      <c r="AK255" s="14"/>
      <c r="AL255" s="14"/>
      <c r="AM255" s="14"/>
      <c r="AN255" s="14"/>
      <c r="AO255" s="14"/>
      <c r="AP255" s="14"/>
      <c r="AQ255" s="14"/>
    </row>
    <row r="256" spans="2:43" x14ac:dyDescent="0.25">
      <c r="AE256" s="14"/>
      <c r="AF256" s="14"/>
      <c r="AG256" s="14"/>
      <c r="AH256" s="14"/>
      <c r="AI256" s="14"/>
      <c r="AJ256" s="14"/>
      <c r="AK256" s="14"/>
      <c r="AL256" s="14"/>
      <c r="AM256" s="14"/>
      <c r="AN256" s="14"/>
      <c r="AO256" s="14"/>
      <c r="AP256" s="14"/>
      <c r="AQ256" s="14"/>
    </row>
    <row r="257" spans="2:43" ht="13.8" customHeight="1" x14ac:dyDescent="0.25">
      <c r="AE257" s="14"/>
      <c r="AF257" s="16"/>
      <c r="AG257" s="16"/>
      <c r="AH257" s="16"/>
      <c r="AI257" s="38"/>
      <c r="AJ257" s="38"/>
      <c r="AK257" s="38"/>
      <c r="AL257" s="16"/>
      <c r="AM257" s="16"/>
      <c r="AN257" s="16"/>
      <c r="AO257" s="38"/>
      <c r="AP257" s="38"/>
      <c r="AQ257" s="16"/>
    </row>
    <row r="258" spans="2:43" x14ac:dyDescent="0.25">
      <c r="E258" s="12"/>
      <c r="G258" s="12"/>
      <c r="AE258" s="14"/>
      <c r="AF258" s="16"/>
      <c r="AG258" s="16"/>
      <c r="AH258" s="16"/>
      <c r="AI258" s="16"/>
      <c r="AJ258" s="16"/>
      <c r="AK258" s="16"/>
      <c r="AL258" s="16"/>
      <c r="AM258" s="16"/>
      <c r="AN258" s="16"/>
      <c r="AO258" s="16"/>
      <c r="AP258" s="16"/>
      <c r="AQ258" s="16"/>
    </row>
    <row r="259" spans="2:43" x14ac:dyDescent="0.25">
      <c r="C259" s="22"/>
      <c r="AE259" s="14"/>
      <c r="AF259" s="14"/>
      <c r="AG259" s="14"/>
      <c r="AH259" s="14"/>
      <c r="AI259" s="14"/>
      <c r="AJ259" s="14"/>
      <c r="AK259" s="14"/>
      <c r="AL259" s="14"/>
      <c r="AM259" s="14"/>
      <c r="AN259" s="14"/>
      <c r="AO259" s="14"/>
      <c r="AP259" s="14"/>
      <c r="AQ259" s="14"/>
    </row>
    <row r="260" spans="2:43" x14ac:dyDescent="0.25">
      <c r="C260" s="22"/>
    </row>
    <row r="261" spans="2:43" x14ac:dyDescent="0.25">
      <c r="C261" s="22"/>
    </row>
    <row r="262" spans="2:43" ht="14.4" thickBot="1" x14ac:dyDescent="0.3">
      <c r="C262" s="28" t="s">
        <v>978</v>
      </c>
      <c r="E262" s="61" t="s">
        <v>755</v>
      </c>
      <c r="F262" s="61"/>
      <c r="G262" s="61"/>
      <c r="H262" s="61"/>
      <c r="I262" s="61"/>
      <c r="J262" s="127" t="s">
        <v>785</v>
      </c>
      <c r="K262" s="127"/>
      <c r="L262" s="127"/>
      <c r="M262" s="127"/>
      <c r="N262" s="63" t="s">
        <v>154</v>
      </c>
      <c r="O262" s="63"/>
      <c r="P262" s="63"/>
      <c r="Q262" s="63"/>
      <c r="R262" s="63"/>
      <c r="S262" s="63"/>
      <c r="T262" s="8" t="s">
        <v>161</v>
      </c>
      <c r="U262" s="8"/>
      <c r="V262" s="8"/>
      <c r="W262" s="8"/>
      <c r="X262" s="8"/>
      <c r="Y262" s="8"/>
      <c r="Z262" s="8"/>
      <c r="AE262" s="14" t="s">
        <v>77</v>
      </c>
    </row>
    <row r="263" spans="2:43" x14ac:dyDescent="0.25">
      <c r="B263" t="s">
        <v>695</v>
      </c>
      <c r="C263" s="17" t="s">
        <v>704</v>
      </c>
      <c r="D263" s="17" t="s">
        <v>991</v>
      </c>
      <c r="E263" s="52" t="s">
        <v>92</v>
      </c>
      <c r="F263" s="52" t="s">
        <v>94</v>
      </c>
      <c r="G263" s="52" t="s">
        <v>95</v>
      </c>
      <c r="H263" s="52" t="s">
        <v>93</v>
      </c>
      <c r="I263" s="52" t="s">
        <v>96</v>
      </c>
      <c r="J263" s="64" t="s">
        <v>688</v>
      </c>
      <c r="K263" s="64" t="s">
        <v>689</v>
      </c>
      <c r="L263" s="64" t="s">
        <v>690</v>
      </c>
      <c r="M263" s="64" t="s">
        <v>163</v>
      </c>
      <c r="N263" s="64" t="s">
        <v>707</v>
      </c>
      <c r="O263" s="64" t="s">
        <v>153</v>
      </c>
      <c r="P263" s="64" t="s">
        <v>76</v>
      </c>
      <c r="Q263" s="64" t="s">
        <v>77</v>
      </c>
      <c r="R263" s="64" t="s">
        <v>78</v>
      </c>
      <c r="S263" s="64" t="s">
        <v>703</v>
      </c>
      <c r="T263" s="64" t="s">
        <v>83</v>
      </c>
      <c r="U263" s="64" t="s">
        <v>80</v>
      </c>
      <c r="V263" s="64" t="s">
        <v>79</v>
      </c>
      <c r="W263" s="64" t="s">
        <v>691</v>
      </c>
      <c r="X263" s="64" t="s">
        <v>694</v>
      </c>
      <c r="Y263" s="64" t="s">
        <v>693</v>
      </c>
      <c r="Z263" s="64" t="s">
        <v>692</v>
      </c>
      <c r="AF263" s="15"/>
      <c r="AG263" s="15"/>
      <c r="AH263" s="15"/>
      <c r="AI263" s="15"/>
      <c r="AJ263" s="15"/>
      <c r="AK263" s="15"/>
      <c r="AL263" s="15"/>
      <c r="AM263" s="15"/>
      <c r="AN263" s="15"/>
      <c r="AO263" s="15"/>
      <c r="AP263" s="15"/>
      <c r="AQ263" s="15"/>
    </row>
    <row r="264" spans="2:43" x14ac:dyDescent="0.25">
      <c r="B264" t="s">
        <v>993</v>
      </c>
      <c r="E264" s="21"/>
      <c r="F264" s="43"/>
      <c r="G264" s="43"/>
      <c r="H264">
        <f>C255</f>
        <v>1.5250000000000001</v>
      </c>
      <c r="I264">
        <f>(E264*(1+F264)+G264)*(H264+1)</f>
        <v>0</v>
      </c>
      <c r="K264" s="43"/>
      <c r="L264" s="43"/>
      <c r="M264" s="43"/>
      <c r="N264" s="43"/>
      <c r="O264" s="43"/>
      <c r="P264" s="43"/>
      <c r="Q264" s="43"/>
      <c r="R264" s="43"/>
      <c r="AE264" s="14"/>
      <c r="AF264" s="14"/>
      <c r="AG264" s="14"/>
      <c r="AH264" s="14"/>
      <c r="AI264" s="14"/>
      <c r="AJ264" s="14"/>
      <c r="AK264" s="14"/>
      <c r="AL264" s="14"/>
      <c r="AM264" s="14"/>
      <c r="AN264" s="14"/>
      <c r="AO264" s="14"/>
      <c r="AP264" s="14"/>
      <c r="AQ264" s="14"/>
    </row>
    <row r="265" spans="2:43" x14ac:dyDescent="0.25">
      <c r="C265" t="s">
        <v>994</v>
      </c>
      <c r="D265" t="s">
        <v>805</v>
      </c>
      <c r="E265">
        <f>E264</f>
        <v>0</v>
      </c>
      <c r="F265">
        <f>F264</f>
        <v>0</v>
      </c>
      <c r="G265">
        <f>G264</f>
        <v>0</v>
      </c>
      <c r="H265">
        <f>H264</f>
        <v>1.5250000000000001</v>
      </c>
      <c r="I265">
        <f t="shared" ref="I265:I267" si="37">(E265*(1+F265)+G265)*(H265+1)</f>
        <v>0</v>
      </c>
      <c r="J265">
        <f>SUM(L252:L256)</f>
        <v>0</v>
      </c>
      <c r="K265">
        <f t="shared" ref="K265:R265" si="38">K264</f>
        <v>0</v>
      </c>
      <c r="L265">
        <f t="shared" si="38"/>
        <v>0</v>
      </c>
      <c r="M265">
        <f t="shared" si="38"/>
        <v>0</v>
      </c>
      <c r="N265">
        <f t="shared" si="38"/>
        <v>0</v>
      </c>
      <c r="O265">
        <f t="shared" si="38"/>
        <v>0</v>
      </c>
      <c r="P265">
        <f t="shared" si="38"/>
        <v>0</v>
      </c>
      <c r="Q265">
        <f t="shared" si="38"/>
        <v>0</v>
      </c>
      <c r="R265">
        <f t="shared" si="38"/>
        <v>0</v>
      </c>
      <c r="T265">
        <f>T264</f>
        <v>0</v>
      </c>
      <c r="U265">
        <f t="shared" ref="U265:X265" si="39">U264</f>
        <v>0</v>
      </c>
      <c r="V265">
        <f t="shared" si="39"/>
        <v>0</v>
      </c>
      <c r="W265">
        <f t="shared" si="39"/>
        <v>0</v>
      </c>
      <c r="X265">
        <f t="shared" si="39"/>
        <v>0</v>
      </c>
      <c r="AE265" s="14"/>
      <c r="AF265" s="16"/>
      <c r="AG265" s="16"/>
      <c r="AH265" s="16"/>
      <c r="AI265" s="16"/>
      <c r="AJ265" s="16"/>
      <c r="AK265" s="16"/>
      <c r="AL265" s="16"/>
      <c r="AM265" s="16"/>
      <c r="AN265" s="16"/>
      <c r="AO265" s="16"/>
      <c r="AP265" s="16"/>
      <c r="AQ265" s="16"/>
    </row>
    <row r="266" spans="2:43" x14ac:dyDescent="0.25">
      <c r="C266" t="s">
        <v>995</v>
      </c>
      <c r="D266" t="s">
        <v>805</v>
      </c>
      <c r="E266">
        <f t="shared" ref="E266:H266" si="40">E265</f>
        <v>0</v>
      </c>
      <c r="F266">
        <f t="shared" si="40"/>
        <v>0</v>
      </c>
      <c r="G266">
        <f t="shared" si="40"/>
        <v>0</v>
      </c>
      <c r="H266">
        <f t="shared" si="40"/>
        <v>1.5250000000000001</v>
      </c>
      <c r="I266">
        <f t="shared" si="37"/>
        <v>0</v>
      </c>
      <c r="J266">
        <f>SUM(L252:L255)</f>
        <v>0</v>
      </c>
      <c r="K266">
        <f t="shared" ref="K266:R266" si="41">K265</f>
        <v>0</v>
      </c>
      <c r="L266">
        <f t="shared" si="41"/>
        <v>0</v>
      </c>
      <c r="M266">
        <f t="shared" si="41"/>
        <v>0</v>
      </c>
      <c r="N266">
        <f t="shared" si="41"/>
        <v>0</v>
      </c>
      <c r="O266">
        <f t="shared" si="41"/>
        <v>0</v>
      </c>
      <c r="P266">
        <f t="shared" si="41"/>
        <v>0</v>
      </c>
      <c r="Q266">
        <f t="shared" si="41"/>
        <v>0</v>
      </c>
      <c r="R266">
        <f t="shared" si="41"/>
        <v>0</v>
      </c>
      <c r="T266">
        <f t="shared" ref="T266:X266" si="42">T265</f>
        <v>0</v>
      </c>
      <c r="U266">
        <f t="shared" si="42"/>
        <v>0</v>
      </c>
      <c r="V266">
        <f t="shared" si="42"/>
        <v>0</v>
      </c>
      <c r="W266">
        <f t="shared" si="42"/>
        <v>0</v>
      </c>
      <c r="X266">
        <f t="shared" si="42"/>
        <v>0</v>
      </c>
      <c r="AE266" s="14"/>
      <c r="AF266" s="14"/>
      <c r="AG266" s="14"/>
      <c r="AH266" s="14"/>
      <c r="AI266" s="14"/>
      <c r="AJ266" s="14"/>
      <c r="AK266" s="14"/>
      <c r="AL266" s="14"/>
      <c r="AM266" s="14"/>
      <c r="AN266" s="14"/>
      <c r="AO266" s="14"/>
      <c r="AP266" s="14"/>
      <c r="AQ266" s="14"/>
    </row>
    <row r="267" spans="2:43" x14ac:dyDescent="0.25">
      <c r="C267" t="s">
        <v>996</v>
      </c>
      <c r="D267" t="s">
        <v>805</v>
      </c>
      <c r="E267">
        <f t="shared" ref="E267:H267" si="43">E266</f>
        <v>0</v>
      </c>
      <c r="F267">
        <f t="shared" si="43"/>
        <v>0</v>
      </c>
      <c r="G267">
        <f t="shared" si="43"/>
        <v>0</v>
      </c>
      <c r="H267">
        <f t="shared" si="43"/>
        <v>1.5250000000000001</v>
      </c>
      <c r="I267">
        <f t="shared" si="37"/>
        <v>0</v>
      </c>
      <c r="J267">
        <f>L256</f>
        <v>0</v>
      </c>
      <c r="K267">
        <f t="shared" ref="K267:R267" si="44">K266</f>
        <v>0</v>
      </c>
      <c r="L267">
        <f t="shared" si="44"/>
        <v>0</v>
      </c>
      <c r="M267">
        <f t="shared" si="44"/>
        <v>0</v>
      </c>
      <c r="N267">
        <f t="shared" si="44"/>
        <v>0</v>
      </c>
      <c r="O267">
        <f t="shared" si="44"/>
        <v>0</v>
      </c>
      <c r="P267">
        <f t="shared" si="44"/>
        <v>0</v>
      </c>
      <c r="Q267">
        <f t="shared" si="44"/>
        <v>0</v>
      </c>
      <c r="R267">
        <f t="shared" si="44"/>
        <v>0</v>
      </c>
      <c r="T267">
        <f t="shared" ref="T267:X267" si="45">T266</f>
        <v>0</v>
      </c>
      <c r="U267">
        <f t="shared" si="45"/>
        <v>0</v>
      </c>
      <c r="V267">
        <f t="shared" si="45"/>
        <v>0</v>
      </c>
      <c r="W267">
        <f t="shared" si="45"/>
        <v>0</v>
      </c>
      <c r="X267">
        <f t="shared" si="45"/>
        <v>0</v>
      </c>
      <c r="AE267" s="14"/>
      <c r="AF267" s="14"/>
      <c r="AG267" s="14"/>
      <c r="AH267" s="14"/>
      <c r="AI267" s="14"/>
      <c r="AJ267" s="14"/>
      <c r="AK267" s="14"/>
      <c r="AL267" s="14"/>
      <c r="AM267" s="14"/>
      <c r="AN267" s="14"/>
      <c r="AO267" s="14"/>
      <c r="AP267" s="14"/>
      <c r="AQ267" s="14"/>
    </row>
    <row r="268" spans="2:43" x14ac:dyDescent="0.25">
      <c r="C268" t="s">
        <v>997</v>
      </c>
      <c r="D268" t="s">
        <v>805</v>
      </c>
      <c r="E268">
        <f t="shared" ref="E268:H268" si="46">E267</f>
        <v>0</v>
      </c>
      <c r="F268">
        <f t="shared" si="46"/>
        <v>0</v>
      </c>
      <c r="G268">
        <f t="shared" si="46"/>
        <v>0</v>
      </c>
      <c r="H268">
        <f t="shared" si="46"/>
        <v>1.5250000000000001</v>
      </c>
      <c r="I268">
        <f>(E268*(1+F268)+G268)*(H268+1)</f>
        <v>0</v>
      </c>
      <c r="J268">
        <f>L257</f>
        <v>0</v>
      </c>
      <c r="K268">
        <f t="shared" ref="K268:R268" si="47">K267</f>
        <v>0</v>
      </c>
      <c r="L268">
        <f t="shared" si="47"/>
        <v>0</v>
      </c>
      <c r="M268">
        <f t="shared" si="47"/>
        <v>0</v>
      </c>
      <c r="N268">
        <f t="shared" si="47"/>
        <v>0</v>
      </c>
      <c r="O268">
        <f t="shared" si="47"/>
        <v>0</v>
      </c>
      <c r="P268">
        <f t="shared" si="47"/>
        <v>0</v>
      </c>
      <c r="Q268">
        <f t="shared" si="47"/>
        <v>0</v>
      </c>
      <c r="R268">
        <f t="shared" si="47"/>
        <v>0</v>
      </c>
      <c r="T268">
        <f t="shared" ref="T268:X268" si="48">T267</f>
        <v>0</v>
      </c>
      <c r="U268">
        <f t="shared" si="48"/>
        <v>0</v>
      </c>
      <c r="V268">
        <f t="shared" si="48"/>
        <v>0</v>
      </c>
      <c r="W268">
        <f t="shared" si="48"/>
        <v>0</v>
      </c>
      <c r="X268">
        <f t="shared" si="48"/>
        <v>0</v>
      </c>
    </row>
    <row r="269" spans="2:43" x14ac:dyDescent="0.25">
      <c r="C269" t="s">
        <v>998</v>
      </c>
      <c r="D269" t="s">
        <v>805</v>
      </c>
      <c r="E269">
        <f t="shared" ref="E269:H269" si="49">E268</f>
        <v>0</v>
      </c>
      <c r="F269">
        <f t="shared" si="49"/>
        <v>0</v>
      </c>
      <c r="G269">
        <f t="shared" si="49"/>
        <v>0</v>
      </c>
      <c r="H269">
        <f t="shared" si="49"/>
        <v>1.5250000000000001</v>
      </c>
      <c r="I269">
        <f t="shared" ref="I269" si="50">(E269*(1+F269)+G269)*(H269+1)</f>
        <v>0</v>
      </c>
      <c r="J269">
        <f>L258</f>
        <v>0</v>
      </c>
      <c r="K269">
        <f t="shared" ref="K269:R269" si="51">K268</f>
        <v>0</v>
      </c>
      <c r="L269">
        <f t="shared" si="51"/>
        <v>0</v>
      </c>
      <c r="M269">
        <f t="shared" si="51"/>
        <v>0</v>
      </c>
      <c r="N269">
        <f t="shared" si="51"/>
        <v>0</v>
      </c>
      <c r="O269">
        <f t="shared" si="51"/>
        <v>0</v>
      </c>
      <c r="P269">
        <f t="shared" si="51"/>
        <v>0</v>
      </c>
      <c r="Q269">
        <f t="shared" si="51"/>
        <v>0</v>
      </c>
      <c r="R269">
        <f t="shared" si="51"/>
        <v>0</v>
      </c>
      <c r="T269">
        <f t="shared" ref="T269:X269" si="52">T268</f>
        <v>0</v>
      </c>
      <c r="U269">
        <f t="shared" si="52"/>
        <v>0</v>
      </c>
      <c r="V269">
        <f t="shared" si="52"/>
        <v>0</v>
      </c>
      <c r="W269">
        <f t="shared" si="52"/>
        <v>0</v>
      </c>
      <c r="X269">
        <f t="shared" si="52"/>
        <v>0</v>
      </c>
    </row>
    <row r="270" spans="2:43" s="86" customFormat="1" x14ac:dyDescent="0.25">
      <c r="B270" s="86" t="s">
        <v>892</v>
      </c>
      <c r="S270"/>
      <c r="T270"/>
      <c r="U270"/>
      <c r="V270"/>
      <c r="W270"/>
      <c r="X270"/>
      <c r="Y270"/>
      <c r="Z270"/>
      <c r="AA270"/>
      <c r="AB270"/>
      <c r="AC270"/>
      <c r="AD270" s="96"/>
      <c r="AE270"/>
      <c r="AF270"/>
      <c r="AG270"/>
      <c r="AH270"/>
      <c r="AI270"/>
      <c r="AJ270"/>
      <c r="AK270"/>
      <c r="AL270"/>
      <c r="AM270"/>
      <c r="AN270"/>
      <c r="AO270"/>
      <c r="AP270"/>
      <c r="AQ270"/>
    </row>
    <row r="271" spans="2:43" x14ac:dyDescent="0.25">
      <c r="C271" t="s">
        <v>805</v>
      </c>
      <c r="S271" s="17"/>
      <c r="T271" s="17"/>
      <c r="U271" s="17"/>
      <c r="V271" s="17"/>
      <c r="W271" s="17"/>
      <c r="X271" s="17"/>
      <c r="Y271" s="17"/>
      <c r="Z271" s="17"/>
    </row>
    <row r="272" spans="2:43" x14ac:dyDescent="0.25">
      <c r="C272" t="s">
        <v>805</v>
      </c>
      <c r="AE272" s="86"/>
      <c r="AF272" s="86"/>
      <c r="AG272" s="86"/>
      <c r="AH272" s="86"/>
      <c r="AI272" s="86"/>
      <c r="AJ272" s="86"/>
      <c r="AK272" s="86"/>
      <c r="AL272" s="86"/>
      <c r="AM272" s="86"/>
      <c r="AN272" s="86"/>
      <c r="AO272" s="86"/>
      <c r="AP272" s="86"/>
      <c r="AQ272" s="86"/>
    </row>
    <row r="273" spans="3:30" x14ac:dyDescent="0.25">
      <c r="C273" t="s">
        <v>805</v>
      </c>
      <c r="AA273" s="86"/>
      <c r="AB273" s="86"/>
      <c r="AC273" s="86"/>
    </row>
    <row r="274" spans="3:30" x14ac:dyDescent="0.25">
      <c r="C274" t="s">
        <v>805</v>
      </c>
    </row>
    <row r="275" spans="3:30" x14ac:dyDescent="0.25">
      <c r="C275" t="s">
        <v>805</v>
      </c>
      <c r="D275" s="12"/>
      <c r="AD275" s="77"/>
    </row>
    <row r="276" spans="3:30" x14ac:dyDescent="0.25">
      <c r="C276" t="s">
        <v>805</v>
      </c>
      <c r="D276" s="12"/>
    </row>
    <row r="277" spans="3:30" x14ac:dyDescent="0.25">
      <c r="C277" t="s">
        <v>805</v>
      </c>
      <c r="D277" s="12"/>
      <c r="P277" s="68"/>
    </row>
    <row r="278" spans="3:30" x14ac:dyDescent="0.25">
      <c r="C278" t="s">
        <v>805</v>
      </c>
      <c r="D278" s="22"/>
    </row>
    <row r="279" spans="3:30" x14ac:dyDescent="0.25">
      <c r="C279" t="s">
        <v>805</v>
      </c>
    </row>
    <row r="280" spans="3:30" x14ac:dyDescent="0.25">
      <c r="C280" t="s">
        <v>805</v>
      </c>
      <c r="D280" s="12"/>
      <c r="AD280" s="77"/>
    </row>
    <row r="281" spans="3:30" x14ac:dyDescent="0.25">
      <c r="AD281"/>
    </row>
  </sheetData>
  <phoneticPr fontId="1" type="noConversion"/>
  <dataValidations disablePrompts="1" count="1">
    <dataValidation type="list" allowBlank="1" showInputMessage="1" showErrorMessage="1" promptTitle="注意" prompt="输入完整装备名_x000a_·壹型之类的全部替换成一_x000a_50型前缀省略" sqref="D136:G136 D91:G91 D45:G45" xr:uid="{2D0528DF-D1C5-41F7-9F0B-0623870477BC}">
      <formula1>#REF!</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disablePrompts="1" count="3">
        <x14:dataValidation type="list" allowBlank="1" showInputMessage="1" showErrorMessage="1" promptTitle="注意" prompt="输入完整装备名_x000a_·壹型之类的全部替换成一_x000a_50型前缀省略" xr:uid="{E51A7D17-9FA1-4C7B-A314-FC6CECD0BA0B}">
          <x14:formula1>
            <xm:f>配件库!$A:$A</xm:f>
          </x14:formula1>
          <xm:sqref>F241:G241 F139:G139 F94:G94 F48:G48 F9:G9 F181:G181</xm:sqref>
        </x14:dataValidation>
        <x14:dataValidation type="list" allowBlank="1" showInputMessage="1" showErrorMessage="1" promptTitle="注意" prompt="输入完整装备名_x000a_·壹型之类的全部替换成一_x000a_50型前缀省略" xr:uid="{B83AB626-330A-4AD0-B274-85B22B4F717C}">
          <x14:formula1>
            <xm:f>护手库!$A:$A</xm:f>
          </x14:formula1>
          <xm:sqref>E241 E9 E48 E94 E139 E181</xm:sqref>
        </x14:dataValidation>
        <x14:dataValidation type="list" allowBlank="1" showInputMessage="1" showErrorMessage="1" promptTitle="注意" prompt="输入完整装备名_x000a_·壹型之类的全部替换成一_x000a_50型前缀省略" xr:uid="{80375854-B0AE-4999-85C9-FA340EAB9089}">
          <x14:formula1>
            <xm:f>护甲库!$A:$A</xm:f>
          </x14:formula1>
          <xm:sqref>D241 D139 D94 D48 D9 D181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587EE-1917-49E9-9F82-C9E5624AAEB4}">
  <dimension ref="A8:AS138"/>
  <sheetViews>
    <sheetView topLeftCell="A90" zoomScaleNormal="100" workbookViewId="0">
      <selection activeCell="V54" sqref="V54"/>
    </sheetView>
  </sheetViews>
  <sheetFormatPr defaultColWidth="16.109375" defaultRowHeight="13.8" x14ac:dyDescent="0.25"/>
  <cols>
    <col min="4" max="4" width="20.88671875" customWidth="1"/>
  </cols>
  <sheetData>
    <row r="8" spans="1:45" ht="14.4" thickBot="1" x14ac:dyDescent="0.3">
      <c r="A8" s="40"/>
      <c r="B8" s="21" t="s">
        <v>1426</v>
      </c>
      <c r="C8" s="40"/>
      <c r="D8" s="40"/>
      <c r="E8" s="40"/>
      <c r="F8" s="40"/>
      <c r="G8" s="40"/>
      <c r="H8" s="40"/>
      <c r="I8" s="40"/>
      <c r="J8" s="40"/>
      <c r="K8" s="40"/>
      <c r="L8" s="40"/>
      <c r="M8" s="40"/>
      <c r="N8" s="40"/>
      <c r="O8" s="40"/>
      <c r="P8" s="40"/>
      <c r="Q8" s="40"/>
      <c r="R8" s="40"/>
      <c r="S8" s="40"/>
      <c r="T8" s="40"/>
      <c r="U8" s="40"/>
      <c r="V8" s="40"/>
      <c r="W8" s="40"/>
      <c r="X8" s="40"/>
      <c r="Y8" s="40"/>
      <c r="Z8" s="40"/>
      <c r="AA8" s="40"/>
      <c r="AB8" s="40"/>
      <c r="AC8" s="40"/>
      <c r="AD8" s="59"/>
      <c r="AE8" s="40"/>
      <c r="AF8" s="40"/>
      <c r="AG8" s="40"/>
      <c r="AH8" s="40"/>
      <c r="AI8" s="40"/>
      <c r="AJ8" s="40"/>
      <c r="AK8" s="40"/>
      <c r="AL8" s="40"/>
      <c r="AM8" s="40"/>
      <c r="AN8" s="40"/>
      <c r="AO8" s="40"/>
      <c r="AP8" s="40"/>
      <c r="AQ8" s="40"/>
      <c r="AR8" s="40"/>
      <c r="AS8" s="40"/>
    </row>
    <row r="9" spans="1:45" x14ac:dyDescent="0.25">
      <c r="B9" s="25" t="s">
        <v>961</v>
      </c>
      <c r="C9" s="26" t="s">
        <v>75</v>
      </c>
      <c r="D9" s="26" t="s">
        <v>85</v>
      </c>
      <c r="E9" s="26" t="s">
        <v>86</v>
      </c>
      <c r="F9" s="26" t="s">
        <v>87</v>
      </c>
      <c r="G9" s="26" t="s">
        <v>88</v>
      </c>
      <c r="H9" s="26" t="s">
        <v>89</v>
      </c>
      <c r="I9" s="26" t="s">
        <v>192</v>
      </c>
      <c r="J9" s="83"/>
      <c r="Q9" s="25"/>
      <c r="R9" s="26" t="s">
        <v>977</v>
      </c>
      <c r="S9" s="27" t="s">
        <v>963</v>
      </c>
      <c r="AD9" s="58"/>
      <c r="AE9" t="s">
        <v>153</v>
      </c>
    </row>
    <row r="10" spans="1:45" x14ac:dyDescent="0.25">
      <c r="B10" s="28" t="s">
        <v>91</v>
      </c>
      <c r="C10" s="21" t="s">
        <v>1411</v>
      </c>
      <c r="D10" s="21" t="s">
        <v>608</v>
      </c>
      <c r="E10" s="21" t="s">
        <v>103</v>
      </c>
      <c r="F10" s="21" t="s">
        <v>1435</v>
      </c>
      <c r="G10" s="21" t="s">
        <v>1435</v>
      </c>
      <c r="H10" t="str">
        <f>IF(COUNTIF(E10:G10,LEFT(D10,2)&amp;"*")&gt;=2,LEFT(D10,2),
IF(COUNTIF(F10:G10,LEFT(E10,2)&amp;"*")=2,LEFT(E10,2),
""))</f>
        <v/>
      </c>
      <c r="I10" s="21">
        <v>5</v>
      </c>
      <c r="J10" s="29"/>
      <c r="Q10" s="28"/>
      <c r="R10" t="s">
        <v>999</v>
      </c>
      <c r="S10" s="29"/>
      <c r="AD10" s="58"/>
      <c r="AE10" s="14" t="s">
        <v>127</v>
      </c>
      <c r="AF10" s="16">
        <v>0.23</v>
      </c>
      <c r="AG10" s="16">
        <v>0.25</v>
      </c>
      <c r="AH10" s="16">
        <v>0.27</v>
      </c>
      <c r="AI10" s="16">
        <v>0.28999999999999998</v>
      </c>
      <c r="AJ10" s="16">
        <v>0.32</v>
      </c>
      <c r="AK10" s="16">
        <v>0.34</v>
      </c>
      <c r="AL10" s="16">
        <v>0.36</v>
      </c>
      <c r="AM10" s="16">
        <v>0.39</v>
      </c>
      <c r="AN10" s="16">
        <v>0.41</v>
      </c>
      <c r="AO10" s="16">
        <v>0.44</v>
      </c>
      <c r="AP10" s="16">
        <v>0.47</v>
      </c>
      <c r="AQ10" s="16">
        <v>0.51</v>
      </c>
    </row>
    <row r="11" spans="1:45" x14ac:dyDescent="0.25">
      <c r="B11" s="28" t="s">
        <v>183</v>
      </c>
      <c r="D11" s="21">
        <v>3</v>
      </c>
      <c r="E11" s="21">
        <v>3</v>
      </c>
      <c r="F11" s="21">
        <v>3</v>
      </c>
      <c r="G11" s="21">
        <v>3</v>
      </c>
      <c r="J11" s="29"/>
      <c r="Q11" s="28"/>
      <c r="R11" t="s">
        <v>1032</v>
      </c>
      <c r="S11" s="29"/>
      <c r="AD11" s="58"/>
      <c r="AE11" s="14" t="s">
        <v>128</v>
      </c>
      <c r="AF11" s="16">
        <v>0.25</v>
      </c>
      <c r="AG11" s="16">
        <v>0.28000000000000003</v>
      </c>
      <c r="AH11" s="16">
        <v>0.3</v>
      </c>
      <c r="AI11" s="16">
        <v>0.33</v>
      </c>
      <c r="AJ11" s="16">
        <v>0.35</v>
      </c>
      <c r="AK11" s="16">
        <v>0.38</v>
      </c>
      <c r="AL11" s="16">
        <v>0.4</v>
      </c>
      <c r="AM11" s="16">
        <v>0.43</v>
      </c>
      <c r="AN11" s="16">
        <v>0.45</v>
      </c>
      <c r="AO11" s="16">
        <v>0.48</v>
      </c>
      <c r="AP11" s="16">
        <v>0.52</v>
      </c>
      <c r="AQ11" s="16">
        <v>0.56000000000000005</v>
      </c>
    </row>
    <row r="12" spans="1:45" x14ac:dyDescent="0.25">
      <c r="B12" s="84" t="s">
        <v>97</v>
      </c>
      <c r="C12" t="str">
        <f>_xlfn.XLOOKUP(C10,武器库!$B:$B,武器库!$C:$C,"")</f>
        <v>意志+156</v>
      </c>
      <c r="D12" t="str">
        <f>VLOOKUP(D10,护甲库!$A:$M,2+D11*3,FALSE)</f>
        <v>智识149</v>
      </c>
      <c r="E12" t="str">
        <f>VLOOKUP(E10,护手库!$A:$M,2+E11*3,FALSE)</f>
        <v>智识84</v>
      </c>
      <c r="F12" t="str">
        <f>VLOOKUP(F10,配件库!$A:$M,2+F11*3,FALSE)</f>
        <v>智识41</v>
      </c>
      <c r="G12" t="str">
        <f>VLOOKUP(G10,配件库!$A:$M,2+G11*3,FALSE)</f>
        <v>智识41</v>
      </c>
      <c r="H12" s="11"/>
      <c r="J12" s="29"/>
      <c r="Q12" s="28" t="s">
        <v>961</v>
      </c>
      <c r="S12" s="29" t="s">
        <v>964</v>
      </c>
      <c r="AD12" s="58"/>
      <c r="AE12" s="14" t="s">
        <v>129</v>
      </c>
      <c r="AF12" s="16">
        <v>0.35</v>
      </c>
      <c r="AG12" s="16">
        <v>0.39</v>
      </c>
      <c r="AH12" s="16">
        <v>0.42</v>
      </c>
      <c r="AI12" s="16">
        <v>0.46</v>
      </c>
      <c r="AJ12" s="16">
        <v>0.49</v>
      </c>
      <c r="AK12" s="16">
        <v>0.53</v>
      </c>
      <c r="AL12" s="16">
        <v>0.56000000000000005</v>
      </c>
      <c r="AM12" s="16">
        <v>0.6</v>
      </c>
      <c r="AN12" s="16">
        <v>0.63</v>
      </c>
      <c r="AO12" s="16">
        <v>0.67</v>
      </c>
      <c r="AP12" s="16">
        <v>0.73</v>
      </c>
      <c r="AQ12" s="16">
        <v>0.79</v>
      </c>
    </row>
    <row r="13" spans="1:45" x14ac:dyDescent="0.25">
      <c r="B13" s="28" t="s">
        <v>98</v>
      </c>
      <c r="C13" s="43" t="str">
        <f>_xlfn.XLOOKUP(C10,武器库!$B:$B,武器库!$D:$D,"")</f>
        <v>攻击力+39.0</v>
      </c>
      <c r="D13">
        <f>VLOOKUP(D10,护甲库!$A:$M,3+D11*3,FALSE)</f>
        <v>0</v>
      </c>
      <c r="E13" t="str">
        <f>VLOOKUP(E10,护手库!$A:$M,3+E11*3,FALSE)</f>
        <v>力量55</v>
      </c>
      <c r="F13" t="str">
        <f>VLOOKUP(F10,配件库!$A:$M,3+F11*3,FALSE)</f>
        <v>敏捷27</v>
      </c>
      <c r="G13" t="str">
        <f>VLOOKUP(G10,配件库!$A:$M,3+G11*3,FALSE)</f>
        <v>敏捷27</v>
      </c>
      <c r="H13" s="9"/>
      <c r="J13" s="29"/>
      <c r="Q13" s="28"/>
      <c r="R13" t="s">
        <v>965</v>
      </c>
      <c r="S13" s="29"/>
      <c r="AD13" s="58"/>
      <c r="AE13" s="14" t="s">
        <v>130</v>
      </c>
      <c r="AF13" s="16">
        <v>0.37</v>
      </c>
      <c r="AG13" s="16">
        <v>0.4</v>
      </c>
      <c r="AH13" s="16">
        <v>0.44</v>
      </c>
      <c r="AI13" s="16">
        <v>0.47</v>
      </c>
      <c r="AJ13" s="16">
        <v>0.51</v>
      </c>
      <c r="AK13" s="16">
        <v>0.55000000000000004</v>
      </c>
      <c r="AL13" s="16">
        <v>0.57999999999999996</v>
      </c>
      <c r="AM13" s="16">
        <v>0.62</v>
      </c>
      <c r="AN13" s="16">
        <v>0.66</v>
      </c>
      <c r="AO13" s="16">
        <v>0.7</v>
      </c>
      <c r="AP13" s="16">
        <v>0.76</v>
      </c>
      <c r="AQ13" s="16">
        <v>0.82</v>
      </c>
    </row>
    <row r="14" spans="1:45" x14ac:dyDescent="0.25">
      <c r="B14" s="28" t="s">
        <v>99</v>
      </c>
      <c r="C14" s="43" t="str">
        <f>_xlfn.XLOOKUP(C10,武器库!$B:$B,武器库!$E:$E,"")</f>
        <v>攻击力+16.0</v>
      </c>
      <c r="D14" s="43" t="str">
        <f>VLOOKUP(D10,护甲库!$A:$M,4+D11*3,FALSE)</f>
        <v>充能16.7</v>
      </c>
      <c r="E14" s="43" t="str">
        <f>VLOOKUP(E10,护手库!$A:$M,4+E11*3,FALSE)</f>
        <v>充能26.7</v>
      </c>
      <c r="F14" s="43" t="str">
        <f>VLOOKUP(F10,配件库!$A:$M,4+F11*3,FALSE)</f>
        <v>副能力26.9</v>
      </c>
      <c r="G14" s="43" t="str">
        <f>VLOOKUP(G10,配件库!$A:$M,4+G11*3,FALSE)</f>
        <v>副能力26.9</v>
      </c>
      <c r="H14" s="9"/>
      <c r="J14" s="29"/>
      <c r="Q14" s="28" t="s">
        <v>962</v>
      </c>
      <c r="R14" t="s">
        <v>967</v>
      </c>
      <c r="S14" s="29"/>
      <c r="AD14" s="58"/>
      <c r="AE14" s="14" t="s">
        <v>660</v>
      </c>
      <c r="AF14" s="16">
        <v>0.5</v>
      </c>
      <c r="AG14" s="16">
        <v>0.55000000000000004</v>
      </c>
      <c r="AH14" s="16">
        <v>0.6</v>
      </c>
      <c r="AI14" s="16">
        <v>0.65</v>
      </c>
      <c r="AJ14" s="16">
        <v>0.7</v>
      </c>
      <c r="AK14" s="16">
        <v>0.75</v>
      </c>
      <c r="AL14" s="16">
        <v>0.8</v>
      </c>
      <c r="AM14" s="16">
        <v>0.85</v>
      </c>
      <c r="AN14" s="16">
        <v>0.9</v>
      </c>
      <c r="AO14" s="16">
        <v>0.96</v>
      </c>
      <c r="AP14" s="16">
        <v>1.04</v>
      </c>
      <c r="AQ14" s="16">
        <v>1.1299999999999999</v>
      </c>
    </row>
    <row r="15" spans="1:45" x14ac:dyDescent="0.25">
      <c r="B15" s="28" t="s">
        <v>90</v>
      </c>
      <c r="C15" t="str">
        <f>_xlfn.XLOOKUP(C10,武器库!$B:$B,武器库!$F:$F,"")</f>
        <v>装备者通过自身技能恢复技力或获得连击状态后，全队攻击力+8.0%，持续20秒</v>
      </c>
      <c r="D15" s="22"/>
      <c r="F15" s="22"/>
      <c r="G15" s="9"/>
      <c r="H15" s="9"/>
      <c r="J15" s="29"/>
      <c r="Q15" s="28"/>
      <c r="S15" s="29"/>
      <c r="AD15" s="58"/>
      <c r="AE15" s="14" t="s">
        <v>131</v>
      </c>
      <c r="AF15" s="16">
        <v>4</v>
      </c>
      <c r="AG15" s="16">
        <v>4.4000000000000004</v>
      </c>
      <c r="AH15" s="16">
        <v>4.8</v>
      </c>
      <c r="AI15" s="16">
        <v>5.2</v>
      </c>
      <c r="AJ15" s="16">
        <v>5.6</v>
      </c>
      <c r="AK15" s="16">
        <v>6</v>
      </c>
      <c r="AL15" s="16">
        <v>6.4</v>
      </c>
      <c r="AM15" s="16">
        <v>6.8</v>
      </c>
      <c r="AN15" s="16">
        <v>7.2</v>
      </c>
      <c r="AO15" s="16">
        <v>7.7</v>
      </c>
      <c r="AP15" s="16">
        <v>8.3000000000000007</v>
      </c>
      <c r="AQ15" s="16">
        <v>9</v>
      </c>
    </row>
    <row r="16" spans="1:45" ht="14.4" thickBot="1" x14ac:dyDescent="0.3">
      <c r="B16" s="30" t="s">
        <v>89</v>
      </c>
      <c r="C16" s="18" t="e">
        <f>VLOOKUP(H10,套装效果库!A:B,2,0)</f>
        <v>#N/A</v>
      </c>
      <c r="D16" s="19"/>
      <c r="E16" s="18"/>
      <c r="F16" s="19"/>
      <c r="G16" s="20"/>
      <c r="H16" s="20"/>
      <c r="I16" s="18"/>
      <c r="J16" s="31"/>
      <c r="Q16" s="28" t="s">
        <v>968</v>
      </c>
      <c r="S16" s="29" t="s">
        <v>966</v>
      </c>
      <c r="AD16" s="58"/>
      <c r="AE16" s="14" t="s">
        <v>132</v>
      </c>
      <c r="AF16" s="16">
        <v>0.8</v>
      </c>
      <c r="AG16" s="16">
        <v>0.88</v>
      </c>
      <c r="AH16" s="16">
        <v>0.96</v>
      </c>
      <c r="AI16" s="16">
        <v>1.04</v>
      </c>
      <c r="AJ16" s="16">
        <v>1.1200000000000001</v>
      </c>
      <c r="AK16" s="16">
        <v>1.2</v>
      </c>
      <c r="AL16" s="16">
        <v>1.28</v>
      </c>
      <c r="AM16" s="16">
        <v>1.36</v>
      </c>
      <c r="AN16" s="16">
        <v>1.44</v>
      </c>
      <c r="AO16" s="16">
        <v>1.54</v>
      </c>
      <c r="AP16" s="16">
        <v>1.66</v>
      </c>
      <c r="AQ16" s="16">
        <v>1.8</v>
      </c>
    </row>
    <row r="17" spans="2:43" x14ac:dyDescent="0.25">
      <c r="Q17" s="28"/>
      <c r="R17" t="s">
        <v>970</v>
      </c>
      <c r="S17" s="29"/>
      <c r="AD17" s="58"/>
    </row>
    <row r="18" spans="2:43" x14ac:dyDescent="0.25">
      <c r="Q18" s="28" t="s">
        <v>969</v>
      </c>
      <c r="R18" t="s">
        <v>971</v>
      </c>
      <c r="S18" s="29"/>
      <c r="AD18" s="58"/>
    </row>
    <row r="19" spans="2:43" x14ac:dyDescent="0.25">
      <c r="B19" s="17" t="s">
        <v>962</v>
      </c>
      <c r="C19" s="17" t="s">
        <v>990</v>
      </c>
      <c r="D19" s="17" t="s">
        <v>1054</v>
      </c>
      <c r="E19" s="17"/>
      <c r="F19" s="17"/>
      <c r="G19" s="17"/>
      <c r="H19" s="17"/>
      <c r="I19" s="17"/>
      <c r="K19" s="88" t="s">
        <v>195</v>
      </c>
      <c r="L19" s="17" t="s">
        <v>701</v>
      </c>
      <c r="M19" s="17" t="s">
        <v>157</v>
      </c>
      <c r="N19" s="17" t="s">
        <v>702</v>
      </c>
      <c r="O19" s="89" t="s">
        <v>158</v>
      </c>
      <c r="Q19" s="28"/>
      <c r="R19" t="s">
        <v>972</v>
      </c>
      <c r="S19" s="29"/>
      <c r="AD19" s="58"/>
      <c r="AE19" s="14" t="s">
        <v>76</v>
      </c>
    </row>
    <row r="20" spans="2:43" x14ac:dyDescent="0.25">
      <c r="C20" s="21"/>
      <c r="D20" s="21"/>
      <c r="E20" s="43"/>
      <c r="F20" s="43"/>
      <c r="G20" s="43"/>
      <c r="H20" s="43"/>
      <c r="I20" s="43"/>
      <c r="K20" t="s">
        <v>183</v>
      </c>
      <c r="L20" s="21">
        <v>9</v>
      </c>
      <c r="M20" s="21">
        <v>9</v>
      </c>
      <c r="N20" s="21" t="s">
        <v>1427</v>
      </c>
      <c r="O20" s="37">
        <v>9</v>
      </c>
      <c r="Q20" s="28"/>
      <c r="R20" t="s">
        <v>973</v>
      </c>
      <c r="S20" s="29"/>
      <c r="AD20" s="58"/>
      <c r="AE20" s="60"/>
      <c r="AF20" s="60"/>
      <c r="AG20" s="60"/>
      <c r="AH20" s="60"/>
      <c r="AI20" s="60"/>
      <c r="AJ20" s="60"/>
      <c r="AK20" s="60"/>
      <c r="AL20" s="60"/>
      <c r="AM20" s="60"/>
      <c r="AN20" s="60"/>
      <c r="AO20" s="60"/>
      <c r="AP20" s="60"/>
      <c r="AQ20" s="60"/>
    </row>
    <row r="21" spans="2:43" x14ac:dyDescent="0.25">
      <c r="B21" t="s">
        <v>164</v>
      </c>
      <c r="C21" s="21">
        <f>179+60+IF(I10&gt;=2,20,0)</f>
        <v>259</v>
      </c>
      <c r="D21" s="21">
        <f>123</f>
        <v>123</v>
      </c>
      <c r="E21" cm="1">
        <f t="array" ref="E21">SUM(IFERROR(
    VALUE(MID($C11:$G14,
             SEARCH(E20, $C11:$G14) + LEN(E20),
             10)) *
    ISNUMBER(SEARCH(E20,$C11:$G14)),
    0
))/100+IFERROR(
    MID($C16, SEARCH(E20, $C16) + LEN(E20), 2) / 100,
    0
)</f>
        <v>0.12</v>
      </c>
      <c r="F21" cm="1">
        <f t="array" ref="F21">SUM(IFERROR(
    VALUE(MID($C11:$G14,
             SEARCH(F20, $C11:$G14) + LEN(F20),
             10)) *
    ISNUMBER(SEARCH(F20,$C11:$G14)),
    0
))/100+IFERROR(
    MID($C16, SEARCH(F20, $C16) + LEN(F20), 2) / 100,
    0
)</f>
        <v>0.12</v>
      </c>
      <c r="G21" cm="1">
        <f t="array" ref="G21">SUM(IFERROR(
    VALUE(MID($C11:$G14,
             SEARCH(G20, $C11:$G14) + LEN(G20),
             10)) *
    ISNUMBER(SEARCH(G20,$C11:$G14)),
    0
))/100+IFERROR(
    MID($C16, SEARCH(G20, $C16) + LEN(G20), 2) / 100,
    0
)</f>
        <v>0.12</v>
      </c>
      <c r="H21" cm="1">
        <f t="array" ref="H21">SUM(IFERROR(
    VALUE(MID($C11:$G14,
             SEARCH(H20, $C11:$G14) + LEN(H20),
             10)) *
    ISNUMBER(SEARCH(H20,$C11:$G14)),
    0
))/100+IFERROR(
    MID($C16, SEARCH(H20, $C16) + LEN(H20), 2) / 100,
    0
)</f>
        <v>0.12</v>
      </c>
      <c r="I21" cm="1">
        <f t="array" ref="I21">SUM(IFERROR(
    VALUE(MID($C11:$G14,
             SEARCH(I20, $C11:$G14) + LEN(I20),
             10)) *
    ISNUMBER(SEARCH(I20,$C11:$G14)),
    0
))/100+IFERROR(
    MID($C16, SEARCH(I20, $C16) + LEN(I20), 2) / 100,
    0
)</f>
        <v>0.12</v>
      </c>
      <c r="L21" s="23" cm="1">
        <f t="array" ref="L21">_xlfn.XLOOKUP(L20,$AE$6:$AQ$6,AE10:AQ16,0,0,1)</f>
        <v>0</v>
      </c>
      <c r="M21" s="23" cm="1">
        <f t="array" ref="M21">_xlfn.XLOOKUP(M20,$AE$6:$AQ$6,AE22:AQ29,0,0,1)</f>
        <v>0</v>
      </c>
      <c r="N21" s="23" cm="1">
        <f t="array" ref="N21">_xlfn.XLOOKUP(N20,$AE$6:$AQ$6,AE34:AQ36,0,0,1)</f>
        <v>0</v>
      </c>
      <c r="O21" s="23" t="e" cm="1">
        <f t="array" ref="O21">_xlfn.XLOOKUP(O20,$AE$6:$AQ$6,#REF!,0,0,1)</f>
        <v>#REF!</v>
      </c>
      <c r="Q21" s="28"/>
      <c r="S21" s="29" t="s">
        <v>974</v>
      </c>
      <c r="AD21" s="58"/>
      <c r="AE21" s="14"/>
      <c r="AF21" s="16"/>
      <c r="AG21" s="16"/>
      <c r="AH21" s="16"/>
      <c r="AI21" s="16"/>
      <c r="AJ21" s="16"/>
      <c r="AK21" s="16"/>
      <c r="AL21" s="16"/>
      <c r="AM21" s="16"/>
      <c r="AN21" s="16"/>
      <c r="AO21" s="16"/>
      <c r="AP21" s="16"/>
      <c r="AQ21" s="16"/>
    </row>
    <row r="22" spans="2:43" x14ac:dyDescent="0.25">
      <c r="B22" s="22" t="s">
        <v>165</v>
      </c>
      <c r="C22" cm="1">
        <f t="array" ref="C22">SUM(IFERROR(
    VALUE(MID($C11:$G14,
             FIND(C20, $C11:$G14) + LEN(C20),
             10)) *
    ISNUMBER(FIND(C20, $C11:$G14)),
    0
))+SUM(IFERROR(
    VALUE(MID($C11:$G14,
             FIND(C19, $C11:$G14) + LEN(C19),
             10)) *
    ISNUMBER(FIND(C19, $C11:$G14)),
    0
))+IFERROR(
    MID($C16, SEARCH(C20, $C16) + LEN(C20), 2) / 100,
    0
)+IFERROR(
    MID($C16, SEARCH(C19, $C16) + LEN(C19), 2) / 100,
    0
)</f>
        <v>12</v>
      </c>
      <c r="D22" cm="1">
        <f t="array" ref="D22">SUM(IFERROR(
    VALUE(MID($C11:$G14,
             FIND(D20, $C11:$G14) + LEN(D20),
             10)) *
    ISNUMBER(FIND(D20, $C11:$G14)),
    0
))+SUM(IFERROR(
    VALUE(MID($C11:$G14,
             FIND(D19, $C11:$G14) + LEN(D19),
             10)) *
    ISNUMBER(FIND(D19, $C11:$G14)),
    0
))+IFERROR(
    MID($C16, SEARCH(D20, $C16) + LEN(D20), 2) / 100,
    0
)+IFERROR(
    MID($C16, SEARCH(D19, $C16) + LEN(D19), 2) / 100,
    0
)</f>
        <v>12</v>
      </c>
      <c r="Q22" s="28"/>
      <c r="S22" s="29" t="s">
        <v>975</v>
      </c>
      <c r="AD22" s="58"/>
      <c r="AE22" s="14"/>
      <c r="AF22" s="14"/>
      <c r="AG22" s="14"/>
      <c r="AH22" s="14"/>
      <c r="AI22" s="14"/>
      <c r="AJ22" s="14"/>
      <c r="AK22" s="14"/>
      <c r="AL22" s="14"/>
      <c r="AM22" s="14"/>
      <c r="AN22" s="14"/>
      <c r="AO22" s="14"/>
      <c r="AP22" s="14"/>
      <c r="AQ22" s="14"/>
    </row>
    <row r="23" spans="2:43" ht="14.4" thickBot="1" x14ac:dyDescent="0.3">
      <c r="B23" s="22" t="s">
        <v>166</v>
      </c>
      <c r="C23" s="12" cm="1">
        <f t="array" ref="C23">ROUNDUP(SUM(C21:C22)*(1+IF(LEN(TRIM(LEFT(C19,3)))=0, 0,
   SUMPRODUCT(
       IFERROR(
           VALUE(MID($C11:$G14,
                   SEARCH(LEFT(C19,3), $C11:$G14) + 3,
                   10)) *
           ISNUMBER(SEARCH(LEFT(C19,3), $C11:$G14)),
           0
       )
   )+IFERROR(
    MID($C16, SEARCH(C20, $C16) + LEN(C20), 2) / 100,
    0
)
)/100),0)</f>
        <v>271</v>
      </c>
      <c r="D23" s="12" cm="1">
        <f t="array" ref="D23">ROUNDUP(SUM(D21:D22)*(1+IF(LEN(TRIM(LEFT(D19,3)))=0, 0,
   SUMPRODUCT(
       IFERROR(
           VALUE(MID($C11:$G14,
                   SEARCH(LEFT(D19,3), $C11:$G14) + 3,
                   10)) *
           ISNUMBER(SEARCH(LEFT(D19,3), $C11:$G14)),
           0
       )
   )+IFERROR(
    MID($C16, SEARCH(D20, $C16) + LEN(D20), 2) / 100,
    0
)
)/100),0)</f>
        <v>208</v>
      </c>
      <c r="Q23" s="30"/>
      <c r="R23" s="18"/>
      <c r="S23" s="31" t="s">
        <v>976</v>
      </c>
      <c r="AD23" s="58"/>
      <c r="AE23" s="14"/>
      <c r="AF23" s="16"/>
      <c r="AG23" s="16"/>
      <c r="AH23" s="16"/>
      <c r="AI23" s="16"/>
      <c r="AJ23" s="16"/>
      <c r="AK23" s="16"/>
      <c r="AL23" s="16"/>
      <c r="AM23" s="16"/>
      <c r="AN23" s="16"/>
      <c r="AO23" s="16"/>
      <c r="AP23" s="16"/>
      <c r="AQ23" s="16"/>
    </row>
    <row r="24" spans="2:43" ht="13.8" customHeight="1" x14ac:dyDescent="0.25">
      <c r="B24" s="85" t="s">
        <v>93</v>
      </c>
      <c r="C24" s="86">
        <f>C23*0.005+D23*0.002</f>
        <v>1.7709999999999999</v>
      </c>
      <c r="D24" s="87"/>
      <c r="E24" s="86"/>
      <c r="F24" s="86"/>
      <c r="G24" s="86"/>
      <c r="H24" s="86"/>
      <c r="I24" s="86"/>
      <c r="AD24" s="58"/>
      <c r="AE24" s="14"/>
      <c r="AF24" s="14"/>
      <c r="AG24" s="14"/>
      <c r="AH24" s="14"/>
      <c r="AI24" s="14"/>
      <c r="AJ24" s="14"/>
      <c r="AK24" s="14"/>
      <c r="AL24" s="14"/>
      <c r="AM24" s="14"/>
      <c r="AN24" s="14"/>
      <c r="AO24" s="14"/>
      <c r="AP24" s="14"/>
      <c r="AQ24" s="14"/>
    </row>
    <row r="25" spans="2:43" x14ac:dyDescent="0.25">
      <c r="AD25" s="58"/>
      <c r="AE25" s="14"/>
      <c r="AF25" s="14"/>
      <c r="AG25" s="14"/>
      <c r="AH25" s="14"/>
      <c r="AI25" s="14"/>
      <c r="AJ25" s="14"/>
      <c r="AK25" s="14"/>
      <c r="AL25" s="14"/>
      <c r="AM25" s="14"/>
      <c r="AN25" s="14"/>
      <c r="AO25" s="14"/>
      <c r="AP25" s="14"/>
      <c r="AQ25" s="14"/>
    </row>
    <row r="26" spans="2:43" x14ac:dyDescent="0.25">
      <c r="AD26" s="58"/>
      <c r="AE26" s="14"/>
      <c r="AF26" s="16"/>
      <c r="AG26" s="16"/>
      <c r="AH26" s="16"/>
      <c r="AI26" s="38"/>
      <c r="AJ26" s="38"/>
      <c r="AK26" s="38"/>
      <c r="AL26" s="16"/>
      <c r="AM26" s="16"/>
      <c r="AN26" s="16"/>
      <c r="AO26" s="38"/>
      <c r="AP26" s="38"/>
      <c r="AQ26" s="16"/>
    </row>
    <row r="27" spans="2:43" x14ac:dyDescent="0.25">
      <c r="E27" s="12"/>
      <c r="G27" s="12"/>
      <c r="AD27" s="58"/>
      <c r="AE27" s="14"/>
      <c r="AF27" s="16"/>
      <c r="AG27" s="16"/>
      <c r="AH27" s="16"/>
      <c r="AI27" s="16"/>
      <c r="AJ27" s="16"/>
      <c r="AK27" s="16"/>
      <c r="AL27" s="16"/>
      <c r="AM27" s="16"/>
      <c r="AN27" s="16"/>
      <c r="AO27" s="16"/>
      <c r="AP27" s="16"/>
      <c r="AQ27" s="16"/>
    </row>
    <row r="28" spans="2:43" x14ac:dyDescent="0.25">
      <c r="C28" s="22"/>
      <c r="AD28" s="58"/>
      <c r="AE28" s="14"/>
      <c r="AF28" s="14"/>
      <c r="AG28" s="14"/>
      <c r="AH28" s="14"/>
      <c r="AI28" s="14"/>
      <c r="AJ28" s="14"/>
      <c r="AK28" s="14"/>
      <c r="AL28" s="14"/>
      <c r="AM28" s="14"/>
      <c r="AN28" s="14"/>
      <c r="AO28" s="14"/>
      <c r="AP28" s="14"/>
      <c r="AQ28" s="14"/>
    </row>
    <row r="29" spans="2:43" x14ac:dyDescent="0.25">
      <c r="C29" s="22"/>
      <c r="AD29" s="58"/>
    </row>
    <row r="30" spans="2:43" x14ac:dyDescent="0.25">
      <c r="C30" s="22"/>
      <c r="AD30" s="58"/>
    </row>
    <row r="31" spans="2:43" ht="14.4" thickBot="1" x14ac:dyDescent="0.3">
      <c r="C31" s="28" t="s">
        <v>978</v>
      </c>
      <c r="E31" s="61" t="s">
        <v>755</v>
      </c>
      <c r="F31" s="61"/>
      <c r="G31" s="61"/>
      <c r="H31" s="61"/>
      <c r="I31" s="61"/>
      <c r="J31" s="127" t="s">
        <v>785</v>
      </c>
      <c r="K31" s="127"/>
      <c r="L31" s="127"/>
      <c r="M31" s="127"/>
      <c r="N31" s="63" t="s">
        <v>154</v>
      </c>
      <c r="O31" s="63"/>
      <c r="P31" s="63"/>
      <c r="Q31" s="63"/>
      <c r="R31" s="63"/>
      <c r="S31" s="63"/>
      <c r="T31" s="8" t="s">
        <v>161</v>
      </c>
      <c r="U31" s="8"/>
      <c r="V31" s="8"/>
      <c r="W31" s="8"/>
      <c r="X31" s="8"/>
      <c r="Y31" s="8"/>
      <c r="Z31" s="8"/>
      <c r="AD31" s="58"/>
      <c r="AE31" s="14" t="s">
        <v>77</v>
      </c>
    </row>
    <row r="32" spans="2:43" x14ac:dyDescent="0.25">
      <c r="B32" t="s">
        <v>695</v>
      </c>
      <c r="C32" s="17" t="s">
        <v>704</v>
      </c>
      <c r="D32" s="17" t="s">
        <v>991</v>
      </c>
      <c r="E32" s="52" t="s">
        <v>92</v>
      </c>
      <c r="F32" s="52" t="s">
        <v>94</v>
      </c>
      <c r="G32" s="52" t="s">
        <v>95</v>
      </c>
      <c r="H32" s="52" t="s">
        <v>93</v>
      </c>
      <c r="I32" s="52" t="s">
        <v>96</v>
      </c>
      <c r="J32" s="64" t="s">
        <v>688</v>
      </c>
      <c r="K32" s="64" t="s">
        <v>689</v>
      </c>
      <c r="L32" s="64" t="s">
        <v>690</v>
      </c>
      <c r="M32" s="64" t="s">
        <v>163</v>
      </c>
      <c r="N32" s="64" t="s">
        <v>707</v>
      </c>
      <c r="O32" s="64" t="s">
        <v>153</v>
      </c>
      <c r="P32" s="64" t="s">
        <v>76</v>
      </c>
      <c r="Q32" s="64" t="s">
        <v>77</v>
      </c>
      <c r="R32" s="64" t="s">
        <v>78</v>
      </c>
      <c r="S32" s="64" t="s">
        <v>703</v>
      </c>
      <c r="T32" s="64" t="s">
        <v>83</v>
      </c>
      <c r="U32" s="64" t="s">
        <v>80</v>
      </c>
      <c r="V32" s="64" t="s">
        <v>79</v>
      </c>
      <c r="W32" s="64" t="s">
        <v>691</v>
      </c>
      <c r="X32" s="64" t="s">
        <v>694</v>
      </c>
      <c r="Y32" s="64" t="s">
        <v>693</v>
      </c>
      <c r="Z32" s="64" t="s">
        <v>692</v>
      </c>
      <c r="AD32" s="58"/>
      <c r="AF32" s="60"/>
      <c r="AG32" s="60"/>
      <c r="AH32" s="60"/>
      <c r="AI32" s="60"/>
      <c r="AJ32" s="60"/>
      <c r="AK32" s="60"/>
      <c r="AL32" s="60"/>
      <c r="AM32" s="60"/>
      <c r="AN32" s="60"/>
      <c r="AO32" s="60"/>
      <c r="AP32" s="60"/>
      <c r="AQ32" s="60"/>
    </row>
    <row r="33" spans="1:45" x14ac:dyDescent="0.25">
      <c r="B33" t="s">
        <v>1428</v>
      </c>
      <c r="E33" s="21"/>
      <c r="F33" s="43"/>
      <c r="G33" s="43"/>
      <c r="H33">
        <f>C24</f>
        <v>1.7709999999999999</v>
      </c>
      <c r="I33">
        <f>(E33*(1+F33)+G33)*(H33+1)</f>
        <v>0</v>
      </c>
      <c r="K33" s="43"/>
      <c r="L33" s="43"/>
      <c r="M33" s="43"/>
      <c r="N33" s="43"/>
      <c r="O33" s="43"/>
      <c r="P33" s="43"/>
      <c r="Q33" s="43"/>
      <c r="R33" s="43"/>
      <c r="AD33" s="58"/>
      <c r="AE33" s="14"/>
      <c r="AF33" s="14"/>
      <c r="AG33" s="14"/>
      <c r="AH33" s="14"/>
      <c r="AI33" s="14"/>
      <c r="AJ33" s="14"/>
      <c r="AK33" s="14"/>
      <c r="AL33" s="14"/>
      <c r="AM33" s="14"/>
      <c r="AN33" s="14"/>
      <c r="AO33" s="14"/>
      <c r="AP33" s="14"/>
      <c r="AQ33" s="14"/>
    </row>
    <row r="34" spans="1:45" x14ac:dyDescent="0.25">
      <c r="C34" t="s">
        <v>1429</v>
      </c>
      <c r="D34" t="s">
        <v>805</v>
      </c>
      <c r="E34">
        <f>E33</f>
        <v>0</v>
      </c>
      <c r="F34">
        <f>F33</f>
        <v>0</v>
      </c>
      <c r="G34">
        <f>G33</f>
        <v>0</v>
      </c>
      <c r="H34">
        <f>H33</f>
        <v>1.7709999999999999</v>
      </c>
      <c r="I34">
        <f t="shared" ref="I34:I36" si="0">(E34*(1+F34)+G34)*(H34+1)</f>
        <v>0</v>
      </c>
      <c r="J34">
        <f>SUM(L21:L25)</f>
        <v>0</v>
      </c>
      <c r="K34">
        <f t="shared" ref="K34:R34" si="1">K33</f>
        <v>0</v>
      </c>
      <c r="L34">
        <f t="shared" si="1"/>
        <v>0</v>
      </c>
      <c r="M34">
        <f t="shared" si="1"/>
        <v>0</v>
      </c>
      <c r="N34">
        <f t="shared" si="1"/>
        <v>0</v>
      </c>
      <c r="O34">
        <f t="shared" si="1"/>
        <v>0</v>
      </c>
      <c r="P34">
        <f t="shared" si="1"/>
        <v>0</v>
      </c>
      <c r="Q34">
        <f t="shared" si="1"/>
        <v>0</v>
      </c>
      <c r="R34">
        <f t="shared" si="1"/>
        <v>0</v>
      </c>
      <c r="T34">
        <f>T33</f>
        <v>0</v>
      </c>
      <c r="U34">
        <f t="shared" ref="U34:X34" si="2">U33</f>
        <v>0</v>
      </c>
      <c r="V34">
        <f t="shared" si="2"/>
        <v>0</v>
      </c>
      <c r="W34">
        <f t="shared" si="2"/>
        <v>0</v>
      </c>
      <c r="X34">
        <f t="shared" si="2"/>
        <v>0</v>
      </c>
      <c r="AD34" s="58"/>
      <c r="AE34" s="14"/>
      <c r="AF34" s="16"/>
      <c r="AG34" s="16"/>
      <c r="AH34" s="16"/>
      <c r="AI34" s="16"/>
      <c r="AJ34" s="16"/>
      <c r="AK34" s="16"/>
      <c r="AL34" s="16"/>
      <c r="AM34" s="16"/>
      <c r="AN34" s="16"/>
      <c r="AO34" s="16"/>
      <c r="AP34" s="16"/>
      <c r="AQ34" s="16"/>
    </row>
    <row r="35" spans="1:45" x14ac:dyDescent="0.25">
      <c r="C35" t="s">
        <v>1430</v>
      </c>
      <c r="D35" t="s">
        <v>805</v>
      </c>
      <c r="E35">
        <f t="shared" ref="E35:H35" si="3">E34</f>
        <v>0</v>
      </c>
      <c r="F35">
        <f t="shared" si="3"/>
        <v>0</v>
      </c>
      <c r="G35">
        <f t="shared" si="3"/>
        <v>0</v>
      </c>
      <c r="H35">
        <f t="shared" si="3"/>
        <v>1.7709999999999999</v>
      </c>
      <c r="I35">
        <f t="shared" si="0"/>
        <v>0</v>
      </c>
      <c r="J35">
        <f>SUM(L21:L24)</f>
        <v>0</v>
      </c>
      <c r="K35">
        <f t="shared" ref="K35:R35" si="4">K34</f>
        <v>0</v>
      </c>
      <c r="L35">
        <f t="shared" si="4"/>
        <v>0</v>
      </c>
      <c r="M35">
        <f t="shared" si="4"/>
        <v>0</v>
      </c>
      <c r="N35">
        <f t="shared" si="4"/>
        <v>0</v>
      </c>
      <c r="O35">
        <f t="shared" si="4"/>
        <v>0</v>
      </c>
      <c r="P35">
        <f t="shared" si="4"/>
        <v>0</v>
      </c>
      <c r="Q35">
        <f t="shared" si="4"/>
        <v>0</v>
      </c>
      <c r="R35">
        <f t="shared" si="4"/>
        <v>0</v>
      </c>
      <c r="T35">
        <f t="shared" ref="T35:X36" si="5">T34</f>
        <v>0</v>
      </c>
      <c r="U35">
        <f t="shared" si="5"/>
        <v>0</v>
      </c>
      <c r="V35">
        <f t="shared" si="5"/>
        <v>0</v>
      </c>
      <c r="W35">
        <f t="shared" si="5"/>
        <v>0</v>
      </c>
      <c r="X35">
        <f t="shared" si="5"/>
        <v>0</v>
      </c>
      <c r="AD35" s="58"/>
      <c r="AE35" s="14"/>
      <c r="AF35" s="14"/>
      <c r="AG35" s="14"/>
      <c r="AH35" s="14"/>
      <c r="AI35" s="14"/>
      <c r="AJ35" s="14"/>
      <c r="AK35" s="14"/>
      <c r="AL35" s="14"/>
      <c r="AM35" s="14"/>
      <c r="AN35" s="14"/>
      <c r="AO35" s="14"/>
      <c r="AP35" s="14"/>
      <c r="AQ35" s="14"/>
    </row>
    <row r="36" spans="1:45" x14ac:dyDescent="0.25">
      <c r="C36" t="s">
        <v>1431</v>
      </c>
      <c r="D36" t="s">
        <v>805</v>
      </c>
      <c r="E36">
        <f t="shared" ref="E36:H36" si="6">E35</f>
        <v>0</v>
      </c>
      <c r="F36">
        <f t="shared" si="6"/>
        <v>0</v>
      </c>
      <c r="G36">
        <f t="shared" si="6"/>
        <v>0</v>
      </c>
      <c r="H36">
        <f t="shared" si="6"/>
        <v>1.7709999999999999</v>
      </c>
      <c r="I36">
        <f t="shared" si="0"/>
        <v>0</v>
      </c>
      <c r="J36">
        <f>L25</f>
        <v>0</v>
      </c>
      <c r="K36">
        <f t="shared" ref="K36:R36" si="7">K35</f>
        <v>0</v>
      </c>
      <c r="L36">
        <f t="shared" si="7"/>
        <v>0</v>
      </c>
      <c r="M36">
        <f t="shared" si="7"/>
        <v>0</v>
      </c>
      <c r="N36">
        <f t="shared" si="7"/>
        <v>0</v>
      </c>
      <c r="O36">
        <f t="shared" si="7"/>
        <v>0</v>
      </c>
      <c r="P36">
        <f t="shared" si="7"/>
        <v>0</v>
      </c>
      <c r="Q36">
        <f t="shared" si="7"/>
        <v>0</v>
      </c>
      <c r="R36">
        <f t="shared" si="7"/>
        <v>0</v>
      </c>
      <c r="T36">
        <f t="shared" si="5"/>
        <v>0</v>
      </c>
      <c r="U36">
        <f t="shared" si="5"/>
        <v>0</v>
      </c>
      <c r="V36">
        <f t="shared" si="5"/>
        <v>0</v>
      </c>
      <c r="W36">
        <f t="shared" si="5"/>
        <v>0</v>
      </c>
      <c r="X36">
        <f t="shared" si="5"/>
        <v>0</v>
      </c>
      <c r="AD36" s="58"/>
      <c r="AE36" s="14"/>
      <c r="AF36" s="14"/>
      <c r="AG36" s="14"/>
      <c r="AH36" s="14"/>
      <c r="AI36" s="14"/>
      <c r="AJ36" s="14"/>
      <c r="AK36" s="14"/>
      <c r="AL36" s="14"/>
      <c r="AM36" s="14"/>
      <c r="AN36" s="14"/>
      <c r="AO36" s="14"/>
      <c r="AP36" s="14"/>
      <c r="AQ36" s="14"/>
    </row>
    <row r="37" spans="1:45" x14ac:dyDescent="0.25">
      <c r="B37" s="86" t="s">
        <v>892</v>
      </c>
      <c r="C37" s="86"/>
      <c r="D37" s="86"/>
      <c r="E37" s="86"/>
      <c r="F37" s="86"/>
      <c r="G37" s="86"/>
      <c r="H37" s="86"/>
      <c r="I37" s="86"/>
      <c r="J37" s="86"/>
      <c r="K37" s="86"/>
      <c r="L37" s="86"/>
      <c r="M37" s="86"/>
      <c r="N37" s="86"/>
      <c r="O37" s="86"/>
      <c r="P37" s="86"/>
      <c r="Q37" s="86"/>
      <c r="R37" s="86"/>
      <c r="AD37" s="96"/>
      <c r="AR37" s="86"/>
      <c r="AS37" s="86"/>
    </row>
    <row r="38" spans="1:45" x14ac:dyDescent="0.25">
      <c r="C38" t="s">
        <v>805</v>
      </c>
      <c r="D38" t="s">
        <v>1432</v>
      </c>
      <c r="F38">
        <f>0.08</f>
        <v>0.08</v>
      </c>
      <c r="S38" s="17"/>
      <c r="T38" s="17"/>
      <c r="U38" s="17"/>
      <c r="V38" s="17"/>
      <c r="W38" s="17"/>
      <c r="X38" s="17"/>
      <c r="Y38" s="17"/>
      <c r="Z38" s="17"/>
      <c r="AD38" s="58"/>
    </row>
    <row r="39" spans="1:45" x14ac:dyDescent="0.25">
      <c r="C39" t="s">
        <v>805</v>
      </c>
      <c r="D39" t="s">
        <v>1433</v>
      </c>
      <c r="N39">
        <f>0.048</f>
        <v>4.8000000000000001E-2</v>
      </c>
      <c r="AD39" s="58"/>
      <c r="AE39" s="86"/>
      <c r="AF39" s="86"/>
      <c r="AG39" s="86"/>
      <c r="AH39" s="86"/>
      <c r="AI39" s="86"/>
      <c r="AJ39" s="86"/>
      <c r="AK39" s="86"/>
      <c r="AL39" s="86"/>
      <c r="AM39" s="86"/>
      <c r="AN39" s="86"/>
      <c r="AO39" s="86"/>
      <c r="AP39" s="86"/>
      <c r="AQ39" s="86"/>
    </row>
    <row r="40" spans="1:45" x14ac:dyDescent="0.25">
      <c r="C40" t="s">
        <v>805</v>
      </c>
      <c r="D40" t="s">
        <v>1434</v>
      </c>
      <c r="F40">
        <f>IF(I10&gt;=3,0.15,0)</f>
        <v>0.15</v>
      </c>
      <c r="AA40" s="86"/>
      <c r="AB40" s="86"/>
      <c r="AC40" s="86"/>
      <c r="AD40" s="58"/>
    </row>
    <row r="41" spans="1:45" x14ac:dyDescent="0.25">
      <c r="AD41" s="58"/>
    </row>
    <row r="42" spans="1:45" x14ac:dyDescent="0.25">
      <c r="A42" s="86"/>
      <c r="D42" s="12"/>
      <c r="AD42" s="77"/>
    </row>
    <row r="45" spans="1:45" ht="14.4" thickBot="1" x14ac:dyDescent="0.3">
      <c r="A45" s="40"/>
      <c r="B45" s="21" t="s">
        <v>1410</v>
      </c>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59"/>
      <c r="AE45" s="40"/>
      <c r="AF45" s="40"/>
      <c r="AG45" s="40"/>
      <c r="AH45" s="40"/>
      <c r="AI45" s="40"/>
      <c r="AJ45" s="40"/>
      <c r="AK45" s="40"/>
      <c r="AL45" s="40"/>
      <c r="AM45" s="40"/>
      <c r="AN45" s="40"/>
      <c r="AO45" s="40"/>
      <c r="AP45" s="40"/>
      <c r="AQ45" s="40"/>
      <c r="AR45" s="40"/>
      <c r="AS45" s="40"/>
    </row>
    <row r="46" spans="1:45" x14ac:dyDescent="0.25">
      <c r="B46" s="25" t="s">
        <v>961</v>
      </c>
      <c r="C46" s="26" t="s">
        <v>75</v>
      </c>
      <c r="D46" s="26" t="s">
        <v>85</v>
      </c>
      <c r="E46" s="26" t="s">
        <v>86</v>
      </c>
      <c r="F46" s="26" t="s">
        <v>87</v>
      </c>
      <c r="G46" s="26" t="s">
        <v>88</v>
      </c>
      <c r="H46" s="26" t="s">
        <v>89</v>
      </c>
      <c r="I46" s="26" t="s">
        <v>192</v>
      </c>
      <c r="J46" s="83"/>
      <c r="Q46" s="25"/>
      <c r="R46" s="26" t="s">
        <v>977</v>
      </c>
      <c r="S46" s="27" t="s">
        <v>963</v>
      </c>
      <c r="AD46" s="58"/>
      <c r="AE46" t="s">
        <v>153</v>
      </c>
    </row>
    <row r="47" spans="1:45" x14ac:dyDescent="0.25">
      <c r="B47" s="28" t="s">
        <v>91</v>
      </c>
      <c r="C47" s="21" t="s">
        <v>1214</v>
      </c>
      <c r="D47" s="21" t="s">
        <v>1289</v>
      </c>
      <c r="E47" s="21" t="s">
        <v>569</v>
      </c>
      <c r="F47" s="21" t="s">
        <v>1292</v>
      </c>
      <c r="G47" s="21" t="s">
        <v>1292</v>
      </c>
      <c r="H47" t="str">
        <f>IF(COUNTIF(E47:G47,LEFT(D47,2)&amp;"*")&gt;=2,LEFT(D47,2),
IF(COUNTIF(F47:G47,LEFT(E47,2)&amp;"*")=2,LEFT(E47,2),
""))</f>
        <v>清波</v>
      </c>
      <c r="I47" s="21">
        <v>5</v>
      </c>
      <c r="J47" s="29"/>
      <c r="Q47" s="28"/>
      <c r="R47" t="s">
        <v>999</v>
      </c>
      <c r="S47" s="29"/>
      <c r="AD47" s="58"/>
      <c r="AE47" s="14" t="s">
        <v>127</v>
      </c>
      <c r="AF47" s="16">
        <v>0.23</v>
      </c>
      <c r="AG47" s="16">
        <v>0.25</v>
      </c>
      <c r="AH47" s="16">
        <v>0.27</v>
      </c>
      <c r="AI47" s="16">
        <v>0.28999999999999998</v>
      </c>
      <c r="AJ47" s="16">
        <v>0.32</v>
      </c>
      <c r="AK47" s="16">
        <v>0.34</v>
      </c>
      <c r="AL47" s="16">
        <v>0.36</v>
      </c>
      <c r="AM47" s="16">
        <v>0.39</v>
      </c>
      <c r="AN47" s="16">
        <v>0.41</v>
      </c>
      <c r="AO47" s="16">
        <v>0.44</v>
      </c>
      <c r="AP47" s="16">
        <v>0.47</v>
      </c>
      <c r="AQ47" s="16">
        <v>0.51</v>
      </c>
    </row>
    <row r="48" spans="1:45" x14ac:dyDescent="0.25">
      <c r="B48" s="28" t="s">
        <v>183</v>
      </c>
      <c r="D48" s="21">
        <v>3</v>
      </c>
      <c r="E48" s="21">
        <v>3</v>
      </c>
      <c r="F48" s="21">
        <v>3</v>
      </c>
      <c r="G48" s="21">
        <v>3</v>
      </c>
      <c r="J48" s="29"/>
      <c r="Q48" s="28"/>
      <c r="R48" t="s">
        <v>1032</v>
      </c>
      <c r="S48" s="29"/>
      <c r="AD48" s="58"/>
      <c r="AE48" s="14" t="s">
        <v>128</v>
      </c>
      <c r="AF48" s="16">
        <v>0.25</v>
      </c>
      <c r="AG48" s="16">
        <v>0.28000000000000003</v>
      </c>
      <c r="AH48" s="16">
        <v>0.3</v>
      </c>
      <c r="AI48" s="16">
        <v>0.33</v>
      </c>
      <c r="AJ48" s="16">
        <v>0.35</v>
      </c>
      <c r="AK48" s="16">
        <v>0.38</v>
      </c>
      <c r="AL48" s="16">
        <v>0.4</v>
      </c>
      <c r="AM48" s="16">
        <v>0.43</v>
      </c>
      <c r="AN48" s="16">
        <v>0.45</v>
      </c>
      <c r="AO48" s="16">
        <v>0.48</v>
      </c>
      <c r="AP48" s="16">
        <v>0.52</v>
      </c>
      <c r="AQ48" s="16">
        <v>0.56000000000000005</v>
      </c>
    </row>
    <row r="49" spans="2:43" x14ac:dyDescent="0.25">
      <c r="B49" s="84" t="s">
        <v>97</v>
      </c>
      <c r="C49" t="str">
        <f>_xlfn.XLOOKUP(C47,武器库!$B:$B,武器库!$C:$C,"")</f>
        <v>主能力值+132</v>
      </c>
      <c r="D49" t="str">
        <f>VLOOKUP(D47,护甲库!$A:$M,2+D48*3,FALSE)</f>
        <v>智识113</v>
      </c>
      <c r="E49" t="str">
        <f>VLOOKUP(E47,护手库!$A:$M,2+E48*3,FALSE)</f>
        <v>敏捷84</v>
      </c>
      <c r="F49" t="str">
        <f>VLOOKUP(F47,配件库!$A:$M,2+F48*3,FALSE)</f>
        <v>智识41</v>
      </c>
      <c r="G49" t="str">
        <f>VLOOKUP(G47,配件库!$A:$M,2+G48*3,FALSE)</f>
        <v>智识41</v>
      </c>
      <c r="H49" s="11"/>
      <c r="J49" s="29"/>
      <c r="Q49" s="28" t="s">
        <v>961</v>
      </c>
      <c r="S49" s="29" t="s">
        <v>964</v>
      </c>
      <c r="AD49" s="58"/>
      <c r="AE49" s="14" t="s">
        <v>129</v>
      </c>
      <c r="AF49" s="16">
        <v>0.35</v>
      </c>
      <c r="AG49" s="16">
        <v>0.39</v>
      </c>
      <c r="AH49" s="16">
        <v>0.42</v>
      </c>
      <c r="AI49" s="16">
        <v>0.46</v>
      </c>
      <c r="AJ49" s="16">
        <v>0.49</v>
      </c>
      <c r="AK49" s="16">
        <v>0.53</v>
      </c>
      <c r="AL49" s="16">
        <v>0.56000000000000005</v>
      </c>
      <c r="AM49" s="16">
        <v>0.6</v>
      </c>
      <c r="AN49" s="16">
        <v>0.63</v>
      </c>
      <c r="AO49" s="16">
        <v>0.67</v>
      </c>
      <c r="AP49" s="16">
        <v>0.73</v>
      </c>
      <c r="AQ49" s="16">
        <v>0.79</v>
      </c>
    </row>
    <row r="50" spans="2:43" x14ac:dyDescent="0.25">
      <c r="B50" s="28" t="s">
        <v>98</v>
      </c>
      <c r="C50" s="43" t="str">
        <f>_xlfn.XLOOKUP(C47,武器库!$B:$B,武器库!$D:$D,"")</f>
        <v>源石技艺+78</v>
      </c>
      <c r="D50" t="str">
        <f>VLOOKUP(D47,护甲库!$A:$M,3+D48*3,FALSE)</f>
        <v>意志75</v>
      </c>
      <c r="E50" t="str">
        <f>VLOOKUP(E47,护手库!$A:$M,3+E48*3,FALSE)</f>
        <v>力量55</v>
      </c>
      <c r="F50" t="str">
        <f>VLOOKUP(F47,配件库!$A:$M,3+F48*3,FALSE)</f>
        <v>意志27</v>
      </c>
      <c r="G50" t="str">
        <f>VLOOKUP(G47,配件库!$A:$M,3+G48*3,FALSE)</f>
        <v>意志27</v>
      </c>
      <c r="H50" s="9"/>
      <c r="J50" s="29"/>
      <c r="Q50" s="28"/>
      <c r="R50" t="s">
        <v>965</v>
      </c>
      <c r="S50" s="29"/>
      <c r="AD50" s="58"/>
      <c r="AE50" s="14" t="s">
        <v>130</v>
      </c>
      <c r="AF50" s="16">
        <v>0.37</v>
      </c>
      <c r="AG50" s="16">
        <v>0.4</v>
      </c>
      <c r="AH50" s="16">
        <v>0.44</v>
      </c>
      <c r="AI50" s="16">
        <v>0.47</v>
      </c>
      <c r="AJ50" s="16">
        <v>0.51</v>
      </c>
      <c r="AK50" s="16">
        <v>0.55000000000000004</v>
      </c>
      <c r="AL50" s="16">
        <v>0.57999999999999996</v>
      </c>
      <c r="AM50" s="16">
        <v>0.62</v>
      </c>
      <c r="AN50" s="16">
        <v>0.66</v>
      </c>
      <c r="AO50" s="16">
        <v>0.7</v>
      </c>
      <c r="AP50" s="16">
        <v>0.76</v>
      </c>
      <c r="AQ50" s="16">
        <v>0.82</v>
      </c>
    </row>
    <row r="51" spans="2:43" x14ac:dyDescent="0.25">
      <c r="B51" s="28" t="s">
        <v>99</v>
      </c>
      <c r="C51" s="43" t="str">
        <f>_xlfn.XLOOKUP(C47,武器库!$B:$B,武器库!$E:$E,"")</f>
        <v>法术伤害+19.2</v>
      </c>
      <c r="D51" s="43" t="str">
        <f>VLOOKUP(D47,护甲库!$A:$M,4+D48*3,FALSE)</f>
        <v>技艺26</v>
      </c>
      <c r="E51" s="43" t="str">
        <f>VLOOKUP(E47,护手库!$A:$M,4+E48*3,FALSE)</f>
        <v>技艺44</v>
      </c>
      <c r="F51" s="43" t="str">
        <f>VLOOKUP(F47,配件库!$A:$M,4+F48*3,FALSE)</f>
        <v>技艺53</v>
      </c>
      <c r="G51" s="43" t="str">
        <f>VLOOKUP(G47,配件库!$A:$M,4+G48*3,FALSE)</f>
        <v>技艺53</v>
      </c>
      <c r="H51" s="9"/>
      <c r="J51" s="29"/>
      <c r="Q51" s="28" t="s">
        <v>962</v>
      </c>
      <c r="R51" t="s">
        <v>967</v>
      </c>
      <c r="S51" s="29"/>
      <c r="AD51" s="58"/>
      <c r="AE51" s="14" t="s">
        <v>660</v>
      </c>
      <c r="AF51" s="16">
        <v>0.5</v>
      </c>
      <c r="AG51" s="16">
        <v>0.55000000000000004</v>
      </c>
      <c r="AH51" s="16">
        <v>0.6</v>
      </c>
      <c r="AI51" s="16">
        <v>0.65</v>
      </c>
      <c r="AJ51" s="16">
        <v>0.7</v>
      </c>
      <c r="AK51" s="16">
        <v>0.75</v>
      </c>
      <c r="AL51" s="16">
        <v>0.8</v>
      </c>
      <c r="AM51" s="16">
        <v>0.85</v>
      </c>
      <c r="AN51" s="16">
        <v>0.9</v>
      </c>
      <c r="AO51" s="16">
        <v>0.96</v>
      </c>
      <c r="AP51" s="16">
        <v>1.04</v>
      </c>
      <c r="AQ51" s="16">
        <v>1.1299999999999999</v>
      </c>
    </row>
    <row r="52" spans="2:43" x14ac:dyDescent="0.25">
      <c r="B52" s="28" t="s">
        <v>90</v>
      </c>
      <c r="C52" t="str">
        <f>_xlfn.XLOOKUP(C47,武器库!$B:$B,武器库!$F:$F,"")</f>
        <v>装备者施加燃烧或导电后，法术+伤害+19.2，源石技艺强度+40，持续15秒。</v>
      </c>
      <c r="D52" s="22"/>
      <c r="F52" s="22"/>
      <c r="G52" s="9"/>
      <c r="H52" s="9"/>
      <c r="J52" s="29"/>
      <c r="Q52" s="28"/>
      <c r="S52" s="29"/>
      <c r="AD52" s="58"/>
      <c r="AE52" s="14" t="s">
        <v>131</v>
      </c>
      <c r="AF52" s="16">
        <v>4</v>
      </c>
      <c r="AG52" s="16">
        <v>4.4000000000000004</v>
      </c>
      <c r="AH52" s="16">
        <v>4.8</v>
      </c>
      <c r="AI52" s="16">
        <v>5.2</v>
      </c>
      <c r="AJ52" s="16">
        <v>5.6</v>
      </c>
      <c r="AK52" s="16">
        <v>6</v>
      </c>
      <c r="AL52" s="16">
        <v>6.4</v>
      </c>
      <c r="AM52" s="16">
        <v>6.8</v>
      </c>
      <c r="AN52" s="16">
        <v>7.2</v>
      </c>
      <c r="AO52" s="16">
        <v>7.7</v>
      </c>
      <c r="AP52" s="16">
        <v>8.3000000000000007</v>
      </c>
      <c r="AQ52" s="16">
        <v>9</v>
      </c>
    </row>
    <row r="53" spans="2:43" ht="14.4" thickBot="1" x14ac:dyDescent="0.3">
      <c r="B53" s="30" t="s">
        <v>89</v>
      </c>
      <c r="C53" s="18" t="str">
        <f>VLOOKUP(H47,套装效果库!A:B,2,0)</f>
        <v>连携技冷却缩减+15。当装备者施放连携技时，所有技能伤害+20.0%，持续15秒。该效果最多叠加2层，每层单独计算持续时间。</v>
      </c>
      <c r="D53" s="19"/>
      <c r="E53" s="18"/>
      <c r="F53" s="19"/>
      <c r="G53" s="20"/>
      <c r="H53" s="20"/>
      <c r="I53" s="18"/>
      <c r="J53" s="31"/>
      <c r="Q53" s="28" t="s">
        <v>968</v>
      </c>
      <c r="S53" s="29" t="s">
        <v>966</v>
      </c>
      <c r="AD53" s="58"/>
      <c r="AE53" s="14" t="s">
        <v>132</v>
      </c>
      <c r="AF53" s="16">
        <v>0.8</v>
      </c>
      <c r="AG53" s="16">
        <v>0.88</v>
      </c>
      <c r="AH53" s="16">
        <v>0.96</v>
      </c>
      <c r="AI53" s="16">
        <v>1.04</v>
      </c>
      <c r="AJ53" s="16">
        <v>1.1200000000000001</v>
      </c>
      <c r="AK53" s="16">
        <v>1.2</v>
      </c>
      <c r="AL53" s="16">
        <v>1.28</v>
      </c>
      <c r="AM53" s="16">
        <v>1.36</v>
      </c>
      <c r="AN53" s="16">
        <v>1.44</v>
      </c>
      <c r="AO53" s="16">
        <v>1.54</v>
      </c>
      <c r="AP53" s="16">
        <v>1.66</v>
      </c>
      <c r="AQ53" s="16">
        <v>1.8</v>
      </c>
    </row>
    <row r="54" spans="2:43" x14ac:dyDescent="0.25">
      <c r="Q54" s="28"/>
      <c r="R54" t="s">
        <v>970</v>
      </c>
      <c r="S54" s="29"/>
      <c r="AD54" s="58"/>
    </row>
    <row r="55" spans="2:43" x14ac:dyDescent="0.25">
      <c r="Q55" s="28" t="s">
        <v>969</v>
      </c>
      <c r="R55" t="s">
        <v>971</v>
      </c>
      <c r="S55" s="29"/>
      <c r="AD55" s="58"/>
    </row>
    <row r="56" spans="2:43" x14ac:dyDescent="0.25">
      <c r="B56" s="17" t="s">
        <v>962</v>
      </c>
      <c r="C56" s="17" t="s">
        <v>990</v>
      </c>
      <c r="D56" s="17" t="s">
        <v>1054</v>
      </c>
      <c r="E56" s="17"/>
      <c r="F56" s="17"/>
      <c r="G56" s="17"/>
      <c r="H56" s="17"/>
      <c r="I56" s="17"/>
      <c r="K56" s="88" t="s">
        <v>195</v>
      </c>
      <c r="L56" s="17" t="s">
        <v>701</v>
      </c>
      <c r="M56" s="17" t="s">
        <v>157</v>
      </c>
      <c r="N56" s="17" t="s">
        <v>702</v>
      </c>
      <c r="O56" s="89" t="s">
        <v>158</v>
      </c>
      <c r="Q56" s="28"/>
      <c r="R56" t="s">
        <v>972</v>
      </c>
      <c r="S56" s="29"/>
      <c r="AD56" s="58"/>
      <c r="AE56" s="14" t="s">
        <v>76</v>
      </c>
    </row>
    <row r="57" spans="2:43" x14ac:dyDescent="0.25">
      <c r="C57" s="21"/>
      <c r="D57" s="21" t="s">
        <v>162</v>
      </c>
      <c r="E57" s="43" t="s">
        <v>644</v>
      </c>
      <c r="F57" s="43"/>
      <c r="G57" s="43"/>
      <c r="H57" s="43"/>
      <c r="I57" s="43"/>
      <c r="K57" t="s">
        <v>183</v>
      </c>
      <c r="L57" s="21">
        <v>9</v>
      </c>
      <c r="M57" s="21">
        <v>9</v>
      </c>
      <c r="N57" s="21">
        <v>9</v>
      </c>
      <c r="O57" s="37">
        <v>9</v>
      </c>
      <c r="Q57" s="28"/>
      <c r="R57" t="s">
        <v>973</v>
      </c>
      <c r="S57" s="29"/>
      <c r="AD57" s="58"/>
      <c r="AE57" s="60"/>
      <c r="AF57" s="60"/>
      <c r="AG57" s="60"/>
      <c r="AH57" s="60"/>
      <c r="AI57" s="60"/>
      <c r="AJ57" s="60"/>
      <c r="AK57" s="60"/>
      <c r="AL57" s="60"/>
      <c r="AM57" s="60"/>
      <c r="AN57" s="60"/>
      <c r="AO57" s="60"/>
      <c r="AP57" s="60"/>
      <c r="AQ57" s="60"/>
    </row>
    <row r="58" spans="2:43" x14ac:dyDescent="0.25">
      <c r="B58" t="s">
        <v>164</v>
      </c>
      <c r="C58" s="21">
        <f>179+60+IF(I47&gt;=2,20,0)</f>
        <v>259</v>
      </c>
      <c r="D58" s="21">
        <f>123</f>
        <v>123</v>
      </c>
      <c r="E58" cm="1">
        <f t="array" ref="E58">SUM(IFERROR(
    VALUE(MID($C48:$G51,
             SEARCH(E57, $C48:$G51) + LEN(E57),
             10)) *
    ISNUMBER(SEARCH(E57,$C48:$G51)),
    0
))/100+IFERROR(
    MID($C53, SEARCH(E57, $C53) + LEN(E57), 2) / 100,
    0
)</f>
        <v>2.54</v>
      </c>
      <c r="F58" cm="1">
        <f t="array" ref="F58">SUM(IFERROR(
    VALUE(MID($C48:$G51,
             SEARCH(F57, $C48:$G51) + LEN(F57),
             10)) *
    ISNUMBER(SEARCH(F57,$C48:$G51)),
    0
))/100+IFERROR(
    MID($C53, SEARCH(F57, $C53) + LEN(F57), 2) / 100,
    0
)</f>
        <v>0.12</v>
      </c>
      <c r="G58" cm="1">
        <f t="array" ref="G58">SUM(IFERROR(
    VALUE(MID($C48:$G51,
             SEARCH(G57, $C48:$G51) + LEN(G57),
             10)) *
    ISNUMBER(SEARCH(G57,$C48:$G51)),
    0
))/100+IFERROR(
    MID($C53, SEARCH(G57, $C53) + LEN(G57), 2) / 100,
    0
)</f>
        <v>0.12</v>
      </c>
      <c r="H58" cm="1">
        <f t="array" ref="H58">SUM(IFERROR(
    VALUE(MID($C48:$G51,
             SEARCH(H57, $C48:$G51) + LEN(H57),
             10)) *
    ISNUMBER(SEARCH(H57,$C48:$G51)),
    0
))/100+IFERROR(
    MID($C53, SEARCH(H57, $C53) + LEN(H57), 2) / 100,
    0
)</f>
        <v>0.12</v>
      </c>
      <c r="I58" cm="1">
        <f t="array" ref="I58">SUM(IFERROR(
    VALUE(MID($C48:$G51,
             SEARCH(I57, $C48:$G51) + LEN(I57),
             10)) *
    ISNUMBER(SEARCH(I57,$C48:$G51)),
    0
))/100+IFERROR(
    MID($C53, SEARCH(I57, $C53) + LEN(I57), 2) / 100,
    0
)</f>
        <v>0.12</v>
      </c>
      <c r="L58" s="23" cm="1">
        <f t="array" ref="L58">_xlfn.XLOOKUP(L57,$AE$6:$AQ$6,AE47:AQ53,0,0,1)</f>
        <v>0</v>
      </c>
      <c r="M58" s="23" cm="1">
        <f t="array" ref="M58">_xlfn.XLOOKUP(M57,$AE$6:$AQ$6,AE59:AQ66,0,0,1)</f>
        <v>0</v>
      </c>
      <c r="N58" s="23" cm="1">
        <f t="array" ref="N58">_xlfn.XLOOKUP(N57,$AE$6:$AQ$6,AE71:AQ73,0,0,1)</f>
        <v>0</v>
      </c>
      <c r="O58" s="23" t="e" cm="1">
        <f t="array" ref="O58">_xlfn.XLOOKUP(O57,$AE$6:$AQ$6,#REF!,0,0,1)</f>
        <v>#REF!</v>
      </c>
      <c r="Q58" s="28"/>
      <c r="S58" s="29" t="s">
        <v>974</v>
      </c>
      <c r="AD58" s="58"/>
      <c r="AE58" s="14"/>
      <c r="AF58" s="16"/>
      <c r="AG58" s="16"/>
      <c r="AH58" s="16"/>
      <c r="AI58" s="16"/>
      <c r="AJ58" s="16"/>
      <c r="AK58" s="16"/>
      <c r="AL58" s="16"/>
      <c r="AM58" s="16"/>
      <c r="AN58" s="16"/>
      <c r="AO58" s="16"/>
      <c r="AP58" s="16"/>
      <c r="AQ58" s="16"/>
    </row>
    <row r="59" spans="2:43" x14ac:dyDescent="0.25">
      <c r="B59" s="22" t="s">
        <v>165</v>
      </c>
      <c r="C59" cm="1">
        <f t="array" ref="C59">SUM(IFERROR(
    VALUE(MID($C48:$G51,
             FIND(C57, $C48:$G51) + LEN(C57),
             10)) *
    ISNUMBER(FIND(C57, $C48:$G51)),
    0
))+SUM(IFERROR(
    VALUE(MID($C48:$G51,
             FIND(C56, $C48:$G51) + LEN(C56),
             10)) *
    ISNUMBER(FIND(C56, $C48:$G51)),
    0
))+IFERROR(
    MID($C53, SEARCH(C57, $C53) + LEN(C57), 2) / 100,
    0
)+IFERROR(
    MID($C53, SEARCH(C56, $C53) + LEN(C56), 2) / 100,
    0
)</f>
        <v>144</v>
      </c>
      <c r="D59" cm="1">
        <f t="array" ref="D59">SUM(IFERROR(
    VALUE(MID($C48:$G51,
             FIND(D57, $C48:$G51) + LEN(D57),
             10)) *
    ISNUMBER(FIND(D57, $C48:$G51)),
    0
))+SUM(IFERROR(
    VALUE(MID($C48:$G51,
             FIND(D56, $C48:$G51) + LEN(D56),
             10)) *
    ISNUMBER(FIND(D56, $C48:$G51)),
    0
))+IFERROR(
    MID($C53, SEARCH(D57, $C53) + LEN(D57), 2) / 100,
    0
)+IFERROR(
    MID($C53, SEARCH(D56, $C53) + LEN(D56), 2) / 100,
    0
)</f>
        <v>195</v>
      </c>
      <c r="Q59" s="28"/>
      <c r="S59" s="29" t="s">
        <v>975</v>
      </c>
      <c r="AD59" s="58"/>
      <c r="AE59" s="14"/>
      <c r="AF59" s="14"/>
      <c r="AG59" s="14"/>
      <c r="AH59" s="14"/>
      <c r="AI59" s="14"/>
      <c r="AJ59" s="14"/>
      <c r="AK59" s="14"/>
      <c r="AL59" s="14"/>
      <c r="AM59" s="14"/>
      <c r="AN59" s="14"/>
      <c r="AO59" s="14"/>
      <c r="AP59" s="14"/>
      <c r="AQ59" s="14"/>
    </row>
    <row r="60" spans="2:43" ht="14.4" thickBot="1" x14ac:dyDescent="0.3">
      <c r="B60" s="22" t="s">
        <v>166</v>
      </c>
      <c r="C60" s="12" cm="1">
        <f t="array" ref="C60">ROUNDUP(SUM(C58:C59)*(1+IF(LEN(TRIM(LEFT(C56,3)))=0, 0,
   SUMPRODUCT(
       IFERROR(
           VALUE(MID($C48:$G51,
                   SEARCH(LEFT(C56,3), $C48:$G51) + 3,
                   10)) *
           ISNUMBER(SEARCH(LEFT(C56,3), $C48:$G51)),
           0
       )
   )+IFERROR(
    MID($C53, SEARCH(C57, $C53) + LEN(C57), 2) / 100,
    0
)
)/100),0)</f>
        <v>403</v>
      </c>
      <c r="D60" s="12" cm="1">
        <f t="array" ref="D60">ROUNDUP(SUM(D58:D59)*(1+IF(LEN(TRIM(LEFT(D56,3)))=0, 0,
   SUMPRODUCT(
       IFERROR(
           VALUE(MID($C48:$G51,
                   SEARCH(LEFT(D56,3), $C48:$G51) + 3,
                   10)) *
           ISNUMBER(SEARCH(LEFT(D56,3), $C48:$G51)),
           0
       )
   )+IFERROR(
    MID($C53, SEARCH(D57, $C53) + LEN(D57), 2) / 100,
    0
)
)/100),0)</f>
        <v>318</v>
      </c>
      <c r="Q60" s="30"/>
      <c r="R60" s="18"/>
      <c r="S60" s="31" t="s">
        <v>976</v>
      </c>
      <c r="AD60" s="58"/>
      <c r="AE60" s="14"/>
      <c r="AF60" s="16"/>
      <c r="AG60" s="16"/>
      <c r="AH60" s="16"/>
      <c r="AI60" s="16"/>
      <c r="AJ60" s="16"/>
      <c r="AK60" s="16"/>
      <c r="AL60" s="16"/>
      <c r="AM60" s="16"/>
      <c r="AN60" s="16"/>
      <c r="AO60" s="16"/>
      <c r="AP60" s="16"/>
      <c r="AQ60" s="16"/>
    </row>
    <row r="61" spans="2:43" ht="13.8" customHeight="1" x14ac:dyDescent="0.25">
      <c r="B61" s="85" t="s">
        <v>93</v>
      </c>
      <c r="C61" s="86">
        <f>C60*0.005+D60*0.002</f>
        <v>2.6510000000000002</v>
      </c>
      <c r="D61" s="87"/>
      <c r="E61" s="86"/>
      <c r="F61" s="86"/>
      <c r="G61" s="86"/>
      <c r="H61" s="86"/>
      <c r="I61" s="86"/>
      <c r="AD61" s="58"/>
      <c r="AE61" s="14"/>
      <c r="AF61" s="14"/>
      <c r="AG61" s="14"/>
      <c r="AH61" s="14"/>
      <c r="AI61" s="14"/>
      <c r="AJ61" s="14"/>
      <c r="AK61" s="14"/>
      <c r="AL61" s="14"/>
      <c r="AM61" s="14"/>
      <c r="AN61" s="14"/>
      <c r="AO61" s="14"/>
      <c r="AP61" s="14"/>
      <c r="AQ61" s="14"/>
    </row>
    <row r="62" spans="2:43" x14ac:dyDescent="0.25">
      <c r="AD62" s="58"/>
      <c r="AE62" s="14"/>
      <c r="AF62" s="14"/>
      <c r="AG62" s="14"/>
      <c r="AH62" s="14"/>
      <c r="AI62" s="14"/>
      <c r="AJ62" s="14"/>
      <c r="AK62" s="14"/>
      <c r="AL62" s="14"/>
      <c r="AM62" s="14"/>
      <c r="AN62" s="14"/>
      <c r="AO62" s="14"/>
      <c r="AP62" s="14"/>
      <c r="AQ62" s="14"/>
    </row>
    <row r="63" spans="2:43" x14ac:dyDescent="0.25">
      <c r="AD63" s="58"/>
      <c r="AE63" s="14"/>
      <c r="AF63" s="16"/>
      <c r="AG63" s="16"/>
      <c r="AH63" s="16"/>
      <c r="AI63" s="38"/>
      <c r="AJ63" s="38"/>
      <c r="AK63" s="38"/>
      <c r="AL63" s="16"/>
      <c r="AM63" s="16"/>
      <c r="AN63" s="16"/>
      <c r="AO63" s="38"/>
      <c r="AP63" s="38"/>
      <c r="AQ63" s="16"/>
    </row>
    <row r="64" spans="2:43" x14ac:dyDescent="0.25">
      <c r="E64" s="12"/>
      <c r="F64" s="21" t="s">
        <v>1289</v>
      </c>
      <c r="G64" s="21" t="s">
        <v>569</v>
      </c>
      <c r="H64" s="21" t="s">
        <v>1292</v>
      </c>
      <c r="I64" s="21" t="s">
        <v>1292</v>
      </c>
      <c r="AD64" s="58"/>
      <c r="AE64" s="14"/>
      <c r="AF64" s="16"/>
      <c r="AG64" s="16"/>
      <c r="AH64" s="16"/>
      <c r="AI64" s="16"/>
      <c r="AJ64" s="16"/>
      <c r="AK64" s="16"/>
      <c r="AL64" s="16"/>
      <c r="AM64" s="16"/>
      <c r="AN64" s="16"/>
      <c r="AO64" s="16"/>
      <c r="AP64" s="16"/>
      <c r="AQ64" s="16"/>
    </row>
    <row r="65" spans="1:43" x14ac:dyDescent="0.25">
      <c r="C65" s="22"/>
      <c r="F65" t="s">
        <v>1484</v>
      </c>
      <c r="G65" t="s">
        <v>1485</v>
      </c>
      <c r="AD65" s="58"/>
      <c r="AE65" s="14"/>
      <c r="AF65" s="14"/>
      <c r="AG65" s="14"/>
      <c r="AH65" s="14"/>
      <c r="AI65" s="14"/>
      <c r="AJ65" s="14"/>
      <c r="AK65" s="14"/>
      <c r="AL65" s="14"/>
      <c r="AM65" s="14"/>
      <c r="AN65" s="14"/>
      <c r="AO65" s="14"/>
      <c r="AP65" s="14"/>
      <c r="AQ65" s="14"/>
    </row>
    <row r="66" spans="1:43" x14ac:dyDescent="0.25">
      <c r="C66" s="22"/>
      <c r="AD66" s="58"/>
    </row>
    <row r="67" spans="1:43" x14ac:dyDescent="0.25">
      <c r="C67" s="22"/>
      <c r="AD67" s="58"/>
    </row>
    <row r="68" spans="1:43" ht="14.4" thickBot="1" x14ac:dyDescent="0.3">
      <c r="C68" s="28" t="s">
        <v>978</v>
      </c>
      <c r="E68" s="61" t="s">
        <v>755</v>
      </c>
      <c r="F68" s="61"/>
      <c r="G68" s="61"/>
      <c r="H68" s="61"/>
      <c r="I68" s="61"/>
      <c r="J68" s="127" t="s">
        <v>785</v>
      </c>
      <c r="K68" s="127"/>
      <c r="L68" s="127"/>
      <c r="M68" s="127"/>
      <c r="N68" s="63" t="s">
        <v>154</v>
      </c>
      <c r="O68" s="63"/>
      <c r="P68" s="63"/>
      <c r="Q68" s="63"/>
      <c r="R68" s="63"/>
      <c r="S68" s="63"/>
      <c r="T68" s="8" t="s">
        <v>161</v>
      </c>
      <c r="U68" s="8"/>
      <c r="V68" s="8"/>
      <c r="W68" s="8"/>
      <c r="X68" s="8"/>
      <c r="Y68" s="8"/>
      <c r="Z68" s="8"/>
      <c r="AD68" s="58"/>
      <c r="AE68" s="14" t="s">
        <v>77</v>
      </c>
    </row>
    <row r="69" spans="1:43" x14ac:dyDescent="0.25">
      <c r="B69" t="s">
        <v>695</v>
      </c>
      <c r="C69" s="17" t="s">
        <v>704</v>
      </c>
      <c r="D69" s="17" t="s">
        <v>991</v>
      </c>
      <c r="E69" s="52" t="s">
        <v>92</v>
      </c>
      <c r="F69" s="52" t="s">
        <v>94</v>
      </c>
      <c r="G69" s="52" t="s">
        <v>95</v>
      </c>
      <c r="H69" s="52" t="s">
        <v>93</v>
      </c>
      <c r="I69" s="52" t="s">
        <v>96</v>
      </c>
      <c r="J69" s="64" t="s">
        <v>688</v>
      </c>
      <c r="K69" s="64" t="s">
        <v>689</v>
      </c>
      <c r="L69" s="64" t="s">
        <v>690</v>
      </c>
      <c r="M69" s="64" t="s">
        <v>163</v>
      </c>
      <c r="N69" s="64" t="s">
        <v>707</v>
      </c>
      <c r="O69" s="64" t="s">
        <v>153</v>
      </c>
      <c r="P69" s="64" t="s">
        <v>76</v>
      </c>
      <c r="Q69" s="64" t="s">
        <v>77</v>
      </c>
      <c r="R69" s="64" t="s">
        <v>78</v>
      </c>
      <c r="S69" s="64" t="s">
        <v>703</v>
      </c>
      <c r="T69" s="64" t="s">
        <v>83</v>
      </c>
      <c r="U69" s="64" t="s">
        <v>80</v>
      </c>
      <c r="V69" s="64" t="s">
        <v>79</v>
      </c>
      <c r="W69" s="64" t="s">
        <v>691</v>
      </c>
      <c r="X69" s="64" t="s">
        <v>694</v>
      </c>
      <c r="Y69" s="64" t="s">
        <v>693</v>
      </c>
      <c r="Z69" s="64" t="s">
        <v>692</v>
      </c>
      <c r="AD69" s="58"/>
      <c r="AF69" s="60"/>
      <c r="AG69" s="60"/>
      <c r="AH69" s="60"/>
      <c r="AI69" s="60"/>
      <c r="AJ69" s="60"/>
      <c r="AK69" s="60"/>
      <c r="AL69" s="60"/>
      <c r="AM69" s="60"/>
      <c r="AN69" s="60"/>
      <c r="AO69" s="60"/>
      <c r="AP69" s="60"/>
      <c r="AQ69" s="60"/>
    </row>
    <row r="70" spans="1:43" x14ac:dyDescent="0.25">
      <c r="B70" t="s">
        <v>1420</v>
      </c>
      <c r="E70" s="21"/>
      <c r="F70" s="43"/>
      <c r="G70" s="43"/>
      <c r="H70">
        <f>C61</f>
        <v>2.6510000000000002</v>
      </c>
      <c r="I70">
        <f>(E70*(1+F70)+G70)*(H70+1)</f>
        <v>0</v>
      </c>
      <c r="K70" s="43"/>
      <c r="L70" s="43"/>
      <c r="M70" s="43">
        <f>0.78</f>
        <v>0.78</v>
      </c>
      <c r="N70" s="43"/>
      <c r="O70" s="43"/>
      <c r="P70" s="43"/>
      <c r="Q70" s="43"/>
      <c r="R70" s="43"/>
      <c r="AD70" s="58"/>
      <c r="AE70" s="14"/>
      <c r="AF70" s="14"/>
      <c r="AG70" s="14"/>
      <c r="AH70" s="14"/>
      <c r="AI70" s="14"/>
      <c r="AJ70" s="14"/>
      <c r="AK70" s="14"/>
      <c r="AL70" s="14"/>
      <c r="AM70" s="14"/>
      <c r="AN70" s="14"/>
      <c r="AO70" s="14"/>
      <c r="AP70" s="14"/>
      <c r="AQ70" s="14"/>
    </row>
    <row r="71" spans="1:43" x14ac:dyDescent="0.25">
      <c r="C71" t="s">
        <v>1421</v>
      </c>
      <c r="D71" t="s">
        <v>805</v>
      </c>
      <c r="E71">
        <f>E70</f>
        <v>0</v>
      </c>
      <c r="F71">
        <f>F70</f>
        <v>0</v>
      </c>
      <c r="G71">
        <f>G70</f>
        <v>0</v>
      </c>
      <c r="H71">
        <f>H70</f>
        <v>2.6510000000000002</v>
      </c>
      <c r="I71">
        <f t="shared" ref="I71:I73" si="8">(E71*(1+F71)+G71)*(H71+1)</f>
        <v>0</v>
      </c>
      <c r="J71">
        <f>SUM(L58:L62)</f>
        <v>0</v>
      </c>
      <c r="K71">
        <f t="shared" ref="K71:R71" si="9">K70</f>
        <v>0</v>
      </c>
      <c r="L71">
        <f t="shared" si="9"/>
        <v>0</v>
      </c>
      <c r="M71">
        <f t="shared" si="9"/>
        <v>0.78</v>
      </c>
      <c r="N71">
        <f t="shared" si="9"/>
        <v>0</v>
      </c>
      <c r="O71">
        <f t="shared" si="9"/>
        <v>0</v>
      </c>
      <c r="P71">
        <f t="shared" si="9"/>
        <v>0</v>
      </c>
      <c r="Q71">
        <f t="shared" si="9"/>
        <v>0</v>
      </c>
      <c r="R71">
        <f t="shared" si="9"/>
        <v>0</v>
      </c>
      <c r="T71">
        <f>T70</f>
        <v>0</v>
      </c>
      <c r="U71">
        <f t="shared" ref="U71:X71" si="10">U70</f>
        <v>0</v>
      </c>
      <c r="V71">
        <f t="shared" si="10"/>
        <v>0</v>
      </c>
      <c r="W71">
        <f t="shared" si="10"/>
        <v>0</v>
      </c>
      <c r="X71">
        <f t="shared" si="10"/>
        <v>0</v>
      </c>
      <c r="AD71" s="58"/>
      <c r="AE71" s="14"/>
      <c r="AF71" s="16"/>
      <c r="AG71" s="16"/>
      <c r="AH71" s="16"/>
      <c r="AI71" s="16"/>
      <c r="AJ71" s="16"/>
      <c r="AK71" s="16"/>
      <c r="AL71" s="16"/>
      <c r="AM71" s="16"/>
      <c r="AN71" s="16"/>
      <c r="AO71" s="16"/>
      <c r="AP71" s="16"/>
      <c r="AQ71" s="16"/>
    </row>
    <row r="72" spans="1:43" x14ac:dyDescent="0.25">
      <c r="C72" t="s">
        <v>1422</v>
      </c>
      <c r="D72" t="s">
        <v>805</v>
      </c>
      <c r="E72">
        <f t="shared" ref="E72:H72" si="11">E71</f>
        <v>0</v>
      </c>
      <c r="F72">
        <f t="shared" si="11"/>
        <v>0</v>
      </c>
      <c r="G72">
        <f t="shared" si="11"/>
        <v>0</v>
      </c>
      <c r="H72">
        <f t="shared" si="11"/>
        <v>2.6510000000000002</v>
      </c>
      <c r="I72">
        <f t="shared" si="8"/>
        <v>0</v>
      </c>
      <c r="J72">
        <f>SUM(L58:L61)</f>
        <v>0</v>
      </c>
      <c r="K72">
        <f t="shared" ref="K72:R72" si="12">K71</f>
        <v>0</v>
      </c>
      <c r="L72">
        <f t="shared" si="12"/>
        <v>0</v>
      </c>
      <c r="M72">
        <f t="shared" si="12"/>
        <v>0.78</v>
      </c>
      <c r="N72">
        <f t="shared" si="12"/>
        <v>0</v>
      </c>
      <c r="O72">
        <f t="shared" si="12"/>
        <v>0</v>
      </c>
      <c r="P72">
        <f t="shared" si="12"/>
        <v>0</v>
      </c>
      <c r="Q72">
        <f t="shared" si="12"/>
        <v>0</v>
      </c>
      <c r="R72">
        <f t="shared" si="12"/>
        <v>0</v>
      </c>
      <c r="T72">
        <f t="shared" ref="T72:X72" si="13">T71</f>
        <v>0</v>
      </c>
      <c r="U72">
        <f t="shared" si="13"/>
        <v>0</v>
      </c>
      <c r="V72">
        <f t="shared" si="13"/>
        <v>0</v>
      </c>
      <c r="W72">
        <f t="shared" si="13"/>
        <v>0</v>
      </c>
      <c r="X72">
        <f t="shared" si="13"/>
        <v>0</v>
      </c>
      <c r="AD72" s="58"/>
      <c r="AE72" s="14"/>
      <c r="AF72" s="14"/>
      <c r="AG72" s="14"/>
      <c r="AH72" s="14"/>
      <c r="AI72" s="14"/>
      <c r="AJ72" s="14"/>
      <c r="AK72" s="14"/>
      <c r="AL72" s="14"/>
      <c r="AM72" s="14"/>
      <c r="AN72" s="14"/>
      <c r="AO72" s="14"/>
      <c r="AP72" s="14"/>
      <c r="AQ72" s="14"/>
    </row>
    <row r="73" spans="1:43" x14ac:dyDescent="0.25">
      <c r="C73" t="s">
        <v>1423</v>
      </c>
      <c r="D73" t="s">
        <v>805</v>
      </c>
      <c r="E73">
        <f t="shared" ref="E73:H73" si="14">E72</f>
        <v>0</v>
      </c>
      <c r="F73">
        <f t="shared" si="14"/>
        <v>0</v>
      </c>
      <c r="G73">
        <f t="shared" si="14"/>
        <v>0</v>
      </c>
      <c r="H73">
        <f t="shared" si="14"/>
        <v>2.6510000000000002</v>
      </c>
      <c r="I73">
        <f t="shared" si="8"/>
        <v>0</v>
      </c>
      <c r="J73">
        <f>L62</f>
        <v>0</v>
      </c>
      <c r="K73">
        <f t="shared" ref="K73:R73" si="15">K72</f>
        <v>0</v>
      </c>
      <c r="L73">
        <f t="shared" si="15"/>
        <v>0</v>
      </c>
      <c r="M73">
        <f t="shared" si="15"/>
        <v>0.78</v>
      </c>
      <c r="N73">
        <f t="shared" si="15"/>
        <v>0</v>
      </c>
      <c r="O73">
        <f t="shared" si="15"/>
        <v>0</v>
      </c>
      <c r="P73">
        <f t="shared" si="15"/>
        <v>0</v>
      </c>
      <c r="Q73">
        <f t="shared" si="15"/>
        <v>0</v>
      </c>
      <c r="R73">
        <f t="shared" si="15"/>
        <v>0</v>
      </c>
      <c r="T73">
        <f t="shared" ref="T73:X73" si="16">T72</f>
        <v>0</v>
      </c>
      <c r="U73">
        <f t="shared" si="16"/>
        <v>0</v>
      </c>
      <c r="V73">
        <f t="shared" si="16"/>
        <v>0</v>
      </c>
      <c r="W73">
        <f t="shared" si="16"/>
        <v>0</v>
      </c>
      <c r="X73">
        <f t="shared" si="16"/>
        <v>0</v>
      </c>
      <c r="AD73" s="58"/>
      <c r="AE73" s="14"/>
      <c r="AF73" s="14"/>
      <c r="AG73" s="14"/>
      <c r="AH73" s="14"/>
      <c r="AI73" s="14"/>
      <c r="AJ73" s="14"/>
      <c r="AK73" s="14"/>
      <c r="AL73" s="14"/>
      <c r="AM73" s="14"/>
      <c r="AN73" s="14"/>
      <c r="AO73" s="14"/>
      <c r="AP73" s="14"/>
      <c r="AQ73" s="14"/>
    </row>
    <row r="74" spans="1:43" x14ac:dyDescent="0.25">
      <c r="C74" t="s">
        <v>805</v>
      </c>
      <c r="D74" t="s">
        <v>1424</v>
      </c>
      <c r="F74">
        <f>0.08</f>
        <v>0.08</v>
      </c>
      <c r="S74" s="17"/>
      <c r="T74" s="17"/>
      <c r="U74" s="17"/>
      <c r="V74" s="17"/>
      <c r="W74" s="17"/>
      <c r="X74" s="17"/>
      <c r="Y74" s="17"/>
      <c r="Z74" s="17"/>
      <c r="AD74" s="58"/>
    </row>
    <row r="75" spans="1:43" x14ac:dyDescent="0.25">
      <c r="C75" t="s">
        <v>805</v>
      </c>
      <c r="D75" t="s">
        <v>1425</v>
      </c>
      <c r="N75">
        <f>0.048</f>
        <v>4.8000000000000001E-2</v>
      </c>
      <c r="AD75" s="58"/>
      <c r="AE75" s="86"/>
      <c r="AF75" s="86"/>
      <c r="AG75" s="86"/>
      <c r="AH75" s="86"/>
      <c r="AI75" s="86"/>
      <c r="AJ75" s="86"/>
      <c r="AK75" s="86"/>
      <c r="AL75" s="86"/>
      <c r="AM75" s="86"/>
      <c r="AN75" s="86"/>
      <c r="AO75" s="86"/>
      <c r="AP75" s="86"/>
      <c r="AQ75" s="86"/>
    </row>
    <row r="76" spans="1:43" x14ac:dyDescent="0.25">
      <c r="C76" t="s">
        <v>805</v>
      </c>
      <c r="D76" t="s">
        <v>1483</v>
      </c>
      <c r="V76">
        <f>0.12*(1+2*M70*100/(300+M70*100))</f>
        <v>0.16952380952380949</v>
      </c>
      <c r="AA76" s="86"/>
      <c r="AB76" s="86"/>
      <c r="AC76" s="86"/>
      <c r="AD76" s="58"/>
    </row>
    <row r="77" spans="1:43" x14ac:dyDescent="0.25">
      <c r="V77">
        <f>0.16*(1+2*M71*100/(300+M71*100))</f>
        <v>0.22603174603174603</v>
      </c>
      <c r="AD77" s="58"/>
    </row>
    <row r="78" spans="1:43" x14ac:dyDescent="0.25">
      <c r="A78" s="86"/>
      <c r="D78" s="12"/>
      <c r="AD78" s="77"/>
    </row>
    <row r="83" spans="1:45" ht="14.4" thickBot="1" x14ac:dyDescent="0.3">
      <c r="A83" s="40"/>
      <c r="B83" s="21" t="s">
        <v>992</v>
      </c>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59"/>
      <c r="AE83" s="40"/>
      <c r="AF83" s="40"/>
      <c r="AG83" s="40"/>
      <c r="AH83" s="40"/>
      <c r="AI83" s="40"/>
      <c r="AJ83" s="40"/>
      <c r="AK83" s="40"/>
      <c r="AL83" s="40"/>
      <c r="AM83" s="40"/>
      <c r="AN83" s="40"/>
      <c r="AO83" s="40"/>
      <c r="AP83" s="40"/>
      <c r="AQ83" s="40"/>
      <c r="AR83" s="40"/>
      <c r="AS83" s="40"/>
    </row>
    <row r="84" spans="1:45" x14ac:dyDescent="0.25">
      <c r="B84" s="25" t="s">
        <v>961</v>
      </c>
      <c r="C84" s="26" t="s">
        <v>75</v>
      </c>
      <c r="D84" s="26" t="s">
        <v>85</v>
      </c>
      <c r="E84" s="26" t="s">
        <v>86</v>
      </c>
      <c r="F84" s="26" t="s">
        <v>87</v>
      </c>
      <c r="G84" s="26" t="s">
        <v>88</v>
      </c>
      <c r="H84" s="26" t="s">
        <v>89</v>
      </c>
      <c r="I84" s="26" t="s">
        <v>192</v>
      </c>
      <c r="J84" s="83"/>
      <c r="Q84" s="25"/>
      <c r="R84" s="26" t="s">
        <v>977</v>
      </c>
      <c r="S84" s="27" t="s">
        <v>963</v>
      </c>
      <c r="AD84" s="58"/>
      <c r="AE84" t="s">
        <v>153</v>
      </c>
    </row>
    <row r="85" spans="1:45" x14ac:dyDescent="0.25">
      <c r="B85" s="28" t="s">
        <v>91</v>
      </c>
      <c r="C85" s="21"/>
      <c r="D85" s="21"/>
      <c r="E85" s="21"/>
      <c r="F85" s="21"/>
      <c r="G85" s="21"/>
      <c r="H85" t="str">
        <f>IF(COUNTIF(E85:G85,LEFT(D85,2)&amp;"*")&gt;=2,LEFT(D85,2),
IF(COUNTIF(F85:G85,LEFT(E85,2)&amp;"*")=2,LEFT(E85,2),
""))</f>
        <v/>
      </c>
      <c r="I85" s="21">
        <v>0</v>
      </c>
      <c r="J85" s="29"/>
      <c r="Q85" s="28"/>
      <c r="R85" t="s">
        <v>999</v>
      </c>
      <c r="S85" s="29"/>
      <c r="AD85" s="58"/>
      <c r="AE85" s="14" t="s">
        <v>127</v>
      </c>
      <c r="AF85" s="16">
        <v>0.23</v>
      </c>
      <c r="AG85" s="16">
        <v>0.25</v>
      </c>
      <c r="AH85" s="16">
        <v>0.27</v>
      </c>
      <c r="AI85" s="16">
        <v>0.28999999999999998</v>
      </c>
      <c r="AJ85" s="16">
        <v>0.32</v>
      </c>
      <c r="AK85" s="16">
        <v>0.34</v>
      </c>
      <c r="AL85" s="16">
        <v>0.36</v>
      </c>
      <c r="AM85" s="16">
        <v>0.39</v>
      </c>
      <c r="AN85" s="16">
        <v>0.41</v>
      </c>
      <c r="AO85" s="16">
        <v>0.44</v>
      </c>
      <c r="AP85" s="16">
        <v>0.47</v>
      </c>
      <c r="AQ85" s="16">
        <v>0.51</v>
      </c>
    </row>
    <row r="86" spans="1:45" x14ac:dyDescent="0.25">
      <c r="B86" s="28" t="s">
        <v>183</v>
      </c>
      <c r="D86" s="21">
        <v>3</v>
      </c>
      <c r="E86" s="21">
        <v>3</v>
      </c>
      <c r="F86" s="21">
        <v>3</v>
      </c>
      <c r="G86" s="21">
        <v>3</v>
      </c>
      <c r="J86" s="29"/>
      <c r="Q86" s="28"/>
      <c r="R86" t="s">
        <v>1032</v>
      </c>
      <c r="S86" s="29"/>
      <c r="AD86" s="58"/>
      <c r="AE86" s="14" t="s">
        <v>128</v>
      </c>
      <c r="AF86" s="16">
        <v>0.25</v>
      </c>
      <c r="AG86" s="16">
        <v>0.28000000000000003</v>
      </c>
      <c r="AH86" s="16">
        <v>0.3</v>
      </c>
      <c r="AI86" s="16">
        <v>0.33</v>
      </c>
      <c r="AJ86" s="16">
        <v>0.35</v>
      </c>
      <c r="AK86" s="16">
        <v>0.38</v>
      </c>
      <c r="AL86" s="16">
        <v>0.4</v>
      </c>
      <c r="AM86" s="16">
        <v>0.43</v>
      </c>
      <c r="AN86" s="16">
        <v>0.45</v>
      </c>
      <c r="AO86" s="16">
        <v>0.48</v>
      </c>
      <c r="AP86" s="16">
        <v>0.52</v>
      </c>
      <c r="AQ86" s="16">
        <v>0.56000000000000005</v>
      </c>
    </row>
    <row r="87" spans="1:45" x14ac:dyDescent="0.25">
      <c r="B87" s="84" t="s">
        <v>97</v>
      </c>
      <c r="C87">
        <f>_xlfn.XLOOKUP(C85,武器库!$B:$B,武器库!$C:$C,"")</f>
        <v>0</v>
      </c>
      <c r="D87" t="e">
        <f>VLOOKUP(D85,护甲库!$A:$M,2+D86*3,FALSE)</f>
        <v>#N/A</v>
      </c>
      <c r="E87" t="e">
        <f>VLOOKUP(E85,护手库!$A:$M,2+E86*3,FALSE)</f>
        <v>#N/A</v>
      </c>
      <c r="F87" t="e">
        <f>VLOOKUP(F85,配件库!$A:$M,2+F86*3,FALSE)</f>
        <v>#N/A</v>
      </c>
      <c r="G87" t="e">
        <f>VLOOKUP(G85,配件库!$A:$M,2+G86*3,FALSE)</f>
        <v>#N/A</v>
      </c>
      <c r="H87" s="11"/>
      <c r="J87" s="29"/>
      <c r="Q87" s="28" t="s">
        <v>961</v>
      </c>
      <c r="S87" s="29" t="s">
        <v>964</v>
      </c>
      <c r="AD87" s="58"/>
      <c r="AE87" s="14" t="s">
        <v>129</v>
      </c>
      <c r="AF87" s="16">
        <v>0.35</v>
      </c>
      <c r="AG87" s="16">
        <v>0.39</v>
      </c>
      <c r="AH87" s="16">
        <v>0.42</v>
      </c>
      <c r="AI87" s="16">
        <v>0.46</v>
      </c>
      <c r="AJ87" s="16">
        <v>0.49</v>
      </c>
      <c r="AK87" s="16">
        <v>0.53</v>
      </c>
      <c r="AL87" s="16">
        <v>0.56000000000000005</v>
      </c>
      <c r="AM87" s="16">
        <v>0.6</v>
      </c>
      <c r="AN87" s="16">
        <v>0.63</v>
      </c>
      <c r="AO87" s="16">
        <v>0.67</v>
      </c>
      <c r="AP87" s="16">
        <v>0.73</v>
      </c>
      <c r="AQ87" s="16">
        <v>0.79</v>
      </c>
    </row>
    <row r="88" spans="1:45" x14ac:dyDescent="0.25">
      <c r="B88" s="28" t="s">
        <v>98</v>
      </c>
      <c r="C88" s="43">
        <f>_xlfn.XLOOKUP(C85,武器库!$B:$B,武器库!$D:$D,"")</f>
        <v>0</v>
      </c>
      <c r="D88" t="e">
        <f>VLOOKUP(D85,护甲库!$A:$M,3+D86*3,FALSE)</f>
        <v>#N/A</v>
      </c>
      <c r="E88" t="e">
        <f>VLOOKUP(E85,护手库!$A:$M,3+E86*3,FALSE)</f>
        <v>#N/A</v>
      </c>
      <c r="F88" t="e">
        <f>VLOOKUP(F85,配件库!$A:$M,3+F86*3,FALSE)</f>
        <v>#N/A</v>
      </c>
      <c r="G88" t="e">
        <f>VLOOKUP(G85,配件库!$A:$M,3+G86*3,FALSE)</f>
        <v>#N/A</v>
      </c>
      <c r="H88" s="9"/>
      <c r="J88" s="29"/>
      <c r="Q88" s="28"/>
      <c r="R88" t="s">
        <v>965</v>
      </c>
      <c r="S88" s="29"/>
      <c r="AD88" s="58"/>
      <c r="AE88" s="14" t="s">
        <v>130</v>
      </c>
      <c r="AF88" s="16">
        <v>0.37</v>
      </c>
      <c r="AG88" s="16">
        <v>0.4</v>
      </c>
      <c r="AH88" s="16">
        <v>0.44</v>
      </c>
      <c r="AI88" s="16">
        <v>0.47</v>
      </c>
      <c r="AJ88" s="16">
        <v>0.51</v>
      </c>
      <c r="AK88" s="16">
        <v>0.55000000000000004</v>
      </c>
      <c r="AL88" s="16">
        <v>0.57999999999999996</v>
      </c>
      <c r="AM88" s="16">
        <v>0.62</v>
      </c>
      <c r="AN88" s="16">
        <v>0.66</v>
      </c>
      <c r="AO88" s="16">
        <v>0.7</v>
      </c>
      <c r="AP88" s="16">
        <v>0.76</v>
      </c>
      <c r="AQ88" s="16">
        <v>0.82</v>
      </c>
    </row>
    <row r="89" spans="1:45" x14ac:dyDescent="0.25">
      <c r="B89" s="28" t="s">
        <v>99</v>
      </c>
      <c r="C89" s="43">
        <f>_xlfn.XLOOKUP(C85,武器库!$B:$B,武器库!$E:$E,"")</f>
        <v>0</v>
      </c>
      <c r="D89" s="43" t="e">
        <f>VLOOKUP(D85,护甲库!$A:$M,4+D86*3,FALSE)</f>
        <v>#N/A</v>
      </c>
      <c r="E89" s="43" t="e">
        <f>VLOOKUP(E85,护手库!$A:$M,4+E86*3,FALSE)</f>
        <v>#N/A</v>
      </c>
      <c r="F89" s="43" t="e">
        <f>VLOOKUP(F85,配件库!$A:$M,4+F86*3,FALSE)</f>
        <v>#N/A</v>
      </c>
      <c r="G89" s="43" t="e">
        <f>VLOOKUP(G85,配件库!$A:$M,4+G86*3,FALSE)</f>
        <v>#N/A</v>
      </c>
      <c r="H89" s="9"/>
      <c r="J89" s="29"/>
      <c r="Q89" s="28" t="s">
        <v>962</v>
      </c>
      <c r="R89" t="s">
        <v>967</v>
      </c>
      <c r="S89" s="29"/>
      <c r="AD89" s="58"/>
      <c r="AE89" s="14" t="s">
        <v>660</v>
      </c>
      <c r="AF89" s="16">
        <v>0.5</v>
      </c>
      <c r="AG89" s="16">
        <v>0.55000000000000004</v>
      </c>
      <c r="AH89" s="16">
        <v>0.6</v>
      </c>
      <c r="AI89" s="16">
        <v>0.65</v>
      </c>
      <c r="AJ89" s="16">
        <v>0.7</v>
      </c>
      <c r="AK89" s="16">
        <v>0.75</v>
      </c>
      <c r="AL89" s="16">
        <v>0.8</v>
      </c>
      <c r="AM89" s="16">
        <v>0.85</v>
      </c>
      <c r="AN89" s="16">
        <v>0.9</v>
      </c>
      <c r="AO89" s="16">
        <v>0.96</v>
      </c>
      <c r="AP89" s="16">
        <v>1.04</v>
      </c>
      <c r="AQ89" s="16">
        <v>1.1299999999999999</v>
      </c>
    </row>
    <row r="90" spans="1:45" x14ac:dyDescent="0.25">
      <c r="B90" s="28" t="s">
        <v>90</v>
      </c>
      <c r="C90">
        <f>_xlfn.XLOOKUP(C85,武器库!$B:$B,武器库!$F:$F,"")</f>
        <v>0</v>
      </c>
      <c r="D90" s="22"/>
      <c r="F90" s="22"/>
      <c r="G90" s="9"/>
      <c r="H90" s="9"/>
      <c r="J90" s="29"/>
      <c r="Q90" s="28"/>
      <c r="S90" s="29"/>
      <c r="AD90" s="58"/>
      <c r="AE90" s="14" t="s">
        <v>131</v>
      </c>
      <c r="AF90" s="16">
        <v>4</v>
      </c>
      <c r="AG90" s="16">
        <v>4.4000000000000004</v>
      </c>
      <c r="AH90" s="16">
        <v>4.8</v>
      </c>
      <c r="AI90" s="16">
        <v>5.2</v>
      </c>
      <c r="AJ90" s="16">
        <v>5.6</v>
      </c>
      <c r="AK90" s="16">
        <v>6</v>
      </c>
      <c r="AL90" s="16">
        <v>6.4</v>
      </c>
      <c r="AM90" s="16">
        <v>6.8</v>
      </c>
      <c r="AN90" s="16">
        <v>7.2</v>
      </c>
      <c r="AO90" s="16">
        <v>7.7</v>
      </c>
      <c r="AP90" s="16">
        <v>8.3000000000000007</v>
      </c>
      <c r="AQ90" s="16">
        <v>9</v>
      </c>
    </row>
    <row r="91" spans="1:45" ht="14.4" thickBot="1" x14ac:dyDescent="0.3">
      <c r="B91" s="30" t="s">
        <v>89</v>
      </c>
      <c r="C91" s="18" t="e">
        <f>VLOOKUP(H85,套装效果库!A:B,2,0)</f>
        <v>#N/A</v>
      </c>
      <c r="D91" s="19"/>
      <c r="E91" s="18"/>
      <c r="F91" s="19"/>
      <c r="G91" s="20"/>
      <c r="H91" s="20"/>
      <c r="I91" s="18"/>
      <c r="J91" s="31"/>
      <c r="Q91" s="28" t="s">
        <v>968</v>
      </c>
      <c r="S91" s="29" t="s">
        <v>966</v>
      </c>
      <c r="AD91" s="58"/>
      <c r="AE91" s="14" t="s">
        <v>132</v>
      </c>
      <c r="AF91" s="16">
        <v>0.8</v>
      </c>
      <c r="AG91" s="16">
        <v>0.88</v>
      </c>
      <c r="AH91" s="16">
        <v>0.96</v>
      </c>
      <c r="AI91" s="16">
        <v>1.04</v>
      </c>
      <c r="AJ91" s="16">
        <v>1.1200000000000001</v>
      </c>
      <c r="AK91" s="16">
        <v>1.2</v>
      </c>
      <c r="AL91" s="16">
        <v>1.28</v>
      </c>
      <c r="AM91" s="16">
        <v>1.36</v>
      </c>
      <c r="AN91" s="16">
        <v>1.44</v>
      </c>
      <c r="AO91" s="16">
        <v>1.54</v>
      </c>
      <c r="AP91" s="16">
        <v>1.66</v>
      </c>
      <c r="AQ91" s="16">
        <v>1.8</v>
      </c>
    </row>
    <row r="92" spans="1:45" x14ac:dyDescent="0.25">
      <c r="Q92" s="28"/>
      <c r="R92" t="s">
        <v>970</v>
      </c>
      <c r="S92" s="29"/>
      <c r="AD92" s="58"/>
    </row>
    <row r="93" spans="1:45" x14ac:dyDescent="0.25">
      <c r="Q93" s="28" t="s">
        <v>969</v>
      </c>
      <c r="R93" t="s">
        <v>971</v>
      </c>
      <c r="S93" s="29"/>
      <c r="AD93" s="58"/>
    </row>
    <row r="94" spans="1:45" x14ac:dyDescent="0.25">
      <c r="B94" s="17" t="s">
        <v>962</v>
      </c>
      <c r="C94" s="17" t="s">
        <v>990</v>
      </c>
      <c r="D94" s="17" t="s">
        <v>1054</v>
      </c>
      <c r="E94" s="17"/>
      <c r="F94" s="17"/>
      <c r="G94" s="17"/>
      <c r="H94" s="17"/>
      <c r="I94" s="17"/>
      <c r="K94" s="88" t="s">
        <v>195</v>
      </c>
      <c r="L94" s="17" t="s">
        <v>701</v>
      </c>
      <c r="M94" s="17" t="s">
        <v>157</v>
      </c>
      <c r="N94" s="17" t="s">
        <v>702</v>
      </c>
      <c r="O94" s="89" t="s">
        <v>158</v>
      </c>
      <c r="Q94" s="28"/>
      <c r="R94" t="s">
        <v>972</v>
      </c>
      <c r="S94" s="29"/>
      <c r="AD94" s="58"/>
      <c r="AE94" s="14" t="s">
        <v>76</v>
      </c>
    </row>
    <row r="95" spans="1:45" x14ac:dyDescent="0.25">
      <c r="C95" s="21"/>
      <c r="D95" s="21"/>
      <c r="E95" s="43"/>
      <c r="F95" s="43"/>
      <c r="G95" s="43"/>
      <c r="H95" s="43"/>
      <c r="I95" s="43"/>
      <c r="K95" t="s">
        <v>183</v>
      </c>
      <c r="L95" s="21">
        <v>9</v>
      </c>
      <c r="M95" s="21">
        <v>9</v>
      </c>
      <c r="N95" s="21">
        <v>9</v>
      </c>
      <c r="O95" s="37">
        <v>9</v>
      </c>
      <c r="Q95" s="28"/>
      <c r="R95" t="s">
        <v>973</v>
      </c>
      <c r="S95" s="29"/>
      <c r="AD95" s="58"/>
      <c r="AE95" s="60"/>
      <c r="AF95" s="60"/>
      <c r="AG95" s="60"/>
      <c r="AH95" s="60"/>
      <c r="AI95" s="60"/>
      <c r="AJ95" s="60"/>
      <c r="AK95" s="60"/>
      <c r="AL95" s="60"/>
      <c r="AM95" s="60"/>
      <c r="AN95" s="60"/>
      <c r="AO95" s="60"/>
      <c r="AP95" s="60"/>
      <c r="AQ95" s="60"/>
    </row>
    <row r="96" spans="1:45" x14ac:dyDescent="0.25">
      <c r="B96" t="s">
        <v>164</v>
      </c>
      <c r="C96" s="21">
        <f>179+60+IF(I85&gt;=2,20,0)</f>
        <v>239</v>
      </c>
      <c r="D96" s="21">
        <f>123</f>
        <v>123</v>
      </c>
      <c r="E96" cm="1">
        <f t="array" ref="E96">SUM(IFERROR(
    VALUE(MID($C86:$G89,
             SEARCH(E95, $C86:$G89) + LEN(E95),
             10)) *
    ISNUMBER(SEARCH(E95,$C86:$G89)),
    0
))/100+IFERROR(
    MID($C91, SEARCH(E95, $C91) + LEN(E95), 2) / 100,
    0
)</f>
        <v>0.12</v>
      </c>
      <c r="F96" cm="1">
        <f t="array" ref="F96">SUM(IFERROR(
    VALUE(MID($C86:$G89,
             SEARCH(F95, $C86:$G89) + LEN(F95),
             10)) *
    ISNUMBER(SEARCH(F95,$C86:$G89)),
    0
))/100+IFERROR(
    MID($C91, SEARCH(F95, $C91) + LEN(F95), 2) / 100,
    0
)</f>
        <v>0.12</v>
      </c>
      <c r="G96" cm="1">
        <f t="array" ref="G96">SUM(IFERROR(
    VALUE(MID($C86:$G89,
             SEARCH(G95, $C86:$G89) + LEN(G95),
             10)) *
    ISNUMBER(SEARCH(G95,$C86:$G89)),
    0
))/100+IFERROR(
    MID($C91, SEARCH(G95, $C91) + LEN(G95), 2) / 100,
    0
)</f>
        <v>0.12</v>
      </c>
      <c r="H96" cm="1">
        <f t="array" ref="H96">SUM(IFERROR(
    VALUE(MID($C86:$G89,
             SEARCH(H95, $C86:$G89) + LEN(H95),
             10)) *
    ISNUMBER(SEARCH(H95,$C86:$G89)),
    0
))/100+IFERROR(
    MID($C91, SEARCH(H95, $C91) + LEN(H95), 2) / 100,
    0
)</f>
        <v>0.12</v>
      </c>
      <c r="I96" cm="1">
        <f t="array" ref="I96">SUM(IFERROR(
    VALUE(MID($C86:$G89,
             SEARCH(I95, $C86:$G89) + LEN(I95),
             10)) *
    ISNUMBER(SEARCH(I95,$C86:$G89)),
    0
))/100+IFERROR(
    MID($C91, SEARCH(I95, $C91) + LEN(I95), 2) / 100,
    0
)</f>
        <v>0.12</v>
      </c>
      <c r="L96" s="23" cm="1">
        <f t="array" ref="L96">_xlfn.XLOOKUP(L95,$AE$6:$AQ$6,AE85:AQ91,0,0,1)</f>
        <v>0</v>
      </c>
      <c r="M96" s="23" cm="1">
        <f t="array" ref="M96">_xlfn.XLOOKUP(M95,$AE$6:$AQ$6,AE97:AQ104,0,0,1)</f>
        <v>0</v>
      </c>
      <c r="N96" s="23" cm="1">
        <f t="array" ref="N96">_xlfn.XLOOKUP(N95,$AE$6:$AQ$6,AE109:AQ112,0,0,1)</f>
        <v>0</v>
      </c>
      <c r="O96" s="23" cm="1">
        <f t="array" ref="O96">_xlfn.XLOOKUP(O95,$AE$6:$AQ$6,AE117:AQ122,0,0,1)</f>
        <v>0</v>
      </c>
      <c r="Q96" s="28"/>
      <c r="S96" s="29" t="s">
        <v>974</v>
      </c>
      <c r="AD96" s="58"/>
      <c r="AE96" s="14"/>
      <c r="AF96" s="16"/>
      <c r="AG96" s="16"/>
      <c r="AH96" s="16"/>
      <c r="AI96" s="16"/>
      <c r="AJ96" s="16"/>
      <c r="AK96" s="16"/>
      <c r="AL96" s="16"/>
      <c r="AM96" s="16"/>
      <c r="AN96" s="16"/>
      <c r="AO96" s="16"/>
      <c r="AP96" s="16"/>
      <c r="AQ96" s="16"/>
    </row>
    <row r="97" spans="2:43" x14ac:dyDescent="0.25">
      <c r="B97" s="22" t="s">
        <v>165</v>
      </c>
      <c r="C97" cm="1">
        <f t="array" ref="C97">SUM(IFERROR(
    VALUE(MID($C86:$G89,
             FIND(C95, $C86:$G89) + LEN(C95),
             10)) *
    ISNUMBER(FIND(C95, $C86:$G89)),
    0
))+SUM(IFERROR(
    VALUE(MID($C86:$G89,
             FIND(C94, $C86:$G89) + LEN(C94),
             10)) *
    ISNUMBER(FIND(C94, $C86:$G89)),
    0
))+IFERROR(
    MID($C91, SEARCH(C95, $C91) + LEN(C95), 2) / 100,
    0
)+IFERROR(
    MID($C91, SEARCH(C94, $C91) + LEN(C94), 2) / 100,
    0
)</f>
        <v>12</v>
      </c>
      <c r="D97" cm="1">
        <f t="array" ref="D97">SUM(IFERROR(
    VALUE(MID($C86:$G89,
             FIND(D95, $C86:$G89) + LEN(D95),
             10)) *
    ISNUMBER(FIND(D95, $C86:$G89)),
    0
))+SUM(IFERROR(
    VALUE(MID($C86:$G89,
             FIND(D94, $C86:$G89) + LEN(D94),
             10)) *
    ISNUMBER(FIND(D94, $C86:$G89)),
    0
))+IFERROR(
    MID($C91, SEARCH(D95, $C91) + LEN(D95), 2) / 100,
    0
)+IFERROR(
    MID($C91, SEARCH(D94, $C91) + LEN(D94), 2) / 100,
    0
)</f>
        <v>12</v>
      </c>
      <c r="Q97" s="28"/>
      <c r="S97" s="29" t="s">
        <v>975</v>
      </c>
      <c r="AD97" s="58"/>
      <c r="AE97" s="14"/>
      <c r="AF97" s="14"/>
      <c r="AG97" s="14"/>
      <c r="AH97" s="14"/>
      <c r="AI97" s="14"/>
      <c r="AJ97" s="14"/>
      <c r="AK97" s="14"/>
      <c r="AL97" s="14"/>
      <c r="AM97" s="14"/>
      <c r="AN97" s="14"/>
      <c r="AO97" s="14"/>
      <c r="AP97" s="14"/>
      <c r="AQ97" s="14"/>
    </row>
    <row r="98" spans="2:43" ht="14.4" thickBot="1" x14ac:dyDescent="0.3">
      <c r="B98" s="22" t="s">
        <v>166</v>
      </c>
      <c r="C98" s="12" cm="1">
        <f t="array" ref="C98">ROUNDUP(SUM(C96:C97)*(1+IF(LEN(TRIM(LEFT(C94,3)))=0, 0,
   SUMPRODUCT(
       IFERROR(
           VALUE(MID($C86:$G89,
                   SEARCH(LEFT(C94,3), $C86:$G89) + 3,
                   10)) *
           ISNUMBER(SEARCH(LEFT(C94,3), $C86:$G89)),
           0
       )
   )+IFERROR(
    MID($C91, SEARCH(C95, $C91) + LEN(C95), 2) / 100,
    0
)
)/100),0)</f>
        <v>251</v>
      </c>
      <c r="D98" s="12" cm="1">
        <f t="array" ref="D98">ROUNDUP(SUM(D96:D97)*(1+IF(LEN(TRIM(LEFT(D94,3)))=0, 0,
   SUMPRODUCT(
       IFERROR(
           VALUE(MID($C86:$G89,
                   SEARCH(LEFT(D94,3), $C86:$G89) + 3,
                   10)) *
           ISNUMBER(SEARCH(LEFT(D94,3), $C86:$G89)),
           0
       )
   )+IFERROR(
    MID($C91, SEARCH(D95, $C91) + LEN(D95), 2) / 100,
    0
)
)/100),0)</f>
        <v>135</v>
      </c>
      <c r="Q98" s="30"/>
      <c r="R98" s="18"/>
      <c r="S98" s="31" t="s">
        <v>976</v>
      </c>
      <c r="AD98" s="58"/>
      <c r="AE98" s="14"/>
      <c r="AF98" s="16"/>
      <c r="AG98" s="16"/>
      <c r="AH98" s="16"/>
      <c r="AI98" s="16"/>
      <c r="AJ98" s="16"/>
      <c r="AK98" s="16"/>
      <c r="AL98" s="16"/>
      <c r="AM98" s="16"/>
      <c r="AN98" s="16"/>
      <c r="AO98" s="16"/>
      <c r="AP98" s="16"/>
      <c r="AQ98" s="16"/>
    </row>
    <row r="99" spans="2:43" ht="13.8" customHeight="1" x14ac:dyDescent="0.25">
      <c r="B99" s="85" t="s">
        <v>93</v>
      </c>
      <c r="C99" s="86">
        <f>C98*0.005+D98*0.002</f>
        <v>1.5250000000000001</v>
      </c>
      <c r="D99" s="87"/>
      <c r="E99" s="86"/>
      <c r="F99" s="86"/>
      <c r="G99" s="86"/>
      <c r="H99" s="86"/>
      <c r="I99" s="86"/>
      <c r="AD99" s="58"/>
      <c r="AE99" s="14"/>
      <c r="AF99" s="14"/>
      <c r="AG99" s="14"/>
      <c r="AH99" s="14"/>
      <c r="AI99" s="14"/>
      <c r="AJ99" s="14"/>
      <c r="AK99" s="14"/>
      <c r="AL99" s="14"/>
      <c r="AM99" s="14"/>
      <c r="AN99" s="14"/>
      <c r="AO99" s="14"/>
      <c r="AP99" s="14"/>
      <c r="AQ99" s="14"/>
    </row>
    <row r="100" spans="2:43" x14ac:dyDescent="0.25">
      <c r="AD100" s="58"/>
      <c r="AE100" s="14"/>
      <c r="AF100" s="14"/>
      <c r="AG100" s="14"/>
      <c r="AH100" s="14"/>
      <c r="AI100" s="14"/>
      <c r="AJ100" s="14"/>
      <c r="AK100" s="14"/>
      <c r="AL100" s="14"/>
      <c r="AM100" s="14"/>
      <c r="AN100" s="14"/>
      <c r="AO100" s="14"/>
      <c r="AP100" s="14"/>
      <c r="AQ100" s="14"/>
    </row>
    <row r="101" spans="2:43" x14ac:dyDescent="0.25">
      <c r="AD101" s="58"/>
      <c r="AE101" s="14"/>
      <c r="AF101" s="16"/>
      <c r="AG101" s="16"/>
      <c r="AH101" s="16"/>
      <c r="AI101" s="38"/>
      <c r="AJ101" s="38"/>
      <c r="AK101" s="38"/>
      <c r="AL101" s="16"/>
      <c r="AM101" s="16"/>
      <c r="AN101" s="16"/>
      <c r="AO101" s="38"/>
      <c r="AP101" s="38"/>
      <c r="AQ101" s="16"/>
    </row>
    <row r="102" spans="2:43" x14ac:dyDescent="0.25">
      <c r="E102" s="12"/>
      <c r="G102" s="12"/>
      <c r="AD102" s="58"/>
      <c r="AE102" s="14"/>
      <c r="AF102" s="16"/>
      <c r="AG102" s="16"/>
      <c r="AH102" s="16"/>
      <c r="AI102" s="16"/>
      <c r="AJ102" s="16"/>
      <c r="AK102" s="16"/>
      <c r="AL102" s="16"/>
      <c r="AM102" s="16"/>
      <c r="AN102" s="16"/>
      <c r="AO102" s="16"/>
      <c r="AP102" s="16"/>
      <c r="AQ102" s="16"/>
    </row>
    <row r="103" spans="2:43" x14ac:dyDescent="0.25">
      <c r="C103" s="22"/>
      <c r="AD103" s="58"/>
      <c r="AE103" s="14"/>
      <c r="AF103" s="14"/>
      <c r="AG103" s="14"/>
      <c r="AH103" s="14"/>
      <c r="AI103" s="14"/>
      <c r="AJ103" s="14"/>
      <c r="AK103" s="14"/>
      <c r="AL103" s="14"/>
      <c r="AM103" s="14"/>
      <c r="AN103" s="14"/>
      <c r="AO103" s="14"/>
      <c r="AP103" s="14"/>
      <c r="AQ103" s="14"/>
    </row>
    <row r="104" spans="2:43" x14ac:dyDescent="0.25">
      <c r="C104" s="22"/>
      <c r="AD104" s="58"/>
    </row>
    <row r="105" spans="2:43" x14ac:dyDescent="0.25">
      <c r="C105" s="22"/>
      <c r="AD105" s="58"/>
    </row>
    <row r="106" spans="2:43" ht="14.4" thickBot="1" x14ac:dyDescent="0.3">
      <c r="C106" s="28" t="s">
        <v>978</v>
      </c>
      <c r="E106" s="61" t="s">
        <v>755</v>
      </c>
      <c r="F106" s="61"/>
      <c r="G106" s="61"/>
      <c r="H106" s="61"/>
      <c r="I106" s="61"/>
      <c r="J106" s="127" t="s">
        <v>785</v>
      </c>
      <c r="K106" s="127"/>
      <c r="L106" s="127"/>
      <c r="M106" s="127"/>
      <c r="N106" s="63" t="s">
        <v>154</v>
      </c>
      <c r="O106" s="63"/>
      <c r="P106" s="63"/>
      <c r="Q106" s="63"/>
      <c r="R106" s="63"/>
      <c r="S106" s="63"/>
      <c r="T106" s="8" t="s">
        <v>161</v>
      </c>
      <c r="U106" s="8"/>
      <c r="V106" s="8"/>
      <c r="W106" s="8"/>
      <c r="X106" s="8"/>
      <c r="Y106" s="8"/>
      <c r="Z106" s="8"/>
      <c r="AD106" s="58"/>
      <c r="AE106" s="14" t="s">
        <v>77</v>
      </c>
    </row>
    <row r="107" spans="2:43" x14ac:dyDescent="0.25">
      <c r="B107" t="s">
        <v>695</v>
      </c>
      <c r="C107" s="17" t="s">
        <v>704</v>
      </c>
      <c r="D107" s="17" t="s">
        <v>991</v>
      </c>
      <c r="E107" s="52" t="s">
        <v>92</v>
      </c>
      <c r="F107" s="52" t="s">
        <v>94</v>
      </c>
      <c r="G107" s="52" t="s">
        <v>95</v>
      </c>
      <c r="H107" s="52" t="s">
        <v>93</v>
      </c>
      <c r="I107" s="52" t="s">
        <v>96</v>
      </c>
      <c r="J107" s="64" t="s">
        <v>688</v>
      </c>
      <c r="K107" s="64" t="s">
        <v>689</v>
      </c>
      <c r="L107" s="64" t="s">
        <v>690</v>
      </c>
      <c r="M107" s="64" t="s">
        <v>163</v>
      </c>
      <c r="N107" s="64" t="s">
        <v>707</v>
      </c>
      <c r="O107" s="64" t="s">
        <v>153</v>
      </c>
      <c r="P107" s="64" t="s">
        <v>76</v>
      </c>
      <c r="Q107" s="64" t="s">
        <v>77</v>
      </c>
      <c r="R107" s="64" t="s">
        <v>78</v>
      </c>
      <c r="S107" s="64" t="s">
        <v>703</v>
      </c>
      <c r="T107" s="64" t="s">
        <v>83</v>
      </c>
      <c r="U107" s="64" t="s">
        <v>80</v>
      </c>
      <c r="V107" s="64" t="s">
        <v>79</v>
      </c>
      <c r="W107" s="64" t="s">
        <v>691</v>
      </c>
      <c r="X107" s="64" t="s">
        <v>694</v>
      </c>
      <c r="Y107" s="64" t="s">
        <v>693</v>
      </c>
      <c r="Z107" s="64" t="s">
        <v>692</v>
      </c>
      <c r="AD107" s="58"/>
      <c r="AF107" s="60"/>
      <c r="AG107" s="60"/>
      <c r="AH107" s="60"/>
      <c r="AI107" s="60"/>
      <c r="AJ107" s="60"/>
      <c r="AK107" s="60"/>
      <c r="AL107" s="60"/>
      <c r="AM107" s="60"/>
      <c r="AN107" s="60"/>
      <c r="AO107" s="60"/>
      <c r="AP107" s="60"/>
      <c r="AQ107" s="60"/>
    </row>
    <row r="108" spans="2:43" x14ac:dyDescent="0.25">
      <c r="B108" t="s">
        <v>993</v>
      </c>
      <c r="E108" s="21"/>
      <c r="F108" s="43"/>
      <c r="G108" s="43"/>
      <c r="H108">
        <f>C99</f>
        <v>1.5250000000000001</v>
      </c>
      <c r="I108">
        <f>(E108*(1+F108)+G108)*(H108+1)</f>
        <v>0</v>
      </c>
      <c r="K108" s="43"/>
      <c r="L108" s="43"/>
      <c r="M108" s="43"/>
      <c r="N108" s="43"/>
      <c r="O108" s="43"/>
      <c r="P108" s="43"/>
      <c r="Q108" s="43"/>
      <c r="R108" s="43"/>
      <c r="AD108" s="58"/>
      <c r="AE108" s="14"/>
      <c r="AF108" s="14"/>
      <c r="AG108" s="14"/>
      <c r="AH108" s="14"/>
      <c r="AI108" s="14"/>
      <c r="AJ108" s="14"/>
      <c r="AK108" s="14"/>
      <c r="AL108" s="14"/>
      <c r="AM108" s="14"/>
      <c r="AN108" s="14"/>
      <c r="AO108" s="14"/>
      <c r="AP108" s="14"/>
      <c r="AQ108" s="14"/>
    </row>
    <row r="109" spans="2:43" x14ac:dyDescent="0.25">
      <c r="C109" t="s">
        <v>994</v>
      </c>
      <c r="D109" t="s">
        <v>805</v>
      </c>
      <c r="E109">
        <f>E108</f>
        <v>0</v>
      </c>
      <c r="F109">
        <f>F108</f>
        <v>0</v>
      </c>
      <c r="G109">
        <f>G108</f>
        <v>0</v>
      </c>
      <c r="H109">
        <f>H108</f>
        <v>1.5250000000000001</v>
      </c>
      <c r="I109">
        <f t="shared" ref="I109:I111" si="17">(E109*(1+F109)+G109)*(H109+1)</f>
        <v>0</v>
      </c>
      <c r="J109">
        <f>SUM(L96:L100)</f>
        <v>0</v>
      </c>
      <c r="K109">
        <f t="shared" ref="K109:R122" si="18">K108</f>
        <v>0</v>
      </c>
      <c r="L109">
        <f t="shared" si="18"/>
        <v>0</v>
      </c>
      <c r="M109">
        <f t="shared" si="18"/>
        <v>0</v>
      </c>
      <c r="N109">
        <f t="shared" si="18"/>
        <v>0</v>
      </c>
      <c r="O109">
        <f t="shared" si="18"/>
        <v>0</v>
      </c>
      <c r="P109">
        <f t="shared" si="18"/>
        <v>0</v>
      </c>
      <c r="Q109">
        <f t="shared" si="18"/>
        <v>0</v>
      </c>
      <c r="R109">
        <f t="shared" si="18"/>
        <v>0</v>
      </c>
      <c r="T109">
        <f>T108</f>
        <v>0</v>
      </c>
      <c r="U109">
        <f t="shared" ref="U109:X122" si="19">U108</f>
        <v>0</v>
      </c>
      <c r="V109">
        <f t="shared" si="19"/>
        <v>0</v>
      </c>
      <c r="W109">
        <f t="shared" si="19"/>
        <v>0</v>
      </c>
      <c r="X109">
        <f t="shared" si="19"/>
        <v>0</v>
      </c>
      <c r="AD109" s="58"/>
      <c r="AE109" s="14"/>
      <c r="AF109" s="16"/>
      <c r="AG109" s="16"/>
      <c r="AH109" s="16"/>
      <c r="AI109" s="16"/>
      <c r="AJ109" s="16"/>
      <c r="AK109" s="16"/>
      <c r="AL109" s="16"/>
      <c r="AM109" s="16"/>
      <c r="AN109" s="16"/>
      <c r="AO109" s="16"/>
      <c r="AP109" s="16"/>
      <c r="AQ109" s="16"/>
    </row>
    <row r="110" spans="2:43" x14ac:dyDescent="0.25">
      <c r="C110" t="s">
        <v>995</v>
      </c>
      <c r="D110" t="s">
        <v>805</v>
      </c>
      <c r="E110">
        <f t="shared" ref="E110:H122" si="20">E109</f>
        <v>0</v>
      </c>
      <c r="F110">
        <f t="shared" si="20"/>
        <v>0</v>
      </c>
      <c r="G110">
        <f t="shared" si="20"/>
        <v>0</v>
      </c>
      <c r="H110">
        <f t="shared" si="20"/>
        <v>1.5250000000000001</v>
      </c>
      <c r="I110">
        <f t="shared" si="17"/>
        <v>0</v>
      </c>
      <c r="J110">
        <f>SUM(L96:L99)</f>
        <v>0</v>
      </c>
      <c r="K110">
        <f t="shared" si="18"/>
        <v>0</v>
      </c>
      <c r="L110">
        <f t="shared" si="18"/>
        <v>0</v>
      </c>
      <c r="M110">
        <f t="shared" si="18"/>
        <v>0</v>
      </c>
      <c r="N110">
        <f t="shared" si="18"/>
        <v>0</v>
      </c>
      <c r="O110">
        <f t="shared" si="18"/>
        <v>0</v>
      </c>
      <c r="P110">
        <f t="shared" si="18"/>
        <v>0</v>
      </c>
      <c r="Q110">
        <f t="shared" si="18"/>
        <v>0</v>
      </c>
      <c r="R110">
        <f t="shared" si="18"/>
        <v>0</v>
      </c>
      <c r="T110">
        <f t="shared" ref="T110:T122" si="21">T109</f>
        <v>0</v>
      </c>
      <c r="U110">
        <f t="shared" si="19"/>
        <v>0</v>
      </c>
      <c r="V110">
        <f t="shared" si="19"/>
        <v>0</v>
      </c>
      <c r="W110">
        <f t="shared" si="19"/>
        <v>0</v>
      </c>
      <c r="X110">
        <f t="shared" si="19"/>
        <v>0</v>
      </c>
      <c r="AD110" s="58"/>
      <c r="AE110" s="14"/>
      <c r="AF110" s="14"/>
      <c r="AG110" s="14"/>
      <c r="AH110" s="14"/>
      <c r="AI110" s="14"/>
      <c r="AJ110" s="14"/>
      <c r="AK110" s="14"/>
      <c r="AL110" s="14"/>
      <c r="AM110" s="14"/>
      <c r="AN110" s="14"/>
      <c r="AO110" s="14"/>
      <c r="AP110" s="14"/>
      <c r="AQ110" s="14"/>
    </row>
    <row r="111" spans="2:43" x14ac:dyDescent="0.25">
      <c r="C111" t="s">
        <v>996</v>
      </c>
      <c r="D111" t="s">
        <v>805</v>
      </c>
      <c r="E111">
        <f t="shared" si="20"/>
        <v>0</v>
      </c>
      <c r="F111">
        <f t="shared" si="20"/>
        <v>0</v>
      </c>
      <c r="G111">
        <f t="shared" si="20"/>
        <v>0</v>
      </c>
      <c r="H111">
        <f t="shared" si="20"/>
        <v>1.5250000000000001</v>
      </c>
      <c r="I111">
        <f t="shared" si="17"/>
        <v>0</v>
      </c>
      <c r="J111">
        <f>L100</f>
        <v>0</v>
      </c>
      <c r="K111">
        <f t="shared" si="18"/>
        <v>0</v>
      </c>
      <c r="L111">
        <f t="shared" si="18"/>
        <v>0</v>
      </c>
      <c r="M111">
        <f t="shared" si="18"/>
        <v>0</v>
      </c>
      <c r="N111">
        <f t="shared" si="18"/>
        <v>0</v>
      </c>
      <c r="O111">
        <f t="shared" si="18"/>
        <v>0</v>
      </c>
      <c r="P111">
        <f t="shared" si="18"/>
        <v>0</v>
      </c>
      <c r="Q111">
        <f t="shared" si="18"/>
        <v>0</v>
      </c>
      <c r="R111">
        <f t="shared" si="18"/>
        <v>0</v>
      </c>
      <c r="T111">
        <f t="shared" si="21"/>
        <v>0</v>
      </c>
      <c r="U111">
        <f t="shared" si="19"/>
        <v>0</v>
      </c>
      <c r="V111">
        <f t="shared" si="19"/>
        <v>0</v>
      </c>
      <c r="W111">
        <f t="shared" si="19"/>
        <v>0</v>
      </c>
      <c r="X111">
        <f t="shared" si="19"/>
        <v>0</v>
      </c>
      <c r="AD111" s="58"/>
      <c r="AE111" s="14"/>
      <c r="AF111" s="14"/>
      <c r="AG111" s="14"/>
      <c r="AH111" s="14"/>
      <c r="AI111" s="14"/>
      <c r="AJ111" s="14"/>
      <c r="AK111" s="14"/>
      <c r="AL111" s="14"/>
      <c r="AM111" s="14"/>
      <c r="AN111" s="14"/>
      <c r="AO111" s="14"/>
      <c r="AP111" s="14"/>
      <c r="AQ111" s="14"/>
    </row>
    <row r="112" spans="2:43" x14ac:dyDescent="0.25">
      <c r="C112" t="s">
        <v>997</v>
      </c>
      <c r="D112" t="s">
        <v>805</v>
      </c>
      <c r="E112">
        <f t="shared" si="20"/>
        <v>0</v>
      </c>
      <c r="F112">
        <f t="shared" si="20"/>
        <v>0</v>
      </c>
      <c r="G112">
        <f t="shared" si="20"/>
        <v>0</v>
      </c>
      <c r="H112">
        <f t="shared" si="20"/>
        <v>1.5250000000000001</v>
      </c>
      <c r="I112">
        <f>(E112*(1+F112)+G112)*(H112+1)</f>
        <v>0</v>
      </c>
      <c r="J112">
        <f>L101</f>
        <v>0</v>
      </c>
      <c r="K112">
        <f t="shared" si="18"/>
        <v>0</v>
      </c>
      <c r="L112">
        <f t="shared" si="18"/>
        <v>0</v>
      </c>
      <c r="M112">
        <f t="shared" si="18"/>
        <v>0</v>
      </c>
      <c r="N112">
        <f t="shared" si="18"/>
        <v>0</v>
      </c>
      <c r="O112">
        <f t="shared" si="18"/>
        <v>0</v>
      </c>
      <c r="P112">
        <f t="shared" si="18"/>
        <v>0</v>
      </c>
      <c r="Q112">
        <f t="shared" si="18"/>
        <v>0</v>
      </c>
      <c r="R112">
        <f t="shared" si="18"/>
        <v>0</v>
      </c>
      <c r="T112">
        <f t="shared" si="21"/>
        <v>0</v>
      </c>
      <c r="U112">
        <f t="shared" si="19"/>
        <v>0</v>
      </c>
      <c r="V112">
        <f t="shared" si="19"/>
        <v>0</v>
      </c>
      <c r="W112">
        <f t="shared" si="19"/>
        <v>0</v>
      </c>
      <c r="X112">
        <f t="shared" si="19"/>
        <v>0</v>
      </c>
      <c r="AD112" s="58"/>
    </row>
    <row r="113" spans="1:45" x14ac:dyDescent="0.25">
      <c r="C113" t="s">
        <v>998</v>
      </c>
      <c r="D113" t="s">
        <v>805</v>
      </c>
      <c r="E113">
        <f t="shared" si="20"/>
        <v>0</v>
      </c>
      <c r="F113">
        <f t="shared" si="20"/>
        <v>0</v>
      </c>
      <c r="G113">
        <f t="shared" si="20"/>
        <v>0</v>
      </c>
      <c r="H113">
        <f t="shared" si="20"/>
        <v>1.5250000000000001</v>
      </c>
      <c r="I113">
        <f t="shared" ref="I113:I122" si="22">(E113*(1+F113)+G113)*(H113+1)</f>
        <v>0</v>
      </c>
      <c r="J113">
        <f>L102</f>
        <v>0</v>
      </c>
      <c r="K113">
        <f t="shared" si="18"/>
        <v>0</v>
      </c>
      <c r="L113">
        <f t="shared" si="18"/>
        <v>0</v>
      </c>
      <c r="M113">
        <f t="shared" si="18"/>
        <v>0</v>
      </c>
      <c r="N113">
        <f t="shared" si="18"/>
        <v>0</v>
      </c>
      <c r="O113">
        <f t="shared" si="18"/>
        <v>0</v>
      </c>
      <c r="P113">
        <f t="shared" si="18"/>
        <v>0</v>
      </c>
      <c r="Q113">
        <f t="shared" si="18"/>
        <v>0</v>
      </c>
      <c r="R113">
        <f t="shared" si="18"/>
        <v>0</v>
      </c>
      <c r="T113">
        <f t="shared" si="21"/>
        <v>0</v>
      </c>
      <c r="U113">
        <f t="shared" si="19"/>
        <v>0</v>
      </c>
      <c r="V113">
        <f t="shared" si="19"/>
        <v>0</v>
      </c>
      <c r="W113">
        <f t="shared" si="19"/>
        <v>0</v>
      </c>
      <c r="X113">
        <f t="shared" si="19"/>
        <v>0</v>
      </c>
      <c r="AD113" s="58"/>
    </row>
    <row r="114" spans="1:45" x14ac:dyDescent="0.25">
      <c r="D114" t="s">
        <v>805</v>
      </c>
      <c r="E114">
        <f t="shared" si="20"/>
        <v>0</v>
      </c>
      <c r="F114">
        <f t="shared" si="20"/>
        <v>0</v>
      </c>
      <c r="G114">
        <f t="shared" si="20"/>
        <v>0</v>
      </c>
      <c r="H114">
        <f t="shared" si="20"/>
        <v>1.5250000000000001</v>
      </c>
      <c r="I114">
        <f t="shared" si="22"/>
        <v>0</v>
      </c>
      <c r="K114">
        <f t="shared" si="18"/>
        <v>0</v>
      </c>
      <c r="L114">
        <f t="shared" si="18"/>
        <v>0</v>
      </c>
      <c r="M114">
        <f t="shared" si="18"/>
        <v>0</v>
      </c>
      <c r="N114">
        <f t="shared" si="18"/>
        <v>0</v>
      </c>
      <c r="O114">
        <f t="shared" si="18"/>
        <v>0</v>
      </c>
      <c r="P114">
        <f t="shared" si="18"/>
        <v>0</v>
      </c>
      <c r="Q114">
        <f t="shared" si="18"/>
        <v>0</v>
      </c>
      <c r="R114">
        <f t="shared" si="18"/>
        <v>0</v>
      </c>
      <c r="T114">
        <f t="shared" si="21"/>
        <v>0</v>
      </c>
      <c r="U114">
        <f t="shared" si="19"/>
        <v>0</v>
      </c>
      <c r="V114">
        <f t="shared" si="19"/>
        <v>0</v>
      </c>
      <c r="W114">
        <f t="shared" si="19"/>
        <v>0</v>
      </c>
      <c r="X114">
        <f t="shared" si="19"/>
        <v>0</v>
      </c>
      <c r="AD114" s="58"/>
      <c r="AE114" s="14" t="s">
        <v>649</v>
      </c>
    </row>
    <row r="115" spans="1:45" x14ac:dyDescent="0.25">
      <c r="D115" t="s">
        <v>805</v>
      </c>
      <c r="E115">
        <f t="shared" si="20"/>
        <v>0</v>
      </c>
      <c r="F115">
        <f t="shared" si="20"/>
        <v>0</v>
      </c>
      <c r="G115">
        <f t="shared" si="20"/>
        <v>0</v>
      </c>
      <c r="H115">
        <f t="shared" si="20"/>
        <v>1.5250000000000001</v>
      </c>
      <c r="I115">
        <f t="shared" si="22"/>
        <v>0</v>
      </c>
      <c r="K115">
        <f t="shared" si="18"/>
        <v>0</v>
      </c>
      <c r="L115">
        <f t="shared" si="18"/>
        <v>0</v>
      </c>
      <c r="M115">
        <f t="shared" si="18"/>
        <v>0</v>
      </c>
      <c r="N115">
        <f t="shared" si="18"/>
        <v>0</v>
      </c>
      <c r="O115">
        <f t="shared" si="18"/>
        <v>0</v>
      </c>
      <c r="P115">
        <f t="shared" si="18"/>
        <v>0</v>
      </c>
      <c r="Q115">
        <f t="shared" si="18"/>
        <v>0</v>
      </c>
      <c r="R115">
        <f t="shared" si="18"/>
        <v>0</v>
      </c>
      <c r="T115">
        <f t="shared" si="21"/>
        <v>0</v>
      </c>
      <c r="U115">
        <f t="shared" si="19"/>
        <v>0</v>
      </c>
      <c r="V115">
        <f t="shared" si="19"/>
        <v>0</v>
      </c>
      <c r="W115">
        <f t="shared" si="19"/>
        <v>0</v>
      </c>
      <c r="X115">
        <f t="shared" si="19"/>
        <v>0</v>
      </c>
      <c r="AD115" s="58"/>
      <c r="AF115" s="60"/>
      <c r="AG115" s="60"/>
      <c r="AH115" s="60"/>
      <c r="AI115" s="60"/>
      <c r="AJ115" s="60"/>
      <c r="AK115" s="60"/>
      <c r="AL115" s="60"/>
      <c r="AM115" s="60"/>
      <c r="AN115" s="60"/>
      <c r="AO115" s="60"/>
      <c r="AP115" s="60"/>
      <c r="AQ115" s="60"/>
    </row>
    <row r="116" spans="1:45" x14ac:dyDescent="0.25">
      <c r="D116" t="s">
        <v>805</v>
      </c>
      <c r="E116">
        <f t="shared" si="20"/>
        <v>0</v>
      </c>
      <c r="F116">
        <f t="shared" si="20"/>
        <v>0</v>
      </c>
      <c r="G116">
        <f t="shared" si="20"/>
        <v>0</v>
      </c>
      <c r="H116">
        <f t="shared" si="20"/>
        <v>1.5250000000000001</v>
      </c>
      <c r="I116">
        <f t="shared" si="22"/>
        <v>0</v>
      </c>
      <c r="K116">
        <f t="shared" si="18"/>
        <v>0</v>
      </c>
      <c r="L116">
        <f t="shared" si="18"/>
        <v>0</v>
      </c>
      <c r="M116">
        <f t="shared" si="18"/>
        <v>0</v>
      </c>
      <c r="N116">
        <f t="shared" si="18"/>
        <v>0</v>
      </c>
      <c r="O116">
        <f t="shared" si="18"/>
        <v>0</v>
      </c>
      <c r="P116">
        <f t="shared" si="18"/>
        <v>0</v>
      </c>
      <c r="Q116">
        <f t="shared" si="18"/>
        <v>0</v>
      </c>
      <c r="R116">
        <f t="shared" si="18"/>
        <v>0</v>
      </c>
      <c r="T116">
        <f t="shared" si="21"/>
        <v>0</v>
      </c>
      <c r="U116">
        <f t="shared" si="19"/>
        <v>0</v>
      </c>
      <c r="V116">
        <f t="shared" si="19"/>
        <v>0</v>
      </c>
      <c r="W116">
        <f t="shared" si="19"/>
        <v>0</v>
      </c>
      <c r="X116">
        <f t="shared" si="19"/>
        <v>0</v>
      </c>
      <c r="AD116" s="58"/>
      <c r="AE116" s="14"/>
      <c r="AF116" s="14"/>
      <c r="AG116" s="14"/>
      <c r="AH116" s="14"/>
      <c r="AI116" s="14"/>
      <c r="AJ116" s="14"/>
      <c r="AK116" s="14"/>
      <c r="AL116" s="14"/>
      <c r="AM116" s="14"/>
      <c r="AN116" s="14"/>
      <c r="AO116" s="14"/>
      <c r="AP116" s="14"/>
      <c r="AQ116" s="14"/>
    </row>
    <row r="117" spans="1:45" x14ac:dyDescent="0.25">
      <c r="D117" t="s">
        <v>805</v>
      </c>
      <c r="E117">
        <f t="shared" si="20"/>
        <v>0</v>
      </c>
      <c r="F117">
        <f t="shared" si="20"/>
        <v>0</v>
      </c>
      <c r="G117">
        <f t="shared" si="20"/>
        <v>0</v>
      </c>
      <c r="H117">
        <f t="shared" si="20"/>
        <v>1.5250000000000001</v>
      </c>
      <c r="I117">
        <f t="shared" si="22"/>
        <v>0</v>
      </c>
      <c r="K117">
        <f t="shared" si="18"/>
        <v>0</v>
      </c>
      <c r="L117">
        <f t="shared" si="18"/>
        <v>0</v>
      </c>
      <c r="M117">
        <f t="shared" si="18"/>
        <v>0</v>
      </c>
      <c r="N117">
        <f t="shared" si="18"/>
        <v>0</v>
      </c>
      <c r="O117">
        <f t="shared" si="18"/>
        <v>0</v>
      </c>
      <c r="P117">
        <f t="shared" si="18"/>
        <v>0</v>
      </c>
      <c r="Q117">
        <f t="shared" si="18"/>
        <v>0</v>
      </c>
      <c r="R117">
        <f t="shared" si="18"/>
        <v>0</v>
      </c>
      <c r="T117">
        <f t="shared" si="21"/>
        <v>0</v>
      </c>
      <c r="U117">
        <f t="shared" si="19"/>
        <v>0</v>
      </c>
      <c r="V117">
        <f t="shared" si="19"/>
        <v>0</v>
      </c>
      <c r="W117">
        <f t="shared" si="19"/>
        <v>0</v>
      </c>
      <c r="X117">
        <f t="shared" si="19"/>
        <v>0</v>
      </c>
      <c r="AD117" s="58"/>
      <c r="AE117" s="14"/>
      <c r="AF117" s="16"/>
      <c r="AG117" s="16"/>
      <c r="AH117" s="16"/>
      <c r="AI117" s="16"/>
      <c r="AJ117" s="16"/>
      <c r="AK117" s="16"/>
      <c r="AL117" s="16"/>
      <c r="AM117" s="16"/>
      <c r="AN117" s="16"/>
      <c r="AO117" s="16"/>
      <c r="AP117" s="16"/>
      <c r="AQ117" s="16"/>
    </row>
    <row r="118" spans="1:45" x14ac:dyDescent="0.25">
      <c r="D118" t="s">
        <v>805</v>
      </c>
      <c r="E118">
        <f t="shared" si="20"/>
        <v>0</v>
      </c>
      <c r="F118">
        <f t="shared" si="20"/>
        <v>0</v>
      </c>
      <c r="G118">
        <f t="shared" si="20"/>
        <v>0</v>
      </c>
      <c r="H118">
        <f t="shared" si="20"/>
        <v>1.5250000000000001</v>
      </c>
      <c r="I118">
        <f t="shared" si="22"/>
        <v>0</v>
      </c>
      <c r="K118">
        <f t="shared" si="18"/>
        <v>0</v>
      </c>
      <c r="L118">
        <f t="shared" si="18"/>
        <v>0</v>
      </c>
      <c r="M118">
        <f t="shared" si="18"/>
        <v>0</v>
      </c>
      <c r="N118">
        <f t="shared" si="18"/>
        <v>0</v>
      </c>
      <c r="O118">
        <f t="shared" si="18"/>
        <v>0</v>
      </c>
      <c r="P118">
        <f t="shared" si="18"/>
        <v>0</v>
      </c>
      <c r="Q118">
        <f t="shared" si="18"/>
        <v>0</v>
      </c>
      <c r="R118">
        <f t="shared" si="18"/>
        <v>0</v>
      </c>
      <c r="T118">
        <f t="shared" si="21"/>
        <v>0</v>
      </c>
      <c r="U118">
        <f t="shared" si="19"/>
        <v>0</v>
      </c>
      <c r="V118">
        <f t="shared" si="19"/>
        <v>0</v>
      </c>
      <c r="W118">
        <f t="shared" si="19"/>
        <v>0</v>
      </c>
      <c r="X118">
        <f t="shared" si="19"/>
        <v>0</v>
      </c>
      <c r="AD118" s="58"/>
      <c r="AE118" s="14"/>
      <c r="AF118" s="14"/>
      <c r="AG118" s="14"/>
      <c r="AH118" s="14"/>
      <c r="AI118" s="14"/>
      <c r="AJ118" s="14"/>
      <c r="AK118" s="14"/>
      <c r="AL118" s="14"/>
      <c r="AM118" s="14"/>
      <c r="AN118" s="14"/>
      <c r="AO118" s="14"/>
      <c r="AP118" s="14"/>
      <c r="AQ118" s="14"/>
    </row>
    <row r="119" spans="1:45" x14ac:dyDescent="0.25">
      <c r="D119" t="s">
        <v>805</v>
      </c>
      <c r="E119">
        <f t="shared" si="20"/>
        <v>0</v>
      </c>
      <c r="F119">
        <f t="shared" si="20"/>
        <v>0</v>
      </c>
      <c r="G119">
        <f t="shared" si="20"/>
        <v>0</v>
      </c>
      <c r="H119">
        <f t="shared" si="20"/>
        <v>1.5250000000000001</v>
      </c>
      <c r="I119">
        <f t="shared" si="22"/>
        <v>0</v>
      </c>
      <c r="K119">
        <f t="shared" si="18"/>
        <v>0</v>
      </c>
      <c r="L119">
        <f t="shared" si="18"/>
        <v>0</v>
      </c>
      <c r="M119">
        <f t="shared" si="18"/>
        <v>0</v>
      </c>
      <c r="N119">
        <f t="shared" si="18"/>
        <v>0</v>
      </c>
      <c r="O119">
        <f t="shared" si="18"/>
        <v>0</v>
      </c>
      <c r="P119">
        <f t="shared" si="18"/>
        <v>0</v>
      </c>
      <c r="Q119">
        <f t="shared" si="18"/>
        <v>0</v>
      </c>
      <c r="R119">
        <f t="shared" si="18"/>
        <v>0</v>
      </c>
      <c r="T119">
        <f t="shared" si="21"/>
        <v>0</v>
      </c>
      <c r="U119">
        <f t="shared" si="19"/>
        <v>0</v>
      </c>
      <c r="V119">
        <f t="shared" si="19"/>
        <v>0</v>
      </c>
      <c r="W119">
        <f t="shared" si="19"/>
        <v>0</v>
      </c>
      <c r="X119">
        <f t="shared" si="19"/>
        <v>0</v>
      </c>
      <c r="AD119" s="58"/>
      <c r="AE119" s="14"/>
      <c r="AF119" s="16"/>
      <c r="AG119" s="16"/>
      <c r="AH119" s="16"/>
      <c r="AI119" s="16"/>
      <c r="AJ119" s="16"/>
      <c r="AK119" s="16"/>
      <c r="AL119" s="16"/>
      <c r="AM119" s="16"/>
      <c r="AN119" s="16"/>
      <c r="AO119" s="16"/>
      <c r="AP119" s="16"/>
      <c r="AQ119" s="16"/>
    </row>
    <row r="120" spans="1:45" x14ac:dyDescent="0.25">
      <c r="D120" t="s">
        <v>805</v>
      </c>
      <c r="E120">
        <f t="shared" si="20"/>
        <v>0</v>
      </c>
      <c r="F120">
        <f t="shared" si="20"/>
        <v>0</v>
      </c>
      <c r="G120">
        <f t="shared" si="20"/>
        <v>0</v>
      </c>
      <c r="H120">
        <f t="shared" si="20"/>
        <v>1.5250000000000001</v>
      </c>
      <c r="I120">
        <f t="shared" si="22"/>
        <v>0</v>
      </c>
      <c r="K120">
        <f t="shared" si="18"/>
        <v>0</v>
      </c>
      <c r="L120">
        <f t="shared" si="18"/>
        <v>0</v>
      </c>
      <c r="M120">
        <f t="shared" si="18"/>
        <v>0</v>
      </c>
      <c r="N120">
        <f t="shared" si="18"/>
        <v>0</v>
      </c>
      <c r="O120">
        <f t="shared" si="18"/>
        <v>0</v>
      </c>
      <c r="P120">
        <f t="shared" si="18"/>
        <v>0</v>
      </c>
      <c r="Q120">
        <f t="shared" si="18"/>
        <v>0</v>
      </c>
      <c r="R120">
        <f t="shared" si="18"/>
        <v>0</v>
      </c>
      <c r="T120">
        <f t="shared" si="21"/>
        <v>0</v>
      </c>
      <c r="U120">
        <f t="shared" si="19"/>
        <v>0</v>
      </c>
      <c r="V120">
        <f t="shared" si="19"/>
        <v>0</v>
      </c>
      <c r="W120">
        <f t="shared" si="19"/>
        <v>0</v>
      </c>
      <c r="X120">
        <f t="shared" si="19"/>
        <v>0</v>
      </c>
      <c r="AD120" s="58"/>
      <c r="AE120" s="14"/>
      <c r="AF120" s="16"/>
      <c r="AG120" s="16"/>
      <c r="AH120" s="16"/>
      <c r="AI120" s="16"/>
      <c r="AJ120" s="16"/>
      <c r="AK120" s="16"/>
      <c r="AL120" s="16"/>
      <c r="AM120" s="16"/>
      <c r="AN120" s="16"/>
      <c r="AO120" s="16"/>
      <c r="AP120" s="16"/>
      <c r="AQ120" s="16"/>
    </row>
    <row r="121" spans="1:45" s="86" customFormat="1" x14ac:dyDescent="0.25">
      <c r="A121"/>
      <c r="B121"/>
      <c r="C121"/>
      <c r="D121" t="s">
        <v>805</v>
      </c>
      <c r="E121">
        <f t="shared" si="20"/>
        <v>0</v>
      </c>
      <c r="F121">
        <f t="shared" si="20"/>
        <v>0</v>
      </c>
      <c r="G121">
        <f t="shared" si="20"/>
        <v>0</v>
      </c>
      <c r="H121">
        <f t="shared" si="20"/>
        <v>1.5250000000000001</v>
      </c>
      <c r="I121">
        <f t="shared" si="22"/>
        <v>0</v>
      </c>
      <c r="J121"/>
      <c r="K121">
        <f t="shared" si="18"/>
        <v>0</v>
      </c>
      <c r="L121">
        <f t="shared" si="18"/>
        <v>0</v>
      </c>
      <c r="M121">
        <f t="shared" si="18"/>
        <v>0</v>
      </c>
      <c r="N121">
        <f t="shared" si="18"/>
        <v>0</v>
      </c>
      <c r="O121">
        <f t="shared" si="18"/>
        <v>0</v>
      </c>
      <c r="P121">
        <f t="shared" si="18"/>
        <v>0</v>
      </c>
      <c r="Q121">
        <f t="shared" si="18"/>
        <v>0</v>
      </c>
      <c r="R121">
        <f t="shared" si="18"/>
        <v>0</v>
      </c>
      <c r="S121"/>
      <c r="T121">
        <f t="shared" si="21"/>
        <v>0</v>
      </c>
      <c r="U121">
        <f t="shared" si="19"/>
        <v>0</v>
      </c>
      <c r="V121">
        <f t="shared" si="19"/>
        <v>0</v>
      </c>
      <c r="W121">
        <f t="shared" si="19"/>
        <v>0</v>
      </c>
      <c r="X121">
        <f t="shared" si="19"/>
        <v>0</v>
      </c>
      <c r="Y121"/>
      <c r="Z121"/>
      <c r="AA121"/>
      <c r="AB121"/>
      <c r="AC121"/>
      <c r="AD121" s="58"/>
      <c r="AE121" s="14"/>
      <c r="AF121" s="14"/>
      <c r="AG121" s="14"/>
      <c r="AH121" s="14"/>
      <c r="AI121" s="14"/>
      <c r="AJ121" s="14"/>
      <c r="AK121" s="14"/>
      <c r="AL121" s="14"/>
      <c r="AM121" s="14"/>
      <c r="AN121" s="14"/>
      <c r="AO121" s="14"/>
      <c r="AP121" s="14"/>
      <c r="AQ121" s="14"/>
      <c r="AR121"/>
      <c r="AS121"/>
    </row>
    <row r="122" spans="1:45" x14ac:dyDescent="0.25">
      <c r="D122" t="s">
        <v>805</v>
      </c>
      <c r="E122">
        <f t="shared" si="20"/>
        <v>0</v>
      </c>
      <c r="F122">
        <f t="shared" si="20"/>
        <v>0</v>
      </c>
      <c r="G122">
        <f t="shared" si="20"/>
        <v>0</v>
      </c>
      <c r="H122">
        <f t="shared" si="20"/>
        <v>1.5250000000000001</v>
      </c>
      <c r="I122">
        <f t="shared" si="22"/>
        <v>0</v>
      </c>
      <c r="K122">
        <f t="shared" si="18"/>
        <v>0</v>
      </c>
      <c r="L122">
        <f t="shared" si="18"/>
        <v>0</v>
      </c>
      <c r="M122">
        <f t="shared" si="18"/>
        <v>0</v>
      </c>
      <c r="N122">
        <f t="shared" si="18"/>
        <v>0</v>
      </c>
      <c r="O122">
        <f t="shared" si="18"/>
        <v>0</v>
      </c>
      <c r="P122">
        <f t="shared" si="18"/>
        <v>0</v>
      </c>
      <c r="Q122">
        <f t="shared" si="18"/>
        <v>0</v>
      </c>
      <c r="R122">
        <f t="shared" si="18"/>
        <v>0</v>
      </c>
      <c r="T122">
        <f t="shared" si="21"/>
        <v>0</v>
      </c>
      <c r="U122">
        <f t="shared" si="19"/>
        <v>0</v>
      </c>
      <c r="V122">
        <f t="shared" si="19"/>
        <v>0</v>
      </c>
      <c r="W122">
        <f t="shared" si="19"/>
        <v>0</v>
      </c>
      <c r="X122">
        <f t="shared" si="19"/>
        <v>0</v>
      </c>
      <c r="AD122" s="58"/>
      <c r="AE122" s="14"/>
      <c r="AF122" s="14"/>
      <c r="AG122" s="14"/>
      <c r="AH122" s="14"/>
      <c r="AI122" s="14"/>
      <c r="AJ122" s="14"/>
      <c r="AK122" s="14"/>
      <c r="AL122" s="14"/>
      <c r="AM122" s="14"/>
      <c r="AN122" s="14"/>
      <c r="AO122" s="14"/>
      <c r="AP122" s="14"/>
      <c r="AQ122" s="14"/>
    </row>
    <row r="123" spans="1:45" x14ac:dyDescent="0.25">
      <c r="C123" t="s">
        <v>805</v>
      </c>
      <c r="S123" s="17"/>
      <c r="T123" s="17"/>
      <c r="U123" s="17"/>
      <c r="V123" s="17"/>
      <c r="W123" s="17"/>
      <c r="X123" s="17"/>
      <c r="Y123" s="17"/>
      <c r="Z123" s="17"/>
      <c r="AD123" s="58"/>
    </row>
    <row r="124" spans="1:45" x14ac:dyDescent="0.25">
      <c r="C124" t="s">
        <v>805</v>
      </c>
      <c r="AD124" s="58"/>
      <c r="AE124" s="86"/>
      <c r="AF124" s="86"/>
      <c r="AG124" s="86"/>
      <c r="AH124" s="86"/>
      <c r="AI124" s="86"/>
      <c r="AJ124" s="86"/>
      <c r="AK124" s="86"/>
      <c r="AL124" s="86"/>
      <c r="AM124" s="86"/>
      <c r="AN124" s="86"/>
      <c r="AO124" s="86"/>
      <c r="AP124" s="86"/>
      <c r="AQ124" s="86"/>
    </row>
    <row r="125" spans="1:45" x14ac:dyDescent="0.25">
      <c r="C125" t="s">
        <v>805</v>
      </c>
      <c r="AA125" s="86"/>
      <c r="AB125" s="86"/>
      <c r="AC125" s="86"/>
      <c r="AD125" s="58"/>
    </row>
    <row r="126" spans="1:45" x14ac:dyDescent="0.25">
      <c r="C126" t="s">
        <v>805</v>
      </c>
      <c r="AD126" s="58"/>
    </row>
    <row r="127" spans="1:45" x14ac:dyDescent="0.25">
      <c r="A127" s="86"/>
      <c r="C127" t="s">
        <v>805</v>
      </c>
      <c r="D127" s="12"/>
      <c r="AD127" s="77"/>
    </row>
    <row r="128" spans="1:45" x14ac:dyDescent="0.25">
      <c r="C128" t="s">
        <v>805</v>
      </c>
      <c r="D128" s="12"/>
      <c r="AD128" s="58"/>
    </row>
    <row r="129" spans="3:30" x14ac:dyDescent="0.25">
      <c r="C129" t="s">
        <v>805</v>
      </c>
      <c r="D129" s="12"/>
      <c r="P129" s="68"/>
      <c r="AD129" s="58"/>
    </row>
    <row r="130" spans="3:30" x14ac:dyDescent="0.25">
      <c r="C130" t="s">
        <v>805</v>
      </c>
      <c r="D130" s="22"/>
      <c r="AD130" s="58"/>
    </row>
    <row r="131" spans="3:30" x14ac:dyDescent="0.25">
      <c r="C131" t="s">
        <v>805</v>
      </c>
      <c r="AD131" s="58"/>
    </row>
    <row r="132" spans="3:30" x14ac:dyDescent="0.25">
      <c r="C132" t="s">
        <v>805</v>
      </c>
      <c r="D132" s="12"/>
      <c r="AD132" s="77"/>
    </row>
    <row r="133" spans="3:30" x14ac:dyDescent="0.25">
      <c r="C133" t="s">
        <v>805</v>
      </c>
      <c r="D133" s="12"/>
      <c r="AD133" s="58"/>
    </row>
    <row r="134" spans="3:30" x14ac:dyDescent="0.25">
      <c r="C134" t="s">
        <v>805</v>
      </c>
      <c r="D134" s="12"/>
      <c r="P134" s="68"/>
      <c r="AD134" s="58"/>
    </row>
    <row r="135" spans="3:30" x14ac:dyDescent="0.25">
      <c r="C135" t="s">
        <v>805</v>
      </c>
      <c r="D135" s="22"/>
      <c r="AD135" s="58"/>
    </row>
    <row r="136" spans="3:30" x14ac:dyDescent="0.25">
      <c r="AD136" s="58"/>
    </row>
    <row r="137" spans="3:30" x14ac:dyDescent="0.25">
      <c r="AD137" s="58"/>
    </row>
    <row r="138" spans="3:30" x14ac:dyDescent="0.25">
      <c r="AD138" s="58"/>
    </row>
  </sheetData>
  <phoneticPr fontId="1"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promptTitle="注意" prompt="输入完整装备名_x000a_·壹型之类的全部替换成一_x000a_50型前缀省略" xr:uid="{5DAFCD11-445F-4D50-B346-F2C09B413A47}">
          <x14:formula1>
            <xm:f>护甲库!$A:$A</xm:f>
          </x14:formula1>
          <xm:sqref>D85 D47 D10 F64</xm:sqref>
        </x14:dataValidation>
        <x14:dataValidation type="list" allowBlank="1" showInputMessage="1" showErrorMessage="1" promptTitle="注意" prompt="输入完整装备名_x000a_·壹型之类的全部替换成一_x000a_50型前缀省略" xr:uid="{047E353B-1E66-4293-B606-8D926E032084}">
          <x14:formula1>
            <xm:f>护手库!$A:$A</xm:f>
          </x14:formula1>
          <xm:sqref>E85 E47 E10 G64</xm:sqref>
        </x14:dataValidation>
        <x14:dataValidation type="list" allowBlank="1" showInputMessage="1" showErrorMessage="1" promptTitle="注意" prompt="输入完整装备名_x000a_·壹型之类的全部替换成一_x000a_50型前缀省略" xr:uid="{FA7D521F-D9AB-4CF8-BE35-164E0F0F0B22}">
          <x14:formula1>
            <xm:f>配件库!$A:$A</xm:f>
          </x14:formula1>
          <xm:sqref>F85:G85 F10:G10 F47:G47 H64:I64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FDD48-55A3-45F0-A40E-F1AEF1548B55}">
  <sheetPr codeName="Sheet18"/>
  <dimension ref="A1:AS477"/>
  <sheetViews>
    <sheetView tabSelected="1" topLeftCell="A362" zoomScale="85" zoomScaleNormal="85" workbookViewId="0">
      <selection activeCell="D377" sqref="D377"/>
    </sheetView>
  </sheetViews>
  <sheetFormatPr defaultRowHeight="13.8" x14ac:dyDescent="0.25"/>
  <cols>
    <col min="1" max="1" width="29.6640625" customWidth="1"/>
    <col min="2" max="2" width="22.88671875" customWidth="1"/>
    <col min="3" max="3" width="24.6640625" customWidth="1"/>
    <col min="4" max="4" width="26" customWidth="1"/>
    <col min="5" max="5" width="12.44140625" customWidth="1"/>
    <col min="6" max="6" width="10.6640625" customWidth="1"/>
    <col min="7" max="7" width="10.77734375" customWidth="1"/>
    <col min="8" max="8" width="10.88671875" customWidth="1"/>
    <col min="9" max="9" width="10.44140625" customWidth="1"/>
    <col min="10" max="10" width="22.21875" customWidth="1"/>
    <col min="11" max="11" width="15.77734375" customWidth="1"/>
    <col min="12" max="12" width="13.88671875" customWidth="1"/>
    <col min="13" max="13" width="15.6640625" customWidth="1"/>
    <col min="14" max="15" width="14.109375" customWidth="1"/>
    <col min="16" max="16" width="10.5546875" customWidth="1"/>
    <col min="17" max="17" width="21.5546875" customWidth="1"/>
    <col min="18" max="18" width="26.109375" customWidth="1"/>
    <col min="19" max="19" width="22.21875" hidden="1" customWidth="1"/>
    <col min="22" max="22" width="11.77734375" customWidth="1"/>
    <col min="23" max="23" width="20.88671875" customWidth="1"/>
    <col min="24" max="24" width="18.77734375" customWidth="1"/>
    <col min="30" max="30" width="8.88671875" style="58"/>
    <col min="31" max="31" width="30.77734375" customWidth="1"/>
  </cols>
  <sheetData>
    <row r="1" spans="2:43" x14ac:dyDescent="0.25">
      <c r="B1" t="s">
        <v>979</v>
      </c>
      <c r="C1" t="s">
        <v>980</v>
      </c>
      <c r="L1" t="s">
        <v>984</v>
      </c>
      <c r="M1" t="s">
        <v>985</v>
      </c>
      <c r="AF1" s="60"/>
      <c r="AG1" s="60"/>
      <c r="AH1" s="60"/>
      <c r="AI1" s="60"/>
      <c r="AJ1" s="60"/>
      <c r="AK1" s="60"/>
      <c r="AL1" s="60"/>
      <c r="AM1" s="60"/>
      <c r="AN1" s="60"/>
      <c r="AO1" s="60"/>
      <c r="AP1" s="60"/>
      <c r="AQ1" s="60"/>
    </row>
    <row r="2" spans="2:43" x14ac:dyDescent="0.25">
      <c r="C2" t="s">
        <v>981</v>
      </c>
      <c r="L2" t="s">
        <v>986</v>
      </c>
      <c r="M2" t="s">
        <v>987</v>
      </c>
    </row>
    <row r="3" spans="2:43" x14ac:dyDescent="0.25">
      <c r="C3" t="s">
        <v>982</v>
      </c>
    </row>
    <row r="4" spans="2:43" x14ac:dyDescent="0.25">
      <c r="C4" t="s">
        <v>983</v>
      </c>
    </row>
    <row r="6" spans="2:43" x14ac:dyDescent="0.25">
      <c r="B6" t="s">
        <v>700</v>
      </c>
      <c r="AF6" s="60">
        <v>1</v>
      </c>
      <c r="AG6" s="60">
        <v>2</v>
      </c>
      <c r="AH6" s="60">
        <v>3</v>
      </c>
      <c r="AI6" s="60">
        <v>4</v>
      </c>
      <c r="AJ6" s="60">
        <v>5</v>
      </c>
      <c r="AK6" s="60">
        <v>6</v>
      </c>
      <c r="AL6" s="60">
        <v>7</v>
      </c>
      <c r="AM6" s="60">
        <v>8</v>
      </c>
      <c r="AN6" s="60">
        <v>9</v>
      </c>
      <c r="AO6" s="60" t="s">
        <v>124</v>
      </c>
      <c r="AP6" s="60" t="s">
        <v>125</v>
      </c>
      <c r="AQ6" s="60" t="s">
        <v>126</v>
      </c>
    </row>
    <row r="7" spans="2:43" s="40" customFormat="1" ht="14.4" thickBot="1" x14ac:dyDescent="0.3">
      <c r="B7" s="21" t="s">
        <v>726</v>
      </c>
      <c r="AD7" s="59"/>
    </row>
    <row r="8" spans="2:43" x14ac:dyDescent="0.25">
      <c r="B8" s="25"/>
      <c r="C8" s="26" t="s">
        <v>75</v>
      </c>
      <c r="D8" s="26" t="s">
        <v>85</v>
      </c>
      <c r="E8" s="26" t="s">
        <v>86</v>
      </c>
      <c r="F8" s="26" t="s">
        <v>87</v>
      </c>
      <c r="G8" s="26" t="s">
        <v>88</v>
      </c>
      <c r="H8" s="26" t="s">
        <v>89</v>
      </c>
      <c r="I8" s="26" t="s">
        <v>192</v>
      </c>
      <c r="J8" s="83"/>
      <c r="Q8" s="25"/>
      <c r="R8" s="26"/>
      <c r="S8" s="27"/>
      <c r="AE8" s="43" t="s">
        <v>153</v>
      </c>
    </row>
    <row r="9" spans="2:43" x14ac:dyDescent="0.25">
      <c r="B9" s="28" t="s">
        <v>91</v>
      </c>
      <c r="C9" s="21" t="s">
        <v>741</v>
      </c>
      <c r="D9" s="21" t="s">
        <v>1222</v>
      </c>
      <c r="E9" s="21" t="s">
        <v>471</v>
      </c>
      <c r="F9" s="21" t="s">
        <v>1223</v>
      </c>
      <c r="G9" s="21" t="s">
        <v>543</v>
      </c>
      <c r="H9" t="str">
        <f>IF(COUNTIF(E9:G9,LEFT(D9,2)&amp;"*")&gt;=2,LEFT(D9,2),
IF(COUNTIF(F9:G9,LEFT(E9,2)&amp;"*")=2,LEFT(E9,2),
""))</f>
        <v>警用</v>
      </c>
      <c r="I9" s="21">
        <v>0</v>
      </c>
      <c r="J9" s="29"/>
      <c r="Q9" s="28"/>
      <c r="S9" s="29"/>
      <c r="AE9" s="60"/>
      <c r="AF9" s="60">
        <v>1</v>
      </c>
      <c r="AG9" s="60">
        <v>2</v>
      </c>
      <c r="AH9" s="60">
        <v>3</v>
      </c>
      <c r="AI9" s="60">
        <v>4</v>
      </c>
      <c r="AJ9" s="60">
        <v>5</v>
      </c>
      <c r="AK9" s="60">
        <v>6</v>
      </c>
      <c r="AL9" s="60">
        <v>7</v>
      </c>
      <c r="AM9" s="60">
        <v>8</v>
      </c>
      <c r="AN9" s="60">
        <v>9</v>
      </c>
      <c r="AO9" s="60" t="s">
        <v>124</v>
      </c>
      <c r="AP9" s="60" t="s">
        <v>125</v>
      </c>
      <c r="AQ9" s="60" t="s">
        <v>126</v>
      </c>
    </row>
    <row r="10" spans="2:43" x14ac:dyDescent="0.25">
      <c r="B10" s="28" t="s">
        <v>183</v>
      </c>
      <c r="D10" s="21">
        <v>3</v>
      </c>
      <c r="E10" s="21">
        <v>3</v>
      </c>
      <c r="F10" s="21">
        <v>3</v>
      </c>
      <c r="G10" s="21">
        <v>3</v>
      </c>
      <c r="J10" s="29"/>
      <c r="Q10" s="28"/>
      <c r="S10" s="29"/>
      <c r="AE10" s="14" t="s">
        <v>127</v>
      </c>
      <c r="AF10" s="16">
        <v>0.27</v>
      </c>
      <c r="AG10" s="16">
        <v>0.3</v>
      </c>
      <c r="AH10" s="16">
        <v>0.32</v>
      </c>
      <c r="AI10" s="16">
        <v>0.35</v>
      </c>
      <c r="AJ10" s="16">
        <v>0.38</v>
      </c>
      <c r="AK10" s="16">
        <v>0.41</v>
      </c>
      <c r="AL10" s="16">
        <v>0.43</v>
      </c>
      <c r="AM10" s="16">
        <v>0.46</v>
      </c>
      <c r="AN10" s="16">
        <v>0.49</v>
      </c>
      <c r="AO10" s="16">
        <v>0.52</v>
      </c>
      <c r="AP10" s="16">
        <v>0.56000000000000005</v>
      </c>
      <c r="AQ10" s="16">
        <v>0.61</v>
      </c>
    </row>
    <row r="11" spans="2:43" x14ac:dyDescent="0.25">
      <c r="B11" s="84" t="s">
        <v>97</v>
      </c>
      <c r="C11" t="str">
        <f>_xlfn.XLOOKUP(C9,武器库!$B:$B,武器库!$C:$C,"")</f>
        <v>敏捷+156</v>
      </c>
      <c r="D11" t="str">
        <f>VLOOKUP(D9,护甲库!$A:$M,2+D10*3,FALSE)</f>
        <v>敏捷113</v>
      </c>
      <c r="E11" t="str">
        <f>VLOOKUP(E9,护手库!$A:$M,2+E10*3,FALSE)</f>
        <v>敏捷84</v>
      </c>
      <c r="F11" t="str">
        <f>VLOOKUP(F9,配件库!$A:$M,2+F10*3,FALSE)</f>
        <v>敏捷41</v>
      </c>
      <c r="G11" t="str">
        <f>VLOOKUP(G9,配件库!$A:$M,2+G10*3,FALSE)</f>
        <v>意志41</v>
      </c>
      <c r="H11" s="11"/>
      <c r="J11" s="29"/>
      <c r="Q11" s="28"/>
      <c r="S11" s="29"/>
      <c r="AE11" s="14" t="s">
        <v>128</v>
      </c>
      <c r="AF11" s="16">
        <v>0.32</v>
      </c>
      <c r="AG11" s="16">
        <v>0.35</v>
      </c>
      <c r="AH11" s="16">
        <v>0.38</v>
      </c>
      <c r="AI11" s="16">
        <v>0.41</v>
      </c>
      <c r="AJ11" s="16">
        <v>0.44</v>
      </c>
      <c r="AK11" s="16">
        <v>0.47</v>
      </c>
      <c r="AL11" s="16">
        <v>0.5</v>
      </c>
      <c r="AM11" s="16">
        <v>0.54</v>
      </c>
      <c r="AN11" s="16">
        <v>0.56999999999999995</v>
      </c>
      <c r="AO11" s="16">
        <v>0.61</v>
      </c>
      <c r="AP11" s="16">
        <v>0.65</v>
      </c>
      <c r="AQ11" s="16">
        <v>0.71</v>
      </c>
    </row>
    <row r="12" spans="2:43" x14ac:dyDescent="0.25">
      <c r="B12" s="28" t="s">
        <v>98</v>
      </c>
      <c r="C12" s="43" t="str">
        <f>_xlfn.XLOOKUP(C9,武器库!$B:$B,武器库!$D:$D,"")</f>
        <v>暴击19.5</v>
      </c>
      <c r="D12" t="str">
        <f>VLOOKUP(D9,护甲库!$A:$M,3+D10*3,FALSE)</f>
        <v>智识75</v>
      </c>
      <c r="E12" t="str">
        <f>VLOOKUP(E9,护手库!$A:$M,3+E10*3,FALSE)</f>
        <v>智识55</v>
      </c>
      <c r="F12" t="str">
        <f>VLOOKUP(F9,配件库!$A:$M,3+F10*3,FALSE)</f>
        <v>智识27</v>
      </c>
      <c r="G12" t="str">
        <f>VLOOKUP(G9,配件库!$A:$M,3+G10*3,FALSE)</f>
        <v>智识27</v>
      </c>
      <c r="H12" s="9"/>
      <c r="J12" s="29"/>
      <c r="Q12" s="28"/>
      <c r="S12" s="29"/>
      <c r="AE12" s="14" t="s">
        <v>129</v>
      </c>
      <c r="AF12" s="16">
        <v>0.34</v>
      </c>
      <c r="AG12" s="16">
        <v>0.37</v>
      </c>
      <c r="AH12" s="16">
        <v>0.41</v>
      </c>
      <c r="AI12" s="16">
        <v>0.44</v>
      </c>
      <c r="AJ12" s="16">
        <v>0.48</v>
      </c>
      <c r="AK12" s="16">
        <v>0.51</v>
      </c>
      <c r="AL12" s="16">
        <v>0.54</v>
      </c>
      <c r="AM12" s="16">
        <v>0.57999999999999996</v>
      </c>
      <c r="AN12" s="16">
        <v>0.61</v>
      </c>
      <c r="AO12" s="16">
        <v>0.65</v>
      </c>
      <c r="AP12" s="16">
        <v>0.71</v>
      </c>
      <c r="AQ12" s="16">
        <v>0.77</v>
      </c>
    </row>
    <row r="13" spans="2:43" x14ac:dyDescent="0.25">
      <c r="B13" s="28" t="s">
        <v>99</v>
      </c>
      <c r="C13" s="43" t="str">
        <f>_xlfn.XLOOKUP(C9,武器库!$B:$B,武器库!$E:$E,"")</f>
        <v>攻击力25.6</v>
      </c>
      <c r="D13" s="43" t="str">
        <f>VLOOKUP(D9,护甲库!$A:$M,4+D10*3,FALSE)</f>
        <v>充能16.0</v>
      </c>
      <c r="E13" s="43" t="str">
        <f>VLOOKUP(E9,护手库!$A:$M,4+E10*3,FALSE)</f>
        <v>终结技56.1</v>
      </c>
      <c r="F13" s="43" t="str">
        <f>VLOOKUP(F9,配件库!$A:$M,4+F10*3,FALSE)</f>
        <v>暴击13.5</v>
      </c>
      <c r="G13" s="43" t="str">
        <f>VLOOKUP(G9,配件库!$A:$M,4+G10*3,FALSE)</f>
        <v>主能力26.9</v>
      </c>
      <c r="H13" s="9"/>
      <c r="J13" s="29"/>
      <c r="Q13" s="28"/>
      <c r="S13" s="29"/>
      <c r="AE13" s="14" t="s">
        <v>130</v>
      </c>
      <c r="AF13" s="16">
        <v>0.41</v>
      </c>
      <c r="AG13" s="16">
        <v>0.45</v>
      </c>
      <c r="AH13" s="16">
        <v>0.49</v>
      </c>
      <c r="AI13" s="16">
        <v>0.53</v>
      </c>
      <c r="AJ13" s="16">
        <v>0.56999999999999995</v>
      </c>
      <c r="AK13" s="16">
        <v>0.61</v>
      </c>
      <c r="AL13" s="16">
        <v>0.65</v>
      </c>
      <c r="AM13" s="16">
        <v>0.69</v>
      </c>
      <c r="AN13" s="16">
        <v>0.73</v>
      </c>
      <c r="AO13" s="16">
        <v>0.78</v>
      </c>
      <c r="AP13" s="16">
        <v>0.84</v>
      </c>
      <c r="AQ13" s="16">
        <v>0.91</v>
      </c>
    </row>
    <row r="14" spans="2:43" x14ac:dyDescent="0.25">
      <c r="B14" s="28" t="s">
        <v>90</v>
      </c>
      <c r="C14" t="str">
        <f>_xlfn.XLOOKUP(C9,武器库!$B:$B,武器库!$F:$F,"")</f>
        <v>装备者造成暴击伤害后，获得1层狼血，物理和灼热伤害+1.6%，最多叠加16层。当狼血叠加至16层后，物理和灼热伤害额外+38.4%，持续20秒。持续时间结束后，清空所有狼血叠加层数。</v>
      </c>
      <c r="D14" s="22"/>
      <c r="F14" s="22"/>
      <c r="G14" s="9"/>
      <c r="H14" s="9"/>
      <c r="J14" s="29"/>
      <c r="Q14" s="28"/>
      <c r="S14" s="29"/>
      <c r="AE14" s="14" t="s">
        <v>660</v>
      </c>
      <c r="AF14" s="16">
        <v>0.5</v>
      </c>
      <c r="AG14" s="16">
        <v>0.55000000000000004</v>
      </c>
      <c r="AH14" s="16">
        <v>0.6</v>
      </c>
      <c r="AI14" s="16">
        <v>0.65</v>
      </c>
      <c r="AJ14" s="16">
        <v>0.7</v>
      </c>
      <c r="AK14" s="16">
        <v>0.75</v>
      </c>
      <c r="AL14" s="16">
        <v>0.8</v>
      </c>
      <c r="AM14" s="16">
        <v>0.85</v>
      </c>
      <c r="AN14" s="16">
        <v>0.9</v>
      </c>
      <c r="AO14" s="16">
        <v>0.96</v>
      </c>
      <c r="AP14" s="16">
        <v>1.04</v>
      </c>
      <c r="AQ14" s="16">
        <v>1.1299999999999999</v>
      </c>
    </row>
    <row r="15" spans="2:43" ht="14.4" thickBot="1" x14ac:dyDescent="0.3">
      <c r="B15" s="30" t="s">
        <v>89</v>
      </c>
      <c r="C15" s="18" t="str">
        <f>VLOOKUP(H9,套装效果库!A:B,2,0)</f>
        <v>暴击05。当触发暴击后，5秒内+5%攻击力，该效果最多叠加5层。层数叠满后，额外+5%暴击率，该效果无法叠加。</v>
      </c>
      <c r="D15" s="19"/>
      <c r="E15" s="18"/>
      <c r="F15" s="19"/>
      <c r="G15" s="20"/>
      <c r="H15" s="20"/>
      <c r="I15" s="18"/>
      <c r="J15" s="31"/>
      <c r="Q15" s="28"/>
      <c r="S15" s="29"/>
      <c r="AE15" s="14" t="s">
        <v>131</v>
      </c>
      <c r="AF15" s="16">
        <v>4</v>
      </c>
      <c r="AG15" s="16">
        <v>4.4000000000000004</v>
      </c>
      <c r="AH15" s="16">
        <v>4.8</v>
      </c>
      <c r="AI15" s="16">
        <v>5.2</v>
      </c>
      <c r="AJ15" s="16">
        <v>5.6</v>
      </c>
      <c r="AK15" s="16">
        <v>6</v>
      </c>
      <c r="AL15" s="16">
        <v>6.4</v>
      </c>
      <c r="AM15" s="16">
        <v>6.8</v>
      </c>
      <c r="AN15" s="16">
        <v>7.2</v>
      </c>
      <c r="AO15" s="16">
        <v>7.7</v>
      </c>
      <c r="AP15" s="16">
        <v>8.3000000000000007</v>
      </c>
      <c r="AQ15" s="16">
        <v>9</v>
      </c>
    </row>
    <row r="16" spans="2:43" x14ac:dyDescent="0.25">
      <c r="Q16" s="28"/>
      <c r="S16" s="29"/>
      <c r="AE16" s="14" t="s">
        <v>132</v>
      </c>
      <c r="AF16" s="16">
        <v>0.8</v>
      </c>
      <c r="AG16" s="16">
        <v>0.88</v>
      </c>
      <c r="AH16" s="16">
        <v>0.96</v>
      </c>
      <c r="AI16" s="16">
        <v>1.04</v>
      </c>
      <c r="AJ16" s="16">
        <v>1.1200000000000001</v>
      </c>
      <c r="AK16" s="16">
        <v>1.2</v>
      </c>
      <c r="AL16" s="16">
        <v>1.28</v>
      </c>
      <c r="AM16" s="16">
        <v>1.36</v>
      </c>
      <c r="AN16" s="16">
        <v>1.44</v>
      </c>
      <c r="AO16" s="16">
        <v>1.54</v>
      </c>
      <c r="AP16" s="16">
        <v>1.66</v>
      </c>
      <c r="AQ16" s="16">
        <v>1.8</v>
      </c>
    </row>
    <row r="17" spans="1:43" x14ac:dyDescent="0.25">
      <c r="Q17" s="28"/>
      <c r="S17" s="29"/>
    </row>
    <row r="18" spans="1:43" x14ac:dyDescent="0.25">
      <c r="B18" s="17"/>
      <c r="C18" s="17" t="s">
        <v>990</v>
      </c>
      <c r="D18" s="17" t="s">
        <v>1054</v>
      </c>
      <c r="E18" s="17"/>
      <c r="F18" s="17"/>
      <c r="G18" s="17"/>
      <c r="H18" s="17"/>
      <c r="I18" s="17"/>
      <c r="K18" s="17"/>
      <c r="L18" s="17" t="s">
        <v>701</v>
      </c>
      <c r="M18" s="17" t="s">
        <v>157</v>
      </c>
      <c r="N18" s="17" t="s">
        <v>702</v>
      </c>
      <c r="O18" s="17" t="s">
        <v>158</v>
      </c>
      <c r="S18" s="29"/>
      <c r="AE18" s="41" t="s">
        <v>76</v>
      </c>
    </row>
    <row r="19" spans="1:43" x14ac:dyDescent="0.25">
      <c r="C19" s="21" t="s">
        <v>659</v>
      </c>
      <c r="D19" s="21" t="s">
        <v>162</v>
      </c>
      <c r="E19" s="43" t="s">
        <v>196</v>
      </c>
      <c r="F19" s="43" t="s">
        <v>651</v>
      </c>
      <c r="G19" s="43" t="s">
        <v>649</v>
      </c>
      <c r="H19" s="43" t="s">
        <v>743</v>
      </c>
      <c r="I19" s="43"/>
      <c r="K19" t="s">
        <v>183</v>
      </c>
      <c r="L19" s="21" t="s">
        <v>645</v>
      </c>
      <c r="M19" s="21" t="s">
        <v>645</v>
      </c>
      <c r="N19" s="21" t="s">
        <v>645</v>
      </c>
      <c r="O19" s="21" t="s">
        <v>645</v>
      </c>
      <c r="S19" s="29"/>
      <c r="AE19" s="60"/>
      <c r="AF19" s="60">
        <v>1</v>
      </c>
      <c r="AG19" s="60">
        <v>2</v>
      </c>
      <c r="AH19" s="60">
        <v>3</v>
      </c>
      <c r="AI19" s="60">
        <v>4</v>
      </c>
      <c r="AJ19" s="60">
        <v>5</v>
      </c>
      <c r="AK19" s="60">
        <v>6</v>
      </c>
      <c r="AL19" s="60">
        <v>7</v>
      </c>
      <c r="AM19" s="60">
        <v>8</v>
      </c>
      <c r="AN19" s="60">
        <v>9</v>
      </c>
      <c r="AO19" s="60" t="s">
        <v>124</v>
      </c>
      <c r="AP19" s="60" t="s">
        <v>125</v>
      </c>
      <c r="AQ19" s="60" t="s">
        <v>126</v>
      </c>
    </row>
    <row r="20" spans="1:43" x14ac:dyDescent="0.25">
      <c r="B20" t="s">
        <v>164</v>
      </c>
      <c r="C20" s="21">
        <f>176+60+IF(I9&gt;=2,20,0)</f>
        <v>236</v>
      </c>
      <c r="D20" s="21">
        <v>118</v>
      </c>
      <c r="E20" cm="1">
        <f t="array" ref="E20">SUM(IFERROR(
    VALUE(MID($C10:$G13,
             SEARCH(E19, $C10:$G13) + LEN(E19),
             10)) *
    ISNUMBER(SEARCH(E19,$C10:$G13)),
    0
))/100+IFERROR(
    MID($C15, SEARCH(E19, $C15) + LEN(E19), 2) / 100,
    0
)</f>
        <v>0.25600000000000001</v>
      </c>
      <c r="F20" cm="1">
        <f t="array" ref="F20">SUM(IFERROR(
    VALUE(MID($C10:$G13,
             SEARCH(F19, $C10:$G13) + LEN(F19),
             10)) *
    ISNUMBER(SEARCH(F19,$C10:$G13)),
    0
))/100+IFERROR(
    MID($C15, SEARCH(F19, $C15) + LEN(F19), 2) / 100,
    0
)</f>
        <v>0.16</v>
      </c>
      <c r="G20" cm="1">
        <f t="array" ref="G20">SUM(IFERROR(
    VALUE(MID($C10:$G13,
             SEARCH(G19, $C10:$G13) + LEN(G19),
             10)) *
    ISNUMBER(SEARCH(G19,$C10:$G13)),
    0
))/100+IFERROR(
    MID($C15, SEARCH(G19, $C15) + LEN(G19), 2) / 100,
    0
)</f>
        <v>0.56100000000000005</v>
      </c>
      <c r="H20" cm="1">
        <f t="array" ref="H20">SUM(IFERROR(
    VALUE(MID($C10:$G13,
             SEARCH(H19, $C10:$G13) + LEN(H19),
             10)) *
    ISNUMBER(SEARCH(H19,$C10:$G13)),
    0
))/100+IFERROR(
    MID($C15, SEARCH(H19, $C15) + LEN(H19), 2) / 100,
    0
)</f>
        <v>0.38</v>
      </c>
      <c r="I20" cm="1">
        <f t="array" ref="I20">SUM(IFERROR(
    VALUE(MID($C10:$G13,
             SEARCH(I19, $C10:$G13) + LEN(I19),
             10)) *
    ISNUMBER(SEARCH(I19,$C10:$G13)),
    0
))/100+IFERROR(
    MID($C15, SEARCH(I19, $C15) + LEN(I19), 2) / 100,
    0
)</f>
        <v>0.12</v>
      </c>
      <c r="K20" s="23" t="s">
        <v>195</v>
      </c>
      <c r="L20" s="23" cm="1">
        <f t="array" ref="L20:L26">_xlfn.XLOOKUP(L19,$AE$6:$AQ$6,AE10:AQ16,0,0,1)</f>
        <v>0.61</v>
      </c>
      <c r="M20" s="23" cm="1">
        <f t="array" ref="M20:M23">_xlfn.XLOOKUP(M19,$AE$6:$AQ$6,AE20:AQ23,0,0,1)</f>
        <v>1.92</v>
      </c>
      <c r="N20" s="23" t="str" cm="1">
        <f t="array" ref="N20:N27">_xlfn.XLOOKUP(N19,$AE$6:$AQ$6,AE27:AQ34,0,0,1)</f>
        <v>14s</v>
      </c>
      <c r="O20" s="23" cm="1">
        <f t="array" ref="O20:O25">_xlfn.XLOOKUP(O19,$AE$6:$AQ$6,AE38:AQ43,0,0,1)</f>
        <v>110</v>
      </c>
      <c r="S20" s="29"/>
      <c r="AE20" s="14" t="s">
        <v>147</v>
      </c>
      <c r="AF20" s="16">
        <v>0.85</v>
      </c>
      <c r="AG20" s="16">
        <v>0.94</v>
      </c>
      <c r="AH20" s="16">
        <v>1.02</v>
      </c>
      <c r="AI20" s="16">
        <v>1.1100000000000001</v>
      </c>
      <c r="AJ20" s="16">
        <v>1.19</v>
      </c>
      <c r="AK20" s="16">
        <v>1.28</v>
      </c>
      <c r="AL20" s="16">
        <v>1.37</v>
      </c>
      <c r="AM20" s="16">
        <v>1.45</v>
      </c>
      <c r="AN20" s="16">
        <v>1.54</v>
      </c>
      <c r="AO20" s="16">
        <v>1.64</v>
      </c>
      <c r="AP20" s="16">
        <v>1.77</v>
      </c>
      <c r="AQ20" s="16">
        <v>1.92</v>
      </c>
    </row>
    <row r="21" spans="1:43" x14ac:dyDescent="0.25">
      <c r="B21" s="22" t="s">
        <v>165</v>
      </c>
      <c r="C21" cm="1">
        <f t="array" ref="C21">SUM(IFERROR(
    VALUE(MID($C10:$G13,
             FIND(C19, $C10:$G13) + LEN(C19),
             10)) *
    ISNUMBER(FIND(C19, $C10:$G13)),
    0
))+SUM(IFERROR(
    VALUE(MID($C10:$G13,
             FIND(C18, $C10:$G13) + LEN(C18),
             10)) *
    ISNUMBER(FIND(C18, $C10:$G13)),
    0
))+IFERROR(
    MID($C15, SEARCH(C19, $C15) + LEN(C19), 2) / 100,
    0
)+IFERROR(
    MID($C15, SEARCH(C18, $C15) + LEN(C18), 2) / 100,
    0
)</f>
        <v>394</v>
      </c>
      <c r="D21" cm="1">
        <f t="array" ref="D21">SUM(IFERROR(
    VALUE(MID($C10:$G13,
             FIND(D19, $C10:$G13) + LEN(D19),
             10)) *
    ISNUMBER(FIND(D19, $C10:$G13)),
    0
))+SUM(IFERROR(
    VALUE(MID($C10:$G13,
             FIND(D18, $C10:$G13) + LEN(D18),
             10)) *
    ISNUMBER(FIND(D18, $C10:$G13)),
    0
))+IFERROR(
    MID($C15, SEARCH(D19, $C15) + LEN(D19), 2) / 100,
    0
)+IFERROR(
    MID($C15, SEARCH(D18, $C15) + LEN(D18), 2) / 100,
    0
)</f>
        <v>184</v>
      </c>
      <c r="L21">
        <v>0.71</v>
      </c>
      <c r="M21">
        <v>5</v>
      </c>
      <c r="N21">
        <v>1.5</v>
      </c>
      <c r="O21">
        <v>6</v>
      </c>
      <c r="Q21" s="28"/>
      <c r="S21" s="29"/>
      <c r="AE21" s="14" t="s">
        <v>148</v>
      </c>
      <c r="AF21" s="14">
        <v>5</v>
      </c>
      <c r="AG21" s="14">
        <v>5</v>
      </c>
      <c r="AH21" s="14">
        <v>5</v>
      </c>
      <c r="AI21" s="14">
        <v>5</v>
      </c>
      <c r="AJ21" s="14">
        <v>5</v>
      </c>
      <c r="AK21" s="14">
        <v>5</v>
      </c>
      <c r="AL21" s="14">
        <v>5</v>
      </c>
      <c r="AM21" s="14">
        <v>5</v>
      </c>
      <c r="AN21" s="14">
        <v>5</v>
      </c>
      <c r="AO21" s="14">
        <v>5</v>
      </c>
      <c r="AP21" s="14">
        <v>5</v>
      </c>
      <c r="AQ21" s="14">
        <v>5</v>
      </c>
    </row>
    <row r="22" spans="1:43" ht="14.4" thickBot="1" x14ac:dyDescent="0.3">
      <c r="B22" s="22" t="s">
        <v>166</v>
      </c>
      <c r="C22" s="12" cm="1">
        <f t="array" ref="C22">ROUNDUP(SUM(C20:C21)*(1+IF(LEN(TRIM(LEFT(C18,3)))=0, 0,
   SUMPRODUCT(
       IFERROR(
           VALUE(MID($C10:$G13,
                   SEARCH(LEFT(C18,3), $C10:$G13) + 3,
                   10)) *
           ISNUMBER(SEARCH(LEFT(C18,3), $C10:$G13)),
           0
       )
   )+IFERROR(
    MID($C15, SEARCH(C19, $C15) + LEN(C19), 2) / 100,
    0
)
)/100),0)</f>
        <v>800</v>
      </c>
      <c r="D22" s="12" cm="1">
        <f t="array" ref="D22">ROUNDUP(SUM(D20:D21)*(1+IF(LEN(TRIM(LEFT(D18,3)))=0, 0,
   SUMPRODUCT(
       IFERROR(
           VALUE(MID($C10:$G13,
                   SEARCH(LEFT(D18,3), $C10:$G13) + 3,
                   10)) *
           ISNUMBER(SEARCH(LEFT(D18,3), $C10:$G13)),
           0
       )
   )+IFERROR(
    MID($C15, SEARCH(D19, $C15) + LEN(D19), 2) / 100,
    0
)
)/100),0)</f>
        <v>302</v>
      </c>
      <c r="L22">
        <v>0.77</v>
      </c>
      <c r="M22">
        <v>2.88</v>
      </c>
      <c r="N22">
        <v>3</v>
      </c>
      <c r="O22">
        <v>2.5</v>
      </c>
      <c r="Q22" s="30"/>
      <c r="R22" s="18"/>
      <c r="S22" s="31"/>
      <c r="AE22" s="14" t="s">
        <v>149</v>
      </c>
      <c r="AF22" s="16">
        <v>1.28</v>
      </c>
      <c r="AG22" s="16">
        <v>1.41</v>
      </c>
      <c r="AH22" s="16">
        <v>1.53</v>
      </c>
      <c r="AI22" s="16">
        <v>1.66</v>
      </c>
      <c r="AJ22" s="16">
        <v>1.79</v>
      </c>
      <c r="AK22" s="16">
        <v>1.92</v>
      </c>
      <c r="AL22" s="16">
        <v>2.04</v>
      </c>
      <c r="AM22" s="16">
        <v>2.17</v>
      </c>
      <c r="AN22" s="16">
        <v>2.2999999999999998</v>
      </c>
      <c r="AO22" s="16">
        <v>2.46</v>
      </c>
      <c r="AP22" s="16">
        <v>2.65</v>
      </c>
      <c r="AQ22" s="16">
        <v>2.88</v>
      </c>
    </row>
    <row r="23" spans="1:43" x14ac:dyDescent="0.25">
      <c r="B23" s="85" t="s">
        <v>93</v>
      </c>
      <c r="C23" s="86">
        <f>C22*0.005+D22*0.002</f>
        <v>4.6040000000000001</v>
      </c>
      <c r="D23" s="87"/>
      <c r="E23" s="86"/>
      <c r="F23" s="86"/>
      <c r="G23" s="86"/>
      <c r="H23" s="86"/>
      <c r="I23" s="86"/>
      <c r="L23">
        <v>0.91</v>
      </c>
      <c r="M23">
        <v>15</v>
      </c>
      <c r="N23">
        <v>1.8</v>
      </c>
      <c r="O23">
        <v>7.5</v>
      </c>
      <c r="AE23" s="14" t="s">
        <v>150</v>
      </c>
      <c r="AF23" s="14">
        <v>10</v>
      </c>
      <c r="AG23" s="14">
        <v>10</v>
      </c>
      <c r="AH23" s="14">
        <v>10</v>
      </c>
      <c r="AI23" s="14">
        <v>10</v>
      </c>
      <c r="AJ23" s="14">
        <v>10</v>
      </c>
      <c r="AK23" s="14">
        <v>10</v>
      </c>
      <c r="AL23" s="14">
        <v>10</v>
      </c>
      <c r="AM23" s="14">
        <v>10</v>
      </c>
      <c r="AN23" s="14">
        <v>12</v>
      </c>
      <c r="AO23" s="14">
        <v>12</v>
      </c>
      <c r="AP23" s="14">
        <v>12</v>
      </c>
      <c r="AQ23" s="14">
        <v>15</v>
      </c>
    </row>
    <row r="24" spans="1:43" x14ac:dyDescent="0.25">
      <c r="L24">
        <v>1.1299999999999999</v>
      </c>
      <c r="N24">
        <v>5</v>
      </c>
      <c r="O24">
        <v>25</v>
      </c>
    </row>
    <row r="25" spans="1:43" x14ac:dyDescent="0.25">
      <c r="L25">
        <v>9</v>
      </c>
      <c r="N25">
        <v>0.25</v>
      </c>
      <c r="O25">
        <v>0.6</v>
      </c>
      <c r="AE25" s="41" t="s">
        <v>77</v>
      </c>
    </row>
    <row r="26" spans="1:43" x14ac:dyDescent="0.25">
      <c r="E26" s="12"/>
      <c r="G26" s="12"/>
      <c r="L26">
        <v>1.8</v>
      </c>
      <c r="N26">
        <v>0.5</v>
      </c>
      <c r="AE26" s="60"/>
      <c r="AF26" s="60">
        <v>1</v>
      </c>
      <c r="AG26" s="60">
        <v>2</v>
      </c>
      <c r="AH26" s="60">
        <v>3</v>
      </c>
      <c r="AI26" s="60">
        <v>4</v>
      </c>
      <c r="AJ26" s="60">
        <v>5</v>
      </c>
      <c r="AK26" s="60">
        <v>6</v>
      </c>
      <c r="AL26" s="60">
        <v>7</v>
      </c>
      <c r="AM26" s="60">
        <v>8</v>
      </c>
      <c r="AN26" s="60">
        <v>9</v>
      </c>
      <c r="AO26" s="60" t="s">
        <v>124</v>
      </c>
      <c r="AP26" s="60" t="s">
        <v>125</v>
      </c>
      <c r="AQ26" s="60" t="s">
        <v>126</v>
      </c>
    </row>
    <row r="27" spans="1:43" x14ac:dyDescent="0.25">
      <c r="C27" s="22"/>
      <c r="N27">
        <v>15</v>
      </c>
      <c r="AE27" s="14" t="s">
        <v>137</v>
      </c>
      <c r="AF27" s="14" t="s">
        <v>727</v>
      </c>
      <c r="AG27" s="14" t="s">
        <v>727</v>
      </c>
      <c r="AH27" s="14" t="s">
        <v>727</v>
      </c>
      <c r="AI27" s="14" t="s">
        <v>727</v>
      </c>
      <c r="AJ27" s="14" t="s">
        <v>727</v>
      </c>
      <c r="AK27" s="14" t="s">
        <v>727</v>
      </c>
      <c r="AL27" s="14" t="s">
        <v>727</v>
      </c>
      <c r="AM27" s="14" t="s">
        <v>727</v>
      </c>
      <c r="AN27" s="14" t="s">
        <v>727</v>
      </c>
      <c r="AO27" s="14" t="s">
        <v>727</v>
      </c>
      <c r="AP27" s="14" t="s">
        <v>727</v>
      </c>
      <c r="AQ27" s="14" t="s">
        <v>669</v>
      </c>
    </row>
    <row r="28" spans="1:43" ht="13.8" customHeight="1" x14ac:dyDescent="0.25">
      <c r="C28" s="22"/>
      <c r="AE28" s="14" t="s">
        <v>147</v>
      </c>
      <c r="AF28" s="16">
        <v>0.67</v>
      </c>
      <c r="AG28" s="16">
        <v>0.73</v>
      </c>
      <c r="AH28" s="16">
        <v>0.8</v>
      </c>
      <c r="AI28" s="16">
        <v>0.87</v>
      </c>
      <c r="AJ28" s="16">
        <v>0.93</v>
      </c>
      <c r="AK28" s="16">
        <v>1</v>
      </c>
      <c r="AL28" s="16">
        <v>1.07</v>
      </c>
      <c r="AM28" s="16">
        <v>1.1299999999999999</v>
      </c>
      <c r="AN28" s="16">
        <v>1.2</v>
      </c>
      <c r="AO28" s="16">
        <v>1.28</v>
      </c>
      <c r="AP28" s="16">
        <v>1.38</v>
      </c>
      <c r="AQ28" s="16">
        <v>1.5</v>
      </c>
    </row>
    <row r="29" spans="1:43" x14ac:dyDescent="0.25">
      <c r="C29" s="22"/>
      <c r="AE29" s="14" t="s">
        <v>149</v>
      </c>
      <c r="AF29" s="16">
        <v>1.33</v>
      </c>
      <c r="AG29" s="16">
        <v>1.47</v>
      </c>
      <c r="AH29" s="16">
        <v>1.6</v>
      </c>
      <c r="AI29" s="16">
        <v>1.73</v>
      </c>
      <c r="AJ29" s="16">
        <v>1.87</v>
      </c>
      <c r="AK29" s="16">
        <v>2</v>
      </c>
      <c r="AL29" s="16">
        <v>2.13</v>
      </c>
      <c r="AM29" s="16">
        <v>2.27</v>
      </c>
      <c r="AN29" s="16">
        <v>2.4</v>
      </c>
      <c r="AO29" s="16">
        <v>2.57</v>
      </c>
      <c r="AP29" s="16">
        <v>2.77</v>
      </c>
      <c r="AQ29" s="16">
        <v>3</v>
      </c>
    </row>
    <row r="30" spans="1:43" ht="14.4" thickBot="1" x14ac:dyDescent="0.3">
      <c r="C30" s="28" t="s">
        <v>978</v>
      </c>
      <c r="E30" s="61" t="s">
        <v>755</v>
      </c>
      <c r="F30" s="61"/>
      <c r="G30" s="61"/>
      <c r="H30" s="61"/>
      <c r="I30" s="61"/>
      <c r="J30" s="127" t="s">
        <v>785</v>
      </c>
      <c r="K30" s="127"/>
      <c r="L30" s="127"/>
      <c r="M30" s="127"/>
      <c r="N30" s="63" t="s">
        <v>154</v>
      </c>
      <c r="O30" s="63"/>
      <c r="P30" s="63"/>
      <c r="Q30" s="63"/>
      <c r="R30" s="63"/>
      <c r="S30" s="63"/>
      <c r="T30" s="8" t="s">
        <v>161</v>
      </c>
      <c r="U30" s="8"/>
      <c r="V30" s="8"/>
      <c r="W30" s="8"/>
      <c r="X30" s="8"/>
      <c r="Y30" s="8"/>
      <c r="Z30" s="8"/>
      <c r="AE30" s="14" t="s">
        <v>143</v>
      </c>
      <c r="AF30" s="16">
        <v>0.8</v>
      </c>
      <c r="AG30" s="16">
        <v>0.88</v>
      </c>
      <c r="AH30" s="16">
        <v>0.96</v>
      </c>
      <c r="AI30" s="16">
        <v>1.04</v>
      </c>
      <c r="AJ30" s="16">
        <v>1.1200000000000001</v>
      </c>
      <c r="AK30" s="16">
        <v>1.2</v>
      </c>
      <c r="AL30" s="16">
        <v>1.28</v>
      </c>
      <c r="AM30" s="16">
        <v>1.36</v>
      </c>
      <c r="AN30" s="16">
        <v>1.44</v>
      </c>
      <c r="AO30" s="16">
        <v>1.54</v>
      </c>
      <c r="AP30" s="16">
        <v>1.66</v>
      </c>
      <c r="AQ30" s="16">
        <v>1.8</v>
      </c>
    </row>
    <row r="31" spans="1:43" x14ac:dyDescent="0.25">
      <c r="B31" t="s">
        <v>695</v>
      </c>
      <c r="C31" s="17" t="s">
        <v>704</v>
      </c>
      <c r="D31" s="17" t="s">
        <v>991</v>
      </c>
      <c r="E31" s="52" t="s">
        <v>92</v>
      </c>
      <c r="F31" s="52" t="s">
        <v>94</v>
      </c>
      <c r="G31" s="52" t="s">
        <v>95</v>
      </c>
      <c r="H31" s="52" t="s">
        <v>93</v>
      </c>
      <c r="I31" s="52" t="s">
        <v>96</v>
      </c>
      <c r="J31" s="64" t="s">
        <v>688</v>
      </c>
      <c r="K31" s="64" t="s">
        <v>689</v>
      </c>
      <c r="L31" s="64" t="s">
        <v>690</v>
      </c>
      <c r="M31" s="64" t="s">
        <v>163</v>
      </c>
      <c r="N31" s="64" t="s">
        <v>707</v>
      </c>
      <c r="O31" s="64" t="s">
        <v>153</v>
      </c>
      <c r="P31" s="64" t="s">
        <v>76</v>
      </c>
      <c r="Q31" s="64" t="s">
        <v>77</v>
      </c>
      <c r="R31" s="64" t="s">
        <v>78</v>
      </c>
      <c r="S31" s="64" t="s">
        <v>703</v>
      </c>
      <c r="T31" s="64" t="s">
        <v>83</v>
      </c>
      <c r="U31" s="64" t="s">
        <v>80</v>
      </c>
      <c r="V31" s="64" t="s">
        <v>79</v>
      </c>
      <c r="W31" s="64" t="s">
        <v>691</v>
      </c>
      <c r="X31" s="64" t="s">
        <v>694</v>
      </c>
      <c r="Y31" s="64" t="s">
        <v>693</v>
      </c>
      <c r="Z31" s="64" t="s">
        <v>692</v>
      </c>
      <c r="AE31" s="14" t="s">
        <v>150</v>
      </c>
      <c r="AF31" s="14">
        <v>5</v>
      </c>
      <c r="AG31" s="14">
        <v>5</v>
      </c>
      <c r="AH31" s="14">
        <v>5</v>
      </c>
      <c r="AI31" s="14">
        <v>5</v>
      </c>
      <c r="AJ31" s="14">
        <v>5</v>
      </c>
      <c r="AK31" s="14">
        <v>5</v>
      </c>
      <c r="AL31" s="14">
        <v>5</v>
      </c>
      <c r="AM31" s="14">
        <v>5</v>
      </c>
      <c r="AN31" s="14">
        <v>5</v>
      </c>
      <c r="AO31" s="14">
        <v>5</v>
      </c>
      <c r="AP31" s="14">
        <v>5</v>
      </c>
      <c r="AQ31" s="14">
        <v>5</v>
      </c>
    </row>
    <row r="32" spans="1:43" x14ac:dyDescent="0.25">
      <c r="A32" s="42"/>
      <c r="B32" t="s">
        <v>848</v>
      </c>
      <c r="E32" s="21">
        <f>828</f>
        <v>828</v>
      </c>
      <c r="F32" s="43">
        <f>$E$20</f>
        <v>0.25600000000000001</v>
      </c>
      <c r="G32" s="43"/>
      <c r="H32">
        <f>$C$23</f>
        <v>4.6040000000000001</v>
      </c>
      <c r="I32">
        <f>(E32*(1+F32)+G32)*(H32+1)</f>
        <v>5827.9806720000006</v>
      </c>
      <c r="K32" s="43">
        <f>$H$20</f>
        <v>0.38</v>
      </c>
      <c r="L32" s="43">
        <f>0.5</f>
        <v>0.5</v>
      </c>
      <c r="M32" s="43"/>
      <c r="N32" s="43"/>
      <c r="O32" s="43"/>
      <c r="P32" s="43"/>
      <c r="Q32" s="43"/>
      <c r="R32" s="43">
        <f>$G$20</f>
        <v>0.56100000000000005</v>
      </c>
      <c r="AE32" s="14" t="s">
        <v>728</v>
      </c>
      <c r="AF32" s="16">
        <v>0.15</v>
      </c>
      <c r="AG32" s="16">
        <v>0.15</v>
      </c>
      <c r="AH32" s="16">
        <v>0.15</v>
      </c>
      <c r="AI32" s="16">
        <v>0.17</v>
      </c>
      <c r="AJ32" s="16">
        <v>0.17</v>
      </c>
      <c r="AK32" s="16">
        <v>0.17</v>
      </c>
      <c r="AL32" s="16">
        <v>0.19</v>
      </c>
      <c r="AM32" s="16">
        <v>0.19</v>
      </c>
      <c r="AN32" s="16">
        <v>0.21</v>
      </c>
      <c r="AO32" s="16">
        <v>0.21</v>
      </c>
      <c r="AP32" s="16">
        <v>0.23</v>
      </c>
      <c r="AQ32" s="16">
        <v>0.25</v>
      </c>
    </row>
    <row r="33" spans="3:43" x14ac:dyDescent="0.25">
      <c r="C33" t="s">
        <v>748</v>
      </c>
      <c r="D33" t="s">
        <v>805</v>
      </c>
      <c r="E33">
        <f>828</f>
        <v>828</v>
      </c>
      <c r="F33">
        <f t="shared" ref="F33:F49" si="0">$E$20</f>
        <v>0.25600000000000001</v>
      </c>
      <c r="H33">
        <f t="shared" ref="H33:H49" si="1">$C$23</f>
        <v>4.6040000000000001</v>
      </c>
      <c r="I33">
        <f t="shared" ref="I33:I48" si="2">(E33*(1+F33)+G33)*(H33+1)</f>
        <v>5827.9806720000006</v>
      </c>
      <c r="J33">
        <f>SUM(L20:L24)</f>
        <v>4.13</v>
      </c>
      <c r="K33">
        <f>K32</f>
        <v>0.38</v>
      </c>
      <c r="L33">
        <f>0.5</f>
        <v>0.5</v>
      </c>
      <c r="R33">
        <f t="shared" ref="R33:R49" si="3">$G$20</f>
        <v>0.56100000000000005</v>
      </c>
      <c r="AE33" s="14" t="s">
        <v>729</v>
      </c>
      <c r="AF33" s="16">
        <v>0.3</v>
      </c>
      <c r="AG33" s="16">
        <v>0.3</v>
      </c>
      <c r="AH33" s="16">
        <v>0.3</v>
      </c>
      <c r="AI33" s="16">
        <v>0.34</v>
      </c>
      <c r="AJ33" s="16">
        <v>0.34</v>
      </c>
      <c r="AK33" s="16">
        <v>0.34</v>
      </c>
      <c r="AL33" s="16">
        <v>0.38</v>
      </c>
      <c r="AM33" s="16">
        <v>0.38</v>
      </c>
      <c r="AN33" s="16">
        <v>0.42</v>
      </c>
      <c r="AO33" s="16">
        <v>0.42</v>
      </c>
      <c r="AP33" s="16">
        <v>0.46</v>
      </c>
      <c r="AQ33" s="16">
        <v>0.5</v>
      </c>
    </row>
    <row r="34" spans="3:43" x14ac:dyDescent="0.25">
      <c r="C34" t="s">
        <v>847</v>
      </c>
      <c r="D34" t="s">
        <v>805</v>
      </c>
      <c r="E34">
        <f>828</f>
        <v>828</v>
      </c>
      <c r="F34">
        <f t="shared" si="0"/>
        <v>0.25600000000000001</v>
      </c>
      <c r="H34">
        <f t="shared" si="1"/>
        <v>4.6040000000000001</v>
      </c>
      <c r="I34">
        <f t="shared" si="2"/>
        <v>5827.9806720000006</v>
      </c>
      <c r="J34">
        <f>SUM($L$20:$L$23)</f>
        <v>3</v>
      </c>
      <c r="K34">
        <f t="shared" ref="K34:K46" si="4">K33</f>
        <v>0.38</v>
      </c>
      <c r="L34">
        <f t="shared" ref="L34:L49" si="5">0.5</f>
        <v>0.5</v>
      </c>
      <c r="R34">
        <f t="shared" si="3"/>
        <v>0.56100000000000005</v>
      </c>
      <c r="AE34" s="14" t="s">
        <v>730</v>
      </c>
      <c r="AF34" s="14">
        <v>15</v>
      </c>
      <c r="AG34" s="14">
        <v>15</v>
      </c>
      <c r="AH34" s="14">
        <v>15</v>
      </c>
      <c r="AI34" s="14">
        <v>15</v>
      </c>
      <c r="AJ34" s="14">
        <v>15</v>
      </c>
      <c r="AK34" s="14">
        <v>15</v>
      </c>
      <c r="AL34" s="14">
        <v>15</v>
      </c>
      <c r="AM34" s="14">
        <v>15</v>
      </c>
      <c r="AN34" s="14">
        <v>15</v>
      </c>
      <c r="AO34" s="14">
        <v>15</v>
      </c>
      <c r="AP34" s="14">
        <v>15</v>
      </c>
      <c r="AQ34" s="14">
        <v>15</v>
      </c>
    </row>
    <row r="35" spans="3:43" x14ac:dyDescent="0.25">
      <c r="C35" t="s">
        <v>846</v>
      </c>
      <c r="D35" t="s">
        <v>805</v>
      </c>
      <c r="E35">
        <f>828</f>
        <v>828</v>
      </c>
      <c r="F35">
        <f t="shared" si="0"/>
        <v>0.25600000000000001</v>
      </c>
      <c r="H35">
        <f t="shared" si="1"/>
        <v>4.6040000000000001</v>
      </c>
      <c r="I35">
        <f t="shared" si="2"/>
        <v>5827.9806720000006</v>
      </c>
      <c r="J35">
        <f>$L$24</f>
        <v>1.1299999999999999</v>
      </c>
      <c r="K35">
        <f t="shared" si="4"/>
        <v>0.38</v>
      </c>
      <c r="L35">
        <f t="shared" si="5"/>
        <v>0.5</v>
      </c>
      <c r="R35">
        <f t="shared" si="3"/>
        <v>0.56100000000000005</v>
      </c>
    </row>
    <row r="36" spans="3:43" x14ac:dyDescent="0.25">
      <c r="C36" t="s">
        <v>804</v>
      </c>
      <c r="D36" t="s">
        <v>805</v>
      </c>
      <c r="E36">
        <f>828</f>
        <v>828</v>
      </c>
      <c r="F36">
        <f t="shared" si="0"/>
        <v>0.25600000000000001</v>
      </c>
      <c r="H36">
        <f t="shared" si="1"/>
        <v>4.6040000000000001</v>
      </c>
      <c r="I36">
        <f>(E36*(1+F36)+G36)*(H36+1)</f>
        <v>5827.9806720000006</v>
      </c>
      <c r="J36">
        <f>$L$25</f>
        <v>9</v>
      </c>
      <c r="K36">
        <f t="shared" si="4"/>
        <v>0.38</v>
      </c>
      <c r="L36">
        <f t="shared" si="5"/>
        <v>0.5</v>
      </c>
      <c r="R36">
        <f t="shared" si="3"/>
        <v>0.56100000000000005</v>
      </c>
      <c r="AE36" s="41" t="s">
        <v>78</v>
      </c>
    </row>
    <row r="37" spans="3:43" x14ac:dyDescent="0.25">
      <c r="C37" t="s">
        <v>850</v>
      </c>
      <c r="D37" t="s">
        <v>805</v>
      </c>
      <c r="E37">
        <f>828</f>
        <v>828</v>
      </c>
      <c r="F37">
        <f t="shared" si="0"/>
        <v>0.25600000000000001</v>
      </c>
      <c r="H37">
        <f t="shared" si="1"/>
        <v>4.6040000000000001</v>
      </c>
      <c r="I37">
        <f t="shared" ref="I37" si="6">(E37*(1+F37)+G37)*(H37+1)</f>
        <v>5827.9806720000006</v>
      </c>
      <c r="J37">
        <f>L26</f>
        <v>1.8</v>
      </c>
      <c r="K37">
        <f t="shared" si="4"/>
        <v>0.38</v>
      </c>
      <c r="L37">
        <f t="shared" si="5"/>
        <v>0.5</v>
      </c>
      <c r="R37">
        <f t="shared" si="3"/>
        <v>0.56100000000000005</v>
      </c>
      <c r="AE37" s="60"/>
      <c r="AF37" s="60">
        <v>1</v>
      </c>
      <c r="AG37" s="60">
        <v>2</v>
      </c>
      <c r="AH37" s="60">
        <v>3</v>
      </c>
      <c r="AI37" s="60">
        <v>4</v>
      </c>
      <c r="AJ37" s="60">
        <v>5</v>
      </c>
      <c r="AK37" s="60">
        <v>6</v>
      </c>
      <c r="AL37" s="60">
        <v>7</v>
      </c>
      <c r="AM37" s="60">
        <v>8</v>
      </c>
      <c r="AN37" s="60">
        <v>9</v>
      </c>
      <c r="AO37" s="60" t="s">
        <v>124</v>
      </c>
      <c r="AP37" s="60" t="s">
        <v>125</v>
      </c>
      <c r="AQ37" s="60" t="s">
        <v>126</v>
      </c>
    </row>
    <row r="38" spans="3:43" x14ac:dyDescent="0.25">
      <c r="C38" t="s">
        <v>749</v>
      </c>
      <c r="D38" t="s">
        <v>805</v>
      </c>
      <c r="E38">
        <f>828</f>
        <v>828</v>
      </c>
      <c r="F38">
        <f t="shared" si="0"/>
        <v>0.25600000000000001</v>
      </c>
      <c r="H38">
        <f t="shared" si="1"/>
        <v>4.6040000000000001</v>
      </c>
      <c r="I38">
        <f t="shared" si="2"/>
        <v>5827.9806720000006</v>
      </c>
      <c r="J38">
        <f>($M$20+$M$22)*(IF($I$9&gt;=1,1.15,1))</f>
        <v>4.8</v>
      </c>
      <c r="K38">
        <f t="shared" si="4"/>
        <v>0.38</v>
      </c>
      <c r="L38">
        <f t="shared" si="5"/>
        <v>0.5</v>
      </c>
      <c r="R38">
        <f t="shared" si="3"/>
        <v>0.56100000000000005</v>
      </c>
      <c r="AE38" s="14" t="s">
        <v>146</v>
      </c>
      <c r="AF38" s="14">
        <v>110</v>
      </c>
      <c r="AG38" s="14">
        <v>110</v>
      </c>
      <c r="AH38" s="14">
        <v>110</v>
      </c>
      <c r="AI38" s="14">
        <v>110</v>
      </c>
      <c r="AJ38" s="14">
        <v>110</v>
      </c>
      <c r="AK38" s="14">
        <v>110</v>
      </c>
      <c r="AL38" s="14">
        <v>110</v>
      </c>
      <c r="AM38" s="14">
        <v>110</v>
      </c>
      <c r="AN38" s="14">
        <v>110</v>
      </c>
      <c r="AO38" s="14">
        <v>110</v>
      </c>
      <c r="AP38" s="14">
        <v>110</v>
      </c>
      <c r="AQ38" s="14">
        <v>110</v>
      </c>
    </row>
    <row r="39" spans="3:43" x14ac:dyDescent="0.25">
      <c r="C39" t="s">
        <v>1367</v>
      </c>
      <c r="D39" t="s">
        <v>805</v>
      </c>
      <c r="E39">
        <f>828</f>
        <v>828</v>
      </c>
      <c r="F39">
        <f t="shared" si="0"/>
        <v>0.25600000000000001</v>
      </c>
      <c r="H39">
        <f t="shared" si="1"/>
        <v>4.6040000000000001</v>
      </c>
      <c r="I39">
        <f t="shared" si="2"/>
        <v>5827.9806720000006</v>
      </c>
      <c r="J39">
        <f>(M20)*(IF($I$9&gt;=1,1.15,1))</f>
        <v>1.92</v>
      </c>
      <c r="K39">
        <f t="shared" si="4"/>
        <v>0.38</v>
      </c>
      <c r="L39">
        <f t="shared" si="5"/>
        <v>0.5</v>
      </c>
      <c r="R39">
        <f t="shared" si="3"/>
        <v>0.56100000000000005</v>
      </c>
      <c r="AE39" s="14" t="s">
        <v>731</v>
      </c>
      <c r="AF39" s="16">
        <v>2.75</v>
      </c>
      <c r="AG39" s="16">
        <v>3</v>
      </c>
      <c r="AH39" s="16">
        <v>3.25</v>
      </c>
      <c r="AI39" s="16">
        <v>3.5</v>
      </c>
      <c r="AJ39" s="16">
        <v>3.75</v>
      </c>
      <c r="AK39" s="16">
        <v>4</v>
      </c>
      <c r="AL39" s="16">
        <v>4.25</v>
      </c>
      <c r="AM39" s="16">
        <v>4.5</v>
      </c>
      <c r="AN39" s="16">
        <v>4.75</v>
      </c>
      <c r="AO39" s="16">
        <v>5.25</v>
      </c>
      <c r="AP39" s="16">
        <v>5.5</v>
      </c>
      <c r="AQ39" s="16">
        <v>6</v>
      </c>
    </row>
    <row r="40" spans="3:43" x14ac:dyDescent="0.25">
      <c r="C40" t="s">
        <v>1368</v>
      </c>
      <c r="D40" t="s">
        <v>805</v>
      </c>
      <c r="E40">
        <f>828</f>
        <v>828</v>
      </c>
      <c r="F40">
        <f t="shared" si="0"/>
        <v>0.25600000000000001</v>
      </c>
      <c r="H40">
        <f t="shared" si="1"/>
        <v>4.6040000000000001</v>
      </c>
      <c r="I40">
        <f>(E40*(1+F40)+G40)*(H40+1)</f>
        <v>5827.9806720000006</v>
      </c>
      <c r="J40">
        <f>(M22)*(IF($I$9&gt;=1,1.15,1))</f>
        <v>2.88</v>
      </c>
      <c r="K40">
        <f>K39</f>
        <v>0.38</v>
      </c>
      <c r="L40">
        <f t="shared" si="5"/>
        <v>0.5</v>
      </c>
      <c r="R40">
        <f t="shared" si="3"/>
        <v>0.56100000000000005</v>
      </c>
      <c r="AE40" s="14" t="s">
        <v>732</v>
      </c>
      <c r="AF40" s="16">
        <v>1.1100000000000001</v>
      </c>
      <c r="AG40" s="16">
        <v>1.22</v>
      </c>
      <c r="AH40" s="16">
        <v>1.33</v>
      </c>
      <c r="AI40" s="16">
        <v>1.44</v>
      </c>
      <c r="AJ40" s="16">
        <v>1.56</v>
      </c>
      <c r="AK40" s="16">
        <v>1.67</v>
      </c>
      <c r="AL40" s="16">
        <v>1.78</v>
      </c>
      <c r="AM40" s="16">
        <v>1.89</v>
      </c>
      <c r="AN40" s="16">
        <v>2</v>
      </c>
      <c r="AO40" s="16">
        <v>2.14</v>
      </c>
      <c r="AP40" s="16">
        <v>2.31</v>
      </c>
      <c r="AQ40" s="16">
        <v>2.5</v>
      </c>
    </row>
    <row r="41" spans="3:43" x14ac:dyDescent="0.25">
      <c r="C41" t="s">
        <v>1369</v>
      </c>
      <c r="D41" t="s">
        <v>805</v>
      </c>
      <c r="E41">
        <f>828</f>
        <v>828</v>
      </c>
      <c r="F41">
        <f t="shared" si="0"/>
        <v>0.25600000000000001</v>
      </c>
      <c r="H41">
        <f t="shared" si="1"/>
        <v>4.6040000000000001</v>
      </c>
      <c r="I41">
        <f t="shared" si="2"/>
        <v>5827.9806720000006</v>
      </c>
      <c r="J41">
        <f>($N$21+$N$22)*(IF($I$9&gt;=1,1.15,1))</f>
        <v>4.5</v>
      </c>
      <c r="K41">
        <f>K47</f>
        <v>0.38</v>
      </c>
      <c r="L41">
        <f t="shared" si="5"/>
        <v>0.5</v>
      </c>
      <c r="R41">
        <f t="shared" si="3"/>
        <v>0.56100000000000005</v>
      </c>
      <c r="AE41" s="14" t="s">
        <v>733</v>
      </c>
      <c r="AF41" s="16">
        <v>3.33</v>
      </c>
      <c r="AG41" s="16">
        <v>3.67</v>
      </c>
      <c r="AH41" s="16">
        <v>4</v>
      </c>
      <c r="AI41" s="16">
        <v>4.33</v>
      </c>
      <c r="AJ41" s="16">
        <v>4.67</v>
      </c>
      <c r="AK41" s="16">
        <v>5</v>
      </c>
      <c r="AL41" s="16">
        <v>5.34</v>
      </c>
      <c r="AM41" s="16">
        <v>5.67</v>
      </c>
      <c r="AN41" s="16">
        <v>6</v>
      </c>
      <c r="AO41" s="16">
        <v>6.42</v>
      </c>
      <c r="AP41" s="16">
        <v>6.92</v>
      </c>
      <c r="AQ41" s="16">
        <v>7.5</v>
      </c>
    </row>
    <row r="42" spans="3:43" x14ac:dyDescent="0.25">
      <c r="C42" t="s">
        <v>1370</v>
      </c>
      <c r="D42" t="s">
        <v>805</v>
      </c>
      <c r="E42">
        <f>828</f>
        <v>828</v>
      </c>
      <c r="F42">
        <f t="shared" si="0"/>
        <v>0.25600000000000001</v>
      </c>
      <c r="H42">
        <f t="shared" si="1"/>
        <v>4.6040000000000001</v>
      </c>
      <c r="I42">
        <f t="shared" si="2"/>
        <v>5827.9806720000006</v>
      </c>
      <c r="J42">
        <f>($N$21+$N$22+$N$23)*(IF($I$9&gt;=1,1.15,1))</f>
        <v>6.3</v>
      </c>
      <c r="K42">
        <f t="shared" si="4"/>
        <v>0.38</v>
      </c>
      <c r="L42">
        <f t="shared" si="5"/>
        <v>0.5</v>
      </c>
      <c r="R42">
        <f t="shared" si="3"/>
        <v>0.56100000000000005</v>
      </c>
      <c r="AE42" s="14" t="s">
        <v>155</v>
      </c>
      <c r="AF42" s="14">
        <v>25</v>
      </c>
      <c r="AG42" s="14">
        <v>25</v>
      </c>
      <c r="AH42" s="14">
        <v>25</v>
      </c>
      <c r="AI42" s="14">
        <v>25</v>
      </c>
      <c r="AJ42" s="14">
        <v>25</v>
      </c>
      <c r="AK42" s="14">
        <v>25</v>
      </c>
      <c r="AL42" s="14">
        <v>25</v>
      </c>
      <c r="AM42" s="14">
        <v>25</v>
      </c>
      <c r="AN42" s="14">
        <v>25</v>
      </c>
      <c r="AO42" s="14">
        <v>25</v>
      </c>
      <c r="AP42" s="14">
        <v>25</v>
      </c>
      <c r="AQ42" s="14">
        <v>25</v>
      </c>
    </row>
    <row r="43" spans="3:43" x14ac:dyDescent="0.25">
      <c r="C43" t="s">
        <v>1371</v>
      </c>
      <c r="D43" t="s">
        <v>805</v>
      </c>
      <c r="E43">
        <f>828</f>
        <v>828</v>
      </c>
      <c r="F43">
        <f t="shared" si="0"/>
        <v>0.25600000000000001</v>
      </c>
      <c r="H43">
        <f t="shared" si="1"/>
        <v>4.6040000000000001</v>
      </c>
      <c r="I43">
        <f t="shared" si="2"/>
        <v>5827.9806720000006</v>
      </c>
      <c r="J43">
        <f>($N$21+$N$22+$N$23*2)*(IF($I$9&gt;=1,1.15,1))</f>
        <v>8.1</v>
      </c>
      <c r="K43">
        <f t="shared" si="4"/>
        <v>0.38</v>
      </c>
      <c r="L43">
        <f t="shared" si="5"/>
        <v>0.5</v>
      </c>
      <c r="R43">
        <f t="shared" si="3"/>
        <v>0.56100000000000005</v>
      </c>
      <c r="AE43" s="14" t="s">
        <v>729</v>
      </c>
      <c r="AF43" s="16">
        <v>0.6</v>
      </c>
      <c r="AG43" s="16">
        <v>0.6</v>
      </c>
      <c r="AH43" s="16">
        <v>0.6</v>
      </c>
      <c r="AI43" s="16">
        <v>0.6</v>
      </c>
      <c r="AJ43" s="16">
        <v>0.6</v>
      </c>
      <c r="AK43" s="16">
        <v>0.6</v>
      </c>
      <c r="AL43" s="16">
        <v>0.6</v>
      </c>
      <c r="AM43" s="16">
        <v>0.6</v>
      </c>
      <c r="AN43" s="16">
        <v>0.6</v>
      </c>
      <c r="AO43" s="16">
        <v>0.6</v>
      </c>
      <c r="AP43" s="16">
        <v>0.6</v>
      </c>
      <c r="AQ43" s="16">
        <v>0.6</v>
      </c>
    </row>
    <row r="44" spans="3:43" x14ac:dyDescent="0.25">
      <c r="C44" t="s">
        <v>1372</v>
      </c>
      <c r="D44" t="s">
        <v>805</v>
      </c>
      <c r="E44">
        <f>828</f>
        <v>828</v>
      </c>
      <c r="F44">
        <f t="shared" si="0"/>
        <v>0.25600000000000001</v>
      </c>
      <c r="H44">
        <f t="shared" si="1"/>
        <v>4.6040000000000001</v>
      </c>
      <c r="I44">
        <f t="shared" si="2"/>
        <v>5827.9806720000006</v>
      </c>
      <c r="J44">
        <f>($N$21+$N$22+$N$23*3)*(IF($I$9&gt;=1,1.15,1))</f>
        <v>9.9</v>
      </c>
      <c r="K44">
        <f t="shared" si="4"/>
        <v>0.38</v>
      </c>
      <c r="L44">
        <f t="shared" si="5"/>
        <v>0.5</v>
      </c>
      <c r="R44">
        <f t="shared" si="3"/>
        <v>0.56100000000000005</v>
      </c>
    </row>
    <row r="45" spans="3:43" x14ac:dyDescent="0.25">
      <c r="C45" t="s">
        <v>1373</v>
      </c>
      <c r="D45" t="s">
        <v>805</v>
      </c>
      <c r="E45">
        <f>828</f>
        <v>828</v>
      </c>
      <c r="F45">
        <f t="shared" si="0"/>
        <v>0.25600000000000001</v>
      </c>
      <c r="H45">
        <f t="shared" si="1"/>
        <v>4.6040000000000001</v>
      </c>
      <c r="I45">
        <f t="shared" si="2"/>
        <v>5827.9806720000006</v>
      </c>
      <c r="J45">
        <f>($N$21+$N$22+$N$23*4)*(IF($I$9&gt;=1,1.15,1))</f>
        <v>11.7</v>
      </c>
      <c r="K45">
        <f t="shared" si="4"/>
        <v>0.38</v>
      </c>
      <c r="L45">
        <f t="shared" si="5"/>
        <v>0.5</v>
      </c>
      <c r="R45">
        <f t="shared" si="3"/>
        <v>0.56100000000000005</v>
      </c>
    </row>
    <row r="46" spans="3:43" x14ac:dyDescent="0.25">
      <c r="C46" t="s">
        <v>747</v>
      </c>
      <c r="D46" t="s">
        <v>805</v>
      </c>
      <c r="E46">
        <f>828</f>
        <v>828</v>
      </c>
      <c r="F46">
        <f t="shared" si="0"/>
        <v>0.25600000000000001</v>
      </c>
      <c r="H46">
        <f t="shared" si="1"/>
        <v>4.6040000000000001</v>
      </c>
      <c r="I46">
        <f t="shared" si="2"/>
        <v>5827.9806720000006</v>
      </c>
      <c r="J46">
        <f>SUM($O$21:$O$23)*IF(I9&gt;=5,1.1,1)</f>
        <v>16</v>
      </c>
      <c r="K46">
        <f t="shared" si="4"/>
        <v>0.38</v>
      </c>
      <c r="L46">
        <f>0.5+0.6+IF(I9&gt;=5,0.3,0)</f>
        <v>1.1000000000000001</v>
      </c>
      <c r="R46">
        <f t="shared" si="3"/>
        <v>0.56100000000000005</v>
      </c>
    </row>
    <row r="47" spans="3:43" x14ac:dyDescent="0.25">
      <c r="C47" s="22" t="s">
        <v>900</v>
      </c>
      <c r="D47" t="s">
        <v>805</v>
      </c>
      <c r="E47">
        <f>828</f>
        <v>828</v>
      </c>
      <c r="F47">
        <f t="shared" si="0"/>
        <v>0.25600000000000001</v>
      </c>
      <c r="H47">
        <f t="shared" si="1"/>
        <v>4.6040000000000001</v>
      </c>
      <c r="I47">
        <f>(E47*(1+F47)+G47)*(H47+1)</f>
        <v>5827.9806720000006</v>
      </c>
      <c r="J47">
        <f>0.3*25</f>
        <v>7.5</v>
      </c>
      <c r="K47">
        <f>K40</f>
        <v>0.38</v>
      </c>
      <c r="L47">
        <f t="shared" si="5"/>
        <v>0.5</v>
      </c>
      <c r="R47">
        <f t="shared" si="3"/>
        <v>0.56100000000000005</v>
      </c>
      <c r="Z47" s="29"/>
    </row>
    <row r="48" spans="3:43" x14ac:dyDescent="0.25">
      <c r="C48" t="s">
        <v>866</v>
      </c>
      <c r="D48" t="s">
        <v>805</v>
      </c>
      <c r="E48">
        <f>828</f>
        <v>828</v>
      </c>
      <c r="F48">
        <f t="shared" si="0"/>
        <v>0.25600000000000001</v>
      </c>
      <c r="H48">
        <f t="shared" si="1"/>
        <v>4.6040000000000001</v>
      </c>
      <c r="I48">
        <f t="shared" si="2"/>
        <v>5827.9806720000006</v>
      </c>
      <c r="J48">
        <f>0.24+IF(I9&gt;=3,0.08,0)</f>
        <v>0.24</v>
      </c>
      <c r="K48">
        <f>K46</f>
        <v>0.38</v>
      </c>
      <c r="L48">
        <f t="shared" si="5"/>
        <v>0.5</v>
      </c>
      <c r="R48">
        <f t="shared" si="3"/>
        <v>0.56100000000000005</v>
      </c>
      <c r="Z48" s="29"/>
    </row>
    <row r="49" spans="2:43" x14ac:dyDescent="0.25">
      <c r="C49" t="s">
        <v>901</v>
      </c>
      <c r="D49" t="s">
        <v>805</v>
      </c>
      <c r="E49">
        <f>828</f>
        <v>828</v>
      </c>
      <c r="F49">
        <f t="shared" si="0"/>
        <v>0.25600000000000001</v>
      </c>
      <c r="H49">
        <f t="shared" si="1"/>
        <v>4.6040000000000001</v>
      </c>
      <c r="I49">
        <f t="shared" ref="I49" si="7">(E49*(1+F49)+G49)*(H49+1)</f>
        <v>5827.9806720000006</v>
      </c>
      <c r="J49">
        <f>(0.24+IF(I10&gt;=3,0.08,0))*1.5</f>
        <v>0.36</v>
      </c>
      <c r="K49">
        <f>K47</f>
        <v>0.38</v>
      </c>
      <c r="L49">
        <f t="shared" si="5"/>
        <v>0.5</v>
      </c>
      <c r="R49">
        <f t="shared" si="3"/>
        <v>0.56100000000000005</v>
      </c>
      <c r="AD49" s="77"/>
    </row>
    <row r="50" spans="2:43" x14ac:dyDescent="0.25">
      <c r="B50" t="s">
        <v>892</v>
      </c>
      <c r="AD50" s="77"/>
    </row>
    <row r="51" spans="2:43" x14ac:dyDescent="0.25">
      <c r="B51">
        <v>15</v>
      </c>
      <c r="C51" t="s">
        <v>805</v>
      </c>
      <c r="D51" s="22" t="s">
        <v>746</v>
      </c>
      <c r="K51">
        <f>N25</f>
        <v>0.25</v>
      </c>
      <c r="L51">
        <f>N26</f>
        <v>0.5</v>
      </c>
      <c r="AD51" s="77"/>
    </row>
    <row r="52" spans="2:43" x14ac:dyDescent="0.25">
      <c r="B52">
        <v>15</v>
      </c>
      <c r="C52" t="s">
        <v>805</v>
      </c>
      <c r="D52" s="22" t="s">
        <v>745</v>
      </c>
      <c r="V52">
        <f>0.12</f>
        <v>0.12</v>
      </c>
    </row>
    <row r="53" spans="2:43" x14ac:dyDescent="0.25">
      <c r="B53">
        <v>5</v>
      </c>
      <c r="C53" t="s">
        <v>805</v>
      </c>
      <c r="D53" s="22" t="s">
        <v>882</v>
      </c>
      <c r="F53">
        <f>0.25</f>
        <v>0.25</v>
      </c>
      <c r="K53">
        <f>0.05</f>
        <v>0.05</v>
      </c>
    </row>
    <row r="54" spans="2:43" x14ac:dyDescent="0.25">
      <c r="C54" t="s">
        <v>805</v>
      </c>
      <c r="D54" s="22" t="s">
        <v>898</v>
      </c>
      <c r="N54">
        <f>8*0.016</f>
        <v>0.128</v>
      </c>
    </row>
    <row r="55" spans="2:43" x14ac:dyDescent="0.25">
      <c r="B55">
        <v>20</v>
      </c>
      <c r="C55" t="s">
        <v>805</v>
      </c>
      <c r="D55" s="22" t="s">
        <v>899</v>
      </c>
      <c r="N55">
        <f>16*0.016+0.384</f>
        <v>0.64</v>
      </c>
    </row>
    <row r="56" spans="2:43" x14ac:dyDescent="0.25">
      <c r="B56">
        <f>30</f>
        <v>30</v>
      </c>
      <c r="C56" t="s">
        <v>805</v>
      </c>
      <c r="D56" s="22" t="s">
        <v>907</v>
      </c>
      <c r="N56">
        <f>0.216</f>
        <v>0.216</v>
      </c>
    </row>
    <row r="57" spans="2:43" x14ac:dyDescent="0.25">
      <c r="B57">
        <f>30</f>
        <v>30</v>
      </c>
      <c r="C57" t="s">
        <v>805</v>
      </c>
      <c r="D57" s="22" t="s">
        <v>908</v>
      </c>
      <c r="N57">
        <f>$N$56*2</f>
        <v>0.432</v>
      </c>
    </row>
    <row r="58" spans="2:43" x14ac:dyDescent="0.25">
      <c r="B58">
        <f>30</f>
        <v>30</v>
      </c>
      <c r="C58" t="s">
        <v>805</v>
      </c>
      <c r="D58" s="22" t="s">
        <v>909</v>
      </c>
      <c r="N58">
        <f>$N$56*3</f>
        <v>0.64800000000000002</v>
      </c>
    </row>
    <row r="62" spans="2:43" s="40" customFormat="1" ht="14.4" thickBot="1" x14ac:dyDescent="0.3">
      <c r="B62" s="21" t="s">
        <v>734</v>
      </c>
      <c r="AD62" s="59"/>
    </row>
    <row r="63" spans="2:43" x14ac:dyDescent="0.25">
      <c r="B63" s="25"/>
      <c r="C63" s="26" t="s">
        <v>75</v>
      </c>
      <c r="D63" s="26" t="s">
        <v>85</v>
      </c>
      <c r="E63" s="26" t="s">
        <v>86</v>
      </c>
      <c r="F63" s="26" t="s">
        <v>87</v>
      </c>
      <c r="G63" s="26" t="s">
        <v>88</v>
      </c>
      <c r="H63" s="26" t="s">
        <v>89</v>
      </c>
      <c r="I63" s="26" t="s">
        <v>192</v>
      </c>
      <c r="J63" s="83" t="s">
        <v>867</v>
      </c>
      <c r="Q63" s="25"/>
      <c r="R63" s="26"/>
      <c r="S63" s="27"/>
      <c r="AE63" s="41" t="s">
        <v>153</v>
      </c>
    </row>
    <row r="64" spans="2:43" x14ac:dyDescent="0.25">
      <c r="B64" s="28" t="s">
        <v>91</v>
      </c>
      <c r="C64" s="21" t="s">
        <v>910</v>
      </c>
      <c r="D64" s="21" t="s">
        <v>750</v>
      </c>
      <c r="E64" s="21" t="s">
        <v>569</v>
      </c>
      <c r="F64" s="21" t="s">
        <v>1221</v>
      </c>
      <c r="G64" s="21" t="s">
        <v>562</v>
      </c>
      <c r="H64" t="str">
        <f>IF(COUNTIF(E64:G64,LEFT(D64,2)&amp;"*")&gt;=2,LEFT(D64,2),
IF(COUNTIF(F64:G64,LEFT(E64,2)&amp;"*")=2,LEFT(E64,2),
""))</f>
        <v>点剑</v>
      </c>
      <c r="I64" s="21">
        <v>2</v>
      </c>
      <c r="J64" s="29"/>
      <c r="Q64" s="28"/>
      <c r="S64" s="29"/>
      <c r="AE64" s="15"/>
      <c r="AF64" s="15">
        <v>1</v>
      </c>
      <c r="AG64" s="15">
        <v>2</v>
      </c>
      <c r="AH64" s="15">
        <v>3</v>
      </c>
      <c r="AI64" s="15">
        <v>4</v>
      </c>
      <c r="AJ64" s="15">
        <v>5</v>
      </c>
      <c r="AK64" s="15">
        <v>6</v>
      </c>
      <c r="AL64" s="15">
        <v>7</v>
      </c>
      <c r="AM64" s="15">
        <v>8</v>
      </c>
      <c r="AN64" s="15">
        <v>9</v>
      </c>
      <c r="AO64" s="15" t="s">
        <v>124</v>
      </c>
      <c r="AP64" s="15" t="s">
        <v>125</v>
      </c>
      <c r="AQ64" s="15" t="s">
        <v>126</v>
      </c>
    </row>
    <row r="65" spans="2:43" x14ac:dyDescent="0.25">
      <c r="B65" s="28" t="s">
        <v>183</v>
      </c>
      <c r="D65" s="21">
        <v>3</v>
      </c>
      <c r="E65" s="21">
        <v>3</v>
      </c>
      <c r="F65" s="21">
        <v>3</v>
      </c>
      <c r="G65" s="21">
        <v>3</v>
      </c>
      <c r="J65" s="29"/>
      <c r="Q65" s="28"/>
      <c r="S65" s="29"/>
      <c r="AE65" s="14" t="s">
        <v>127</v>
      </c>
      <c r="AF65" s="16">
        <v>0.23</v>
      </c>
      <c r="AG65" s="16">
        <v>0.25</v>
      </c>
      <c r="AH65" s="16">
        <v>0.27</v>
      </c>
      <c r="AI65" s="16">
        <v>0.28999999999999998</v>
      </c>
      <c r="AJ65" s="16">
        <v>0.32</v>
      </c>
      <c r="AK65" s="16">
        <v>0.34</v>
      </c>
      <c r="AL65" s="16">
        <v>0.36</v>
      </c>
      <c r="AM65" s="16">
        <v>0.39</v>
      </c>
      <c r="AN65" s="16">
        <v>0.41</v>
      </c>
      <c r="AO65" s="16">
        <v>0.44</v>
      </c>
      <c r="AP65" s="16">
        <v>0.47</v>
      </c>
      <c r="AQ65" s="16">
        <v>0.51</v>
      </c>
    </row>
    <row r="66" spans="2:43" x14ac:dyDescent="0.25">
      <c r="B66" s="84" t="s">
        <v>97</v>
      </c>
      <c r="C66" t="str">
        <f>_xlfn.XLOOKUP(C64,武器库!$B:$B,武器库!$C:$C,"")</f>
        <v>主能力值+132</v>
      </c>
      <c r="D66" t="str">
        <f>VLOOKUP(D64,护甲库!$A:$M,2+D65*3,FALSE)</f>
        <v>敏捷113</v>
      </c>
      <c r="E66" t="str">
        <f>VLOOKUP(E64,护手库!$A:$M,2+E65*3,FALSE)</f>
        <v>敏捷84</v>
      </c>
      <c r="F66" t="str">
        <f>VLOOKUP(F64,配件库!$A:$M,2+F65*3,FALSE)</f>
        <v>敏捷41</v>
      </c>
      <c r="G66" t="str">
        <f>VLOOKUP(G64,配件库!$A:$M,2+G65*3,FALSE)</f>
        <v>敏捷41</v>
      </c>
      <c r="H66" s="11"/>
      <c r="J66" s="29"/>
      <c r="Q66" s="28"/>
      <c r="S66" s="29"/>
      <c r="AE66" s="14" t="s">
        <v>128</v>
      </c>
      <c r="AF66" s="16">
        <v>0.27</v>
      </c>
      <c r="AG66" s="16">
        <v>0.3</v>
      </c>
      <c r="AH66" s="16">
        <v>0.32</v>
      </c>
      <c r="AI66" s="16">
        <v>0.35</v>
      </c>
      <c r="AJ66" s="16">
        <v>0.38</v>
      </c>
      <c r="AK66" s="16">
        <v>0.41</v>
      </c>
      <c r="AL66" s="16">
        <v>0.43</v>
      </c>
      <c r="AM66" s="16">
        <v>0.46</v>
      </c>
      <c r="AN66" s="16">
        <v>0.49</v>
      </c>
      <c r="AO66" s="16">
        <v>0.52</v>
      </c>
      <c r="AP66" s="16">
        <v>0.56000000000000005</v>
      </c>
      <c r="AQ66" s="16">
        <v>0.61</v>
      </c>
    </row>
    <row r="67" spans="2:43" x14ac:dyDescent="0.25">
      <c r="B67" s="28" t="s">
        <v>98</v>
      </c>
      <c r="C67" s="43" t="str">
        <f>_xlfn.XLOOKUP(C64,武器库!$B:$B,武器库!$D:$D,"")</f>
        <v>物伤43.3</v>
      </c>
      <c r="D67" t="str">
        <f>VLOOKUP(D64,护甲库!$A:$M,3+D65*3,FALSE)</f>
        <v>力量75</v>
      </c>
      <c r="E67" t="str">
        <f>VLOOKUP(E64,护手库!$A:$M,3+E65*3,FALSE)</f>
        <v>力量55</v>
      </c>
      <c r="F67" t="str">
        <f>VLOOKUP(F64,配件库!$A:$M,3+F65*3,FALSE)</f>
        <v>力量27</v>
      </c>
      <c r="G67" t="str">
        <f>VLOOKUP(G64,配件库!$A:$M,3+G65*3,FALSE)</f>
        <v>力量27</v>
      </c>
      <c r="H67" s="9"/>
      <c r="J67" s="29"/>
      <c r="Q67" s="28"/>
      <c r="S67" s="29"/>
      <c r="AE67" s="14" t="s">
        <v>129</v>
      </c>
      <c r="AF67" s="16">
        <v>0.3</v>
      </c>
      <c r="AG67" s="16">
        <v>0.33</v>
      </c>
      <c r="AH67" s="16">
        <v>0.36</v>
      </c>
      <c r="AI67" s="16">
        <v>0.39</v>
      </c>
      <c r="AJ67" s="16">
        <v>0.42</v>
      </c>
      <c r="AK67" s="16">
        <v>0.45</v>
      </c>
      <c r="AL67" s="16">
        <v>0.48</v>
      </c>
      <c r="AM67" s="16">
        <v>0.51</v>
      </c>
      <c r="AN67" s="16">
        <v>0.54</v>
      </c>
      <c r="AO67" s="16">
        <v>0.57999999999999996</v>
      </c>
      <c r="AP67" s="16">
        <v>0.63</v>
      </c>
      <c r="AQ67" s="16">
        <v>0.68</v>
      </c>
    </row>
    <row r="68" spans="2:43" x14ac:dyDescent="0.25">
      <c r="B68" s="28" t="s">
        <v>99</v>
      </c>
      <c r="C68" s="43" t="str">
        <f>_xlfn.XLOOKUP(C64,武器库!$B:$B,武器库!$E:$E,"")</f>
        <v>攻击力+16.0</v>
      </c>
      <c r="D68" s="43" t="str">
        <f>VLOOKUP(D64,护甲库!$A:$M,4+D65*3,FALSE)</f>
        <v>技艺26</v>
      </c>
      <c r="E68" s="43" t="str">
        <f>VLOOKUP(E64,护手库!$A:$M,4+E65*3,FALSE)</f>
        <v>技艺44</v>
      </c>
      <c r="F68" s="43" t="str">
        <f>VLOOKUP(F64,配件库!$A:$M,4+F65*3,FALSE)</f>
        <v>物伤29.9</v>
      </c>
      <c r="G68" s="43" t="str">
        <f>VLOOKUP(G64,配件库!$A:$M,4+G65*3,FALSE)</f>
        <v>物伤29.9</v>
      </c>
      <c r="H68" s="9"/>
      <c r="J68" s="29"/>
      <c r="Q68" s="28"/>
      <c r="S68" s="29"/>
      <c r="AE68" s="14" t="s">
        <v>130</v>
      </c>
      <c r="AF68" s="16">
        <v>0.35</v>
      </c>
      <c r="AG68" s="16">
        <v>0.38</v>
      </c>
      <c r="AH68" s="16">
        <v>0.41</v>
      </c>
      <c r="AI68" s="16">
        <v>0.45</v>
      </c>
      <c r="AJ68" s="16">
        <v>0.48</v>
      </c>
      <c r="AK68" s="16">
        <v>0.52</v>
      </c>
      <c r="AL68" s="16">
        <v>0.55000000000000004</v>
      </c>
      <c r="AM68" s="16">
        <v>0.59</v>
      </c>
      <c r="AN68" s="16">
        <v>0.62</v>
      </c>
      <c r="AO68" s="16">
        <v>0.67</v>
      </c>
      <c r="AP68" s="16">
        <v>0.72</v>
      </c>
      <c r="AQ68" s="16">
        <v>0.78</v>
      </c>
    </row>
    <row r="69" spans="2:43" x14ac:dyDescent="0.25">
      <c r="B69" s="28" t="s">
        <v>90</v>
      </c>
      <c r="C69" t="str">
        <f>_xlfn.XLOOKUP(C64,武器库!$B:$B,武器库!$F:$F,"")</f>
        <v>装备者消耗破防层数后，自身攻击力+[7.0%+3.5%×消耗层数]，小队内其他干员获得一半的效果，持续20秒。</v>
      </c>
      <c r="D69" s="22"/>
      <c r="F69" s="22"/>
      <c r="G69" s="9"/>
      <c r="H69" s="9"/>
      <c r="J69" s="29"/>
      <c r="Q69" s="28"/>
      <c r="S69" s="29"/>
      <c r="AE69" s="14" t="s">
        <v>660</v>
      </c>
      <c r="AF69" s="16">
        <v>0.4</v>
      </c>
      <c r="AG69" s="16">
        <v>0.44</v>
      </c>
      <c r="AH69" s="16">
        <v>0.48</v>
      </c>
      <c r="AI69" s="16">
        <v>0.52</v>
      </c>
      <c r="AJ69" s="16">
        <v>0.56000000000000005</v>
      </c>
      <c r="AK69" s="16">
        <v>0.6</v>
      </c>
      <c r="AL69" s="16">
        <v>0.64</v>
      </c>
      <c r="AM69" s="16">
        <v>0.68</v>
      </c>
      <c r="AN69" s="16">
        <v>0.72</v>
      </c>
      <c r="AO69" s="16">
        <v>0.77</v>
      </c>
      <c r="AP69" s="16">
        <v>0.83</v>
      </c>
      <c r="AQ69" s="16">
        <v>0.9</v>
      </c>
    </row>
    <row r="70" spans="2:43" ht="14.4" thickBot="1" x14ac:dyDescent="0.3">
      <c r="B70" s="30" t="s">
        <v>89</v>
      </c>
      <c r="C70" s="18" t="str">
        <f>VLOOKUP(H64,套装效果库!A:B,2,0)</f>
        <v>失衡效率20。当装备者造成物理异常后，额外造成一次250%攻击力的物理伤害[10点失衡值]。该效果每15秒最多触发一次。</v>
      </c>
      <c r="D70" s="19"/>
      <c r="E70" s="18"/>
      <c r="F70" s="19"/>
      <c r="G70" s="20"/>
      <c r="H70" s="20"/>
      <c r="I70" s="18"/>
      <c r="J70" s="31"/>
      <c r="Q70" s="28"/>
      <c r="S70" s="29"/>
      <c r="AE70" s="14" t="s">
        <v>131</v>
      </c>
      <c r="AF70" s="16">
        <v>4</v>
      </c>
      <c r="AG70" s="16">
        <v>4.4000000000000004</v>
      </c>
      <c r="AH70" s="16">
        <v>4.8</v>
      </c>
      <c r="AI70" s="16">
        <v>5.2</v>
      </c>
      <c r="AJ70" s="16">
        <v>5.6</v>
      </c>
      <c r="AK70" s="16">
        <v>6</v>
      </c>
      <c r="AL70" s="16">
        <v>6.4</v>
      </c>
      <c r="AM70" s="16">
        <v>6.8</v>
      </c>
      <c r="AN70" s="16">
        <v>7.2</v>
      </c>
      <c r="AO70" s="16">
        <v>7.7</v>
      </c>
      <c r="AP70" s="16">
        <v>8.3000000000000007</v>
      </c>
      <c r="AQ70" s="16">
        <v>9</v>
      </c>
    </row>
    <row r="71" spans="2:43" x14ac:dyDescent="0.25">
      <c r="Q71" s="28"/>
      <c r="S71" s="29"/>
      <c r="AE71" s="14" t="s">
        <v>132</v>
      </c>
      <c r="AF71" s="16">
        <v>0.8</v>
      </c>
      <c r="AG71" s="16">
        <v>0.88</v>
      </c>
      <c r="AH71" s="16">
        <v>0.96</v>
      </c>
      <c r="AI71" s="16">
        <v>1.04</v>
      </c>
      <c r="AJ71" s="16">
        <v>1.1200000000000001</v>
      </c>
      <c r="AK71" s="16">
        <v>1.2</v>
      </c>
      <c r="AL71" s="16">
        <v>1.28</v>
      </c>
      <c r="AM71" s="16">
        <v>1.36</v>
      </c>
      <c r="AN71" s="16">
        <v>1.44</v>
      </c>
      <c r="AO71" s="16">
        <v>1.54</v>
      </c>
      <c r="AP71" s="16">
        <v>1.66</v>
      </c>
      <c r="AQ71" s="16">
        <v>1.8</v>
      </c>
    </row>
    <row r="72" spans="2:43" x14ac:dyDescent="0.25">
      <c r="Q72" s="28"/>
      <c r="S72" s="29"/>
    </row>
    <row r="73" spans="2:43" x14ac:dyDescent="0.25">
      <c r="B73" s="17"/>
      <c r="C73" s="17" t="s">
        <v>990</v>
      </c>
      <c r="D73" s="17" t="s">
        <v>1054</v>
      </c>
      <c r="E73" s="17"/>
      <c r="F73" s="17"/>
      <c r="G73" s="17"/>
      <c r="H73" s="17"/>
      <c r="I73" s="17"/>
      <c r="K73" s="17"/>
      <c r="L73" s="17" t="s">
        <v>701</v>
      </c>
      <c r="M73" s="17" t="s">
        <v>157</v>
      </c>
      <c r="N73" s="17" t="s">
        <v>702</v>
      </c>
      <c r="O73" s="17" t="s">
        <v>158</v>
      </c>
      <c r="S73" s="29"/>
      <c r="AE73" s="41" t="s">
        <v>76</v>
      </c>
    </row>
    <row r="74" spans="2:43" x14ac:dyDescent="0.25">
      <c r="C74" s="21" t="s">
        <v>659</v>
      </c>
      <c r="D74" s="21" t="s">
        <v>106</v>
      </c>
      <c r="E74" s="43" t="s">
        <v>196</v>
      </c>
      <c r="F74" s="43" t="s">
        <v>644</v>
      </c>
      <c r="G74" s="43" t="s">
        <v>651</v>
      </c>
      <c r="H74" s="43" t="s">
        <v>752</v>
      </c>
      <c r="I74" s="43" t="s">
        <v>860</v>
      </c>
      <c r="K74" s="21" t="s">
        <v>183</v>
      </c>
      <c r="L74" s="21" t="s">
        <v>645</v>
      </c>
      <c r="M74" s="21" t="s">
        <v>645</v>
      </c>
      <c r="N74" s="21" t="s">
        <v>645</v>
      </c>
      <c r="O74" s="21" t="s">
        <v>645</v>
      </c>
      <c r="S74" s="29"/>
      <c r="AF74" s="15">
        <v>1</v>
      </c>
      <c r="AG74" s="15">
        <v>2</v>
      </c>
      <c r="AH74" s="15">
        <v>3</v>
      </c>
      <c r="AI74" s="15">
        <v>4</v>
      </c>
      <c r="AJ74" s="15">
        <v>5</v>
      </c>
      <c r="AK74" s="15">
        <v>6</v>
      </c>
      <c r="AL74" s="15">
        <v>7</v>
      </c>
      <c r="AM74" s="15">
        <v>8</v>
      </c>
      <c r="AN74" s="15">
        <v>9</v>
      </c>
      <c r="AO74" s="15" t="s">
        <v>124</v>
      </c>
      <c r="AP74" s="15" t="s">
        <v>125</v>
      </c>
      <c r="AQ74" s="15" t="s">
        <v>126</v>
      </c>
    </row>
    <row r="75" spans="2:43" x14ac:dyDescent="0.25">
      <c r="B75" t="s">
        <v>164</v>
      </c>
      <c r="C75" s="21">
        <f>140+60</f>
        <v>200</v>
      </c>
      <c r="D75" s="21">
        <f>123</f>
        <v>123</v>
      </c>
      <c r="E75" cm="1">
        <f t="array" ref="E75">SUM(IFERROR(
    VALUE(MID($C65:$G68,
             SEARCH(E74, $C65:$G68) + LEN(E74),
             10)) *
    ISNUMBER(SEARCH(E74,$C65:$G68)),
    0
))/100+IFERROR(
    MID($C70, SEARCH(E74, $C70) + LEN(E74), 2) / 100,
    0
)</f>
        <v>0.16</v>
      </c>
      <c r="F75" cm="1">
        <f t="array" ref="F75">SUM(IFERROR(
    VALUE(MID($C65:$G68,
             SEARCH(F74, $C65:$G68) + LEN(F74),
             10)) *
    ISNUMBER(SEARCH(F74,$C65:$G68)),
    0
))/100+IFERROR(
    MID($C70, SEARCH(F74, $C70) + LEN(F74), 2) / 100,
    0
)</f>
        <v>0.7</v>
      </c>
      <c r="G75" cm="1">
        <f t="array" ref="G75">SUM(IFERROR(
    VALUE(MID($C65:$G68,
             SEARCH(G74, $C65:$G68) + LEN(G74),
             10)) *
    ISNUMBER(SEARCH(G74,$C65:$G68)),
    0
))/100+IFERROR(
    MID($C70, SEARCH(G74, $C70) + LEN(G74), 2) / 100,
    0
)</f>
        <v>0</v>
      </c>
      <c r="H75" cm="1">
        <f t="array" ref="H75">SUM(IFERROR(
    VALUE(MID($C65:$G68,
             SEARCH(H74, $C65:$G68) + LEN(H74),
             10)) *
    ISNUMBER(SEARCH(H74,$C65:$G68)),
    0
))/100+IFERROR(
    MID($C70, SEARCH(H74, $C70) + LEN(H74), 2) / 100,
    0
)</f>
        <v>0.2</v>
      </c>
      <c r="I75" cm="1">
        <f t="array" ref="I75">SUM(IFERROR(
    VALUE(MID($C65:$G68,
             SEARCH(I74, $C65:$G68) + LEN(I74),
             10)) *
    ISNUMBER(SEARCH(I74,$C65:$G68)),
    0
))/100+IFERROR(
    MID($C70, SEARCH(I74, $C70) + LEN(I74), 2) / 100,
    0
)</f>
        <v>1.0309999999999999</v>
      </c>
      <c r="K75" s="23" t="s">
        <v>195</v>
      </c>
      <c r="L75" s="23" cm="1">
        <f t="array" ref="L75:L81">_xlfn.XLOOKUP(L74,$AE$6:$AQ$6,AE65:AQ71,0,0,1)</f>
        <v>0.51</v>
      </c>
      <c r="M75" s="23" cm="1">
        <f t="array" ref="M75:M76">_xlfn.XLOOKUP(M74,$AE$6:$AQ$6,AE75:AQ76,0,0,1)</f>
        <v>3.5</v>
      </c>
      <c r="N75" s="23" cm="1">
        <f t="array" ref="N75:N78">_xlfn.XLOOKUP(N74,$AE$6:$AQ$6,AE80:AQ83,0,0,1)</f>
        <v>1</v>
      </c>
      <c r="O75" s="23" cm="1">
        <f t="array" ref="O75:O77">_xlfn.XLOOKUP(O74,$AE$6:$AQ$6,AE87:AQ89,0,0,1)</f>
        <v>8</v>
      </c>
      <c r="S75" s="29"/>
      <c r="AE75" s="14" t="s">
        <v>160</v>
      </c>
      <c r="AF75" s="16">
        <v>1.56</v>
      </c>
      <c r="AG75" s="16">
        <v>1.71</v>
      </c>
      <c r="AH75" s="16">
        <v>1.87</v>
      </c>
      <c r="AI75" s="16">
        <v>2.02</v>
      </c>
      <c r="AJ75" s="16">
        <v>2.1800000000000002</v>
      </c>
      <c r="AK75" s="16">
        <v>2.34</v>
      </c>
      <c r="AL75" s="16">
        <v>2.4900000000000002</v>
      </c>
      <c r="AM75" s="16">
        <v>2.65</v>
      </c>
      <c r="AN75" s="16">
        <v>2.8</v>
      </c>
      <c r="AO75" s="16">
        <v>3</v>
      </c>
      <c r="AP75" s="16">
        <v>3.23</v>
      </c>
      <c r="AQ75" s="16">
        <v>3.5</v>
      </c>
    </row>
    <row r="76" spans="2:43" x14ac:dyDescent="0.25">
      <c r="B76" s="22" t="s">
        <v>165</v>
      </c>
      <c r="C76" cm="1">
        <f t="array" ref="C76">SUM(IFERROR(
    VALUE(MID($C65:$G68,
             FIND(C74, $C65:$G68) + LEN(C74),
             10)) *
    ISNUMBER(FIND(C74, $C65:$G68)),
    0
))+SUM(IFERROR(
    VALUE(MID($C65:$G68,
             FIND(C73, $C65:$G68) + LEN(C73),
             10)) *
    ISNUMBER(FIND(C73, $C65:$G68)),
    0
))+IFERROR(
    MID($C70, SEARCH(C74, $C70) + LEN(C74), 2) / 100,
    0
)+IFERROR(
    MID($C70, SEARCH(C73, $C70) + LEN(C73), 2) / 100,
    0
)</f>
        <v>411</v>
      </c>
      <c r="D76" cm="1">
        <f t="array" ref="D76">SUM(IFERROR(
    VALUE(MID($C65:$G68,
             FIND(D74, $C65:$G68) + LEN(D74),
             10)) *
    ISNUMBER(FIND(D74, $C65:$G68)),
    0
))+SUM(IFERROR(
    VALUE(MID($C65:$G68,
             FIND(D73, $C65:$G68) + LEN(D73),
             10)) *
    ISNUMBER(FIND(D73, $C65:$G68)),
    0
))+IFERROR(
    MID($C70, SEARCH(D74, $C70) + LEN(D74), 2) / 100,
    0
)+IFERROR(
    MID($C70, SEARCH(D73, $C70) + LEN(D73), 2) / 100,
    0
)</f>
        <v>184</v>
      </c>
      <c r="L76">
        <v>0.61</v>
      </c>
      <c r="M76">
        <v>10</v>
      </c>
      <c r="N76">
        <v>4</v>
      </c>
      <c r="O76">
        <v>6</v>
      </c>
      <c r="Q76" s="28"/>
      <c r="S76" s="29"/>
      <c r="AE76" s="14" t="s">
        <v>155</v>
      </c>
      <c r="AF76" s="14">
        <v>10</v>
      </c>
      <c r="AG76" s="14">
        <v>10</v>
      </c>
      <c r="AH76" s="14">
        <v>10</v>
      </c>
      <c r="AI76" s="14">
        <v>10</v>
      </c>
      <c r="AJ76" s="14">
        <v>10</v>
      </c>
      <c r="AK76" s="14">
        <v>10</v>
      </c>
      <c r="AL76" s="14">
        <v>10</v>
      </c>
      <c r="AM76" s="14">
        <v>10</v>
      </c>
      <c r="AN76" s="14">
        <v>10</v>
      </c>
      <c r="AO76" s="14">
        <v>10</v>
      </c>
      <c r="AP76" s="14">
        <v>10</v>
      </c>
      <c r="AQ76" s="14">
        <v>10</v>
      </c>
    </row>
    <row r="77" spans="2:43" ht="14.4" thickBot="1" x14ac:dyDescent="0.3">
      <c r="B77" s="22" t="s">
        <v>166</v>
      </c>
      <c r="C77" s="12" cm="1">
        <f t="array" ref="C77">ROUNDUP(SUM(C75:C76)*(1+IF(LEN(TRIM(LEFT(C73,3)))=0, 0,
   SUMPRODUCT(
       IFERROR(
           VALUE(MID($C65:$G68,
                   SEARCH(LEFT(C73,3), $C65:$G68) + 3,
                   10)) *
           ISNUMBER(SEARCH(LEFT(C73,3), $C65:$G68)),
           0
       )
   )+IFERROR(
    MID($C70, SEARCH(C74, $C70) + LEN(C74), 2) / 100,
    0
)
)/100),0)</f>
        <v>611</v>
      </c>
      <c r="D77" s="12" cm="1">
        <f t="array" ref="D77">ROUNDUP(SUM(D75:D76)*(1+IF(LEN(TRIM(LEFT(D73,3)))=0, 0,
   SUMPRODUCT(
       IFERROR(
           VALUE(MID($C65:$G68,
                   SEARCH(LEFT(D73,3), $C65:$G68) + 3,
                   10)) *
           ISNUMBER(SEARCH(LEFT(D73,3), $C65:$G68)),
           0
       )
   )+IFERROR(
    MID($C70, SEARCH(D74, $C70) + LEN(D74), 2) / 100,
    0
)
)/100),0)</f>
        <v>307</v>
      </c>
      <c r="L77">
        <v>0.68</v>
      </c>
      <c r="N77">
        <v>10</v>
      </c>
      <c r="O77">
        <v>25</v>
      </c>
      <c r="Q77" s="30"/>
      <c r="R77" s="18"/>
      <c r="S77" s="31"/>
    </row>
    <row r="78" spans="2:43" x14ac:dyDescent="0.25">
      <c r="B78" s="85" t="s">
        <v>93</v>
      </c>
      <c r="C78" s="86">
        <f>C77*0.005+D77*0.002</f>
        <v>3.669</v>
      </c>
      <c r="D78" s="87"/>
      <c r="E78" s="86"/>
      <c r="F78" s="86"/>
      <c r="G78" s="86"/>
      <c r="H78" s="86"/>
      <c r="I78" s="86"/>
      <c r="L78">
        <v>0.78</v>
      </c>
      <c r="N78">
        <v>5</v>
      </c>
      <c r="AE78" s="43" t="s">
        <v>77</v>
      </c>
    </row>
    <row r="79" spans="2:43" x14ac:dyDescent="0.25">
      <c r="L79">
        <v>0.9</v>
      </c>
      <c r="AE79" s="15"/>
      <c r="AF79" s="15">
        <v>1</v>
      </c>
      <c r="AG79" s="15">
        <v>2</v>
      </c>
      <c r="AH79" s="15">
        <v>3</v>
      </c>
      <c r="AI79" s="15">
        <v>4</v>
      </c>
      <c r="AJ79" s="15">
        <v>5</v>
      </c>
      <c r="AK79" s="15">
        <v>6</v>
      </c>
      <c r="AL79" s="15">
        <v>7</v>
      </c>
      <c r="AM79" s="15">
        <v>8</v>
      </c>
      <c r="AN79" s="15">
        <v>9</v>
      </c>
      <c r="AO79" s="15" t="s">
        <v>124</v>
      </c>
      <c r="AP79" s="15" t="s">
        <v>125</v>
      </c>
      <c r="AQ79" s="15" t="s">
        <v>126</v>
      </c>
    </row>
    <row r="80" spans="2:43" x14ac:dyDescent="0.25">
      <c r="L80">
        <v>9</v>
      </c>
      <c r="AE80" s="14" t="s">
        <v>160</v>
      </c>
      <c r="AF80" s="16">
        <v>0.45</v>
      </c>
      <c r="AG80" s="16">
        <v>0.49</v>
      </c>
      <c r="AH80" s="16">
        <v>0.54</v>
      </c>
      <c r="AI80" s="16">
        <v>0.57999999999999996</v>
      </c>
      <c r="AJ80" s="16">
        <v>0.62</v>
      </c>
      <c r="AK80" s="16">
        <v>0.67</v>
      </c>
      <c r="AL80" s="16">
        <v>0.71</v>
      </c>
      <c r="AM80" s="16">
        <v>0.76</v>
      </c>
      <c r="AN80" s="16">
        <v>0.8</v>
      </c>
      <c r="AO80" s="16">
        <v>0.86</v>
      </c>
      <c r="AP80" s="16">
        <v>0.93</v>
      </c>
      <c r="AQ80" s="16">
        <v>1</v>
      </c>
    </row>
    <row r="81" spans="1:43" x14ac:dyDescent="0.25">
      <c r="E81" s="12"/>
      <c r="G81" s="12"/>
      <c r="L81">
        <v>1.8</v>
      </c>
      <c r="AE81" s="14" t="s">
        <v>735</v>
      </c>
      <c r="AF81" s="16">
        <v>1.78</v>
      </c>
      <c r="AG81" s="16">
        <v>1.96</v>
      </c>
      <c r="AH81" s="16">
        <v>2.13</v>
      </c>
      <c r="AI81" s="16">
        <v>2.31</v>
      </c>
      <c r="AJ81" s="16">
        <v>2.4900000000000002</v>
      </c>
      <c r="AK81" s="16">
        <v>2.67</v>
      </c>
      <c r="AL81" s="16">
        <v>2.84</v>
      </c>
      <c r="AM81" s="16">
        <v>3.02</v>
      </c>
      <c r="AN81" s="16">
        <v>3.2</v>
      </c>
      <c r="AO81" s="16">
        <v>3.42</v>
      </c>
      <c r="AP81" s="16">
        <v>3.69</v>
      </c>
      <c r="AQ81" s="16">
        <v>4</v>
      </c>
    </row>
    <row r="82" spans="1:43" x14ac:dyDescent="0.25">
      <c r="C82" s="22"/>
      <c r="AE82" s="14" t="s">
        <v>155</v>
      </c>
      <c r="AF82" s="14">
        <v>10</v>
      </c>
      <c r="AG82" s="14">
        <v>10</v>
      </c>
      <c r="AH82" s="14">
        <v>10</v>
      </c>
      <c r="AI82" s="14">
        <v>10</v>
      </c>
      <c r="AJ82" s="14">
        <v>10</v>
      </c>
      <c r="AK82" s="14">
        <v>10</v>
      </c>
      <c r="AL82" s="14">
        <v>10</v>
      </c>
      <c r="AM82" s="14">
        <v>10</v>
      </c>
      <c r="AN82" s="14">
        <v>10</v>
      </c>
      <c r="AO82" s="14">
        <v>10</v>
      </c>
      <c r="AP82" s="14">
        <v>10</v>
      </c>
      <c r="AQ82" s="14">
        <v>10</v>
      </c>
    </row>
    <row r="83" spans="1:43" ht="14.4" thickBot="1" x14ac:dyDescent="0.3">
      <c r="C83" s="28" t="s">
        <v>978</v>
      </c>
      <c r="E83" s="61" t="s">
        <v>755</v>
      </c>
      <c r="F83" s="61"/>
      <c r="G83" s="61"/>
      <c r="H83" s="61"/>
      <c r="I83" s="61"/>
      <c r="J83" s="127" t="s">
        <v>785</v>
      </c>
      <c r="K83" s="127"/>
      <c r="L83" s="127"/>
      <c r="M83" s="127"/>
      <c r="N83" s="63" t="s">
        <v>154</v>
      </c>
      <c r="O83" s="63"/>
      <c r="P83" s="63"/>
      <c r="Q83" s="63"/>
      <c r="R83" s="63"/>
      <c r="S83" s="63"/>
      <c r="T83" s="8" t="s">
        <v>161</v>
      </c>
      <c r="U83" s="8"/>
      <c r="V83" s="8"/>
      <c r="W83" s="8"/>
      <c r="X83" s="8"/>
      <c r="Y83" s="8"/>
      <c r="Z83" s="8"/>
      <c r="AE83" s="14" t="s">
        <v>736</v>
      </c>
      <c r="AF83" s="14">
        <v>4</v>
      </c>
      <c r="AG83" s="14">
        <v>4</v>
      </c>
      <c r="AH83" s="14">
        <v>4</v>
      </c>
      <c r="AI83" s="14">
        <v>4</v>
      </c>
      <c r="AJ83" s="14">
        <v>4</v>
      </c>
      <c r="AK83" s="14">
        <v>4</v>
      </c>
      <c r="AL83" s="14">
        <v>4</v>
      </c>
      <c r="AM83" s="14">
        <v>4</v>
      </c>
      <c r="AN83" s="14">
        <v>4</v>
      </c>
      <c r="AO83" s="14">
        <v>4.5</v>
      </c>
      <c r="AP83" s="14">
        <v>4.5</v>
      </c>
      <c r="AQ83" s="14">
        <v>5</v>
      </c>
    </row>
    <row r="84" spans="1:43" x14ac:dyDescent="0.25">
      <c r="B84" t="s">
        <v>695</v>
      </c>
      <c r="C84" s="17" t="s">
        <v>704</v>
      </c>
      <c r="D84" s="17" t="s">
        <v>991</v>
      </c>
      <c r="E84" s="52" t="s">
        <v>92</v>
      </c>
      <c r="F84" s="52" t="s">
        <v>94</v>
      </c>
      <c r="G84" s="52" t="s">
        <v>95</v>
      </c>
      <c r="H84" s="52" t="s">
        <v>93</v>
      </c>
      <c r="I84" s="52" t="s">
        <v>96</v>
      </c>
      <c r="J84" s="64" t="s">
        <v>688</v>
      </c>
      <c r="K84" s="64" t="s">
        <v>689</v>
      </c>
      <c r="L84" s="64" t="s">
        <v>690</v>
      </c>
      <c r="M84" s="64" t="s">
        <v>163</v>
      </c>
      <c r="N84" s="64" t="s">
        <v>707</v>
      </c>
      <c r="O84" s="64" t="s">
        <v>153</v>
      </c>
      <c r="P84" s="64" t="s">
        <v>76</v>
      </c>
      <c r="Q84" s="64" t="s">
        <v>77</v>
      </c>
      <c r="R84" s="64" t="s">
        <v>78</v>
      </c>
      <c r="S84" s="64" t="s">
        <v>703</v>
      </c>
      <c r="T84" s="64" t="s">
        <v>83</v>
      </c>
      <c r="U84" s="64" t="s">
        <v>80</v>
      </c>
      <c r="V84" s="64" t="s">
        <v>79</v>
      </c>
      <c r="W84" s="64" t="s">
        <v>691</v>
      </c>
      <c r="X84" s="64" t="s">
        <v>694</v>
      </c>
      <c r="Y84" s="64" t="s">
        <v>693</v>
      </c>
      <c r="Z84" s="64" t="s">
        <v>692</v>
      </c>
    </row>
    <row r="85" spans="1:43" x14ac:dyDescent="0.25">
      <c r="B85" t="s">
        <v>734</v>
      </c>
      <c r="C85" t="s">
        <v>805</v>
      </c>
      <c r="D85" t="s">
        <v>805</v>
      </c>
      <c r="E85" s="129">
        <f>819</f>
        <v>819</v>
      </c>
      <c r="F85" s="129">
        <f>$E$75</f>
        <v>0.16</v>
      </c>
      <c r="G85" s="129"/>
      <c r="H85" s="129">
        <f t="shared" ref="H85:H100" si="8">$C$78</f>
        <v>3.669</v>
      </c>
      <c r="I85" s="129">
        <f>(E85*(1+F85)+G85)*(H85+1)</f>
        <v>4435.7367600000007</v>
      </c>
      <c r="K85">
        <f>0.05</f>
        <v>0.05</v>
      </c>
      <c r="L85">
        <f>0.5</f>
        <v>0.5</v>
      </c>
      <c r="M85">
        <f t="shared" ref="M85:M100" si="9">$F$75</f>
        <v>0.7</v>
      </c>
      <c r="N85">
        <f>$I$75</f>
        <v>1.0309999999999999</v>
      </c>
      <c r="AE85" s="41" t="s">
        <v>78</v>
      </c>
    </row>
    <row r="86" spans="1:43" x14ac:dyDescent="0.25">
      <c r="C86" t="s">
        <v>756</v>
      </c>
      <c r="D86" t="s">
        <v>805</v>
      </c>
      <c r="E86">
        <f t="shared" ref="E86:E100" si="10">$E$85</f>
        <v>819</v>
      </c>
      <c r="F86">
        <f t="shared" ref="F86:F100" si="11">$F$85</f>
        <v>0.16</v>
      </c>
      <c r="H86">
        <f t="shared" si="8"/>
        <v>3.669</v>
      </c>
      <c r="I86">
        <f t="shared" ref="I86:I99" si="12">(E86*(1+F86)+G86)*(H86+1)</f>
        <v>4435.7367600000007</v>
      </c>
      <c r="J86" s="128">
        <f>SUM(N75:N79)</f>
        <v>20</v>
      </c>
      <c r="K86" s="128">
        <f t="shared" ref="K86:K100" si="13">0.05</f>
        <v>0.05</v>
      </c>
      <c r="L86" s="128">
        <f t="shared" ref="L86:L100" si="14">0.5</f>
        <v>0.5</v>
      </c>
      <c r="M86" s="128">
        <f t="shared" si="9"/>
        <v>0.7</v>
      </c>
      <c r="N86" s="128">
        <f t="shared" ref="N86:N100" si="15">$I$75</f>
        <v>1.0309999999999999</v>
      </c>
      <c r="O86" s="67"/>
      <c r="P86" s="67"/>
      <c r="Q86" s="67"/>
      <c r="R86" s="67"/>
      <c r="S86" s="67"/>
      <c r="AF86" s="15">
        <v>1</v>
      </c>
      <c r="AG86" s="15">
        <v>2</v>
      </c>
      <c r="AH86" s="15">
        <v>3</v>
      </c>
      <c r="AI86" s="15">
        <v>4</v>
      </c>
      <c r="AJ86" s="15">
        <v>5</v>
      </c>
      <c r="AK86" s="15">
        <v>6</v>
      </c>
      <c r="AL86" s="15">
        <v>7</v>
      </c>
      <c r="AM86" s="15">
        <v>8</v>
      </c>
      <c r="AN86" s="15">
        <v>9</v>
      </c>
      <c r="AO86" s="15" t="s">
        <v>124</v>
      </c>
      <c r="AP86" s="15" t="s">
        <v>125</v>
      </c>
      <c r="AQ86" s="15" t="s">
        <v>126</v>
      </c>
    </row>
    <row r="87" spans="1:43" x14ac:dyDescent="0.25">
      <c r="A87" s="42"/>
      <c r="C87" t="s">
        <v>849</v>
      </c>
      <c r="D87" t="s">
        <v>805</v>
      </c>
      <c r="E87">
        <f t="shared" si="10"/>
        <v>819</v>
      </c>
      <c r="F87">
        <f t="shared" si="11"/>
        <v>0.16</v>
      </c>
      <c r="H87">
        <f t="shared" si="8"/>
        <v>3.669</v>
      </c>
      <c r="I87">
        <f t="shared" si="12"/>
        <v>4435.7367600000007</v>
      </c>
      <c r="J87" s="22">
        <f>SUM($L$75:$L$78)</f>
        <v>2.58</v>
      </c>
      <c r="K87" s="22">
        <f t="shared" si="13"/>
        <v>0.05</v>
      </c>
      <c r="L87" s="22">
        <f t="shared" si="14"/>
        <v>0.5</v>
      </c>
      <c r="M87" s="22">
        <f t="shared" si="9"/>
        <v>0.7</v>
      </c>
      <c r="N87" s="22">
        <f t="shared" si="15"/>
        <v>1.0309999999999999</v>
      </c>
      <c r="AE87" s="14" t="s">
        <v>160</v>
      </c>
      <c r="AF87" s="16">
        <v>3.56</v>
      </c>
      <c r="AG87" s="16">
        <v>3.91</v>
      </c>
      <c r="AH87" s="16">
        <v>4.2699999999999996</v>
      </c>
      <c r="AI87" s="16">
        <v>4.62</v>
      </c>
      <c r="AJ87" s="16">
        <v>4.9800000000000004</v>
      </c>
      <c r="AK87" s="16">
        <v>5.33</v>
      </c>
      <c r="AL87" s="16">
        <v>5.69</v>
      </c>
      <c r="AM87" s="16">
        <v>6.04</v>
      </c>
      <c r="AN87" s="16">
        <v>6.4</v>
      </c>
      <c r="AO87" s="16">
        <v>6.84</v>
      </c>
      <c r="AP87" s="16">
        <v>7.38</v>
      </c>
      <c r="AQ87" s="16">
        <v>8</v>
      </c>
    </row>
    <row r="88" spans="1:43" x14ac:dyDescent="0.25">
      <c r="A88" s="28"/>
      <c r="C88" t="s">
        <v>802</v>
      </c>
      <c r="D88" t="s">
        <v>805</v>
      </c>
      <c r="E88">
        <f t="shared" si="10"/>
        <v>819</v>
      </c>
      <c r="F88">
        <f t="shared" si="11"/>
        <v>0.16</v>
      </c>
      <c r="H88">
        <f t="shared" si="8"/>
        <v>3.669</v>
      </c>
      <c r="I88">
        <f t="shared" si="12"/>
        <v>4435.7367600000007</v>
      </c>
      <c r="J88">
        <f>L79</f>
        <v>0.9</v>
      </c>
      <c r="K88">
        <f t="shared" si="13"/>
        <v>0.05</v>
      </c>
      <c r="L88">
        <f t="shared" si="14"/>
        <v>0.5</v>
      </c>
      <c r="M88">
        <f t="shared" si="9"/>
        <v>0.7</v>
      </c>
      <c r="N88">
        <f t="shared" si="15"/>
        <v>1.0309999999999999</v>
      </c>
      <c r="AE88" s="14" t="s">
        <v>737</v>
      </c>
      <c r="AF88" s="16">
        <v>2.67</v>
      </c>
      <c r="AG88" s="16">
        <v>2.94</v>
      </c>
      <c r="AH88" s="16">
        <v>3.2</v>
      </c>
      <c r="AI88" s="16">
        <v>3.47</v>
      </c>
      <c r="AJ88" s="16">
        <v>3.74</v>
      </c>
      <c r="AK88" s="16">
        <v>4</v>
      </c>
      <c r="AL88" s="16">
        <v>4.2699999999999996</v>
      </c>
      <c r="AM88" s="16">
        <v>4.54</v>
      </c>
      <c r="AN88" s="16">
        <v>4.8</v>
      </c>
      <c r="AO88" s="16">
        <v>5.14</v>
      </c>
      <c r="AP88" s="16">
        <v>5.54</v>
      </c>
      <c r="AQ88" s="16">
        <v>6</v>
      </c>
    </row>
    <row r="89" spans="1:43" ht="13.8" customHeight="1" x14ac:dyDescent="0.25">
      <c r="A89" s="28"/>
      <c r="C89" t="s">
        <v>803</v>
      </c>
      <c r="D89" t="s">
        <v>805</v>
      </c>
      <c r="E89">
        <f t="shared" si="10"/>
        <v>819</v>
      </c>
      <c r="F89">
        <f t="shared" si="11"/>
        <v>0.16</v>
      </c>
      <c r="H89">
        <f t="shared" si="8"/>
        <v>3.669</v>
      </c>
      <c r="I89">
        <f t="shared" si="12"/>
        <v>4435.7367600000007</v>
      </c>
      <c r="J89">
        <f>L80</f>
        <v>9</v>
      </c>
      <c r="K89">
        <f t="shared" si="13"/>
        <v>0.05</v>
      </c>
      <c r="L89">
        <f t="shared" si="14"/>
        <v>0.5</v>
      </c>
      <c r="M89">
        <f t="shared" si="9"/>
        <v>0.7</v>
      </c>
      <c r="N89">
        <f t="shared" si="15"/>
        <v>1.0309999999999999</v>
      </c>
      <c r="AE89" s="14" t="s">
        <v>155</v>
      </c>
      <c r="AF89" s="14">
        <v>25</v>
      </c>
      <c r="AG89" s="14">
        <v>25</v>
      </c>
      <c r="AH89" s="14">
        <v>25</v>
      </c>
      <c r="AI89" s="14">
        <v>25</v>
      </c>
      <c r="AJ89" s="14">
        <v>25</v>
      </c>
      <c r="AK89" s="14">
        <v>25</v>
      </c>
      <c r="AL89" s="14">
        <v>25</v>
      </c>
      <c r="AM89" s="14">
        <v>25</v>
      </c>
      <c r="AN89" s="14">
        <v>25</v>
      </c>
      <c r="AO89" s="14">
        <v>25</v>
      </c>
      <c r="AP89" s="14">
        <v>25</v>
      </c>
      <c r="AQ89" s="14">
        <v>25</v>
      </c>
    </row>
    <row r="90" spans="1:43" x14ac:dyDescent="0.25">
      <c r="A90" s="28"/>
      <c r="C90" t="s">
        <v>851</v>
      </c>
      <c r="D90" t="s">
        <v>805</v>
      </c>
      <c r="E90">
        <f t="shared" si="10"/>
        <v>819</v>
      </c>
      <c r="F90">
        <f t="shared" si="11"/>
        <v>0.16</v>
      </c>
      <c r="H90">
        <f t="shared" si="8"/>
        <v>3.669</v>
      </c>
      <c r="I90">
        <f t="shared" si="12"/>
        <v>4435.7367600000007</v>
      </c>
      <c r="J90">
        <f>L81</f>
        <v>1.8</v>
      </c>
      <c r="K90">
        <f t="shared" si="13"/>
        <v>0.05</v>
      </c>
      <c r="L90">
        <f t="shared" si="14"/>
        <v>0.5</v>
      </c>
      <c r="M90">
        <f t="shared" si="9"/>
        <v>0.7</v>
      </c>
      <c r="N90">
        <f t="shared" si="15"/>
        <v>1.0309999999999999</v>
      </c>
    </row>
    <row r="91" spans="1:43" x14ac:dyDescent="0.25">
      <c r="A91" s="28"/>
      <c r="C91" t="s">
        <v>757</v>
      </c>
      <c r="D91" t="s">
        <v>805</v>
      </c>
      <c r="E91">
        <f t="shared" si="10"/>
        <v>819</v>
      </c>
      <c r="F91">
        <f t="shared" si="11"/>
        <v>0.16</v>
      </c>
      <c r="H91">
        <f t="shared" si="8"/>
        <v>3.669</v>
      </c>
      <c r="I91">
        <f t="shared" si="12"/>
        <v>4435.7367600000007</v>
      </c>
      <c r="J91">
        <f>M75</f>
        <v>3.5</v>
      </c>
      <c r="K91">
        <f t="shared" si="13"/>
        <v>0.05</v>
      </c>
      <c r="L91">
        <f t="shared" si="14"/>
        <v>0.5</v>
      </c>
      <c r="M91">
        <f t="shared" si="9"/>
        <v>0.7</v>
      </c>
      <c r="N91">
        <f t="shared" si="15"/>
        <v>1.0309999999999999</v>
      </c>
    </row>
    <row r="92" spans="1:43" x14ac:dyDescent="0.25">
      <c r="A92" s="28"/>
      <c r="C92" t="s">
        <v>1362</v>
      </c>
      <c r="D92" t="s">
        <v>805</v>
      </c>
      <c r="E92">
        <f t="shared" si="10"/>
        <v>819</v>
      </c>
      <c r="F92">
        <f t="shared" si="11"/>
        <v>0.16</v>
      </c>
      <c r="H92">
        <f t="shared" si="8"/>
        <v>3.669</v>
      </c>
      <c r="I92">
        <f t="shared" si="12"/>
        <v>4435.7367600000007</v>
      </c>
      <c r="J92">
        <f>1.5*(1+1)*M92*(1+89/392)</f>
        <v>2.5767857142857138</v>
      </c>
      <c r="K92">
        <f t="shared" si="13"/>
        <v>0.05</v>
      </c>
      <c r="L92">
        <f t="shared" si="14"/>
        <v>0.5</v>
      </c>
      <c r="M92">
        <f t="shared" si="9"/>
        <v>0.7</v>
      </c>
      <c r="N92">
        <f t="shared" si="15"/>
        <v>1.0309999999999999</v>
      </c>
    </row>
    <row r="93" spans="1:43" x14ac:dyDescent="0.25">
      <c r="C93" t="s">
        <v>1363</v>
      </c>
      <c r="D93" t="s">
        <v>805</v>
      </c>
      <c r="E93">
        <f t="shared" si="10"/>
        <v>819</v>
      </c>
      <c r="F93">
        <f t="shared" si="11"/>
        <v>0.16</v>
      </c>
      <c r="H93">
        <f t="shared" si="8"/>
        <v>3.669</v>
      </c>
      <c r="I93">
        <f t="shared" si="12"/>
        <v>4435.7367600000007</v>
      </c>
      <c r="J93">
        <f>1.5*(1+2)*M93*(1+89/392)</f>
        <v>3.8651785714285709</v>
      </c>
      <c r="K93">
        <f t="shared" si="13"/>
        <v>0.05</v>
      </c>
      <c r="L93">
        <f t="shared" si="14"/>
        <v>0.5</v>
      </c>
      <c r="M93">
        <f t="shared" si="9"/>
        <v>0.7</v>
      </c>
      <c r="N93">
        <f t="shared" si="15"/>
        <v>1.0309999999999999</v>
      </c>
    </row>
    <row r="94" spans="1:43" x14ac:dyDescent="0.25">
      <c r="C94" t="s">
        <v>1364</v>
      </c>
      <c r="D94" t="s">
        <v>805</v>
      </c>
      <c r="E94">
        <f t="shared" si="10"/>
        <v>819</v>
      </c>
      <c r="F94">
        <f t="shared" si="11"/>
        <v>0.16</v>
      </c>
      <c r="H94">
        <f t="shared" si="8"/>
        <v>3.669</v>
      </c>
      <c r="I94">
        <f t="shared" si="12"/>
        <v>4435.7367600000007</v>
      </c>
      <c r="J94">
        <f>1.5*(1+3)*M94*(1+89/392)</f>
        <v>5.1535714285714276</v>
      </c>
      <c r="K94">
        <f t="shared" si="13"/>
        <v>0.05</v>
      </c>
      <c r="L94">
        <f t="shared" si="14"/>
        <v>0.5</v>
      </c>
      <c r="M94">
        <f t="shared" si="9"/>
        <v>0.7</v>
      </c>
      <c r="N94">
        <f t="shared" si="15"/>
        <v>1.0309999999999999</v>
      </c>
    </row>
    <row r="95" spans="1:43" x14ac:dyDescent="0.25">
      <c r="C95" t="s">
        <v>1365</v>
      </c>
      <c r="D95" t="s">
        <v>805</v>
      </c>
      <c r="E95">
        <f t="shared" si="10"/>
        <v>819</v>
      </c>
      <c r="F95">
        <f t="shared" si="11"/>
        <v>0.16</v>
      </c>
      <c r="H95">
        <f t="shared" si="8"/>
        <v>3.669</v>
      </c>
      <c r="I95">
        <f t="shared" si="12"/>
        <v>4435.7367600000007</v>
      </c>
      <c r="J95">
        <f>1.5*(1+4)*M95*(1+89/392)</f>
        <v>6.4419642857142847</v>
      </c>
      <c r="K95">
        <f t="shared" si="13"/>
        <v>0.05</v>
      </c>
      <c r="L95">
        <f t="shared" si="14"/>
        <v>0.5</v>
      </c>
      <c r="M95">
        <f t="shared" si="9"/>
        <v>0.7</v>
      </c>
      <c r="N95">
        <f t="shared" si="15"/>
        <v>1.0309999999999999</v>
      </c>
    </row>
    <row r="96" spans="1:43" x14ac:dyDescent="0.25">
      <c r="C96" t="s">
        <v>758</v>
      </c>
      <c r="D96" t="s">
        <v>805</v>
      </c>
      <c r="E96">
        <f t="shared" si="10"/>
        <v>819</v>
      </c>
      <c r="F96">
        <f t="shared" si="11"/>
        <v>0.16</v>
      </c>
      <c r="H96">
        <f t="shared" si="8"/>
        <v>3.669</v>
      </c>
      <c r="I96">
        <f t="shared" si="12"/>
        <v>4435.7367600000007</v>
      </c>
      <c r="J96">
        <f>N75+N76</f>
        <v>5</v>
      </c>
      <c r="K96">
        <f t="shared" si="13"/>
        <v>0.05</v>
      </c>
      <c r="L96">
        <f t="shared" si="14"/>
        <v>0.5</v>
      </c>
      <c r="M96">
        <f t="shared" si="9"/>
        <v>0.7</v>
      </c>
      <c r="N96">
        <f t="shared" si="15"/>
        <v>1.0309999999999999</v>
      </c>
    </row>
    <row r="97" spans="1:30" x14ac:dyDescent="0.25">
      <c r="C97" t="s">
        <v>1366</v>
      </c>
      <c r="D97" t="s">
        <v>805</v>
      </c>
      <c r="E97">
        <f t="shared" si="10"/>
        <v>819</v>
      </c>
      <c r="F97">
        <f t="shared" si="11"/>
        <v>0.16</v>
      </c>
      <c r="H97">
        <f t="shared" si="8"/>
        <v>3.669</v>
      </c>
      <c r="I97">
        <f t="shared" si="12"/>
        <v>4435.7367600000007</v>
      </c>
      <c r="J97">
        <f>N75</f>
        <v>1</v>
      </c>
      <c r="K97">
        <f t="shared" si="13"/>
        <v>0.05</v>
      </c>
      <c r="L97">
        <f t="shared" si="14"/>
        <v>0.5</v>
      </c>
      <c r="M97">
        <f t="shared" si="9"/>
        <v>0.7</v>
      </c>
      <c r="N97">
        <f t="shared" si="15"/>
        <v>1.0309999999999999</v>
      </c>
    </row>
    <row r="98" spans="1:30" x14ac:dyDescent="0.25">
      <c r="C98" t="s">
        <v>852</v>
      </c>
      <c r="D98" t="s">
        <v>805</v>
      </c>
      <c r="E98">
        <f t="shared" si="10"/>
        <v>819</v>
      </c>
      <c r="F98">
        <f t="shared" si="11"/>
        <v>0.16</v>
      </c>
      <c r="H98">
        <f t="shared" si="8"/>
        <v>3.669</v>
      </c>
      <c r="I98">
        <f t="shared" si="12"/>
        <v>4435.7367600000007</v>
      </c>
      <c r="J98">
        <f>N76</f>
        <v>4</v>
      </c>
      <c r="K98">
        <f t="shared" si="13"/>
        <v>0.05</v>
      </c>
      <c r="L98">
        <f t="shared" si="14"/>
        <v>0.5</v>
      </c>
      <c r="M98">
        <f t="shared" si="9"/>
        <v>0.7</v>
      </c>
      <c r="N98">
        <f t="shared" si="15"/>
        <v>1.0309999999999999</v>
      </c>
    </row>
    <row r="99" spans="1:30" x14ac:dyDescent="0.25">
      <c r="A99" s="28"/>
      <c r="B99" s="22"/>
      <c r="C99" t="s">
        <v>759</v>
      </c>
      <c r="D99" t="s">
        <v>805</v>
      </c>
      <c r="E99">
        <f t="shared" si="10"/>
        <v>819</v>
      </c>
      <c r="F99">
        <f t="shared" si="11"/>
        <v>0.16</v>
      </c>
      <c r="H99">
        <f t="shared" si="8"/>
        <v>3.669</v>
      </c>
      <c r="I99">
        <f t="shared" si="12"/>
        <v>4435.7367600000007</v>
      </c>
      <c r="J99">
        <f>O75</f>
        <v>8</v>
      </c>
      <c r="K99">
        <f t="shared" si="13"/>
        <v>0.05</v>
      </c>
      <c r="L99">
        <f t="shared" si="14"/>
        <v>0.5</v>
      </c>
      <c r="M99">
        <f t="shared" si="9"/>
        <v>0.7</v>
      </c>
      <c r="N99">
        <f t="shared" si="15"/>
        <v>1.0309999999999999</v>
      </c>
    </row>
    <row r="100" spans="1:30" x14ac:dyDescent="0.25">
      <c r="A100" s="28"/>
      <c r="B100" s="22"/>
      <c r="C100" t="s">
        <v>1361</v>
      </c>
      <c r="D100" t="s">
        <v>805</v>
      </c>
      <c r="E100">
        <f t="shared" si="10"/>
        <v>819</v>
      </c>
      <c r="F100">
        <f t="shared" si="11"/>
        <v>0.16</v>
      </c>
      <c r="H100">
        <f t="shared" si="8"/>
        <v>3.669</v>
      </c>
      <c r="I100">
        <f>(E100*(1+F100)+G100)*(H100+1)</f>
        <v>4435.7367600000007</v>
      </c>
      <c r="J100">
        <f>O75+O76</f>
        <v>14</v>
      </c>
      <c r="K100">
        <f t="shared" si="13"/>
        <v>0.05</v>
      </c>
      <c r="L100">
        <f t="shared" si="14"/>
        <v>0.5</v>
      </c>
      <c r="M100">
        <f t="shared" si="9"/>
        <v>0.7</v>
      </c>
      <c r="N100">
        <f t="shared" si="15"/>
        <v>1.0309999999999999</v>
      </c>
    </row>
    <row r="101" spans="1:30" x14ac:dyDescent="0.25">
      <c r="A101" s="28"/>
      <c r="B101" t="s">
        <v>892</v>
      </c>
    </row>
    <row r="102" spans="1:30" s="17" customFormat="1" x14ac:dyDescent="0.25">
      <c r="A102" s="73"/>
      <c r="B102" s="17">
        <v>15</v>
      </c>
      <c r="C102" s="17" t="s">
        <v>805</v>
      </c>
      <c r="D102" s="69" t="s">
        <v>856</v>
      </c>
      <c r="F102" s="17">
        <f>0.3</f>
        <v>0.3</v>
      </c>
      <c r="AD102" s="70"/>
    </row>
    <row r="103" spans="1:30" x14ac:dyDescent="0.25">
      <c r="A103" s="28"/>
      <c r="B103">
        <v>15</v>
      </c>
      <c r="C103" t="s">
        <v>805</v>
      </c>
      <c r="D103" s="22" t="s">
        <v>753</v>
      </c>
      <c r="F103">
        <f>0.15</f>
        <v>0.15</v>
      </c>
    </row>
    <row r="104" spans="1:30" x14ac:dyDescent="0.25">
      <c r="A104" s="28"/>
      <c r="B104">
        <f>P78</f>
        <v>0</v>
      </c>
      <c r="C104" t="s">
        <v>805</v>
      </c>
      <c r="D104" s="22" t="s">
        <v>806</v>
      </c>
      <c r="V104">
        <f>0.2</f>
        <v>0.2</v>
      </c>
    </row>
    <row r="105" spans="1:30" x14ac:dyDescent="0.25">
      <c r="A105" s="28"/>
      <c r="B105">
        <v>20</v>
      </c>
      <c r="C105" t="s">
        <v>805</v>
      </c>
      <c r="D105" s="22" t="s">
        <v>754</v>
      </c>
      <c r="N105">
        <f>0.576</f>
        <v>0.57599999999999996</v>
      </c>
    </row>
    <row r="106" spans="1:30" x14ac:dyDescent="0.25">
      <c r="B106">
        <v>20</v>
      </c>
      <c r="C106" t="s">
        <v>805</v>
      </c>
      <c r="D106" s="22" t="s">
        <v>915</v>
      </c>
      <c r="F106">
        <f>0.07+0.035*1</f>
        <v>0.10500000000000001</v>
      </c>
    </row>
    <row r="107" spans="1:30" x14ac:dyDescent="0.25">
      <c r="B107">
        <v>20</v>
      </c>
      <c r="C107" t="s">
        <v>805</v>
      </c>
      <c r="D107" s="22" t="s">
        <v>916</v>
      </c>
      <c r="F107">
        <f>(0.07+0.035*1)/2</f>
        <v>5.2500000000000005E-2</v>
      </c>
    </row>
    <row r="108" spans="1:30" x14ac:dyDescent="0.25">
      <c r="B108">
        <v>20</v>
      </c>
      <c r="C108" t="s">
        <v>805</v>
      </c>
      <c r="D108" s="22" t="s">
        <v>917</v>
      </c>
      <c r="F108">
        <f>0.07+0.035*2</f>
        <v>0.14000000000000001</v>
      </c>
    </row>
    <row r="109" spans="1:30" x14ac:dyDescent="0.25">
      <c r="B109">
        <v>20</v>
      </c>
      <c r="C109" t="s">
        <v>805</v>
      </c>
      <c r="D109" s="22" t="s">
        <v>918</v>
      </c>
      <c r="F109">
        <f>(0.07+0.035*2)/2</f>
        <v>7.0000000000000007E-2</v>
      </c>
    </row>
    <row r="110" spans="1:30" x14ac:dyDescent="0.25">
      <c r="B110">
        <v>20</v>
      </c>
      <c r="C110" t="s">
        <v>805</v>
      </c>
      <c r="D110" s="22" t="s">
        <v>919</v>
      </c>
      <c r="F110">
        <f>0.07+0.035*3</f>
        <v>0.17500000000000002</v>
      </c>
    </row>
    <row r="111" spans="1:30" x14ac:dyDescent="0.25">
      <c r="B111">
        <v>20</v>
      </c>
      <c r="C111" t="s">
        <v>805</v>
      </c>
      <c r="D111" s="22" t="s">
        <v>920</v>
      </c>
      <c r="F111">
        <f>(0.07+0.035*3)/2</f>
        <v>8.7500000000000008E-2</v>
      </c>
    </row>
    <row r="112" spans="1:30" x14ac:dyDescent="0.25">
      <c r="B112">
        <v>20</v>
      </c>
      <c r="C112" t="s">
        <v>805</v>
      </c>
      <c r="D112" s="22" t="s">
        <v>921</v>
      </c>
      <c r="F112">
        <f>0.07+0.035*4</f>
        <v>0.21000000000000002</v>
      </c>
    </row>
    <row r="113" spans="2:43" x14ac:dyDescent="0.25">
      <c r="B113">
        <v>20</v>
      </c>
      <c r="C113" t="s">
        <v>805</v>
      </c>
      <c r="D113" s="22" t="s">
        <v>922</v>
      </c>
      <c r="F113">
        <f>(0.07+0.035*4)/2</f>
        <v>0.10500000000000001</v>
      </c>
    </row>
    <row r="114" spans="2:43" x14ac:dyDescent="0.25">
      <c r="D114" s="22"/>
    </row>
    <row r="115" spans="2:43" x14ac:dyDescent="0.25">
      <c r="D115" s="22"/>
    </row>
    <row r="116" spans="2:43" s="40" customFormat="1" ht="14.4" thickBot="1" x14ac:dyDescent="0.3">
      <c r="B116" s="21" t="s">
        <v>652</v>
      </c>
      <c r="AD116" s="59"/>
    </row>
    <row r="117" spans="2:43" x14ac:dyDescent="0.25">
      <c r="B117" s="25" t="s">
        <v>961</v>
      </c>
      <c r="C117" s="26" t="s">
        <v>75</v>
      </c>
      <c r="D117" s="26" t="s">
        <v>85</v>
      </c>
      <c r="E117" s="26" t="s">
        <v>86</v>
      </c>
      <c r="F117" s="26" t="s">
        <v>87</v>
      </c>
      <c r="G117" s="26" t="s">
        <v>88</v>
      </c>
      <c r="H117" s="26" t="s">
        <v>89</v>
      </c>
      <c r="I117" s="26" t="s">
        <v>192</v>
      </c>
      <c r="J117" s="83"/>
      <c r="Q117" s="25" t="s">
        <v>977</v>
      </c>
      <c r="R117" s="26" t="s">
        <v>963</v>
      </c>
      <c r="S117" s="27"/>
      <c r="AE117" t="s">
        <v>153</v>
      </c>
    </row>
    <row r="118" spans="2:43" x14ac:dyDescent="0.25">
      <c r="B118" s="28" t="s">
        <v>91</v>
      </c>
      <c r="C118" s="21" t="s">
        <v>657</v>
      </c>
      <c r="D118" s="21" t="s">
        <v>417</v>
      </c>
      <c r="E118" s="21" t="s">
        <v>580</v>
      </c>
      <c r="F118" s="21" t="s">
        <v>687</v>
      </c>
      <c r="G118" s="21" t="s">
        <v>443</v>
      </c>
      <c r="H118" t="str">
        <f>IF(COUNTIF(E118:G118,LEFT(D118,2)&amp;"*")&gt;=2,LEFT(D118,2),
IF(COUNTIF(F118:G118,LEFT(E118,2)&amp;"*")=2,LEFT(E118,2),
""))</f>
        <v>碾骨</v>
      </c>
      <c r="I118" s="21">
        <v>5</v>
      </c>
      <c r="J118" s="29"/>
      <c r="P118" t="s">
        <v>961</v>
      </c>
      <c r="Q118" s="28"/>
      <c r="R118" t="s">
        <v>964</v>
      </c>
      <c r="S118" s="29"/>
      <c r="AE118" s="15"/>
      <c r="AF118" s="15">
        <v>1</v>
      </c>
      <c r="AG118" s="15">
        <v>2</v>
      </c>
      <c r="AH118" s="15">
        <v>3</v>
      </c>
      <c r="AI118" s="15">
        <v>4</v>
      </c>
      <c r="AJ118" s="15">
        <v>5</v>
      </c>
      <c r="AK118" s="15">
        <v>6</v>
      </c>
      <c r="AL118" s="15">
        <v>7</v>
      </c>
      <c r="AM118" s="15">
        <v>8</v>
      </c>
      <c r="AN118" s="15">
        <v>9</v>
      </c>
      <c r="AO118" s="15" t="s">
        <v>124</v>
      </c>
      <c r="AP118" s="15" t="s">
        <v>125</v>
      </c>
      <c r="AQ118" s="15" t="s">
        <v>126</v>
      </c>
    </row>
    <row r="119" spans="2:43" x14ac:dyDescent="0.25">
      <c r="B119" s="28" t="s">
        <v>183</v>
      </c>
      <c r="D119" s="21">
        <v>3</v>
      </c>
      <c r="E119" s="21">
        <v>3</v>
      </c>
      <c r="F119" s="21">
        <v>3</v>
      </c>
      <c r="G119" s="21">
        <v>3</v>
      </c>
      <c r="J119" s="29"/>
      <c r="Q119" s="28" t="s">
        <v>965</v>
      </c>
      <c r="S119" s="29"/>
      <c r="AE119" s="14" t="s">
        <v>127</v>
      </c>
      <c r="AF119" s="16">
        <v>0.23</v>
      </c>
      <c r="AG119" s="16">
        <v>0.25</v>
      </c>
      <c r="AH119" s="16">
        <v>0.27</v>
      </c>
      <c r="AI119" s="16">
        <v>0.28999999999999998</v>
      </c>
      <c r="AJ119" s="16">
        <v>0.32</v>
      </c>
      <c r="AK119" s="16">
        <v>0.34</v>
      </c>
      <c r="AL119" s="16">
        <v>0.36</v>
      </c>
      <c r="AM119" s="16">
        <v>0.39</v>
      </c>
      <c r="AN119" s="16">
        <v>0.41</v>
      </c>
      <c r="AO119" s="16">
        <v>0.44</v>
      </c>
      <c r="AP119" s="16">
        <v>0.47</v>
      </c>
      <c r="AQ119" s="16">
        <v>0.51</v>
      </c>
    </row>
    <row r="120" spans="2:43" x14ac:dyDescent="0.25">
      <c r="B120" s="84" t="s">
        <v>97</v>
      </c>
      <c r="C120" t="str">
        <f>_xlfn.XLOOKUP(C118,武器库!$B:$B,武器库!$C:$C,"")</f>
        <v>敏捷156</v>
      </c>
      <c r="D120" t="str">
        <f>VLOOKUP(D118,护甲库!$A:$M,2+D119*3,FALSE)</f>
        <v>敏捷113</v>
      </c>
      <c r="E120" t="str">
        <f>VLOOKUP(E118,护手库!$A:$M,2+E119*3,FALSE)</f>
        <v>智识84</v>
      </c>
      <c r="F120" t="str">
        <f>VLOOKUP(F118,配件库!$A:$M,2+F119*3,FALSE)</f>
        <v>敏捷41</v>
      </c>
      <c r="G120" t="str">
        <f>VLOOKUP(G118,配件库!$A:$M,2+G119*3,FALSE)</f>
        <v>敏捷41</v>
      </c>
      <c r="H120" s="11"/>
      <c r="J120" s="29"/>
      <c r="P120" t="s">
        <v>962</v>
      </c>
      <c r="Q120" s="28" t="s">
        <v>967</v>
      </c>
      <c r="S120" s="29"/>
      <c r="AE120" s="14" t="s">
        <v>128</v>
      </c>
      <c r="AF120" s="16">
        <v>0.25</v>
      </c>
      <c r="AG120" s="16">
        <v>0.28000000000000003</v>
      </c>
      <c r="AH120" s="16">
        <v>0.3</v>
      </c>
      <c r="AI120" s="16">
        <v>0.33</v>
      </c>
      <c r="AJ120" s="16">
        <v>0.35</v>
      </c>
      <c r="AK120" s="16">
        <v>0.38</v>
      </c>
      <c r="AL120" s="16">
        <v>0.4</v>
      </c>
      <c r="AM120" s="16">
        <v>0.43</v>
      </c>
      <c r="AN120" s="16">
        <v>0.45</v>
      </c>
      <c r="AO120" s="16">
        <v>0.48</v>
      </c>
      <c r="AP120" s="16">
        <v>0.52</v>
      </c>
      <c r="AQ120" s="16">
        <v>0.56000000000000005</v>
      </c>
    </row>
    <row r="121" spans="2:43" x14ac:dyDescent="0.25">
      <c r="B121" s="28" t="s">
        <v>98</v>
      </c>
      <c r="C121" s="43" t="str">
        <f>_xlfn.XLOOKUP(C118,武器库!$B:$B,武器库!$D:$D,"")</f>
        <v>寒冷伤害+43.3</v>
      </c>
      <c r="D121" t="str">
        <f>VLOOKUP(D118,护甲库!$A:$M,3+D119*3,FALSE)</f>
        <v>智识75</v>
      </c>
      <c r="E121" t="str">
        <f>VLOOKUP(E118,护手库!$A:$M,3+E119*3,FALSE)</f>
        <v>意志55</v>
      </c>
      <c r="F121" t="str">
        <f>VLOOKUP(F118,配件库!$A:$M,3+F119*3,FALSE)</f>
        <v>力量27</v>
      </c>
      <c r="G121" t="str">
        <f>VLOOKUP(G118,配件库!$A:$M,3+G119*3,FALSE)</f>
        <v>力量27</v>
      </c>
      <c r="H121" s="9"/>
      <c r="J121" s="29"/>
      <c r="Q121" s="28"/>
      <c r="S121" s="29"/>
      <c r="AE121" s="14" t="s">
        <v>129</v>
      </c>
      <c r="AF121" s="16">
        <v>0.35</v>
      </c>
      <c r="AG121" s="16">
        <v>0.39</v>
      </c>
      <c r="AH121" s="16">
        <v>0.42</v>
      </c>
      <c r="AI121" s="16">
        <v>0.46</v>
      </c>
      <c r="AJ121" s="16">
        <v>0.49</v>
      </c>
      <c r="AK121" s="16">
        <v>0.53</v>
      </c>
      <c r="AL121" s="16">
        <v>0.56000000000000005</v>
      </c>
      <c r="AM121" s="16">
        <v>0.6</v>
      </c>
      <c r="AN121" s="16">
        <v>0.63</v>
      </c>
      <c r="AO121" s="16">
        <v>0.67</v>
      </c>
      <c r="AP121" s="16">
        <v>0.73</v>
      </c>
      <c r="AQ121" s="16">
        <v>0.79</v>
      </c>
    </row>
    <row r="122" spans="2:43" x14ac:dyDescent="0.25">
      <c r="B122" s="28" t="s">
        <v>99</v>
      </c>
      <c r="C122" s="43" t="str">
        <f>_xlfn.XLOOKUP(C118,武器库!$B:$B,武器库!$E:$E,"")</f>
        <v>攻击力11.2</v>
      </c>
      <c r="D122" s="43" t="str">
        <f>VLOOKUP(D118,护甲库!$A:$M,4+D119*3,FALSE)</f>
        <v>充能16.0</v>
      </c>
      <c r="E122" s="43" t="str">
        <f>VLOOKUP(E118,护手库!$A:$M,4+E119*3,FALSE)</f>
        <v>充能26.7</v>
      </c>
      <c r="F122" s="43" t="str">
        <f>VLOOKUP(F118,配件库!$A:$M,4+F119*3,FALSE)</f>
        <v>战技53.8</v>
      </c>
      <c r="G122" s="43" t="str">
        <f>VLOOKUP(G118,配件库!$A:$M,4+G119*3,FALSE)</f>
        <v>战技53.8</v>
      </c>
      <c r="H122" s="9"/>
      <c r="J122" s="29"/>
      <c r="P122" t="s">
        <v>968</v>
      </c>
      <c r="Q122" s="28"/>
      <c r="R122" t="s">
        <v>966</v>
      </c>
      <c r="S122" s="29"/>
      <c r="AE122" s="14" t="s">
        <v>130</v>
      </c>
      <c r="AF122" s="16">
        <v>0.37</v>
      </c>
      <c r="AG122" s="16">
        <v>0.4</v>
      </c>
      <c r="AH122" s="16">
        <v>0.44</v>
      </c>
      <c r="AI122" s="16">
        <v>0.47</v>
      </c>
      <c r="AJ122" s="16">
        <v>0.51</v>
      </c>
      <c r="AK122" s="16">
        <v>0.55000000000000004</v>
      </c>
      <c r="AL122" s="16">
        <v>0.57999999999999996</v>
      </c>
      <c r="AM122" s="16">
        <v>0.62</v>
      </c>
      <c r="AN122" s="16">
        <v>0.66</v>
      </c>
      <c r="AO122" s="16">
        <v>0.7</v>
      </c>
      <c r="AP122" s="16">
        <v>0.76</v>
      </c>
      <c r="AQ122" s="16">
        <v>0.82</v>
      </c>
    </row>
    <row r="123" spans="2:43" x14ac:dyDescent="0.25">
      <c r="B123" s="28" t="s">
        <v>90</v>
      </c>
      <c r="C123" t="str">
        <f>_xlfn.XLOOKUP(C118,武器库!$B:$B,武器库!$F:$F,"")</f>
        <v>装备者施放连携技后，战技造成的寒冷和自然伤害+12.8%，持续20秒。</v>
      </c>
      <c r="D123" s="22"/>
      <c r="F123" s="22"/>
      <c r="G123" s="9"/>
      <c r="H123" s="9"/>
      <c r="J123" s="29"/>
      <c r="Q123" s="28" t="s">
        <v>970</v>
      </c>
      <c r="S123" s="29"/>
      <c r="AE123" s="14" t="s">
        <v>660</v>
      </c>
      <c r="AF123" s="16">
        <v>0.5</v>
      </c>
      <c r="AG123" s="16">
        <v>0.55000000000000004</v>
      </c>
      <c r="AH123" s="16">
        <v>0.6</v>
      </c>
      <c r="AI123" s="16">
        <v>0.65</v>
      </c>
      <c r="AJ123" s="16">
        <v>0.7</v>
      </c>
      <c r="AK123" s="16">
        <v>0.75</v>
      </c>
      <c r="AL123" s="16">
        <v>0.8</v>
      </c>
      <c r="AM123" s="16">
        <v>0.85</v>
      </c>
      <c r="AN123" s="16">
        <v>0.9</v>
      </c>
      <c r="AO123" s="16">
        <v>0.96</v>
      </c>
      <c r="AP123" s="16">
        <v>1.04</v>
      </c>
      <c r="AQ123" s="16">
        <v>1.1299999999999999</v>
      </c>
    </row>
    <row r="124" spans="2:43" ht="14.4" thickBot="1" x14ac:dyDescent="0.3">
      <c r="B124" s="30" t="s">
        <v>89</v>
      </c>
      <c r="C124" s="18" t="str">
        <f>VLOOKUP(H118,套装效果库!A:B,2,0)</f>
        <v>攻击力15。当装备者施放连携技时，获得一层碾骨重压，下一次的战技伤害+30%，碾骨重压最多可叠加2层。</v>
      </c>
      <c r="D124" s="19"/>
      <c r="E124" s="18"/>
      <c r="F124" s="19"/>
      <c r="G124" s="20"/>
      <c r="H124" s="20"/>
      <c r="I124" s="18"/>
      <c r="J124" s="31"/>
      <c r="P124" t="s">
        <v>969</v>
      </c>
      <c r="Q124" s="28" t="s">
        <v>971</v>
      </c>
      <c r="S124" s="29"/>
      <c r="AE124" s="14" t="s">
        <v>131</v>
      </c>
      <c r="AF124" s="16">
        <v>4</v>
      </c>
      <c r="AG124" s="16">
        <v>4.4000000000000004</v>
      </c>
      <c r="AH124" s="16">
        <v>4.8</v>
      </c>
      <c r="AI124" s="16">
        <v>5.2</v>
      </c>
      <c r="AJ124" s="16">
        <v>5.6</v>
      </c>
      <c r="AK124" s="16">
        <v>6</v>
      </c>
      <c r="AL124" s="16">
        <v>6.4</v>
      </c>
      <c r="AM124" s="16">
        <v>6.8</v>
      </c>
      <c r="AN124" s="16">
        <v>7.2</v>
      </c>
      <c r="AO124" s="16">
        <v>7.7</v>
      </c>
      <c r="AP124" s="16">
        <v>8.3000000000000007</v>
      </c>
      <c r="AQ124" s="16">
        <v>9</v>
      </c>
    </row>
    <row r="125" spans="2:43" x14ac:dyDescent="0.25">
      <c r="Q125" s="28" t="s">
        <v>972</v>
      </c>
      <c r="S125" s="29"/>
      <c r="AE125" s="14" t="s">
        <v>132</v>
      </c>
      <c r="AF125" s="16">
        <v>0.8</v>
      </c>
      <c r="AG125" s="16">
        <v>0.88</v>
      </c>
      <c r="AH125" s="16">
        <v>0.96</v>
      </c>
      <c r="AI125" s="16">
        <v>1.04</v>
      </c>
      <c r="AJ125" s="16">
        <v>1.1200000000000001</v>
      </c>
      <c r="AK125" s="16">
        <v>1.2</v>
      </c>
      <c r="AL125" s="16">
        <v>1.28</v>
      </c>
      <c r="AM125" s="16">
        <v>1.36</v>
      </c>
      <c r="AN125" s="16">
        <v>1.44</v>
      </c>
      <c r="AO125" s="16">
        <v>1.54</v>
      </c>
      <c r="AP125" s="16">
        <v>1.66</v>
      </c>
      <c r="AQ125" s="16">
        <v>1.8</v>
      </c>
    </row>
    <row r="126" spans="2:43" x14ac:dyDescent="0.25">
      <c r="Q126" s="28" t="s">
        <v>973</v>
      </c>
      <c r="S126" s="29"/>
    </row>
    <row r="127" spans="2:43" x14ac:dyDescent="0.25">
      <c r="B127" s="17" t="s">
        <v>962</v>
      </c>
      <c r="C127" s="17" t="s">
        <v>990</v>
      </c>
      <c r="D127" s="17" t="s">
        <v>1054</v>
      </c>
      <c r="E127" s="17"/>
      <c r="F127" s="17"/>
      <c r="G127" s="17"/>
      <c r="H127" s="17"/>
      <c r="I127" s="17"/>
      <c r="K127" s="88" t="s">
        <v>195</v>
      </c>
      <c r="L127" s="17" t="s">
        <v>701</v>
      </c>
      <c r="M127" s="17" t="s">
        <v>157</v>
      </c>
      <c r="N127" s="17" t="s">
        <v>702</v>
      </c>
      <c r="O127" s="89" t="s">
        <v>158</v>
      </c>
      <c r="Q127" s="28"/>
      <c r="R127" t="s">
        <v>974</v>
      </c>
      <c r="S127" s="29"/>
    </row>
    <row r="128" spans="2:43" x14ac:dyDescent="0.25">
      <c r="C128" s="21" t="s">
        <v>659</v>
      </c>
      <c r="D128" s="21" t="s">
        <v>106</v>
      </c>
      <c r="E128" s="43" t="s">
        <v>196</v>
      </c>
      <c r="F128" s="43" t="s">
        <v>651</v>
      </c>
      <c r="G128" s="43" t="s">
        <v>706</v>
      </c>
      <c r="H128" s="43" t="s">
        <v>76</v>
      </c>
      <c r="I128" s="43"/>
      <c r="K128" t="s">
        <v>183</v>
      </c>
      <c r="L128" s="21">
        <v>9</v>
      </c>
      <c r="M128" s="21" t="s">
        <v>645</v>
      </c>
      <c r="N128" s="21" t="s">
        <v>645</v>
      </c>
      <c r="O128" s="37" t="s">
        <v>645</v>
      </c>
      <c r="Q128" s="28"/>
      <c r="R128" t="s">
        <v>975</v>
      </c>
      <c r="S128" s="29"/>
      <c r="AE128" s="14" t="s">
        <v>76</v>
      </c>
    </row>
    <row r="129" spans="1:43" x14ac:dyDescent="0.25">
      <c r="B129" t="s">
        <v>164</v>
      </c>
      <c r="C129" s="21">
        <f>179+60+IF(I118&gt;=2,20,0)</f>
        <v>259</v>
      </c>
      <c r="D129" s="21">
        <f>123</f>
        <v>123</v>
      </c>
      <c r="E129" cm="1">
        <f t="array" ref="E129">SUM(IFERROR(
    VALUE(MID($C119:$G122,
             SEARCH(E128, $C119:$G122) + LEN(E128),
             10)) *
    ISNUMBER(SEARCH(E128,$C119:$G122)),
    0
))/100+IFERROR(
    MID($C124, SEARCH(E128, $C124) + LEN(E128), 2) / 100,
    0
)</f>
        <v>0.26200000000000001</v>
      </c>
      <c r="F129" cm="1">
        <f t="array" ref="F129">SUM(IFERROR(
    VALUE(MID($C119:$G122,
             SEARCH(F128, $C119:$G122) + LEN(F128),
             10)) *
    ISNUMBER(SEARCH(F128,$C119:$G122)),
    0
))/100+IFERROR(
    MID($C124, SEARCH(F128, $C124) + LEN(F128), 2) / 100,
    0
)</f>
        <v>0.42700000000000005</v>
      </c>
      <c r="G129" cm="1">
        <f t="array" ref="G129">SUM(IFERROR(
    VALUE(MID($C119:$G122,
             SEARCH(G128, $C119:$G122) + LEN(G128),
             10)) *
    ISNUMBER(SEARCH(G128,$C119:$G122)),
    0
))/100+IFERROR(
    MID($C124, SEARCH(G128, $C124) + LEN(G128), 2) / 100,
    0
)</f>
        <v>0.433</v>
      </c>
      <c r="H129" cm="1">
        <f t="array" ref="H129">SUM(IFERROR(
    VALUE(MID($C119:$G122,
             SEARCH(H128, $C119:$G122) + LEN(H128),
             10)) *
    ISNUMBER(SEARCH(H128,$C119:$G122)),
    0
))/100+IFERROR(
    MID($C124, SEARCH(H128, $C124) + LEN(H128), 2) / 100,
    0
)</f>
        <v>1.0759999999999998</v>
      </c>
      <c r="I129" cm="1">
        <f t="array" ref="I129">SUM(IFERROR(
    VALUE(MID($C119:$G122,
             SEARCH(I128, $C119:$G122) + LEN(I128),
             10)) *
    ISNUMBER(SEARCH(I128,$C119:$G122)),
    0
))/100+IFERROR(
    MID($C124, SEARCH(I128, $C124) + LEN(I128), 2) / 100,
    0
)</f>
        <v>0.12</v>
      </c>
      <c r="L129" s="23" cm="1">
        <f t="array" ref="L129:L135">_xlfn.XLOOKUP(L128,$AE$6:$AQ$6,AE119:AQ125,0,0,1)</f>
        <v>0.41</v>
      </c>
      <c r="M129" s="23" cm="1">
        <f t="array" ref="M129:M136">_xlfn.XLOOKUP(M128,$AE$6:$AQ$6,AE130:AQ137,0,0,1)</f>
        <v>1.8</v>
      </c>
      <c r="N129" s="23" t="str" cm="1">
        <f t="array" ref="N129:N132">_xlfn.XLOOKUP(N128,$AE$6:$AQ$6,AE142:AQ145,0,0,1)</f>
        <v>12s</v>
      </c>
      <c r="O129" s="23" cm="1">
        <f t="array" ref="O129:O135">_xlfn.XLOOKUP(O128,$AE$6:$AQ$6,AE150:AQ156,0,0,1)</f>
        <v>90</v>
      </c>
      <c r="Q129" s="28"/>
      <c r="R129" t="s">
        <v>976</v>
      </c>
      <c r="S129" s="29"/>
      <c r="AE129" s="15"/>
      <c r="AF129" s="15">
        <v>1</v>
      </c>
      <c r="AG129" s="15">
        <v>2</v>
      </c>
      <c r="AH129" s="15">
        <v>3</v>
      </c>
      <c r="AI129" s="15">
        <v>4</v>
      </c>
      <c r="AJ129" s="15">
        <v>5</v>
      </c>
      <c r="AK129" s="15">
        <v>6</v>
      </c>
      <c r="AL129" s="15">
        <v>7</v>
      </c>
      <c r="AM129" s="15">
        <v>8</v>
      </c>
      <c r="AN129" s="15">
        <v>9</v>
      </c>
      <c r="AO129" s="15" t="s">
        <v>124</v>
      </c>
      <c r="AP129" s="15" t="s">
        <v>125</v>
      </c>
      <c r="AQ129" s="15" t="s">
        <v>126</v>
      </c>
    </row>
    <row r="130" spans="1:43" x14ac:dyDescent="0.25">
      <c r="B130" s="22" t="s">
        <v>165</v>
      </c>
      <c r="C130" cm="1">
        <f t="array" ref="C130">SUM(IFERROR(
    VALUE(MID($C119:$G122,
             FIND(C128, $C119:$G122) + LEN(C128),
             10)) *
    ISNUMBER(FIND(C128, $C119:$G122)),
    0
))+SUM(IFERROR(
    VALUE(MID($C119:$G122,
             FIND(C127, $C119:$G122) + LEN(C127),
             10)) *
    ISNUMBER(FIND(C127, $C119:$G122)),
    0
))+IFERROR(
    MID($C124, SEARCH(C128, $C124) + LEN(C128), 2) / 100,
    0
)+IFERROR(
    MID($C124, SEARCH(C127, $C124) + LEN(C127), 2) / 100,
    0
)</f>
        <v>351</v>
      </c>
      <c r="D130" cm="1">
        <f t="array" ref="D130">SUM(IFERROR(
    VALUE(MID($C119:$G122,
             FIND(D128, $C119:$G122) + LEN(D128),
             10)) *
    ISNUMBER(FIND(D128, $C119:$G122)),
    0
))+SUM(IFERROR(
    VALUE(MID($C119:$G122,
             FIND(D127, $C119:$G122) + LEN(D127),
             10)) *
    ISNUMBER(FIND(D127, $C119:$G122)),
    0
))+IFERROR(
    MID($C124, SEARCH(D128, $C124) + LEN(D128), 2) / 100,
    0
)+IFERROR(
    MID($C124, SEARCH(D127, $C124) + LEN(D127), 2) / 100,
    0
)</f>
        <v>54</v>
      </c>
      <c r="L130">
        <v>0.45</v>
      </c>
      <c r="M130">
        <v>10</v>
      </c>
      <c r="N130">
        <v>2.4</v>
      </c>
      <c r="O130">
        <v>3.2</v>
      </c>
      <c r="Q130" s="28"/>
      <c r="S130" s="29"/>
      <c r="AE130" s="14" t="s">
        <v>661</v>
      </c>
      <c r="AF130" s="16">
        <v>0.8</v>
      </c>
      <c r="AG130" s="16">
        <v>0.88</v>
      </c>
      <c r="AH130" s="16">
        <v>0.96</v>
      </c>
      <c r="AI130" s="16">
        <v>1.04</v>
      </c>
      <c r="AJ130" s="16">
        <v>1.1200000000000001</v>
      </c>
      <c r="AK130" s="16">
        <v>1.2</v>
      </c>
      <c r="AL130" s="16">
        <v>1.28</v>
      </c>
      <c r="AM130" s="16">
        <v>1.36</v>
      </c>
      <c r="AN130" s="16">
        <v>1.44</v>
      </c>
      <c r="AO130" s="16">
        <v>1.54</v>
      </c>
      <c r="AP130" s="16">
        <v>1.66</v>
      </c>
      <c r="AQ130" s="16">
        <v>1.8</v>
      </c>
    </row>
    <row r="131" spans="1:43" ht="14.4" thickBot="1" x14ac:dyDescent="0.3">
      <c r="B131" s="22" t="s">
        <v>166</v>
      </c>
      <c r="C131" s="12" cm="1">
        <f t="array" ref="C131">ROUNDUP(SUM(C129:C130)*(1+IF(LEN(TRIM(LEFT(C127,3)))=0, 0,
   SUMPRODUCT(
       IFERROR(
           VALUE(MID($C119:$G122,
                   SEARCH(LEFT(C127,3), $C119:$G122) + 3,
                   10)) *
           ISNUMBER(SEARCH(LEFT(C127,3), $C119:$G122)),
           0
       )
   )+IFERROR(
    MID($C124, SEARCH(C128, $C124) + LEN(C128), 2) / 100,
    0
)
)/100),0)</f>
        <v>610</v>
      </c>
      <c r="D131" s="12" cm="1">
        <f t="array" ref="D131">ROUNDUP(SUM(D129:D130)*(1+IF(LEN(TRIM(LEFT(D127,3)))=0, 0,
   SUMPRODUCT(
       IFERROR(
           VALUE(MID($C119:$G122,
                   SEARCH(LEFT(D127,3), $C119:$G122) + 3,
                   10)) *
           ISNUMBER(SEARCH(LEFT(D127,3), $C119:$G122)),
           0
       )
   )+IFERROR(
    MID($C124, SEARCH(D128, $C124) + LEN(D128), 2) / 100,
    0
)
)/100),0)</f>
        <v>177</v>
      </c>
      <c r="L131">
        <v>0.63</v>
      </c>
      <c r="M131">
        <v>3</v>
      </c>
      <c r="N131">
        <v>10</v>
      </c>
      <c r="O131">
        <v>4</v>
      </c>
      <c r="Q131" s="30"/>
      <c r="R131" s="18"/>
      <c r="S131" s="31"/>
      <c r="AE131" s="14" t="s">
        <v>662</v>
      </c>
      <c r="AF131" s="14">
        <v>10</v>
      </c>
      <c r="AG131" s="14">
        <v>10</v>
      </c>
      <c r="AH131" s="14">
        <v>10</v>
      </c>
      <c r="AI131" s="14">
        <v>10</v>
      </c>
      <c r="AJ131" s="14">
        <v>10</v>
      </c>
      <c r="AK131" s="14">
        <v>10</v>
      </c>
      <c r="AL131" s="14">
        <v>10</v>
      </c>
      <c r="AM131" s="14">
        <v>10</v>
      </c>
      <c r="AN131" s="14">
        <v>10</v>
      </c>
      <c r="AO131" s="14">
        <v>10</v>
      </c>
      <c r="AP131" s="14">
        <v>10</v>
      </c>
      <c r="AQ131" s="14">
        <v>10</v>
      </c>
    </row>
    <row r="132" spans="1:43" x14ac:dyDescent="0.25">
      <c r="B132" s="85" t="s">
        <v>93</v>
      </c>
      <c r="C132" s="86">
        <f>C131*0.005+D131*0.002</f>
        <v>3.4040000000000004</v>
      </c>
      <c r="D132" s="87"/>
      <c r="E132" s="86"/>
      <c r="F132" s="86"/>
      <c r="G132" s="86"/>
      <c r="H132" s="86"/>
      <c r="I132" s="86"/>
      <c r="L132">
        <v>0.66</v>
      </c>
      <c r="M132">
        <v>3</v>
      </c>
      <c r="N132">
        <v>30</v>
      </c>
      <c r="O132">
        <v>4</v>
      </c>
      <c r="AE132" s="14" t="s">
        <v>663</v>
      </c>
      <c r="AF132" s="16">
        <v>1.33</v>
      </c>
      <c r="AG132" s="16">
        <v>1.47</v>
      </c>
      <c r="AH132" s="16">
        <v>1.6</v>
      </c>
      <c r="AI132" s="16">
        <v>1.74</v>
      </c>
      <c r="AJ132" s="16">
        <v>1.87</v>
      </c>
      <c r="AK132" s="16">
        <v>2</v>
      </c>
      <c r="AL132" s="16">
        <v>2.14</v>
      </c>
      <c r="AM132" s="16">
        <v>2.27</v>
      </c>
      <c r="AN132" s="16">
        <v>2.4</v>
      </c>
      <c r="AO132" s="16">
        <v>2.57</v>
      </c>
      <c r="AP132" s="16">
        <v>2.77</v>
      </c>
      <c r="AQ132" s="16">
        <v>3</v>
      </c>
    </row>
    <row r="133" spans="1:43" x14ac:dyDescent="0.25">
      <c r="L133">
        <v>0.9</v>
      </c>
      <c r="M133">
        <v>20</v>
      </c>
      <c r="O133">
        <v>7</v>
      </c>
      <c r="AE133" s="14" t="s">
        <v>664</v>
      </c>
      <c r="AF133" s="14">
        <v>3</v>
      </c>
      <c r="AG133" s="14">
        <v>3</v>
      </c>
      <c r="AH133" s="14">
        <v>3</v>
      </c>
      <c r="AI133" s="14">
        <v>3</v>
      </c>
      <c r="AJ133" s="14">
        <v>3</v>
      </c>
      <c r="AK133" s="14">
        <v>3</v>
      </c>
      <c r="AL133" s="14">
        <v>3</v>
      </c>
      <c r="AM133" s="14">
        <v>3</v>
      </c>
      <c r="AN133" s="14">
        <v>3</v>
      </c>
      <c r="AO133" s="14">
        <v>3</v>
      </c>
      <c r="AP133" s="14">
        <v>3</v>
      </c>
      <c r="AQ133" s="14">
        <v>3</v>
      </c>
    </row>
    <row r="134" spans="1:43" x14ac:dyDescent="0.25">
      <c r="L134">
        <v>7.2</v>
      </c>
      <c r="M134">
        <v>0.05</v>
      </c>
      <c r="O134">
        <v>15</v>
      </c>
      <c r="AE134" s="14" t="s">
        <v>665</v>
      </c>
      <c r="AF134" s="14">
        <v>20</v>
      </c>
      <c r="AG134" s="14">
        <v>20</v>
      </c>
      <c r="AH134" s="14">
        <v>20</v>
      </c>
      <c r="AI134" s="14">
        <v>20</v>
      </c>
      <c r="AJ134" s="14">
        <v>20</v>
      </c>
      <c r="AK134" s="14">
        <v>20</v>
      </c>
      <c r="AL134" s="14">
        <v>20</v>
      </c>
      <c r="AM134" s="14">
        <v>20</v>
      </c>
      <c r="AN134" s="14">
        <v>20</v>
      </c>
      <c r="AO134" s="14">
        <v>20</v>
      </c>
      <c r="AP134" s="14">
        <v>20</v>
      </c>
      <c r="AQ134" s="14">
        <v>20</v>
      </c>
    </row>
    <row r="135" spans="1:43" x14ac:dyDescent="0.25">
      <c r="E135" s="12"/>
      <c r="G135" s="12"/>
      <c r="L135">
        <v>1.44</v>
      </c>
      <c r="M135">
        <v>0.1</v>
      </c>
      <c r="O135">
        <v>20</v>
      </c>
      <c r="AE135" s="14" t="s">
        <v>666</v>
      </c>
      <c r="AF135" s="16">
        <v>0.03</v>
      </c>
      <c r="AG135" s="16">
        <v>0.03</v>
      </c>
      <c r="AH135" s="16">
        <v>0.03</v>
      </c>
      <c r="AI135" s="38">
        <v>3.5000000000000003E-2</v>
      </c>
      <c r="AJ135" s="38">
        <v>3.5000000000000003E-2</v>
      </c>
      <c r="AK135" s="38">
        <v>3.5000000000000003E-2</v>
      </c>
      <c r="AL135" s="16">
        <v>0.04</v>
      </c>
      <c r="AM135" s="16">
        <v>0.04</v>
      </c>
      <c r="AN135" s="16">
        <v>0.04</v>
      </c>
      <c r="AO135" s="38">
        <v>4.4999999999999998E-2</v>
      </c>
      <c r="AP135" s="38">
        <v>4.4999999999999998E-2</v>
      </c>
      <c r="AQ135" s="16">
        <v>0.05</v>
      </c>
    </row>
    <row r="136" spans="1:43" x14ac:dyDescent="0.25">
      <c r="C136" s="22"/>
      <c r="M136">
        <v>15</v>
      </c>
      <c r="AE136" s="14" t="s">
        <v>667</v>
      </c>
      <c r="AF136" s="16">
        <v>0.06</v>
      </c>
      <c r="AG136" s="16">
        <v>0.06</v>
      </c>
      <c r="AH136" s="16">
        <v>0.06</v>
      </c>
      <c r="AI136" s="16">
        <v>7.0000000000000007E-2</v>
      </c>
      <c r="AJ136" s="16">
        <v>7.0000000000000007E-2</v>
      </c>
      <c r="AK136" s="16">
        <v>7.0000000000000007E-2</v>
      </c>
      <c r="AL136" s="16">
        <v>0.08</v>
      </c>
      <c r="AM136" s="16">
        <v>0.08</v>
      </c>
      <c r="AN136" s="16">
        <v>0.08</v>
      </c>
      <c r="AO136" s="16">
        <v>0.09</v>
      </c>
      <c r="AP136" s="16">
        <v>0.09</v>
      </c>
      <c r="AQ136" s="16">
        <v>0.1</v>
      </c>
    </row>
    <row r="137" spans="1:43" ht="13.8" customHeight="1" x14ac:dyDescent="0.25">
      <c r="C137" s="22"/>
      <c r="AE137" s="14" t="s">
        <v>668</v>
      </c>
      <c r="AF137" s="14">
        <v>15</v>
      </c>
      <c r="AG137" s="14">
        <v>15</v>
      </c>
      <c r="AH137" s="14">
        <v>15</v>
      </c>
      <c r="AI137" s="14">
        <v>15</v>
      </c>
      <c r="AJ137" s="14">
        <v>15</v>
      </c>
      <c r="AK137" s="14">
        <v>15</v>
      </c>
      <c r="AL137" s="14">
        <v>15</v>
      </c>
      <c r="AM137" s="14">
        <v>15</v>
      </c>
      <c r="AN137" s="14">
        <v>15</v>
      </c>
      <c r="AO137" s="14">
        <v>15</v>
      </c>
      <c r="AP137" s="14">
        <v>15</v>
      </c>
      <c r="AQ137" s="14">
        <v>15</v>
      </c>
    </row>
    <row r="138" spans="1:43" x14ac:dyDescent="0.25">
      <c r="C138" s="22"/>
    </row>
    <row r="139" spans="1:43" ht="14.4" thickBot="1" x14ac:dyDescent="0.3">
      <c r="B139" t="s">
        <v>978</v>
      </c>
      <c r="C139" s="28" t="s">
        <v>978</v>
      </c>
      <c r="E139" s="61" t="s">
        <v>755</v>
      </c>
      <c r="F139" s="61"/>
      <c r="G139" s="61"/>
      <c r="H139" s="61"/>
      <c r="I139" s="61"/>
      <c r="J139" s="127" t="s">
        <v>785</v>
      </c>
      <c r="K139" s="127"/>
      <c r="L139" s="127"/>
      <c r="M139" s="127"/>
      <c r="N139" s="63" t="s">
        <v>154</v>
      </c>
      <c r="O139" s="63"/>
      <c r="P139" s="63"/>
      <c r="Q139" s="63"/>
      <c r="R139" s="63"/>
      <c r="S139" s="63"/>
      <c r="T139" s="8" t="s">
        <v>161</v>
      </c>
      <c r="U139" s="8"/>
      <c r="V139" s="8"/>
      <c r="W139" s="8"/>
      <c r="X139" s="8"/>
      <c r="Y139" s="8"/>
      <c r="Z139" s="8"/>
    </row>
    <row r="140" spans="1:43" x14ac:dyDescent="0.25">
      <c r="B140" t="s">
        <v>695</v>
      </c>
      <c r="C140" s="17" t="s">
        <v>704</v>
      </c>
      <c r="D140" s="17" t="s">
        <v>991</v>
      </c>
      <c r="E140" s="52" t="s">
        <v>92</v>
      </c>
      <c r="F140" s="52" t="s">
        <v>94</v>
      </c>
      <c r="G140" s="52" t="s">
        <v>95</v>
      </c>
      <c r="H140" s="52" t="s">
        <v>93</v>
      </c>
      <c r="I140" s="52" t="s">
        <v>96</v>
      </c>
      <c r="J140" s="64" t="s">
        <v>688</v>
      </c>
      <c r="K140" s="64" t="s">
        <v>689</v>
      </c>
      <c r="L140" s="64" t="s">
        <v>690</v>
      </c>
      <c r="M140" s="64" t="s">
        <v>163</v>
      </c>
      <c r="N140" s="64" t="s">
        <v>707</v>
      </c>
      <c r="O140" s="64" t="s">
        <v>153</v>
      </c>
      <c r="P140" s="64" t="s">
        <v>76</v>
      </c>
      <c r="Q140" s="64" t="s">
        <v>77</v>
      </c>
      <c r="R140" s="64" t="s">
        <v>78</v>
      </c>
      <c r="S140" s="64" t="s">
        <v>703</v>
      </c>
      <c r="T140" s="64" t="s">
        <v>83</v>
      </c>
      <c r="U140" s="64" t="s">
        <v>80</v>
      </c>
      <c r="V140" s="64" t="s">
        <v>79</v>
      </c>
      <c r="W140" s="64" t="s">
        <v>691</v>
      </c>
      <c r="X140" s="64" t="s">
        <v>694</v>
      </c>
      <c r="Y140" s="64" t="s">
        <v>693</v>
      </c>
      <c r="Z140" s="64" t="s">
        <v>692</v>
      </c>
      <c r="AE140" s="14" t="s">
        <v>77</v>
      </c>
    </row>
    <row r="141" spans="1:43" x14ac:dyDescent="0.25">
      <c r="A141" s="42"/>
      <c r="B141" t="s">
        <v>891</v>
      </c>
      <c r="E141" s="21">
        <f>321+505</f>
        <v>826</v>
      </c>
      <c r="F141" s="43">
        <f>E129</f>
        <v>0.26200000000000001</v>
      </c>
      <c r="G141" s="43"/>
      <c r="H141">
        <f>C132</f>
        <v>3.4040000000000004</v>
      </c>
      <c r="I141">
        <f>(E141*(1+F141)+G141)*(H141+1)</f>
        <v>4590.7824479999999</v>
      </c>
      <c r="K141" s="43">
        <f>0.05</f>
        <v>0.05</v>
      </c>
      <c r="L141" s="43">
        <f>0.5</f>
        <v>0.5</v>
      </c>
      <c r="M141" s="43"/>
      <c r="N141" s="43">
        <f>IF(I118&gt;=2,0.1,0)+G129</f>
        <v>0.53300000000000003</v>
      </c>
      <c r="O141" s="43"/>
      <c r="P141" s="43">
        <f>H129</f>
        <v>1.0759999999999998</v>
      </c>
      <c r="Q141" s="43"/>
      <c r="R141" s="43"/>
      <c r="AF141" s="15">
        <v>1</v>
      </c>
      <c r="AG141" s="15">
        <v>2</v>
      </c>
      <c r="AH141" s="15">
        <v>3</v>
      </c>
      <c r="AI141" s="15">
        <v>4</v>
      </c>
      <c r="AJ141" s="15">
        <v>5</v>
      </c>
      <c r="AK141" s="15">
        <v>6</v>
      </c>
      <c r="AL141" s="15">
        <v>7</v>
      </c>
      <c r="AM141" s="15">
        <v>8</v>
      </c>
      <c r="AN141" s="15">
        <v>9</v>
      </c>
      <c r="AO141" s="15" t="s">
        <v>124</v>
      </c>
      <c r="AP141" s="15" t="s">
        <v>125</v>
      </c>
      <c r="AQ141" s="15" t="s">
        <v>126</v>
      </c>
    </row>
    <row r="142" spans="1:43" x14ac:dyDescent="0.25">
      <c r="C142" t="s">
        <v>883</v>
      </c>
      <c r="D142" t="s">
        <v>805</v>
      </c>
      <c r="E142">
        <f t="shared" ref="E142:E155" si="16">$E$141</f>
        <v>826</v>
      </c>
      <c r="F142">
        <f>$F$141</f>
        <v>0.26200000000000001</v>
      </c>
      <c r="H142">
        <f>$H$141</f>
        <v>3.4040000000000004</v>
      </c>
      <c r="I142">
        <f t="shared" ref="I142:I144" si="17">(E142*(1+F142)+G142)*(H142+1)</f>
        <v>4590.7824479999999</v>
      </c>
      <c r="J142">
        <f>SUM(L129:L133)</f>
        <v>3.05</v>
      </c>
      <c r="K142">
        <f>$K$141</f>
        <v>0.05</v>
      </c>
      <c r="L142">
        <f>$L$141</f>
        <v>0.5</v>
      </c>
      <c r="N142">
        <f>N141</f>
        <v>0.53300000000000003</v>
      </c>
      <c r="P142">
        <f>P141</f>
        <v>1.0759999999999998</v>
      </c>
      <c r="AE142" s="14" t="s">
        <v>137</v>
      </c>
      <c r="AF142" s="14" t="s">
        <v>669</v>
      </c>
      <c r="AG142" s="14" t="s">
        <v>669</v>
      </c>
      <c r="AH142" s="14" t="s">
        <v>669</v>
      </c>
      <c r="AI142" s="14" t="s">
        <v>669</v>
      </c>
      <c r="AJ142" s="14" t="s">
        <v>669</v>
      </c>
      <c r="AK142" s="14" t="s">
        <v>669</v>
      </c>
      <c r="AL142" s="14" t="s">
        <v>669</v>
      </c>
      <c r="AM142" s="14" t="s">
        <v>669</v>
      </c>
      <c r="AN142" s="14" t="s">
        <v>670</v>
      </c>
      <c r="AO142" s="14" t="s">
        <v>670</v>
      </c>
      <c r="AP142" s="14" t="s">
        <v>670</v>
      </c>
      <c r="AQ142" s="14" t="s">
        <v>671</v>
      </c>
    </row>
    <row r="143" spans="1:43" x14ac:dyDescent="0.25">
      <c r="C143" t="s">
        <v>884</v>
      </c>
      <c r="D143" t="s">
        <v>805</v>
      </c>
      <c r="E143">
        <f t="shared" si="16"/>
        <v>826</v>
      </c>
      <c r="F143">
        <f t="shared" ref="F143:F155" si="18">$F$141</f>
        <v>0.26200000000000001</v>
      </c>
      <c r="H143">
        <f t="shared" ref="H143:H155" si="19">$H$141</f>
        <v>3.4040000000000004</v>
      </c>
      <c r="I143">
        <f t="shared" si="17"/>
        <v>4590.7824479999999</v>
      </c>
      <c r="J143">
        <f>SUM(L129:L132)</f>
        <v>2.15</v>
      </c>
      <c r="K143">
        <f t="shared" ref="K143:K155" si="20">$K$141</f>
        <v>0.05</v>
      </c>
      <c r="L143">
        <f t="shared" ref="L143:L155" si="21">$L$141</f>
        <v>0.5</v>
      </c>
      <c r="N143">
        <f t="shared" ref="N143:N152" si="22">$N$141</f>
        <v>0.53300000000000003</v>
      </c>
      <c r="P143">
        <f t="shared" ref="P143:P155" si="23">$P$141</f>
        <v>1.0759999999999998</v>
      </c>
      <c r="AE143" s="14" t="s">
        <v>160</v>
      </c>
      <c r="AF143" s="16">
        <v>1.07</v>
      </c>
      <c r="AG143" s="16">
        <v>1.17</v>
      </c>
      <c r="AH143" s="16">
        <v>1.28</v>
      </c>
      <c r="AI143" s="16">
        <v>1.39</v>
      </c>
      <c r="AJ143" s="16">
        <v>1.49</v>
      </c>
      <c r="AK143" s="16">
        <v>1.6</v>
      </c>
      <c r="AL143" s="16">
        <v>1.71</v>
      </c>
      <c r="AM143" s="16">
        <v>1.81</v>
      </c>
      <c r="AN143" s="16">
        <v>1.92</v>
      </c>
      <c r="AO143" s="16">
        <v>2.0499999999999998</v>
      </c>
      <c r="AP143" s="16">
        <v>2.21</v>
      </c>
      <c r="AQ143" s="16">
        <v>2.4</v>
      </c>
    </row>
    <row r="144" spans="1:43" x14ac:dyDescent="0.25">
      <c r="C144" t="s">
        <v>885</v>
      </c>
      <c r="D144" t="s">
        <v>805</v>
      </c>
      <c r="E144">
        <f t="shared" si="16"/>
        <v>826</v>
      </c>
      <c r="F144">
        <f t="shared" si="18"/>
        <v>0.26200000000000001</v>
      </c>
      <c r="H144">
        <f t="shared" si="19"/>
        <v>3.4040000000000004</v>
      </c>
      <c r="I144">
        <f t="shared" si="17"/>
        <v>4590.7824479999999</v>
      </c>
      <c r="J144">
        <f>L133</f>
        <v>0.9</v>
      </c>
      <c r="K144">
        <f t="shared" si="20"/>
        <v>0.05</v>
      </c>
      <c r="L144">
        <f t="shared" si="21"/>
        <v>0.5</v>
      </c>
      <c r="N144">
        <f t="shared" si="22"/>
        <v>0.53300000000000003</v>
      </c>
      <c r="P144">
        <f t="shared" si="23"/>
        <v>1.0759999999999998</v>
      </c>
      <c r="AE144" s="14" t="s">
        <v>155</v>
      </c>
      <c r="AF144" s="14">
        <v>10</v>
      </c>
      <c r="AG144" s="14">
        <v>10</v>
      </c>
      <c r="AH144" s="14">
        <v>10</v>
      </c>
      <c r="AI144" s="14">
        <v>10</v>
      </c>
      <c r="AJ144" s="14">
        <v>10</v>
      </c>
      <c r="AK144" s="14">
        <v>10</v>
      </c>
      <c r="AL144" s="14">
        <v>10</v>
      </c>
      <c r="AM144" s="14">
        <v>10</v>
      </c>
      <c r="AN144" s="14">
        <v>10</v>
      </c>
      <c r="AO144" s="14">
        <v>10</v>
      </c>
      <c r="AP144" s="14">
        <v>10</v>
      </c>
      <c r="AQ144" s="14">
        <v>10</v>
      </c>
    </row>
    <row r="145" spans="1:43" x14ac:dyDescent="0.25">
      <c r="C145" t="s">
        <v>886</v>
      </c>
      <c r="D145" t="s">
        <v>805</v>
      </c>
      <c r="E145">
        <f t="shared" si="16"/>
        <v>826</v>
      </c>
      <c r="F145">
        <f t="shared" si="18"/>
        <v>0.26200000000000001</v>
      </c>
      <c r="H145">
        <f t="shared" si="19"/>
        <v>3.4040000000000004</v>
      </c>
      <c r="I145">
        <f>(E145*(1+F145)+G145)*(H145+1)</f>
        <v>4590.7824479999999</v>
      </c>
      <c r="J145">
        <f>L134</f>
        <v>7.2</v>
      </c>
      <c r="K145">
        <f t="shared" si="20"/>
        <v>0.05</v>
      </c>
      <c r="L145">
        <f t="shared" si="21"/>
        <v>0.5</v>
      </c>
      <c r="N145">
        <f t="shared" si="22"/>
        <v>0.53300000000000003</v>
      </c>
      <c r="P145">
        <f t="shared" si="23"/>
        <v>1.0759999999999998</v>
      </c>
      <c r="AE145" s="14" t="s">
        <v>672</v>
      </c>
      <c r="AF145" s="14">
        <v>30</v>
      </c>
      <c r="AG145" s="14">
        <v>30</v>
      </c>
      <c r="AH145" s="14">
        <v>30</v>
      </c>
      <c r="AI145" s="14">
        <v>30</v>
      </c>
      <c r="AJ145" s="14">
        <v>30</v>
      </c>
      <c r="AK145" s="14">
        <v>30</v>
      </c>
      <c r="AL145" s="14">
        <v>30</v>
      </c>
      <c r="AM145" s="14">
        <v>30</v>
      </c>
      <c r="AN145" s="14">
        <v>30</v>
      </c>
      <c r="AO145" s="14">
        <v>30</v>
      </c>
      <c r="AP145" s="14">
        <v>30</v>
      </c>
      <c r="AQ145" s="14">
        <v>30</v>
      </c>
    </row>
    <row r="146" spans="1:43" x14ac:dyDescent="0.25">
      <c r="C146" t="s">
        <v>887</v>
      </c>
      <c r="D146" t="s">
        <v>805</v>
      </c>
      <c r="E146">
        <f t="shared" si="16"/>
        <v>826</v>
      </c>
      <c r="F146">
        <f t="shared" si="18"/>
        <v>0.26200000000000001</v>
      </c>
      <c r="H146">
        <f t="shared" si="19"/>
        <v>3.4040000000000004</v>
      </c>
      <c r="I146">
        <f t="shared" ref="I146:I155" si="24">(E146*(1+F146)+G146)*(H146+1)</f>
        <v>4590.7824479999999</v>
      </c>
      <c r="J146">
        <f>L135</f>
        <v>1.44</v>
      </c>
      <c r="K146">
        <f t="shared" si="20"/>
        <v>0.05</v>
      </c>
      <c r="L146">
        <f t="shared" si="21"/>
        <v>0.5</v>
      </c>
      <c r="N146">
        <f t="shared" si="22"/>
        <v>0.53300000000000003</v>
      </c>
      <c r="P146">
        <f t="shared" si="23"/>
        <v>1.0759999999999998</v>
      </c>
    </row>
    <row r="147" spans="1:43" x14ac:dyDescent="0.25">
      <c r="C147" t="s">
        <v>1353</v>
      </c>
      <c r="D147" t="s">
        <v>805</v>
      </c>
      <c r="E147">
        <f t="shared" si="16"/>
        <v>826</v>
      </c>
      <c r="F147">
        <f t="shared" si="18"/>
        <v>0.26200000000000001</v>
      </c>
      <c r="H147">
        <f t="shared" si="19"/>
        <v>3.4040000000000004</v>
      </c>
      <c r="I147">
        <f t="shared" si="24"/>
        <v>4590.7824479999999</v>
      </c>
      <c r="J147">
        <f>($M$129+$M$131*1)*IF($I$118&gt;=3,1.1,1)</f>
        <v>5.28</v>
      </c>
      <c r="K147">
        <f t="shared" si="20"/>
        <v>0.05</v>
      </c>
      <c r="L147">
        <f t="shared" si="21"/>
        <v>0.5</v>
      </c>
      <c r="N147">
        <f t="shared" si="22"/>
        <v>0.53300000000000003</v>
      </c>
      <c r="P147">
        <f t="shared" si="23"/>
        <v>1.0759999999999998</v>
      </c>
    </row>
    <row r="148" spans="1:43" x14ac:dyDescent="0.25">
      <c r="C148" t="s">
        <v>1354</v>
      </c>
      <c r="D148" t="s">
        <v>805</v>
      </c>
      <c r="E148">
        <f t="shared" si="16"/>
        <v>826</v>
      </c>
      <c r="F148">
        <f t="shared" si="18"/>
        <v>0.26200000000000001</v>
      </c>
      <c r="H148">
        <f t="shared" si="19"/>
        <v>3.4040000000000004</v>
      </c>
      <c r="I148">
        <f t="shared" si="24"/>
        <v>4590.7824479999999</v>
      </c>
      <c r="J148">
        <f>($M$129+$M$131*2)*IF($I$118&gt;=3,1.1,1)</f>
        <v>8.58</v>
      </c>
      <c r="K148">
        <f t="shared" si="20"/>
        <v>0.05</v>
      </c>
      <c r="L148">
        <f t="shared" si="21"/>
        <v>0.5</v>
      </c>
      <c r="N148">
        <f t="shared" si="22"/>
        <v>0.53300000000000003</v>
      </c>
      <c r="P148">
        <f t="shared" si="23"/>
        <v>1.0759999999999998</v>
      </c>
      <c r="AE148" s="14" t="s">
        <v>649</v>
      </c>
    </row>
    <row r="149" spans="1:43" x14ac:dyDescent="0.25">
      <c r="C149" t="s">
        <v>1355</v>
      </c>
      <c r="D149" t="s">
        <v>805</v>
      </c>
      <c r="E149">
        <f t="shared" si="16"/>
        <v>826</v>
      </c>
      <c r="F149">
        <f t="shared" si="18"/>
        <v>0.26200000000000001</v>
      </c>
      <c r="H149">
        <f t="shared" si="19"/>
        <v>3.4040000000000004</v>
      </c>
      <c r="I149">
        <f t="shared" si="24"/>
        <v>4590.7824479999999</v>
      </c>
      <c r="J149">
        <f>($M$129+$M$131*3)*IF($I$118&gt;=3,1.1,1)</f>
        <v>11.880000000000003</v>
      </c>
      <c r="K149">
        <f t="shared" si="20"/>
        <v>0.05</v>
      </c>
      <c r="L149">
        <f t="shared" si="21"/>
        <v>0.5</v>
      </c>
      <c r="N149">
        <f t="shared" si="22"/>
        <v>0.53300000000000003</v>
      </c>
      <c r="P149">
        <f t="shared" si="23"/>
        <v>1.0759999999999998</v>
      </c>
      <c r="AF149" s="15">
        <v>1</v>
      </c>
      <c r="AG149" s="15">
        <v>2</v>
      </c>
      <c r="AH149" s="15">
        <v>3</v>
      </c>
      <c r="AI149" s="15">
        <v>4</v>
      </c>
      <c r="AJ149" s="15">
        <v>5</v>
      </c>
      <c r="AK149" s="15">
        <v>6</v>
      </c>
      <c r="AL149" s="15">
        <v>7</v>
      </c>
      <c r="AM149" s="15">
        <v>8</v>
      </c>
      <c r="AN149" s="15">
        <v>9</v>
      </c>
      <c r="AO149" s="15" t="s">
        <v>124</v>
      </c>
      <c r="AP149" s="15" t="s">
        <v>125</v>
      </c>
      <c r="AQ149" s="15" t="s">
        <v>126</v>
      </c>
    </row>
    <row r="150" spans="1:43" x14ac:dyDescent="0.25">
      <c r="C150" t="s">
        <v>682</v>
      </c>
      <c r="D150" t="s">
        <v>805</v>
      </c>
      <c r="E150">
        <f t="shared" si="16"/>
        <v>826</v>
      </c>
      <c r="F150">
        <f t="shared" si="18"/>
        <v>0.26200000000000001</v>
      </c>
      <c r="H150">
        <f t="shared" si="19"/>
        <v>3.4040000000000004</v>
      </c>
      <c r="I150">
        <f t="shared" si="24"/>
        <v>4590.7824479999999</v>
      </c>
      <c r="J150">
        <f>N130*IF(I118&gt;=1,1.2,1)</f>
        <v>2.88</v>
      </c>
      <c r="K150">
        <f t="shared" si="20"/>
        <v>0.05</v>
      </c>
      <c r="L150">
        <f t="shared" si="21"/>
        <v>0.5</v>
      </c>
      <c r="N150">
        <f t="shared" si="22"/>
        <v>0.53300000000000003</v>
      </c>
      <c r="P150">
        <f t="shared" si="23"/>
        <v>1.0759999999999998</v>
      </c>
      <c r="AE150" s="14" t="s">
        <v>146</v>
      </c>
      <c r="AF150" s="14">
        <v>90</v>
      </c>
      <c r="AG150" s="14">
        <v>90</v>
      </c>
      <c r="AH150" s="14">
        <v>90</v>
      </c>
      <c r="AI150" s="14">
        <v>90</v>
      </c>
      <c r="AJ150" s="14">
        <v>90</v>
      </c>
      <c r="AK150" s="14">
        <v>90</v>
      </c>
      <c r="AL150" s="14">
        <v>90</v>
      </c>
      <c r="AM150" s="14">
        <v>90</v>
      </c>
      <c r="AN150" s="14">
        <v>90</v>
      </c>
      <c r="AO150" s="14">
        <v>90</v>
      </c>
      <c r="AP150" s="14">
        <v>90</v>
      </c>
      <c r="AQ150" s="14">
        <v>90</v>
      </c>
    </row>
    <row r="151" spans="1:43" x14ac:dyDescent="0.25">
      <c r="C151" t="s">
        <v>1356</v>
      </c>
      <c r="D151" t="s">
        <v>805</v>
      </c>
      <c r="E151">
        <f t="shared" si="16"/>
        <v>826</v>
      </c>
      <c r="F151">
        <f t="shared" si="18"/>
        <v>0.26200000000000001</v>
      </c>
      <c r="H151">
        <f t="shared" si="19"/>
        <v>3.4040000000000004</v>
      </c>
      <c r="I151">
        <f t="shared" si="24"/>
        <v>4590.7824479999999</v>
      </c>
      <c r="J151">
        <f>($O$130+O132)*IF(I118&gt;=5,1.15,1)</f>
        <v>8.2799999999999994</v>
      </c>
      <c r="K151">
        <f t="shared" si="20"/>
        <v>0.05</v>
      </c>
      <c r="L151">
        <f t="shared" si="21"/>
        <v>0.5</v>
      </c>
      <c r="N151">
        <f t="shared" si="22"/>
        <v>0.53300000000000003</v>
      </c>
      <c r="P151">
        <f t="shared" si="23"/>
        <v>1.0759999999999998</v>
      </c>
      <c r="AE151" s="14" t="s">
        <v>673</v>
      </c>
      <c r="AF151" s="16">
        <v>1.42</v>
      </c>
      <c r="AG151" s="16">
        <v>1.56</v>
      </c>
      <c r="AH151" s="16">
        <v>1.71</v>
      </c>
      <c r="AI151" s="16">
        <v>1.85</v>
      </c>
      <c r="AJ151" s="16">
        <v>1.99</v>
      </c>
      <c r="AK151" s="16">
        <v>2.13</v>
      </c>
      <c r="AL151" s="16">
        <v>2.2799999999999998</v>
      </c>
      <c r="AM151" s="16">
        <v>2.42</v>
      </c>
      <c r="AN151" s="16">
        <v>2.56</v>
      </c>
      <c r="AO151" s="16">
        <v>2.74</v>
      </c>
      <c r="AP151" s="16">
        <v>2.95</v>
      </c>
      <c r="AQ151" s="16">
        <v>3.2</v>
      </c>
    </row>
    <row r="152" spans="1:43" x14ac:dyDescent="0.25">
      <c r="C152" t="s">
        <v>1357</v>
      </c>
      <c r="D152" t="s">
        <v>805</v>
      </c>
      <c r="E152">
        <f t="shared" si="16"/>
        <v>826</v>
      </c>
      <c r="F152">
        <f t="shared" si="18"/>
        <v>0.26200000000000001</v>
      </c>
      <c r="H152">
        <f t="shared" si="19"/>
        <v>3.4040000000000004</v>
      </c>
      <c r="I152">
        <f t="shared" si="24"/>
        <v>4590.7824479999999</v>
      </c>
      <c r="J152">
        <f>($O$130+O133)*IF(I118&gt;=5,1.15,1)</f>
        <v>11.729999999999999</v>
      </c>
      <c r="K152">
        <f t="shared" si="20"/>
        <v>0.05</v>
      </c>
      <c r="L152">
        <f t="shared" si="21"/>
        <v>0.5</v>
      </c>
      <c r="N152">
        <f t="shared" si="22"/>
        <v>0.53300000000000003</v>
      </c>
      <c r="P152">
        <f t="shared" si="23"/>
        <v>1.0759999999999998</v>
      </c>
      <c r="AE152" s="14" t="s">
        <v>674</v>
      </c>
      <c r="AF152" s="14">
        <v>4</v>
      </c>
      <c r="AG152" s="14">
        <v>4</v>
      </c>
      <c r="AH152" s="14">
        <v>4</v>
      </c>
      <c r="AI152" s="14">
        <v>4</v>
      </c>
      <c r="AJ152" s="14">
        <v>4</v>
      </c>
      <c r="AK152" s="14">
        <v>4</v>
      </c>
      <c r="AL152" s="14">
        <v>4</v>
      </c>
      <c r="AM152" s="14">
        <v>4</v>
      </c>
      <c r="AN152" s="14">
        <v>4</v>
      </c>
      <c r="AO152" s="14">
        <v>4</v>
      </c>
      <c r="AP152" s="14">
        <v>4</v>
      </c>
      <c r="AQ152" s="14">
        <v>4</v>
      </c>
    </row>
    <row r="153" spans="1:43" x14ac:dyDescent="0.25">
      <c r="C153" t="s">
        <v>1358</v>
      </c>
      <c r="D153" t="s">
        <v>805</v>
      </c>
      <c r="E153">
        <f t="shared" si="16"/>
        <v>826</v>
      </c>
      <c r="F153">
        <f t="shared" si="18"/>
        <v>0.26200000000000001</v>
      </c>
      <c r="H153">
        <f t="shared" si="19"/>
        <v>3.4040000000000004</v>
      </c>
      <c r="I153">
        <f t="shared" si="24"/>
        <v>4590.7824479999999</v>
      </c>
      <c r="J153">
        <f>$M$131*1</f>
        <v>3</v>
      </c>
      <c r="K153">
        <f t="shared" si="20"/>
        <v>0.05</v>
      </c>
      <c r="L153">
        <f t="shared" si="21"/>
        <v>0.5</v>
      </c>
      <c r="N153">
        <f>$N$141+0.6+IF($I$118&gt;=5,0.8,0)</f>
        <v>1.9330000000000001</v>
      </c>
      <c r="P153">
        <f t="shared" si="23"/>
        <v>1.0759999999999998</v>
      </c>
      <c r="AE153" s="14" t="s">
        <v>675</v>
      </c>
      <c r="AF153" s="16">
        <v>1.78</v>
      </c>
      <c r="AG153" s="16">
        <v>1.96</v>
      </c>
      <c r="AH153" s="16">
        <v>2.13</v>
      </c>
      <c r="AI153" s="16">
        <v>2.31</v>
      </c>
      <c r="AJ153" s="16">
        <v>2.4900000000000002</v>
      </c>
      <c r="AK153" s="16">
        <v>2.67</v>
      </c>
      <c r="AL153" s="16">
        <v>2.84</v>
      </c>
      <c r="AM153" s="16">
        <v>3.02</v>
      </c>
      <c r="AN153" s="16">
        <v>3.2</v>
      </c>
      <c r="AO153" s="16">
        <v>3.42</v>
      </c>
      <c r="AP153" s="16">
        <v>3.69</v>
      </c>
      <c r="AQ153" s="16">
        <v>4</v>
      </c>
    </row>
    <row r="154" spans="1:43" x14ac:dyDescent="0.25">
      <c r="C154" t="s">
        <v>1359</v>
      </c>
      <c r="D154" t="s">
        <v>805</v>
      </c>
      <c r="E154">
        <f t="shared" si="16"/>
        <v>826</v>
      </c>
      <c r="F154">
        <f t="shared" si="18"/>
        <v>0.26200000000000001</v>
      </c>
      <c r="H154">
        <f t="shared" si="19"/>
        <v>3.4040000000000004</v>
      </c>
      <c r="I154">
        <f t="shared" si="24"/>
        <v>4590.7824479999999</v>
      </c>
      <c r="J154">
        <f>$M$131*2</f>
        <v>6</v>
      </c>
      <c r="K154">
        <f t="shared" si="20"/>
        <v>0.05</v>
      </c>
      <c r="L154">
        <f t="shared" si="21"/>
        <v>0.5</v>
      </c>
      <c r="N154">
        <f>$N$141+0.6+IF($I$118&gt;=5,0.8,0)</f>
        <v>1.9330000000000001</v>
      </c>
      <c r="P154">
        <f t="shared" si="23"/>
        <v>1.0759999999999998</v>
      </c>
      <c r="AE154" s="14" t="s">
        <v>676</v>
      </c>
      <c r="AF154" s="16">
        <v>3.11</v>
      </c>
      <c r="AG154" s="16">
        <v>3.42</v>
      </c>
      <c r="AH154" s="16">
        <v>3.73</v>
      </c>
      <c r="AI154" s="16">
        <v>4.04</v>
      </c>
      <c r="AJ154" s="16">
        <v>4.3600000000000003</v>
      </c>
      <c r="AK154" s="16">
        <v>4.67</v>
      </c>
      <c r="AL154" s="16">
        <v>4.9800000000000004</v>
      </c>
      <c r="AM154" s="16">
        <v>5.29</v>
      </c>
      <c r="AN154" s="16">
        <v>5.6</v>
      </c>
      <c r="AO154" s="16">
        <v>5.99</v>
      </c>
      <c r="AP154" s="16">
        <v>6.46</v>
      </c>
      <c r="AQ154" s="16">
        <v>7</v>
      </c>
    </row>
    <row r="155" spans="1:43" x14ac:dyDescent="0.25">
      <c r="C155" t="s">
        <v>1360</v>
      </c>
      <c r="D155" t="s">
        <v>805</v>
      </c>
      <c r="E155">
        <f t="shared" si="16"/>
        <v>826</v>
      </c>
      <c r="F155">
        <f t="shared" si="18"/>
        <v>0.26200000000000001</v>
      </c>
      <c r="H155">
        <f t="shared" si="19"/>
        <v>3.4040000000000004</v>
      </c>
      <c r="I155">
        <f t="shared" si="24"/>
        <v>4590.7824479999999</v>
      </c>
      <c r="J155">
        <f>$M$131*3</f>
        <v>9</v>
      </c>
      <c r="K155">
        <f t="shared" si="20"/>
        <v>0.05</v>
      </c>
      <c r="L155">
        <f t="shared" si="21"/>
        <v>0.5</v>
      </c>
      <c r="N155">
        <f>$N$141+0.6+IF($I$118&gt;=5,0.8,0)</f>
        <v>1.9330000000000001</v>
      </c>
      <c r="P155">
        <f t="shared" si="23"/>
        <v>1.0759999999999998</v>
      </c>
      <c r="AE155" s="14" t="s">
        <v>677</v>
      </c>
      <c r="AF155" s="14">
        <v>15</v>
      </c>
      <c r="AG155" s="14">
        <v>15</v>
      </c>
      <c r="AH155" s="14">
        <v>15</v>
      </c>
      <c r="AI155" s="14">
        <v>15</v>
      </c>
      <c r="AJ155" s="14">
        <v>15</v>
      </c>
      <c r="AK155" s="14">
        <v>15</v>
      </c>
      <c r="AL155" s="14">
        <v>15</v>
      </c>
      <c r="AM155" s="14">
        <v>15</v>
      </c>
      <c r="AN155" s="14">
        <v>15</v>
      </c>
      <c r="AO155" s="14">
        <v>15</v>
      </c>
      <c r="AP155" s="14">
        <v>15</v>
      </c>
      <c r="AQ155" s="14">
        <v>15</v>
      </c>
    </row>
    <row r="156" spans="1:43" x14ac:dyDescent="0.25">
      <c r="B156" t="s">
        <v>892</v>
      </c>
      <c r="AE156" s="14" t="s">
        <v>678</v>
      </c>
      <c r="AF156" s="14">
        <v>20</v>
      </c>
      <c r="AG156" s="14">
        <v>20</v>
      </c>
      <c r="AH156" s="14">
        <v>20</v>
      </c>
      <c r="AI156" s="14">
        <v>20</v>
      </c>
      <c r="AJ156" s="14">
        <v>20</v>
      </c>
      <c r="AK156" s="14">
        <v>20</v>
      </c>
      <c r="AL156" s="14">
        <v>20</v>
      </c>
      <c r="AM156" s="14">
        <v>20</v>
      </c>
      <c r="AN156" s="14">
        <v>20</v>
      </c>
      <c r="AO156" s="14">
        <v>20</v>
      </c>
      <c r="AP156" s="14">
        <v>20</v>
      </c>
      <c r="AQ156" s="14">
        <v>20</v>
      </c>
    </row>
    <row r="157" spans="1:43" x14ac:dyDescent="0.25">
      <c r="A157" s="17"/>
      <c r="B157" s="17"/>
      <c r="C157" s="17" t="s">
        <v>805</v>
      </c>
      <c r="D157" s="17" t="s">
        <v>888</v>
      </c>
      <c r="E157" s="17"/>
      <c r="F157" s="17"/>
      <c r="G157" s="17"/>
      <c r="H157" s="17"/>
      <c r="I157" s="17"/>
      <c r="J157" s="17"/>
      <c r="K157" s="17"/>
      <c r="L157" s="17"/>
      <c r="M157" s="17"/>
      <c r="N157" s="17"/>
      <c r="O157" s="17"/>
      <c r="P157" s="17"/>
      <c r="Q157" s="17"/>
      <c r="R157" s="17"/>
      <c r="S157" s="17"/>
      <c r="T157" s="17">
        <f>M134+IF($I$118&gt;=3,0.05,0)</f>
        <v>0.1</v>
      </c>
      <c r="U157" s="17"/>
      <c r="V157" s="17"/>
      <c r="W157" s="17"/>
      <c r="X157" s="17"/>
      <c r="Y157" s="17"/>
      <c r="Z157" s="17"/>
    </row>
    <row r="158" spans="1:43" x14ac:dyDescent="0.25">
      <c r="C158" t="s">
        <v>805</v>
      </c>
      <c r="D158" t="s">
        <v>889</v>
      </c>
      <c r="T158">
        <f>M135+IF($I$118&gt;=3,0.05,0)</f>
        <v>0.15000000000000002</v>
      </c>
    </row>
    <row r="159" spans="1:43" x14ac:dyDescent="0.25">
      <c r="C159" t="s">
        <v>805</v>
      </c>
      <c r="D159" t="s">
        <v>895</v>
      </c>
      <c r="P159">
        <f>0.3</f>
        <v>0.3</v>
      </c>
    </row>
    <row r="160" spans="1:43" x14ac:dyDescent="0.25">
      <c r="C160" t="s">
        <v>805</v>
      </c>
      <c r="D160" t="s">
        <v>896</v>
      </c>
      <c r="P160">
        <f>0.6</f>
        <v>0.6</v>
      </c>
    </row>
    <row r="161" spans="3:30" x14ac:dyDescent="0.25">
      <c r="C161" t="s">
        <v>805</v>
      </c>
      <c r="D161" s="12" t="s">
        <v>893</v>
      </c>
      <c r="P161">
        <f>0.32</f>
        <v>0.32</v>
      </c>
    </row>
    <row r="162" spans="3:30" x14ac:dyDescent="0.25">
      <c r="C162" t="s">
        <v>805</v>
      </c>
      <c r="D162" s="12" t="s">
        <v>894</v>
      </c>
      <c r="V162">
        <f>0.096</f>
        <v>9.6000000000000002E-2</v>
      </c>
    </row>
    <row r="163" spans="3:30" x14ac:dyDescent="0.25">
      <c r="C163" t="s">
        <v>805</v>
      </c>
      <c r="D163" s="12" t="s">
        <v>897</v>
      </c>
      <c r="P163" s="68">
        <f>0.128</f>
        <v>0.128</v>
      </c>
    </row>
    <row r="164" spans="3:30" x14ac:dyDescent="0.25">
      <c r="C164" t="s">
        <v>805</v>
      </c>
      <c r="D164" s="22"/>
      <c r="AD164" s="77"/>
    </row>
    <row r="177" spans="2:43" s="40" customFormat="1" ht="14.4" thickBot="1" x14ac:dyDescent="0.3">
      <c r="B177" s="21" t="s">
        <v>925</v>
      </c>
      <c r="AD177" s="59"/>
    </row>
    <row r="178" spans="2:43" x14ac:dyDescent="0.25">
      <c r="B178" s="25" t="s">
        <v>961</v>
      </c>
      <c r="C178" s="26" t="s">
        <v>75</v>
      </c>
      <c r="D178" s="26" t="s">
        <v>85</v>
      </c>
      <c r="E178" s="26" t="s">
        <v>86</v>
      </c>
      <c r="F178" s="26" t="s">
        <v>87</v>
      </c>
      <c r="G178" s="26" t="s">
        <v>88</v>
      </c>
      <c r="H178" s="26" t="s">
        <v>89</v>
      </c>
      <c r="I178" s="26" t="s">
        <v>192</v>
      </c>
      <c r="J178" s="83"/>
      <c r="Q178" s="25" t="s">
        <v>977</v>
      </c>
      <c r="R178" s="26" t="s">
        <v>963</v>
      </c>
      <c r="S178" s="27"/>
      <c r="AE178" t="s">
        <v>153</v>
      </c>
    </row>
    <row r="179" spans="2:43" ht="14.4" thickBot="1" x14ac:dyDescent="0.3">
      <c r="B179" s="28" t="s">
        <v>91</v>
      </c>
      <c r="C179" s="21" t="s">
        <v>926</v>
      </c>
      <c r="D179" s="21" t="s">
        <v>453</v>
      </c>
      <c r="E179" s="21" t="s">
        <v>475</v>
      </c>
      <c r="F179" s="21" t="s">
        <v>495</v>
      </c>
      <c r="G179" s="21" t="s">
        <v>543</v>
      </c>
      <c r="H179" t="str">
        <f>IF(COUNTIF(E179:G179,LEFT(D179,2)&amp;"*")&gt;=2,LEFT(D179,2),
IF(COUNTIF(F179:G179,LEFT(E179,2)&amp;"*")=2,LEFT(E179,2),
""))</f>
        <v>警用</v>
      </c>
      <c r="I179" s="21">
        <v>1</v>
      </c>
      <c r="J179" s="29"/>
      <c r="Q179" s="28"/>
      <c r="S179" s="29"/>
      <c r="AE179" s="15"/>
      <c r="AF179" s="15"/>
      <c r="AG179" s="15"/>
      <c r="AH179" s="15"/>
      <c r="AI179" s="15"/>
      <c r="AJ179" s="15"/>
      <c r="AK179" s="15"/>
      <c r="AL179" s="15"/>
      <c r="AM179" s="15"/>
      <c r="AN179" s="15"/>
      <c r="AO179" s="15"/>
      <c r="AP179" s="15"/>
      <c r="AQ179" s="15"/>
    </row>
    <row r="180" spans="2:43" ht="14.4" thickBot="1" x14ac:dyDescent="0.3">
      <c r="B180" s="28" t="s">
        <v>183</v>
      </c>
      <c r="D180" s="21">
        <v>3</v>
      </c>
      <c r="E180" s="21">
        <v>3</v>
      </c>
      <c r="F180" s="21">
        <v>3</v>
      </c>
      <c r="G180" s="21">
        <v>3</v>
      </c>
      <c r="J180" s="29"/>
      <c r="Q180" s="28" t="s">
        <v>999</v>
      </c>
      <c r="S180" s="29"/>
      <c r="AE180" s="78" t="s">
        <v>127</v>
      </c>
      <c r="AF180" s="79">
        <v>0.24</v>
      </c>
      <c r="AG180" s="79">
        <v>0.26</v>
      </c>
      <c r="AH180" s="79">
        <v>0.28000000000000003</v>
      </c>
      <c r="AI180" s="79">
        <v>0.31</v>
      </c>
      <c r="AJ180" s="79">
        <v>0.33</v>
      </c>
      <c r="AK180" s="79">
        <v>0.35</v>
      </c>
      <c r="AL180" s="79">
        <v>0.38</v>
      </c>
      <c r="AM180" s="79">
        <v>0.4</v>
      </c>
      <c r="AN180" s="79">
        <v>0.42</v>
      </c>
      <c r="AO180" s="79">
        <v>0.45</v>
      </c>
      <c r="AP180" s="79">
        <v>0.49</v>
      </c>
      <c r="AQ180" s="79">
        <v>0.53</v>
      </c>
    </row>
    <row r="181" spans="2:43" ht="14.4" thickBot="1" x14ac:dyDescent="0.3">
      <c r="B181" s="84" t="s">
        <v>97</v>
      </c>
      <c r="C181" t="str">
        <f>_xlfn.XLOOKUP(C179,武器库!$B:$B,武器库!$C:$C,"")</f>
        <v>智识+156</v>
      </c>
      <c r="D181" t="str">
        <f>VLOOKUP(D179,护甲库!$A:$M,2+D180*3,FALSE)</f>
        <v>智识113</v>
      </c>
      <c r="E181" t="str">
        <f>VLOOKUP(E179,护手库!$A:$M,2+E180*3,FALSE)</f>
        <v>智识84</v>
      </c>
      <c r="F181" t="str">
        <f>VLOOKUP(F179,配件库!$A:$M,2+F180*3,FALSE)</f>
        <v>智识41</v>
      </c>
      <c r="G181" t="str">
        <f>VLOOKUP(G179,配件库!$A:$M,2+G180*3,FALSE)</f>
        <v>意志41</v>
      </c>
      <c r="H181" s="11"/>
      <c r="J181" s="29"/>
      <c r="P181" t="s">
        <v>961</v>
      </c>
      <c r="Q181" s="28"/>
      <c r="R181" t="s">
        <v>964</v>
      </c>
      <c r="S181" s="29"/>
      <c r="AE181" s="78" t="s">
        <v>128</v>
      </c>
      <c r="AF181" s="79">
        <v>0.25</v>
      </c>
      <c r="AG181" s="79">
        <v>0.28000000000000003</v>
      </c>
      <c r="AH181" s="79">
        <v>0.3</v>
      </c>
      <c r="AI181" s="79">
        <v>0.33</v>
      </c>
      <c r="AJ181" s="79">
        <v>0.35</v>
      </c>
      <c r="AK181" s="79">
        <v>0.38</v>
      </c>
      <c r="AL181" s="79">
        <v>0.4</v>
      </c>
      <c r="AM181" s="79">
        <v>0.43</v>
      </c>
      <c r="AN181" s="79">
        <v>0.45</v>
      </c>
      <c r="AO181" s="79">
        <v>0.48</v>
      </c>
      <c r="AP181" s="79">
        <v>0.52</v>
      </c>
      <c r="AQ181" s="79">
        <v>0.56000000000000005</v>
      </c>
    </row>
    <row r="182" spans="2:43" ht="14.4" thickBot="1" x14ac:dyDescent="0.3">
      <c r="B182" s="28" t="s">
        <v>98</v>
      </c>
      <c r="C182" s="43" t="str">
        <f>_xlfn.XLOOKUP(C179,武器库!$B:$B,武器库!$D:$D,"")</f>
        <v>暴击+19.5</v>
      </c>
      <c r="D182" t="str">
        <f>VLOOKUP(D179,护甲库!$A:$M,3+D180*3,FALSE)</f>
        <v>敏捷75</v>
      </c>
      <c r="E182" t="str">
        <f>VLOOKUP(E179,护手库!$A:$M,3+E180*3,FALSE)</f>
        <v>敏捷55</v>
      </c>
      <c r="F182" t="str">
        <f>VLOOKUP(F179,配件库!$A:$M,3+F180*3,FALSE)</f>
        <v>敏捷27</v>
      </c>
      <c r="G182" t="str">
        <f>VLOOKUP(G179,配件库!$A:$M,3+G180*3,FALSE)</f>
        <v>智识27</v>
      </c>
      <c r="H182" s="9"/>
      <c r="J182" s="29"/>
      <c r="Q182" s="28" t="s">
        <v>965</v>
      </c>
      <c r="S182" s="29"/>
      <c r="AE182" s="78" t="s">
        <v>129</v>
      </c>
      <c r="AF182" s="79">
        <v>0.32</v>
      </c>
      <c r="AG182" s="79">
        <v>0.35</v>
      </c>
      <c r="AH182" s="79">
        <v>0.38</v>
      </c>
      <c r="AI182" s="79">
        <v>0.41</v>
      </c>
      <c r="AJ182" s="79">
        <v>0.44</v>
      </c>
      <c r="AK182" s="79">
        <v>0.47</v>
      </c>
      <c r="AL182" s="79">
        <v>0.5</v>
      </c>
      <c r="AM182" s="79">
        <v>0.54</v>
      </c>
      <c r="AN182" s="79">
        <v>0.56999999999999995</v>
      </c>
      <c r="AO182" s="79">
        <v>0.61</v>
      </c>
      <c r="AP182" s="79">
        <v>0.65</v>
      </c>
      <c r="AQ182" s="79">
        <v>0.71</v>
      </c>
    </row>
    <row r="183" spans="2:43" ht="14.4" thickBot="1" x14ac:dyDescent="0.3">
      <c r="B183" s="28" t="s">
        <v>99</v>
      </c>
      <c r="C183" s="43" t="str">
        <f>_xlfn.XLOOKUP(C179,武器库!$B:$B,武器库!$E:$E,"")</f>
        <v>寒冷伤害+25.6</v>
      </c>
      <c r="D183" s="43" t="str">
        <f>VLOOKUP(D179,护甲库!$A:$M,4+D180*3,FALSE)</f>
        <v>普攻17.9</v>
      </c>
      <c r="E183" s="43" t="str">
        <f>VLOOKUP(E179,护手库!$A:$M,4+E180*3,FALSE)</f>
        <v>普攻29.9</v>
      </c>
      <c r="F183" s="43" t="str">
        <f>VLOOKUP(F179,配件库!$A:$M,4+F180*3,FALSE)</f>
        <v>暴击13.5</v>
      </c>
      <c r="G183" s="43" t="str">
        <f>VLOOKUP(G179,配件库!$A:$M,4+G180*3,FALSE)</f>
        <v>主能力26.9</v>
      </c>
      <c r="H183" s="9"/>
      <c r="J183" s="29"/>
      <c r="P183" t="s">
        <v>962</v>
      </c>
      <c r="Q183" s="28" t="s">
        <v>967</v>
      </c>
      <c r="S183" s="29"/>
      <c r="AE183" s="78" t="s">
        <v>130</v>
      </c>
      <c r="AF183" s="79">
        <v>0.41</v>
      </c>
      <c r="AG183" s="79">
        <v>0.45</v>
      </c>
      <c r="AH183" s="79">
        <v>0.49</v>
      </c>
      <c r="AI183" s="79">
        <v>0.53</v>
      </c>
      <c r="AJ183" s="79">
        <v>0.57999999999999996</v>
      </c>
      <c r="AK183" s="79">
        <v>0.62</v>
      </c>
      <c r="AL183" s="79">
        <v>0.66</v>
      </c>
      <c r="AM183" s="79">
        <v>0.7</v>
      </c>
      <c r="AN183" s="79">
        <v>0.74</v>
      </c>
      <c r="AO183" s="79">
        <v>0.79</v>
      </c>
      <c r="AP183" s="79">
        <v>0.85</v>
      </c>
      <c r="AQ183" s="79">
        <v>0.92</v>
      </c>
    </row>
    <row r="184" spans="2:43" ht="14.4" thickBot="1" x14ac:dyDescent="0.3">
      <c r="B184" s="28" t="s">
        <v>90</v>
      </c>
      <c r="C184" t="str">
        <f>_xlfn.XLOOKUP(C179,武器库!$B:$B,武器库!$F:$F,"")</f>
        <v>装备者的战技或连携技造成暴击伤害后，寒冷+伤害+22.4%，持续30秒</v>
      </c>
      <c r="D184" s="22"/>
      <c r="F184" s="22"/>
      <c r="G184" s="9"/>
      <c r="H184" s="9"/>
      <c r="J184" s="29"/>
      <c r="Q184" s="28"/>
      <c r="S184" s="29"/>
      <c r="AE184" s="78" t="s">
        <v>660</v>
      </c>
      <c r="AF184" s="79">
        <v>0.56000000000000005</v>
      </c>
      <c r="AG184" s="79">
        <v>0.62</v>
      </c>
      <c r="AH184" s="79">
        <v>0.67</v>
      </c>
      <c r="AI184" s="79">
        <v>0.73</v>
      </c>
      <c r="AJ184" s="79">
        <v>0.79</v>
      </c>
      <c r="AK184" s="79">
        <v>0.84</v>
      </c>
      <c r="AL184" s="79">
        <v>0.9</v>
      </c>
      <c r="AM184" s="79">
        <v>0.96</v>
      </c>
      <c r="AN184" s="79">
        <v>1.01</v>
      </c>
      <c r="AO184" s="79">
        <v>1.08</v>
      </c>
      <c r="AP184" s="79">
        <v>1.17</v>
      </c>
      <c r="AQ184" s="79">
        <v>1.26</v>
      </c>
    </row>
    <row r="185" spans="2:43" ht="14.4" thickBot="1" x14ac:dyDescent="0.3">
      <c r="B185" s="30" t="s">
        <v>89</v>
      </c>
      <c r="C185" s="18" t="str">
        <f>VLOOKUP(H179,套装效果库!A:B,2,0)</f>
        <v>暴击05。当触发暴击后，5秒内+5%攻击力，该效果最多叠加5层。层数叠满后，额外+5%暴击率，该效果无法叠加。</v>
      </c>
      <c r="D185" s="19"/>
      <c r="E185" s="18"/>
      <c r="F185" s="19"/>
      <c r="G185" s="20"/>
      <c r="H185" s="20"/>
      <c r="I185" s="18"/>
      <c r="J185" s="31"/>
      <c r="P185" t="s">
        <v>968</v>
      </c>
      <c r="Q185" s="28"/>
      <c r="R185" t="s">
        <v>966</v>
      </c>
      <c r="S185" s="29"/>
      <c r="AE185" s="78" t="s">
        <v>131</v>
      </c>
      <c r="AF185" s="79">
        <v>4</v>
      </c>
      <c r="AG185" s="79">
        <v>4.4000000000000004</v>
      </c>
      <c r="AH185" s="79">
        <v>4.8</v>
      </c>
      <c r="AI185" s="79">
        <v>5.2</v>
      </c>
      <c r="AJ185" s="79">
        <v>5.6</v>
      </c>
      <c r="AK185" s="79">
        <v>6</v>
      </c>
      <c r="AL185" s="79">
        <v>6.4</v>
      </c>
      <c r="AM185" s="79">
        <v>6.8</v>
      </c>
      <c r="AN185" s="79">
        <v>7.2</v>
      </c>
      <c r="AO185" s="79">
        <v>7.7</v>
      </c>
      <c r="AP185" s="79">
        <v>8.3000000000000007</v>
      </c>
      <c r="AQ185" s="79">
        <v>9</v>
      </c>
    </row>
    <row r="186" spans="2:43" x14ac:dyDescent="0.25">
      <c r="Q186" s="28" t="s">
        <v>970</v>
      </c>
      <c r="S186" s="29"/>
      <c r="AE186" s="78" t="s">
        <v>132</v>
      </c>
      <c r="AF186" s="79">
        <v>0.8</v>
      </c>
      <c r="AG186" s="79">
        <v>0.88</v>
      </c>
      <c r="AH186" s="79">
        <v>0.96</v>
      </c>
      <c r="AI186" s="79">
        <v>1.04</v>
      </c>
      <c r="AJ186" s="79">
        <v>1.1200000000000001</v>
      </c>
      <c r="AK186" s="79">
        <v>1.2</v>
      </c>
      <c r="AL186" s="79">
        <v>1.28</v>
      </c>
      <c r="AM186" s="79">
        <v>1.36</v>
      </c>
      <c r="AN186" s="79">
        <v>1.44</v>
      </c>
      <c r="AO186" s="79">
        <v>1.54</v>
      </c>
      <c r="AP186" s="79">
        <v>1.66</v>
      </c>
      <c r="AQ186" s="79">
        <v>1.8</v>
      </c>
    </row>
    <row r="187" spans="2:43" x14ac:dyDescent="0.25">
      <c r="P187" t="s">
        <v>969</v>
      </c>
      <c r="Q187" s="28" t="s">
        <v>971</v>
      </c>
      <c r="S187" s="29"/>
    </row>
    <row r="188" spans="2:43" x14ac:dyDescent="0.25">
      <c r="B188" s="17" t="s">
        <v>962</v>
      </c>
      <c r="C188" s="17" t="s">
        <v>990</v>
      </c>
      <c r="D188" s="17" t="s">
        <v>1054</v>
      </c>
      <c r="E188" s="17"/>
      <c r="F188" s="17"/>
      <c r="G188" s="17"/>
      <c r="H188" s="17"/>
      <c r="I188" s="17"/>
      <c r="K188" s="88" t="s">
        <v>195</v>
      </c>
      <c r="L188" s="17" t="s">
        <v>701</v>
      </c>
      <c r="M188" s="17" t="s">
        <v>157</v>
      </c>
      <c r="N188" s="17" t="s">
        <v>702</v>
      </c>
      <c r="O188" s="89" t="s">
        <v>158</v>
      </c>
      <c r="Q188" s="28" t="s">
        <v>972</v>
      </c>
      <c r="S188" s="29"/>
    </row>
    <row r="189" spans="2:43" x14ac:dyDescent="0.25">
      <c r="C189" s="21" t="s">
        <v>162</v>
      </c>
      <c r="D189" s="21" t="s">
        <v>659</v>
      </c>
      <c r="E189" s="43" t="s">
        <v>743</v>
      </c>
      <c r="F189" s="43" t="s">
        <v>706</v>
      </c>
      <c r="G189" s="43" t="s">
        <v>153</v>
      </c>
      <c r="H189" s="43"/>
      <c r="K189" t="s">
        <v>183</v>
      </c>
      <c r="L189" s="21" t="s">
        <v>645</v>
      </c>
      <c r="M189" s="21" t="s">
        <v>645</v>
      </c>
      <c r="N189" s="21">
        <v>9</v>
      </c>
      <c r="O189" s="37" t="s">
        <v>645</v>
      </c>
      <c r="Q189" s="28" t="s">
        <v>973</v>
      </c>
      <c r="S189" s="29"/>
      <c r="AE189" s="14" t="s">
        <v>76</v>
      </c>
      <c r="AF189" s="82" t="s">
        <v>1004</v>
      </c>
    </row>
    <row r="190" spans="2:43" ht="14.4" thickBot="1" x14ac:dyDescent="0.3">
      <c r="B190" t="s">
        <v>164</v>
      </c>
      <c r="C190" s="21">
        <f>176+60+IF(I179&gt;=2,20,0)</f>
        <v>236</v>
      </c>
      <c r="D190" s="21">
        <f>128</f>
        <v>128</v>
      </c>
      <c r="E190" cm="1">
        <f t="array" ref="E190">SUM(IFERROR(
    VALUE(MID($C180:$G183,
             SEARCH(E189, $C180:$G183) + LEN(E189),
             10)) *
    ISNUMBER(SEARCH(E189,$C180:$G183)),
    0
))/100+IFERROR(
    MID($C185, SEARCH(E189, $C185) + LEN(E189), 2) / 100,
    0
)</f>
        <v>0.38</v>
      </c>
      <c r="F190" cm="1">
        <f t="array" ref="F190">SUM(IFERROR(
    VALUE(MID($C180:$G183,
             SEARCH(F189, $C180:$G183) + LEN(F189),
             10)) *
    ISNUMBER(SEARCH(F189,$C180:$G183)),
    0
))/100+IFERROR(
    MID($C185, SEARCH(F189, $C185) + LEN(F189), 2) / 100,
    0
)</f>
        <v>0.25600000000000001</v>
      </c>
      <c r="G190" cm="1">
        <f t="array" ref="G190">SUM(IFERROR(
    VALUE(MID($C180:$G183,
             SEARCH(G189, $C180:$G183) + LEN(G189),
             10)) *
    ISNUMBER(SEARCH(G189,$C180:$G183)),
    0
))/100+IFERROR(
    MID($C185, SEARCH(G189, $C185) + LEN(G189), 2) / 100,
    0
)</f>
        <v>0.47799999999999998</v>
      </c>
      <c r="H190" cm="1">
        <f t="array" ref="H190">SUM(IFERROR(
    VALUE(MID($C180:$G183,
             SEARCH(H189, $C180:$G183) + LEN(H189),
             10)) *
    ISNUMBER(SEARCH(H189,$C180:$G183)),
    0
))/100+IFERROR(
    MID($C185, SEARCH(H189, $C185) + LEN(H189), 2) / 100,
    0
)</f>
        <v>0.12</v>
      </c>
      <c r="I190" cm="1">
        <f t="array" ref="I190">SUM(IFERROR(
    VALUE(MID($C180:$G183,
             SEARCH(I189, $C180:$G183) + LEN(I189),
             10)) *
    ISNUMBER(SEARCH(I189,$C180:$G183)),
    0
))/100+IFERROR(
    MID($C185, SEARCH(I189, $C185) + LEN(I189), 2) / 100,
    0
)</f>
        <v>0.12</v>
      </c>
      <c r="L190" s="23" cm="1">
        <f t="array" ref="L190:L196">_xlfn.XLOOKUP(L189,$AE$6:$AQ$6,AE180:AQ186,0,0,1)</f>
        <v>0.53</v>
      </c>
      <c r="M190" s="23" cm="1">
        <f t="array" ref="M190:M195">_xlfn.XLOOKUP(M189,$AE$6:$AQ$6,AE191:AQ196,0,0,1)</f>
        <v>2.5</v>
      </c>
      <c r="N190" s="23" t="str" cm="1">
        <f t="array" ref="N190:N196">_xlfn.XLOOKUP(N189,$AE$6:$AQ$6,AE203:AQ209,0,0,1)</f>
        <v>19s</v>
      </c>
      <c r="O190" s="23" cm="1">
        <f t="array" ref="O190:O198">_xlfn.XLOOKUP(O189,$AE$6:$AQ$6,AE214:AQ222,0,0,1)</f>
        <v>220</v>
      </c>
      <c r="Q190" s="28"/>
      <c r="R190" t="s">
        <v>974</v>
      </c>
      <c r="S190" s="29"/>
      <c r="AE190" s="15"/>
      <c r="AF190" s="82" t="s">
        <v>1005</v>
      </c>
      <c r="AJ190" s="15"/>
      <c r="AK190" s="15"/>
      <c r="AL190" s="15"/>
      <c r="AM190" s="15"/>
      <c r="AN190" s="15"/>
      <c r="AO190" s="15"/>
      <c r="AP190" s="15"/>
      <c r="AQ190" s="15"/>
    </row>
    <row r="191" spans="2:43" ht="14.4" thickBot="1" x14ac:dyDescent="0.3">
      <c r="B191" s="22" t="s">
        <v>165</v>
      </c>
      <c r="C191" cm="1">
        <f t="array" ref="C191">SUM(IFERROR(
    VALUE(MID($C180:$G183,
             FIND(C189, $C180:$G183) + LEN(C189),
             10)) *
    ISNUMBER(FIND(C189, $C180:$G183)),
    0
))+SUM(IFERROR(
    VALUE(MID($C180:$G183,
             FIND(C188, $C180:$G183) + LEN(C188),
             10)) *
    ISNUMBER(FIND(C188, $C180:$G183)),
    0
))+IFERROR(
    MID($C185, SEARCH(C189, $C185) + LEN(C189), 2) / 100,
    0
)+IFERROR(
    MID($C185, SEARCH(C188, $C185) + LEN(C188), 2) / 100,
    0
)</f>
        <v>421</v>
      </c>
      <c r="D191" cm="1">
        <f t="array" ref="D191">SUM(IFERROR(
    VALUE(MID($C180:$G183,
             FIND(D189, $C180:$G183) + LEN(D189),
             10)) *
    ISNUMBER(FIND(D189, $C180:$G183)),
    0
))+SUM(IFERROR(
    VALUE(MID($C180:$G183,
             FIND(D188, $C180:$G183) + LEN(D188),
             10)) *
    ISNUMBER(FIND(D188, $C180:$G183)),
    0
))+IFERROR(
    MID($C185, SEARCH(D189, $C185) + LEN(D189), 2) / 100,
    0
)+IFERROR(
    MID($C185, SEARCH(D188, $C185) + LEN(D188), 2) / 100,
    0
)</f>
        <v>157</v>
      </c>
      <c r="L191">
        <v>0.56000000000000005</v>
      </c>
      <c r="M191">
        <v>1.5</v>
      </c>
      <c r="N191">
        <v>3</v>
      </c>
      <c r="O191">
        <v>7</v>
      </c>
      <c r="Q191" s="28"/>
      <c r="R191" t="s">
        <v>975</v>
      </c>
      <c r="S191" s="29"/>
      <c r="AE191" s="78" t="s">
        <v>934</v>
      </c>
      <c r="AF191" s="79">
        <v>1.1100000000000001</v>
      </c>
      <c r="AG191" s="79">
        <v>1.22</v>
      </c>
      <c r="AH191" s="79">
        <v>1.33</v>
      </c>
      <c r="AI191" s="79">
        <v>1.44</v>
      </c>
      <c r="AJ191" s="79">
        <v>1.55</v>
      </c>
      <c r="AK191" s="79">
        <v>1.67</v>
      </c>
      <c r="AL191" s="79">
        <v>1.78</v>
      </c>
      <c r="AM191" s="79">
        <v>1.89</v>
      </c>
      <c r="AN191" s="79">
        <v>2</v>
      </c>
      <c r="AO191" s="79">
        <v>2.14</v>
      </c>
      <c r="AP191" s="79">
        <v>2.2999999999999998</v>
      </c>
      <c r="AQ191" s="79">
        <v>2.5</v>
      </c>
    </row>
    <row r="192" spans="2:43" ht="14.4" thickBot="1" x14ac:dyDescent="0.3">
      <c r="B192" s="22" t="s">
        <v>166</v>
      </c>
      <c r="C192" s="12" cm="1">
        <f t="array" ref="C192">ROUNDUP(SUM(C190:C191)*(1+IF(LEN(TRIM(LEFT(C188,3)))=0, 0,
   SUMPRODUCT(
       IFERROR(
           VALUE(MID($C180:$G183,
                   SEARCH(LEFT(C188,3), $C180:$G183) + 3,
                   10)) *
           ISNUMBER(SEARCH(LEFT(C188,3), $C180:$G183)),
           0
       )
   )+IFERROR(
    MID($C185, SEARCH(C189, $C185) + LEN(C189), 2) / 100,
    0
)
)/100),0)</f>
        <v>834</v>
      </c>
      <c r="D192" s="12" cm="1">
        <f t="array" ref="D192">ROUNDUP(SUM(D190:D191)*(1+IF(LEN(TRIM(LEFT(D188,3)))=0, 0,
   SUMPRODUCT(
       IFERROR(
           VALUE(MID($C180:$G183,
                   SEARCH(LEFT(D188,3), $C180:$G183) + 3,
                   10)) *
           ISNUMBER(SEARCH(LEFT(D188,3), $C180:$G183)),
           0
       )
   )+IFERROR(
    MID($C185, SEARCH(D189, $C185) + LEN(D189), 2) / 100,
    0
)
)/100),0)</f>
        <v>285</v>
      </c>
      <c r="L192">
        <v>0.71</v>
      </c>
      <c r="M192">
        <v>2</v>
      </c>
      <c r="N192">
        <v>4</v>
      </c>
      <c r="O192">
        <v>0.2</v>
      </c>
      <c r="Q192" s="30"/>
      <c r="R192" s="18" t="s">
        <v>976</v>
      </c>
      <c r="S192" s="31"/>
      <c r="AE192" s="78" t="s">
        <v>935</v>
      </c>
      <c r="AF192" s="79">
        <v>0.67</v>
      </c>
      <c r="AG192" s="79">
        <v>0.73</v>
      </c>
      <c r="AH192" s="79">
        <v>0.8</v>
      </c>
      <c r="AI192" s="79">
        <v>0.87</v>
      </c>
      <c r="AJ192" s="79">
        <v>0.93</v>
      </c>
      <c r="AK192" s="79">
        <v>1</v>
      </c>
      <c r="AL192" s="79">
        <v>1.07</v>
      </c>
      <c r="AM192" s="79">
        <v>1.1299999999999999</v>
      </c>
      <c r="AN192" s="79">
        <v>1.2</v>
      </c>
      <c r="AO192" s="79">
        <v>1.28</v>
      </c>
      <c r="AP192" s="79">
        <v>1.38</v>
      </c>
      <c r="AQ192" s="79">
        <v>1.5</v>
      </c>
    </row>
    <row r="193" spans="1:43" ht="14.4" thickBot="1" x14ac:dyDescent="0.3">
      <c r="B193" s="85" t="s">
        <v>93</v>
      </c>
      <c r="C193" s="86">
        <f>C192*0.005+D192*0.002</f>
        <v>4.74</v>
      </c>
      <c r="D193" s="87"/>
      <c r="E193" s="86"/>
      <c r="F193" s="86"/>
      <c r="G193" s="86"/>
      <c r="H193" s="86"/>
      <c r="I193" s="86"/>
      <c r="L193">
        <v>0.92</v>
      </c>
      <c r="M193">
        <v>10</v>
      </c>
      <c r="N193">
        <v>0.8</v>
      </c>
      <c r="O193">
        <v>3</v>
      </c>
      <c r="AE193" s="78" t="s">
        <v>143</v>
      </c>
      <c r="AF193" s="79">
        <v>0.89</v>
      </c>
      <c r="AG193" s="79">
        <v>0.98</v>
      </c>
      <c r="AH193" s="79">
        <v>1.07</v>
      </c>
      <c r="AI193" s="79">
        <v>1.1599999999999999</v>
      </c>
      <c r="AJ193" s="79">
        <v>1.24</v>
      </c>
      <c r="AK193" s="79">
        <v>1.33</v>
      </c>
      <c r="AL193" s="79">
        <v>1.42</v>
      </c>
      <c r="AM193" s="79">
        <v>1.51</v>
      </c>
      <c r="AN193" s="79">
        <v>1.6</v>
      </c>
      <c r="AO193" s="79">
        <v>1.71</v>
      </c>
      <c r="AP193" s="79">
        <v>1.85</v>
      </c>
      <c r="AQ193" s="79">
        <v>2</v>
      </c>
    </row>
    <row r="194" spans="1:43" ht="14.4" thickBot="1" x14ac:dyDescent="0.3">
      <c r="L194">
        <v>1.26</v>
      </c>
      <c r="M194">
        <v>10</v>
      </c>
      <c r="N194">
        <v>1.6</v>
      </c>
      <c r="O194">
        <v>6</v>
      </c>
      <c r="AE194" s="78" t="s">
        <v>155</v>
      </c>
      <c r="AF194" s="80">
        <v>10</v>
      </c>
      <c r="AG194" s="80">
        <v>10</v>
      </c>
      <c r="AH194" s="80">
        <v>10</v>
      </c>
      <c r="AI194" s="80">
        <v>10</v>
      </c>
      <c r="AJ194" s="80">
        <v>10</v>
      </c>
      <c r="AK194" s="80">
        <v>10</v>
      </c>
      <c r="AL194" s="80">
        <v>10</v>
      </c>
      <c r="AM194" s="80">
        <v>10</v>
      </c>
      <c r="AN194" s="80">
        <v>10</v>
      </c>
      <c r="AO194" s="80">
        <v>10</v>
      </c>
      <c r="AP194" s="80">
        <v>10</v>
      </c>
      <c r="AQ194" s="80">
        <v>10</v>
      </c>
    </row>
    <row r="195" spans="1:43" ht="14.4" thickBot="1" x14ac:dyDescent="0.3">
      <c r="L195">
        <v>9</v>
      </c>
      <c r="M195">
        <v>30</v>
      </c>
      <c r="N195">
        <v>10</v>
      </c>
      <c r="O195">
        <v>20</v>
      </c>
      <c r="AE195" s="78" t="s">
        <v>936</v>
      </c>
      <c r="AF195" s="80">
        <v>10</v>
      </c>
      <c r="AG195" s="80">
        <v>10</v>
      </c>
      <c r="AH195" s="80">
        <v>10</v>
      </c>
      <c r="AI195" s="80">
        <v>10</v>
      </c>
      <c r="AJ195" s="80">
        <v>10</v>
      </c>
      <c r="AK195" s="80">
        <v>10</v>
      </c>
      <c r="AL195" s="80">
        <v>10</v>
      </c>
      <c r="AM195" s="80">
        <v>10</v>
      </c>
      <c r="AN195" s="80">
        <v>10</v>
      </c>
      <c r="AO195" s="80">
        <v>10</v>
      </c>
      <c r="AP195" s="80">
        <v>10</v>
      </c>
      <c r="AQ195" s="80">
        <v>10</v>
      </c>
    </row>
    <row r="196" spans="1:43" x14ac:dyDescent="0.25">
      <c r="E196" s="12"/>
      <c r="G196" s="12"/>
      <c r="L196">
        <v>1.8</v>
      </c>
      <c r="N196">
        <v>10</v>
      </c>
      <c r="O196">
        <v>10</v>
      </c>
      <c r="AE196" s="78" t="s">
        <v>145</v>
      </c>
      <c r="AF196" s="80">
        <v>30</v>
      </c>
      <c r="AG196" s="80">
        <v>30</v>
      </c>
      <c r="AH196" s="80">
        <v>30</v>
      </c>
      <c r="AI196" s="80">
        <v>30</v>
      </c>
      <c r="AJ196" s="80">
        <v>30</v>
      </c>
      <c r="AK196" s="80">
        <v>30</v>
      </c>
      <c r="AL196" s="80">
        <v>30</v>
      </c>
      <c r="AM196" s="80">
        <v>30</v>
      </c>
      <c r="AN196" s="80">
        <v>30</v>
      </c>
      <c r="AO196" s="80">
        <v>30</v>
      </c>
      <c r="AP196" s="80">
        <v>30</v>
      </c>
      <c r="AQ196" s="80">
        <v>30</v>
      </c>
    </row>
    <row r="197" spans="1:43" x14ac:dyDescent="0.25">
      <c r="C197" s="22"/>
      <c r="O197">
        <v>0.03</v>
      </c>
      <c r="AE197" s="14"/>
      <c r="AF197" s="16"/>
      <c r="AG197" s="16"/>
      <c r="AH197" s="16"/>
      <c r="AI197" s="16"/>
      <c r="AJ197" s="16"/>
      <c r="AK197" s="16"/>
      <c r="AL197" s="16"/>
      <c r="AM197" s="16"/>
      <c r="AN197" s="16"/>
      <c r="AO197" s="16"/>
      <c r="AP197" s="16"/>
      <c r="AQ197" s="16"/>
    </row>
    <row r="198" spans="1:43" ht="13.8" customHeight="1" x14ac:dyDescent="0.25">
      <c r="C198" s="22"/>
      <c r="O198">
        <v>0.6</v>
      </c>
      <c r="AE198" s="14"/>
      <c r="AF198" s="14"/>
      <c r="AG198" s="14"/>
      <c r="AH198" s="14"/>
      <c r="AI198" s="14"/>
      <c r="AJ198" s="14"/>
      <c r="AK198" s="14"/>
      <c r="AL198" s="14"/>
      <c r="AM198" s="14"/>
      <c r="AN198" s="14"/>
      <c r="AO198" s="14"/>
      <c r="AP198" s="14"/>
      <c r="AQ198" s="14"/>
    </row>
    <row r="199" spans="1:43" x14ac:dyDescent="0.25">
      <c r="C199" s="22"/>
    </row>
    <row r="200" spans="1:43" ht="14.4" thickBot="1" x14ac:dyDescent="0.3">
      <c r="B200" t="s">
        <v>978</v>
      </c>
      <c r="C200" s="28" t="s">
        <v>978</v>
      </c>
      <c r="E200" s="61" t="s">
        <v>755</v>
      </c>
      <c r="F200" s="61"/>
      <c r="G200" s="61"/>
      <c r="H200" s="61"/>
      <c r="I200" s="61"/>
      <c r="J200" s="127" t="s">
        <v>785</v>
      </c>
      <c r="K200" s="127"/>
      <c r="L200" s="127"/>
      <c r="M200" s="127"/>
      <c r="N200" s="63" t="s">
        <v>154</v>
      </c>
      <c r="O200" s="63"/>
      <c r="P200" s="63"/>
      <c r="Q200" s="63"/>
      <c r="R200" s="63"/>
      <c r="S200" s="63"/>
      <c r="T200" s="8" t="s">
        <v>161</v>
      </c>
      <c r="U200" s="8"/>
      <c r="V200" s="8"/>
      <c r="W200" s="8"/>
      <c r="X200" s="8"/>
      <c r="Y200" s="8"/>
      <c r="Z200" s="8"/>
      <c r="AE200" s="14" t="s">
        <v>77</v>
      </c>
      <c r="AF200" s="82" t="s">
        <v>1001</v>
      </c>
    </row>
    <row r="201" spans="1:43" x14ac:dyDescent="0.25">
      <c r="B201" t="s">
        <v>695</v>
      </c>
      <c r="C201" s="17" t="s">
        <v>704</v>
      </c>
      <c r="D201" s="17" t="s">
        <v>991</v>
      </c>
      <c r="E201" s="52" t="s">
        <v>92</v>
      </c>
      <c r="F201" s="52" t="s">
        <v>94</v>
      </c>
      <c r="G201" s="52" t="s">
        <v>95</v>
      </c>
      <c r="H201" s="52" t="s">
        <v>93</v>
      </c>
      <c r="I201" s="52" t="s">
        <v>96</v>
      </c>
      <c r="J201" s="64" t="s">
        <v>688</v>
      </c>
      <c r="K201" s="64" t="s">
        <v>689</v>
      </c>
      <c r="L201" s="64" t="s">
        <v>690</v>
      </c>
      <c r="M201" s="64" t="s">
        <v>163</v>
      </c>
      <c r="N201" s="64" t="s">
        <v>707</v>
      </c>
      <c r="O201" s="64" t="s">
        <v>153</v>
      </c>
      <c r="P201" s="64" t="s">
        <v>76</v>
      </c>
      <c r="Q201" s="64" t="s">
        <v>77</v>
      </c>
      <c r="R201" s="64" t="s">
        <v>78</v>
      </c>
      <c r="S201" s="64" t="s">
        <v>703</v>
      </c>
      <c r="T201" s="64" t="s">
        <v>83</v>
      </c>
      <c r="U201" s="64" t="s">
        <v>80</v>
      </c>
      <c r="V201" s="64" t="s">
        <v>79</v>
      </c>
      <c r="W201" s="64" t="s">
        <v>691</v>
      </c>
      <c r="X201" s="64" t="s">
        <v>694</v>
      </c>
      <c r="Y201" s="64" t="s">
        <v>693</v>
      </c>
      <c r="Z201" s="64" t="s">
        <v>692</v>
      </c>
      <c r="AF201" s="82" t="s">
        <v>1002</v>
      </c>
    </row>
    <row r="202" spans="1:43" ht="14.4" thickBot="1" x14ac:dyDescent="0.3">
      <c r="A202" s="42"/>
      <c r="B202" t="s">
        <v>952</v>
      </c>
      <c r="E202" s="21">
        <f>321+505</f>
        <v>826</v>
      </c>
      <c r="F202" s="43"/>
      <c r="G202" s="43"/>
      <c r="H202">
        <f>C193</f>
        <v>4.74</v>
      </c>
      <c r="I202">
        <f>(E202*(1+F202)+G202)*(H202+1)</f>
        <v>4741.24</v>
      </c>
      <c r="K202" s="43">
        <f>0.05+IF(I179&gt;=2,0.07,0)</f>
        <v>0.05</v>
      </c>
      <c r="L202" s="43">
        <v>0.5</v>
      </c>
      <c r="M202" s="43"/>
      <c r="N202" s="43"/>
      <c r="O202" s="43"/>
      <c r="P202" s="43"/>
      <c r="Q202" s="43"/>
      <c r="R202" s="43"/>
      <c r="AF202" s="82" t="s">
        <v>1003</v>
      </c>
      <c r="AG202" s="15"/>
      <c r="AH202" s="15"/>
      <c r="AI202" s="15"/>
      <c r="AJ202" s="15"/>
      <c r="AK202" s="15"/>
      <c r="AL202" s="15"/>
      <c r="AM202" s="15"/>
      <c r="AN202" s="15"/>
      <c r="AO202" s="15"/>
      <c r="AP202" s="15"/>
      <c r="AQ202" s="15"/>
    </row>
    <row r="203" spans="1:43" ht="14.4" thickBot="1" x14ac:dyDescent="0.3">
      <c r="C203" t="s">
        <v>953</v>
      </c>
      <c r="D203" t="s">
        <v>805</v>
      </c>
      <c r="E203">
        <f>E202</f>
        <v>826</v>
      </c>
      <c r="F203">
        <f>F202</f>
        <v>0</v>
      </c>
      <c r="G203">
        <f>G202</f>
        <v>0</v>
      </c>
      <c r="H203">
        <f>H202</f>
        <v>4.74</v>
      </c>
      <c r="I203">
        <f t="shared" ref="I203:I205" si="25">(E203*(1+F203)+G203)*(H203+1)</f>
        <v>4741.24</v>
      </c>
      <c r="J203">
        <f>SUM(L190:L194)</f>
        <v>3.9800000000000004</v>
      </c>
      <c r="K203">
        <f>K202</f>
        <v>0.05</v>
      </c>
      <c r="L203">
        <f>L202</f>
        <v>0.5</v>
      </c>
      <c r="N203">
        <f>N202</f>
        <v>0</v>
      </c>
      <c r="O203">
        <f>O202</f>
        <v>0</v>
      </c>
      <c r="P203">
        <f>P202</f>
        <v>0</v>
      </c>
      <c r="AE203" s="78" t="s">
        <v>137</v>
      </c>
      <c r="AF203" s="80" t="s">
        <v>937</v>
      </c>
      <c r="AG203" s="80" t="s">
        <v>937</v>
      </c>
      <c r="AH203" s="80" t="s">
        <v>937</v>
      </c>
      <c r="AI203" s="80" t="s">
        <v>937</v>
      </c>
      <c r="AJ203" s="80" t="s">
        <v>937</v>
      </c>
      <c r="AK203" s="80" t="s">
        <v>937</v>
      </c>
      <c r="AL203" s="80" t="s">
        <v>937</v>
      </c>
      <c r="AM203" s="80" t="s">
        <v>937</v>
      </c>
      <c r="AN203" s="80" t="s">
        <v>938</v>
      </c>
      <c r="AO203" s="80" t="s">
        <v>938</v>
      </c>
      <c r="AP203" s="80" t="s">
        <v>938</v>
      </c>
      <c r="AQ203" s="80" t="s">
        <v>939</v>
      </c>
    </row>
    <row r="204" spans="1:43" ht="14.4" thickBot="1" x14ac:dyDescent="0.3">
      <c r="C204" t="s">
        <v>954</v>
      </c>
      <c r="D204" t="s">
        <v>805</v>
      </c>
      <c r="E204">
        <f t="shared" ref="E204:E216" si="26">E203</f>
        <v>826</v>
      </c>
      <c r="F204">
        <f t="shared" ref="F204:F216" si="27">F203</f>
        <v>0</v>
      </c>
      <c r="G204">
        <f t="shared" ref="G204:G216" si="28">G203</f>
        <v>0</v>
      </c>
      <c r="H204">
        <f t="shared" ref="H204:H216" si="29">H203</f>
        <v>4.74</v>
      </c>
      <c r="I204">
        <f t="shared" si="25"/>
        <v>4741.24</v>
      </c>
      <c r="J204">
        <f>SUM(L190:L193)</f>
        <v>2.72</v>
      </c>
      <c r="K204">
        <f t="shared" ref="K204:K216" si="30">K203</f>
        <v>0.05</v>
      </c>
      <c r="L204">
        <f t="shared" ref="L204:L216" si="31">L203</f>
        <v>0.5</v>
      </c>
      <c r="N204">
        <f t="shared" ref="N204:N217" si="32">N203</f>
        <v>0</v>
      </c>
      <c r="O204">
        <f t="shared" ref="O204:O218" si="33">O203</f>
        <v>0</v>
      </c>
      <c r="P204">
        <f t="shared" ref="P204:P216" si="34">P203</f>
        <v>0</v>
      </c>
      <c r="AE204" s="78" t="s">
        <v>135</v>
      </c>
      <c r="AF204" s="80">
        <v>3</v>
      </c>
      <c r="AG204" s="80">
        <v>3</v>
      </c>
      <c r="AH204" s="80">
        <v>3</v>
      </c>
      <c r="AI204" s="80">
        <v>3</v>
      </c>
      <c r="AJ204" s="80">
        <v>3</v>
      </c>
      <c r="AK204" s="80">
        <v>3</v>
      </c>
      <c r="AL204" s="80">
        <v>3</v>
      </c>
      <c r="AM204" s="80">
        <v>3</v>
      </c>
      <c r="AN204" s="80">
        <v>3</v>
      </c>
      <c r="AO204" s="80">
        <v>3</v>
      </c>
      <c r="AP204" s="80">
        <v>3</v>
      </c>
      <c r="AQ204" s="80">
        <v>3</v>
      </c>
    </row>
    <row r="205" spans="1:43" ht="14.4" thickBot="1" x14ac:dyDescent="0.3">
      <c r="C205" t="s">
        <v>955</v>
      </c>
      <c r="D205" t="s">
        <v>805</v>
      </c>
      <c r="E205">
        <f t="shared" si="26"/>
        <v>826</v>
      </c>
      <c r="F205">
        <f t="shared" si="27"/>
        <v>0</v>
      </c>
      <c r="G205">
        <f t="shared" si="28"/>
        <v>0</v>
      </c>
      <c r="H205">
        <f t="shared" si="29"/>
        <v>4.74</v>
      </c>
      <c r="I205">
        <f t="shared" si="25"/>
        <v>4741.24</v>
      </c>
      <c r="J205">
        <f>L194</f>
        <v>1.26</v>
      </c>
      <c r="K205">
        <f t="shared" si="30"/>
        <v>0.05</v>
      </c>
      <c r="L205">
        <f t="shared" si="31"/>
        <v>0.5</v>
      </c>
      <c r="N205">
        <f t="shared" si="32"/>
        <v>0</v>
      </c>
      <c r="O205">
        <f t="shared" si="33"/>
        <v>0</v>
      </c>
      <c r="P205">
        <f t="shared" si="34"/>
        <v>0</v>
      </c>
      <c r="AE205" s="78" t="s">
        <v>940</v>
      </c>
      <c r="AF205" s="80">
        <v>4</v>
      </c>
      <c r="AG205" s="80">
        <v>4</v>
      </c>
      <c r="AH205" s="80">
        <v>4</v>
      </c>
      <c r="AI205" s="80">
        <v>4</v>
      </c>
      <c r="AJ205" s="80">
        <v>4</v>
      </c>
      <c r="AK205" s="80">
        <v>4</v>
      </c>
      <c r="AL205" s="80">
        <v>4</v>
      </c>
      <c r="AM205" s="80">
        <v>4</v>
      </c>
      <c r="AN205" s="80">
        <v>4</v>
      </c>
      <c r="AO205" s="80">
        <v>4</v>
      </c>
      <c r="AP205" s="80">
        <v>4</v>
      </c>
      <c r="AQ205" s="80">
        <v>4</v>
      </c>
    </row>
    <row r="206" spans="1:43" ht="14.4" thickBot="1" x14ac:dyDescent="0.3">
      <c r="C206" t="s">
        <v>956</v>
      </c>
      <c r="D206" t="s">
        <v>805</v>
      </c>
      <c r="E206">
        <f t="shared" si="26"/>
        <v>826</v>
      </c>
      <c r="F206">
        <f t="shared" si="27"/>
        <v>0</v>
      </c>
      <c r="G206">
        <f t="shared" si="28"/>
        <v>0</v>
      </c>
      <c r="H206">
        <f t="shared" si="29"/>
        <v>4.74</v>
      </c>
      <c r="I206">
        <f>(E206*(1+F206)+G206)*(H206+1)</f>
        <v>4741.24</v>
      </c>
      <c r="J206">
        <f>L195</f>
        <v>9</v>
      </c>
      <c r="K206">
        <f t="shared" si="30"/>
        <v>0.05</v>
      </c>
      <c r="L206">
        <f t="shared" si="31"/>
        <v>0.5</v>
      </c>
      <c r="N206">
        <f t="shared" si="32"/>
        <v>0</v>
      </c>
      <c r="O206">
        <f t="shared" si="33"/>
        <v>0</v>
      </c>
      <c r="P206">
        <f t="shared" si="34"/>
        <v>0</v>
      </c>
      <c r="AE206" s="78" t="s">
        <v>941</v>
      </c>
      <c r="AF206" s="79">
        <v>0.45</v>
      </c>
      <c r="AG206" s="79">
        <v>0.49</v>
      </c>
      <c r="AH206" s="79">
        <v>0.54</v>
      </c>
      <c r="AI206" s="79">
        <v>0.57999999999999996</v>
      </c>
      <c r="AJ206" s="79">
        <v>0.62</v>
      </c>
      <c r="AK206" s="79">
        <v>0.67</v>
      </c>
      <c r="AL206" s="79">
        <v>0.71</v>
      </c>
      <c r="AM206" s="79">
        <v>0.76</v>
      </c>
      <c r="AN206" s="79">
        <v>0.8</v>
      </c>
      <c r="AO206" s="79">
        <v>0.86</v>
      </c>
      <c r="AP206" s="79">
        <v>0.93</v>
      </c>
      <c r="AQ206" s="79">
        <v>1</v>
      </c>
    </row>
    <row r="207" spans="1:43" ht="14.4" thickBot="1" x14ac:dyDescent="0.3">
      <c r="C207" t="s">
        <v>957</v>
      </c>
      <c r="D207" t="s">
        <v>805</v>
      </c>
      <c r="E207">
        <f t="shared" si="26"/>
        <v>826</v>
      </c>
      <c r="F207">
        <f t="shared" si="27"/>
        <v>0</v>
      </c>
      <c r="G207">
        <f t="shared" si="28"/>
        <v>0</v>
      </c>
      <c r="H207">
        <f t="shared" si="29"/>
        <v>4.74</v>
      </c>
      <c r="I207">
        <f t="shared" ref="I207:I216" si="35">(E207*(1+F207)+G207)*(H207+1)</f>
        <v>4741.24</v>
      </c>
      <c r="J207">
        <f>L196</f>
        <v>1.8</v>
      </c>
      <c r="K207">
        <f t="shared" si="30"/>
        <v>0.05</v>
      </c>
      <c r="L207">
        <f t="shared" si="31"/>
        <v>0.5</v>
      </c>
      <c r="N207">
        <f t="shared" si="32"/>
        <v>0</v>
      </c>
      <c r="O207">
        <f t="shared" si="33"/>
        <v>0</v>
      </c>
      <c r="P207">
        <f t="shared" si="34"/>
        <v>0</v>
      </c>
      <c r="AE207" s="78" t="s">
        <v>942</v>
      </c>
      <c r="AF207" s="79">
        <v>0.89</v>
      </c>
      <c r="AG207" s="79">
        <v>0.98</v>
      </c>
      <c r="AH207" s="79">
        <v>1.07</v>
      </c>
      <c r="AI207" s="79">
        <v>1.1599999999999999</v>
      </c>
      <c r="AJ207" s="79">
        <v>1.25</v>
      </c>
      <c r="AK207" s="79">
        <v>1.34</v>
      </c>
      <c r="AL207" s="79">
        <v>1.42</v>
      </c>
      <c r="AM207" s="79">
        <v>1.51</v>
      </c>
      <c r="AN207" s="79">
        <v>1.6</v>
      </c>
      <c r="AO207" s="79">
        <v>1.71</v>
      </c>
      <c r="AP207" s="79">
        <v>1.85</v>
      </c>
      <c r="AQ207" s="79">
        <v>2</v>
      </c>
    </row>
    <row r="208" spans="1:43" ht="14.4" thickBot="1" x14ac:dyDescent="0.3">
      <c r="C208" t="s">
        <v>1009</v>
      </c>
      <c r="D208" t="s">
        <v>805</v>
      </c>
      <c r="E208">
        <f t="shared" si="26"/>
        <v>826</v>
      </c>
      <c r="F208">
        <f t="shared" si="27"/>
        <v>0</v>
      </c>
      <c r="G208">
        <f t="shared" si="28"/>
        <v>0</v>
      </c>
      <c r="H208">
        <f t="shared" si="29"/>
        <v>4.74</v>
      </c>
      <c r="I208">
        <f t="shared" si="35"/>
        <v>4741.24</v>
      </c>
      <c r="J208">
        <f>$M$190</f>
        <v>2.5</v>
      </c>
      <c r="K208">
        <f t="shared" si="30"/>
        <v>0.05</v>
      </c>
      <c r="L208">
        <f t="shared" si="31"/>
        <v>0.5</v>
      </c>
      <c r="N208">
        <f t="shared" si="32"/>
        <v>0</v>
      </c>
      <c r="O208">
        <f t="shared" si="33"/>
        <v>0</v>
      </c>
      <c r="P208">
        <f t="shared" si="34"/>
        <v>0</v>
      </c>
      <c r="AE208" s="78" t="s">
        <v>943</v>
      </c>
      <c r="AF208" s="80">
        <v>10</v>
      </c>
      <c r="AG208" s="80">
        <v>10</v>
      </c>
      <c r="AH208" s="80">
        <v>10</v>
      </c>
      <c r="AI208" s="80">
        <v>10</v>
      </c>
      <c r="AJ208" s="80">
        <v>10</v>
      </c>
      <c r="AK208" s="80">
        <v>10</v>
      </c>
      <c r="AL208" s="80">
        <v>10</v>
      </c>
      <c r="AM208" s="80">
        <v>10</v>
      </c>
      <c r="AN208" s="80">
        <v>10</v>
      </c>
      <c r="AO208" s="80">
        <v>10</v>
      </c>
      <c r="AP208" s="80">
        <v>10</v>
      </c>
      <c r="AQ208" s="80">
        <v>10</v>
      </c>
    </row>
    <row r="209" spans="1:43" x14ac:dyDescent="0.25">
      <c r="C209" t="s">
        <v>1007</v>
      </c>
      <c r="D209" t="s">
        <v>805</v>
      </c>
      <c r="E209">
        <f t="shared" si="26"/>
        <v>826</v>
      </c>
      <c r="F209">
        <f t="shared" si="27"/>
        <v>0</v>
      </c>
      <c r="G209">
        <f t="shared" si="28"/>
        <v>0</v>
      </c>
      <c r="H209">
        <f t="shared" si="29"/>
        <v>4.74</v>
      </c>
      <c r="I209">
        <f t="shared" si="35"/>
        <v>4741.24</v>
      </c>
      <c r="J209">
        <f>$M$190+$M$191+$M$192*1</f>
        <v>6</v>
      </c>
      <c r="K209">
        <f t="shared" si="30"/>
        <v>0.05</v>
      </c>
      <c r="L209">
        <f t="shared" si="31"/>
        <v>0.5</v>
      </c>
      <c r="N209">
        <f t="shared" si="32"/>
        <v>0</v>
      </c>
      <c r="O209">
        <f t="shared" si="33"/>
        <v>0</v>
      </c>
      <c r="P209">
        <f t="shared" si="34"/>
        <v>0</v>
      </c>
      <c r="AE209" s="78" t="s">
        <v>944</v>
      </c>
      <c r="AF209" s="80">
        <v>10</v>
      </c>
      <c r="AG209" s="80">
        <v>10</v>
      </c>
      <c r="AH209" s="80">
        <v>10</v>
      </c>
      <c r="AI209" s="80">
        <v>10</v>
      </c>
      <c r="AJ209" s="80">
        <v>10</v>
      </c>
      <c r="AK209" s="80">
        <v>10</v>
      </c>
      <c r="AL209" s="80">
        <v>10</v>
      </c>
      <c r="AM209" s="80">
        <v>10</v>
      </c>
      <c r="AN209" s="80">
        <v>10</v>
      </c>
      <c r="AO209" s="80">
        <v>10</v>
      </c>
      <c r="AP209" s="80">
        <v>10</v>
      </c>
      <c r="AQ209" s="80">
        <v>10</v>
      </c>
    </row>
    <row r="210" spans="1:43" x14ac:dyDescent="0.25">
      <c r="C210" t="s">
        <v>1010</v>
      </c>
      <c r="D210" t="s">
        <v>805</v>
      </c>
      <c r="E210">
        <f t="shared" si="26"/>
        <v>826</v>
      </c>
      <c r="F210">
        <f t="shared" si="27"/>
        <v>0</v>
      </c>
      <c r="G210">
        <f t="shared" si="28"/>
        <v>0</v>
      </c>
      <c r="H210">
        <f t="shared" si="29"/>
        <v>4.74</v>
      </c>
      <c r="I210">
        <f t="shared" si="35"/>
        <v>4741.24</v>
      </c>
      <c r="J210">
        <f>$M$190+$M$191+$M$192*2</f>
        <v>8</v>
      </c>
      <c r="K210">
        <f t="shared" si="30"/>
        <v>0.05</v>
      </c>
      <c r="L210">
        <f t="shared" si="31"/>
        <v>0.5</v>
      </c>
      <c r="N210">
        <f t="shared" si="32"/>
        <v>0</v>
      </c>
      <c r="O210">
        <f t="shared" si="33"/>
        <v>0</v>
      </c>
      <c r="P210">
        <f t="shared" si="34"/>
        <v>0</v>
      </c>
      <c r="AF210" s="15"/>
      <c r="AG210" s="15"/>
      <c r="AH210" s="15"/>
      <c r="AI210" s="15"/>
      <c r="AJ210" s="15"/>
      <c r="AK210" s="15"/>
      <c r="AL210" s="15"/>
      <c r="AM210" s="15"/>
      <c r="AN210" s="15"/>
      <c r="AO210" s="15"/>
      <c r="AP210" s="15"/>
      <c r="AQ210" s="15"/>
    </row>
    <row r="211" spans="1:43" x14ac:dyDescent="0.25">
      <c r="C211" t="s">
        <v>1011</v>
      </c>
      <c r="D211" t="s">
        <v>805</v>
      </c>
      <c r="E211">
        <f t="shared" si="26"/>
        <v>826</v>
      </c>
      <c r="F211">
        <f t="shared" si="27"/>
        <v>0</v>
      </c>
      <c r="G211">
        <f t="shared" si="28"/>
        <v>0</v>
      </c>
      <c r="H211">
        <f t="shared" si="29"/>
        <v>4.74</v>
      </c>
      <c r="I211">
        <f t="shared" si="35"/>
        <v>4741.24</v>
      </c>
      <c r="J211">
        <f>$M$190+$M$191+$M$192*3</f>
        <v>10</v>
      </c>
      <c r="K211">
        <f t="shared" si="30"/>
        <v>0.05</v>
      </c>
      <c r="L211">
        <f t="shared" si="31"/>
        <v>0.5</v>
      </c>
      <c r="N211">
        <f t="shared" si="32"/>
        <v>0</v>
      </c>
      <c r="O211">
        <f t="shared" si="33"/>
        <v>0</v>
      </c>
      <c r="P211">
        <f t="shared" si="34"/>
        <v>0</v>
      </c>
      <c r="AE211" s="14" t="s">
        <v>78</v>
      </c>
      <c r="AF211" s="82" t="s">
        <v>959</v>
      </c>
      <c r="AG211" s="14"/>
      <c r="AH211" s="14"/>
      <c r="AI211" s="14"/>
      <c r="AJ211" s="14"/>
      <c r="AK211" s="14"/>
      <c r="AL211" s="14"/>
      <c r="AM211" s="14"/>
      <c r="AN211" s="14"/>
      <c r="AO211" s="14"/>
      <c r="AP211" s="14"/>
      <c r="AQ211" s="14"/>
    </row>
    <row r="212" spans="1:43" x14ac:dyDescent="0.25">
      <c r="C212" t="s">
        <v>1012</v>
      </c>
      <c r="D212" t="s">
        <v>805</v>
      </c>
      <c r="E212">
        <f t="shared" si="26"/>
        <v>826</v>
      </c>
      <c r="F212">
        <f t="shared" si="27"/>
        <v>0</v>
      </c>
      <c r="G212">
        <f t="shared" si="28"/>
        <v>0</v>
      </c>
      <c r="H212">
        <f t="shared" si="29"/>
        <v>4.74</v>
      </c>
      <c r="I212">
        <f t="shared" si="35"/>
        <v>4741.24</v>
      </c>
      <c r="J212">
        <f>$M$190+$M$191+$M$192*4</f>
        <v>12</v>
      </c>
      <c r="K212">
        <f t="shared" si="30"/>
        <v>0.05</v>
      </c>
      <c r="L212">
        <f t="shared" si="31"/>
        <v>0.5</v>
      </c>
      <c r="N212">
        <f t="shared" si="32"/>
        <v>0</v>
      </c>
      <c r="O212">
        <f t="shared" si="33"/>
        <v>0</v>
      </c>
      <c r="P212">
        <f t="shared" si="34"/>
        <v>0</v>
      </c>
      <c r="AE212" s="14"/>
      <c r="AF212" s="82" t="s">
        <v>960</v>
      </c>
      <c r="AG212" s="16"/>
      <c r="AH212" s="16"/>
      <c r="AI212" s="16"/>
      <c r="AJ212" s="16"/>
      <c r="AK212" s="16"/>
      <c r="AL212" s="16"/>
      <c r="AM212" s="16"/>
      <c r="AN212" s="16"/>
      <c r="AO212" s="16"/>
      <c r="AP212" s="16"/>
      <c r="AQ212" s="16"/>
    </row>
    <row r="213" spans="1:43" ht="14.4" thickBot="1" x14ac:dyDescent="0.3">
      <c r="C213" t="s">
        <v>958</v>
      </c>
      <c r="D213" t="s">
        <v>805</v>
      </c>
      <c r="E213">
        <f t="shared" si="26"/>
        <v>826</v>
      </c>
      <c r="F213">
        <f t="shared" si="27"/>
        <v>0</v>
      </c>
      <c r="G213">
        <f t="shared" si="28"/>
        <v>0</v>
      </c>
      <c r="H213">
        <f t="shared" si="29"/>
        <v>4.74</v>
      </c>
      <c r="I213">
        <f t="shared" si="35"/>
        <v>4741.24</v>
      </c>
      <c r="J213">
        <f>IF(I179&gt;=1,N192+2,N192)*$N$193+$N$194</f>
        <v>6.4</v>
      </c>
      <c r="K213">
        <f t="shared" si="30"/>
        <v>0.05</v>
      </c>
      <c r="L213">
        <f t="shared" si="31"/>
        <v>0.5</v>
      </c>
      <c r="N213">
        <f t="shared" si="32"/>
        <v>0</v>
      </c>
      <c r="O213">
        <f t="shared" si="33"/>
        <v>0</v>
      </c>
      <c r="P213">
        <f t="shared" si="34"/>
        <v>0</v>
      </c>
      <c r="AE213" s="14"/>
      <c r="AF213" s="82" t="s">
        <v>1000</v>
      </c>
      <c r="AG213" s="14"/>
      <c r="AH213" s="14"/>
      <c r="AI213" s="14"/>
      <c r="AJ213" s="14"/>
      <c r="AK213" s="14"/>
      <c r="AL213" s="14"/>
      <c r="AM213" s="14"/>
      <c r="AN213" s="14"/>
      <c r="AO213" s="14"/>
      <c r="AP213" s="14"/>
      <c r="AQ213" s="14"/>
    </row>
    <row r="214" spans="1:43" ht="14.4" thickBot="1" x14ac:dyDescent="0.3">
      <c r="C214" t="s">
        <v>1029</v>
      </c>
      <c r="D214" t="s">
        <v>805</v>
      </c>
      <c r="E214">
        <f t="shared" si="26"/>
        <v>826</v>
      </c>
      <c r="F214">
        <f t="shared" si="27"/>
        <v>0</v>
      </c>
      <c r="G214">
        <f t="shared" si="28"/>
        <v>0</v>
      </c>
      <c r="H214">
        <f t="shared" si="29"/>
        <v>4.74</v>
      </c>
      <c r="I214">
        <f t="shared" si="35"/>
        <v>4741.24</v>
      </c>
      <c r="J214">
        <f>11*$O$192</f>
        <v>2.2000000000000002</v>
      </c>
      <c r="K214">
        <f t="shared" si="30"/>
        <v>0.05</v>
      </c>
      <c r="L214">
        <f t="shared" si="31"/>
        <v>0.5</v>
      </c>
      <c r="N214">
        <f t="shared" si="32"/>
        <v>0</v>
      </c>
      <c r="O214">
        <f t="shared" si="33"/>
        <v>0</v>
      </c>
      <c r="P214">
        <f t="shared" si="34"/>
        <v>0</v>
      </c>
      <c r="AE214" s="78" t="s">
        <v>146</v>
      </c>
      <c r="AF214" s="80">
        <v>220</v>
      </c>
      <c r="AG214" s="80">
        <v>220</v>
      </c>
      <c r="AH214" s="80">
        <v>220</v>
      </c>
      <c r="AI214" s="80">
        <v>220</v>
      </c>
      <c r="AJ214" s="80">
        <v>220</v>
      </c>
      <c r="AK214" s="80">
        <v>220</v>
      </c>
      <c r="AL214" s="80">
        <v>220</v>
      </c>
      <c r="AM214" s="80">
        <v>220</v>
      </c>
      <c r="AN214" s="80">
        <v>220</v>
      </c>
      <c r="AO214" s="80">
        <v>220</v>
      </c>
      <c r="AP214" s="80">
        <v>220</v>
      </c>
      <c r="AQ214" s="80">
        <v>220</v>
      </c>
    </row>
    <row r="215" spans="1:43" ht="14.4" thickBot="1" x14ac:dyDescent="0.3">
      <c r="C215" t="s">
        <v>1027</v>
      </c>
      <c r="D215" t="s">
        <v>805</v>
      </c>
      <c r="E215">
        <f t="shared" si="26"/>
        <v>826</v>
      </c>
      <c r="F215">
        <f t="shared" si="27"/>
        <v>0</v>
      </c>
      <c r="G215">
        <f t="shared" si="28"/>
        <v>0</v>
      </c>
      <c r="H215">
        <f t="shared" si="29"/>
        <v>4.74</v>
      </c>
      <c r="I215">
        <f t="shared" si="35"/>
        <v>4741.24</v>
      </c>
      <c r="J215">
        <f>64*O192</f>
        <v>12.8</v>
      </c>
      <c r="K215">
        <f t="shared" si="30"/>
        <v>0.05</v>
      </c>
      <c r="L215">
        <f t="shared" si="31"/>
        <v>0.5</v>
      </c>
      <c r="N215">
        <f t="shared" si="32"/>
        <v>0</v>
      </c>
      <c r="O215">
        <f t="shared" si="33"/>
        <v>0</v>
      </c>
      <c r="P215">
        <f t="shared" si="34"/>
        <v>0</v>
      </c>
      <c r="AE215" s="78" t="s">
        <v>135</v>
      </c>
      <c r="AF215" s="80">
        <v>7</v>
      </c>
      <c r="AG215" s="80">
        <v>7</v>
      </c>
      <c r="AH215" s="80">
        <v>7</v>
      </c>
      <c r="AI215" s="80">
        <v>7</v>
      </c>
      <c r="AJ215" s="80">
        <v>7</v>
      </c>
      <c r="AK215" s="80">
        <v>7</v>
      </c>
      <c r="AL215" s="80">
        <v>7</v>
      </c>
      <c r="AM215" s="80">
        <v>7</v>
      </c>
      <c r="AN215" s="80">
        <v>7</v>
      </c>
      <c r="AO215" s="80">
        <v>7</v>
      </c>
      <c r="AP215" s="80">
        <v>7</v>
      </c>
      <c r="AQ215" s="80">
        <v>7</v>
      </c>
    </row>
    <row r="216" spans="1:43" ht="14.4" thickBot="1" x14ac:dyDescent="0.3">
      <c r="C216" t="s">
        <v>1030</v>
      </c>
      <c r="D216" t="s">
        <v>805</v>
      </c>
      <c r="E216">
        <f t="shared" si="26"/>
        <v>826</v>
      </c>
      <c r="F216">
        <f t="shared" si="27"/>
        <v>0</v>
      </c>
      <c r="G216">
        <f t="shared" si="28"/>
        <v>0</v>
      </c>
      <c r="H216">
        <f t="shared" si="29"/>
        <v>4.74</v>
      </c>
      <c r="I216">
        <f t="shared" si="35"/>
        <v>4741.24</v>
      </c>
      <c r="J216">
        <f>O193</f>
        <v>3</v>
      </c>
      <c r="K216">
        <f t="shared" si="30"/>
        <v>0.05</v>
      </c>
      <c r="L216">
        <f t="shared" si="31"/>
        <v>0.5</v>
      </c>
      <c r="N216">
        <f t="shared" si="32"/>
        <v>0</v>
      </c>
      <c r="O216">
        <f t="shared" si="33"/>
        <v>0</v>
      </c>
      <c r="P216">
        <f t="shared" si="34"/>
        <v>0</v>
      </c>
      <c r="AE216" s="78" t="s">
        <v>945</v>
      </c>
      <c r="AF216" s="81">
        <v>8.8999999999999996E-2</v>
      </c>
      <c r="AG216" s="81">
        <v>9.8000000000000004E-2</v>
      </c>
      <c r="AH216" s="81">
        <v>0.107</v>
      </c>
      <c r="AI216" s="81">
        <v>0.11600000000000001</v>
      </c>
      <c r="AJ216" s="81">
        <v>0.125</v>
      </c>
      <c r="AK216" s="81">
        <v>0.13400000000000001</v>
      </c>
      <c r="AL216" s="81">
        <v>0.14299999999999999</v>
      </c>
      <c r="AM216" s="81">
        <v>0.151</v>
      </c>
      <c r="AN216" s="79">
        <v>0.16</v>
      </c>
      <c r="AO216" s="81">
        <v>0.17199999999999999</v>
      </c>
      <c r="AP216" s="81">
        <v>0.185</v>
      </c>
      <c r="AQ216" s="79">
        <v>0.2</v>
      </c>
    </row>
    <row r="217" spans="1:43" ht="14.4" thickBot="1" x14ac:dyDescent="0.3">
      <c r="C217" t="s">
        <v>1031</v>
      </c>
      <c r="D217" t="s">
        <v>805</v>
      </c>
      <c r="E217">
        <f t="shared" ref="E217:E218" si="36">E216</f>
        <v>826</v>
      </c>
      <c r="F217">
        <f t="shared" ref="F217:F218" si="37">F216</f>
        <v>0</v>
      </c>
      <c r="G217">
        <f t="shared" ref="G217:G218" si="38">G216</f>
        <v>0</v>
      </c>
      <c r="H217">
        <f t="shared" ref="H217:H218" si="39">H216</f>
        <v>4.74</v>
      </c>
      <c r="I217">
        <f t="shared" ref="I217:I218" si="40">(E217*(1+F217)+G217)*(H217+1)</f>
        <v>4741.24</v>
      </c>
      <c r="J217">
        <f>O194</f>
        <v>6</v>
      </c>
      <c r="K217">
        <f t="shared" ref="K217:K218" si="41">K216</f>
        <v>0.05</v>
      </c>
      <c r="L217">
        <f t="shared" ref="L217:L218" si="42">L216</f>
        <v>0.5</v>
      </c>
      <c r="N217">
        <f t="shared" si="32"/>
        <v>0</v>
      </c>
      <c r="O217">
        <f t="shared" si="33"/>
        <v>0</v>
      </c>
      <c r="AE217" s="78" t="s">
        <v>946</v>
      </c>
      <c r="AF217" s="79">
        <v>1.33</v>
      </c>
      <c r="AG217" s="79">
        <v>1.47</v>
      </c>
      <c r="AH217" s="79">
        <v>1.6</v>
      </c>
      <c r="AI217" s="79">
        <v>1.73</v>
      </c>
      <c r="AJ217" s="79">
        <v>1.86</v>
      </c>
      <c r="AK217" s="79">
        <v>2</v>
      </c>
      <c r="AL217" s="79">
        <v>2.13</v>
      </c>
      <c r="AM217" s="79">
        <v>2.2599999999999998</v>
      </c>
      <c r="AN217" s="79">
        <v>2.4</v>
      </c>
      <c r="AO217" s="79">
        <v>2.56</v>
      </c>
      <c r="AP217" s="79">
        <v>2.76</v>
      </c>
      <c r="AQ217" s="79">
        <v>3</v>
      </c>
    </row>
    <row r="218" spans="1:43" ht="14.4" thickBot="1" x14ac:dyDescent="0.3">
      <c r="A218" s="17"/>
      <c r="C218" t="s">
        <v>1015</v>
      </c>
      <c r="D218" t="s">
        <v>805</v>
      </c>
      <c r="E218">
        <f t="shared" si="36"/>
        <v>826</v>
      </c>
      <c r="F218">
        <f t="shared" si="37"/>
        <v>0</v>
      </c>
      <c r="G218">
        <f t="shared" si="38"/>
        <v>0</v>
      </c>
      <c r="H218">
        <f t="shared" si="39"/>
        <v>4.74</v>
      </c>
      <c r="I218">
        <f t="shared" si="40"/>
        <v>4741.24</v>
      </c>
      <c r="J218">
        <f>L194</f>
        <v>1.26</v>
      </c>
      <c r="K218">
        <f t="shared" si="41"/>
        <v>0.05</v>
      </c>
      <c r="L218">
        <f t="shared" si="42"/>
        <v>0.5</v>
      </c>
      <c r="N218">
        <f>N217+0.5</f>
        <v>0.5</v>
      </c>
      <c r="O218">
        <f t="shared" si="33"/>
        <v>0</v>
      </c>
      <c r="AE218" s="78" t="s">
        <v>947</v>
      </c>
      <c r="AF218" s="79">
        <v>2.67</v>
      </c>
      <c r="AG218" s="79">
        <v>2.94</v>
      </c>
      <c r="AH218" s="79">
        <v>3.2</v>
      </c>
      <c r="AI218" s="79">
        <v>3.47</v>
      </c>
      <c r="AJ218" s="79">
        <v>3.74</v>
      </c>
      <c r="AK218" s="79">
        <v>4</v>
      </c>
      <c r="AL218" s="79">
        <v>4.2699999999999996</v>
      </c>
      <c r="AM218" s="79">
        <v>4.54</v>
      </c>
      <c r="AN218" s="79">
        <v>4.8</v>
      </c>
      <c r="AO218" s="79">
        <v>5.14</v>
      </c>
      <c r="AP218" s="79">
        <v>5.54</v>
      </c>
      <c r="AQ218" s="79">
        <v>6</v>
      </c>
    </row>
    <row r="219" spans="1:43" ht="14.4" thickBot="1" x14ac:dyDescent="0.3">
      <c r="B219" t="s">
        <v>892</v>
      </c>
      <c r="AE219" s="78" t="s">
        <v>948</v>
      </c>
      <c r="AF219" s="80">
        <v>20</v>
      </c>
      <c r="AG219" s="80">
        <v>20</v>
      </c>
      <c r="AH219" s="80">
        <v>20</v>
      </c>
      <c r="AI219" s="80">
        <v>20</v>
      </c>
      <c r="AJ219" s="80">
        <v>20</v>
      </c>
      <c r="AK219" s="80">
        <v>20</v>
      </c>
      <c r="AL219" s="80">
        <v>20</v>
      </c>
      <c r="AM219" s="80">
        <v>20</v>
      </c>
      <c r="AN219" s="80">
        <v>20</v>
      </c>
      <c r="AO219" s="80">
        <v>20</v>
      </c>
      <c r="AP219" s="80">
        <v>20</v>
      </c>
      <c r="AQ219" s="80">
        <v>20</v>
      </c>
    </row>
    <row r="220" spans="1:43" ht="14.4" thickBot="1" x14ac:dyDescent="0.3">
      <c r="B220" s="17"/>
      <c r="C220" s="17" t="s">
        <v>805</v>
      </c>
      <c r="D220" s="17" t="s">
        <v>1014</v>
      </c>
      <c r="E220" s="17"/>
      <c r="F220" s="17"/>
      <c r="G220" s="17"/>
      <c r="H220" s="17"/>
      <c r="I220" s="17"/>
      <c r="J220" s="17"/>
      <c r="K220" s="17">
        <f>O197*10</f>
        <v>0.3</v>
      </c>
      <c r="L220" s="17">
        <f>O198</f>
        <v>0.6</v>
      </c>
      <c r="M220" s="17"/>
      <c r="N220" s="17"/>
      <c r="O220" s="17"/>
      <c r="P220" s="17"/>
      <c r="Q220" s="17"/>
      <c r="R220" s="17"/>
      <c r="S220" s="17"/>
      <c r="T220" s="17"/>
      <c r="U220" s="17"/>
      <c r="V220" s="17"/>
      <c r="W220" s="17"/>
      <c r="X220" s="17"/>
      <c r="Y220" s="17"/>
      <c r="Z220" s="17"/>
      <c r="AE220" s="78" t="s">
        <v>949</v>
      </c>
      <c r="AF220" s="80">
        <v>10</v>
      </c>
      <c r="AG220" s="80">
        <v>10</v>
      </c>
      <c r="AH220" s="80">
        <v>10</v>
      </c>
      <c r="AI220" s="80">
        <v>10</v>
      </c>
      <c r="AJ220" s="80">
        <v>10</v>
      </c>
      <c r="AK220" s="80">
        <v>10</v>
      </c>
      <c r="AL220" s="80">
        <v>10</v>
      </c>
      <c r="AM220" s="80">
        <v>10</v>
      </c>
      <c r="AN220" s="80">
        <v>10</v>
      </c>
      <c r="AO220" s="80">
        <v>10</v>
      </c>
      <c r="AP220" s="80">
        <v>10</v>
      </c>
      <c r="AQ220" s="80">
        <v>10</v>
      </c>
    </row>
    <row r="221" spans="1:43" ht="14.4" thickBot="1" x14ac:dyDescent="0.3">
      <c r="C221" t="s">
        <v>805</v>
      </c>
      <c r="D221" t="s">
        <v>1017</v>
      </c>
      <c r="L221">
        <f>0.2+IF(I179&gt;=3,0.1,0)</f>
        <v>0.2</v>
      </c>
      <c r="AE221" s="78" t="s">
        <v>950</v>
      </c>
      <c r="AF221" s="79">
        <v>0.03</v>
      </c>
      <c r="AG221" s="79">
        <v>0.03</v>
      </c>
      <c r="AH221" s="79">
        <v>0.03</v>
      </c>
      <c r="AI221" s="79">
        <v>0.03</v>
      </c>
      <c r="AJ221" s="79">
        <v>0.03</v>
      </c>
      <c r="AK221" s="79">
        <v>0.03</v>
      </c>
      <c r="AL221" s="79">
        <v>0.03</v>
      </c>
      <c r="AM221" s="79">
        <v>0.03</v>
      </c>
      <c r="AN221" s="79">
        <v>0.03</v>
      </c>
      <c r="AO221" s="79">
        <v>0.03</v>
      </c>
      <c r="AP221" s="79">
        <v>0.03</v>
      </c>
      <c r="AQ221" s="79">
        <v>0.03</v>
      </c>
    </row>
    <row r="222" spans="1:43" x14ac:dyDescent="0.25">
      <c r="C222" t="s">
        <v>805</v>
      </c>
      <c r="D222" t="s">
        <v>1019</v>
      </c>
      <c r="L222">
        <f>L221*2</f>
        <v>0.4</v>
      </c>
      <c r="AE222" s="78" t="s">
        <v>951</v>
      </c>
      <c r="AF222" s="79">
        <v>0.6</v>
      </c>
      <c r="AG222" s="79">
        <v>0.6</v>
      </c>
      <c r="AH222" s="79">
        <v>0.6</v>
      </c>
      <c r="AI222" s="79">
        <v>0.6</v>
      </c>
      <c r="AJ222" s="79">
        <v>0.6</v>
      </c>
      <c r="AK222" s="79">
        <v>0.6</v>
      </c>
      <c r="AL222" s="79">
        <v>0.6</v>
      </c>
      <c r="AM222" s="79">
        <v>0.6</v>
      </c>
      <c r="AN222" s="79">
        <v>0.6</v>
      </c>
      <c r="AO222" s="79">
        <v>0.6</v>
      </c>
      <c r="AP222" s="79">
        <v>0.6</v>
      </c>
      <c r="AQ222" s="79">
        <v>0.6</v>
      </c>
    </row>
    <row r="223" spans="1:43" x14ac:dyDescent="0.25">
      <c r="C223" t="s">
        <v>805</v>
      </c>
      <c r="D223" t="s">
        <v>1020</v>
      </c>
      <c r="F223">
        <f>IF($I$179&gt;=5,0.1,0)</f>
        <v>0</v>
      </c>
      <c r="L223">
        <f>IF($I$179&gt;=5,0.3,0)</f>
        <v>0</v>
      </c>
      <c r="AE223" s="90"/>
    </row>
    <row r="224" spans="1:43" x14ac:dyDescent="0.25">
      <c r="C224" t="s">
        <v>805</v>
      </c>
      <c r="D224" t="s">
        <v>1026</v>
      </c>
      <c r="F224">
        <v>0.25</v>
      </c>
      <c r="K224">
        <f>0.05</f>
        <v>0.05</v>
      </c>
    </row>
    <row r="225" spans="2:43" x14ac:dyDescent="0.25">
      <c r="C225" t="s">
        <v>805</v>
      </c>
      <c r="D225" s="12" t="s">
        <v>1021</v>
      </c>
      <c r="N225">
        <f>0.224</f>
        <v>0.224</v>
      </c>
      <c r="AD225" s="77"/>
    </row>
    <row r="226" spans="2:43" x14ac:dyDescent="0.25">
      <c r="C226" t="s">
        <v>805</v>
      </c>
      <c r="D226" s="12" t="s">
        <v>1022</v>
      </c>
      <c r="N226">
        <f>$N$225*2</f>
        <v>0.44800000000000001</v>
      </c>
    </row>
    <row r="227" spans="2:43" x14ac:dyDescent="0.25">
      <c r="C227" t="s">
        <v>805</v>
      </c>
      <c r="D227" s="12" t="s">
        <v>1024</v>
      </c>
      <c r="N227">
        <f>$N$225*3</f>
        <v>0.67200000000000004</v>
      </c>
      <c r="P227" s="68"/>
    </row>
    <row r="228" spans="2:43" x14ac:dyDescent="0.25">
      <c r="C228" t="s">
        <v>805</v>
      </c>
      <c r="D228" s="22"/>
    </row>
    <row r="234" spans="2:43" s="40" customFormat="1" ht="14.4" thickBot="1" x14ac:dyDescent="0.3">
      <c r="B234" s="21" t="s">
        <v>84</v>
      </c>
      <c r="AD234" s="59"/>
    </row>
    <row r="235" spans="2:43" ht="14.4" thickBot="1" x14ac:dyDescent="0.3">
      <c r="B235" s="25" t="s">
        <v>961</v>
      </c>
      <c r="C235" s="26" t="s">
        <v>75</v>
      </c>
      <c r="D235" s="26" t="s">
        <v>85</v>
      </c>
      <c r="E235" s="26" t="s">
        <v>86</v>
      </c>
      <c r="F235" s="26" t="s">
        <v>87</v>
      </c>
      <c r="G235" s="26" t="s">
        <v>88</v>
      </c>
      <c r="H235" s="26" t="s">
        <v>89</v>
      </c>
      <c r="I235" s="26" t="s">
        <v>192</v>
      </c>
      <c r="J235" s="83"/>
      <c r="Q235" s="25"/>
      <c r="R235" s="26" t="s">
        <v>977</v>
      </c>
      <c r="S235" s="27" t="s">
        <v>963</v>
      </c>
      <c r="AE235" t="s">
        <v>153</v>
      </c>
    </row>
    <row r="236" spans="2:43" ht="14.4" thickBot="1" x14ac:dyDescent="0.3">
      <c r="B236" s="28" t="s">
        <v>91</v>
      </c>
      <c r="C236" s="21" t="s">
        <v>110</v>
      </c>
      <c r="D236" s="21" t="s">
        <v>100</v>
      </c>
      <c r="E236" s="21" t="s">
        <v>444</v>
      </c>
      <c r="F236" s="21" t="s">
        <v>1072</v>
      </c>
      <c r="G236" s="21" t="s">
        <v>1072</v>
      </c>
      <c r="H236" t="str">
        <f>IF(COUNTIF(E236:G236,LEFT(D236,2)&amp;"*")&gt;=2,LEFT(D236,2),
IF(COUNTIF(F236:G236,LEFT(E236,2)&amp;"*")=2,LEFT(E236,2),
""))</f>
        <v>潮涌</v>
      </c>
      <c r="I236" s="21">
        <v>5</v>
      </c>
      <c r="J236" s="29"/>
      <c r="Q236" s="28"/>
      <c r="R236" t="s">
        <v>999</v>
      </c>
      <c r="S236" s="29"/>
      <c r="AE236" s="78" t="s">
        <v>127</v>
      </c>
      <c r="AF236" s="79">
        <v>0.3</v>
      </c>
      <c r="AG236" s="79">
        <v>0.33</v>
      </c>
      <c r="AH236" s="79">
        <v>0.36</v>
      </c>
      <c r="AI236" s="79">
        <v>0.39</v>
      </c>
      <c r="AJ236" s="79">
        <v>0.42</v>
      </c>
      <c r="AK236" s="79">
        <v>0.45</v>
      </c>
      <c r="AL236" s="79">
        <v>0.48</v>
      </c>
      <c r="AM236" s="79">
        <v>0.51</v>
      </c>
      <c r="AN236" s="79">
        <v>0.54</v>
      </c>
      <c r="AO236" s="79">
        <v>0.57999999999999996</v>
      </c>
      <c r="AP236" s="79">
        <v>0.62</v>
      </c>
      <c r="AQ236" s="79">
        <v>0.68</v>
      </c>
    </row>
    <row r="237" spans="2:43" ht="14.4" thickBot="1" x14ac:dyDescent="0.3">
      <c r="B237" s="28" t="s">
        <v>183</v>
      </c>
      <c r="D237" s="21">
        <v>3</v>
      </c>
      <c r="E237" s="21">
        <v>3</v>
      </c>
      <c r="F237" s="21">
        <v>3</v>
      </c>
      <c r="G237" s="21">
        <v>3</v>
      </c>
      <c r="J237" s="29"/>
      <c r="Q237" s="28"/>
      <c r="R237" t="s">
        <v>1032</v>
      </c>
      <c r="S237" s="29"/>
      <c r="AE237" s="78" t="s">
        <v>128</v>
      </c>
      <c r="AF237" s="79">
        <v>0.55000000000000004</v>
      </c>
      <c r="AG237" s="79">
        <v>0.61</v>
      </c>
      <c r="AH237" s="79">
        <v>0.66</v>
      </c>
      <c r="AI237" s="79">
        <v>0.72</v>
      </c>
      <c r="AJ237" s="79">
        <v>0.77</v>
      </c>
      <c r="AK237" s="79">
        <v>0.83</v>
      </c>
      <c r="AL237" s="79">
        <v>0.88</v>
      </c>
      <c r="AM237" s="79">
        <v>0.94</v>
      </c>
      <c r="AN237" s="79">
        <v>0.99</v>
      </c>
      <c r="AO237" s="79">
        <v>1.06</v>
      </c>
      <c r="AP237" s="79">
        <v>1.1399999999999999</v>
      </c>
      <c r="AQ237" s="79">
        <v>1.24</v>
      </c>
    </row>
    <row r="238" spans="2:43" ht="14.4" thickBot="1" x14ac:dyDescent="0.3">
      <c r="B238" s="84" t="s">
        <v>97</v>
      </c>
      <c r="C238" t="str">
        <f>_xlfn.XLOOKUP(C236,武器库!$B:$B,武器库!$C:$C,"")</f>
        <v>力量156</v>
      </c>
      <c r="D238" t="str">
        <f>VLOOKUP(D236,护甲库!$A:$M,2+D237*3,FALSE)</f>
        <v>力量113</v>
      </c>
      <c r="E238" t="str">
        <f>VLOOKUP(E236,护手库!$A:$M,2+E237*3,FALSE)</f>
        <v>力量84</v>
      </c>
      <c r="F238" t="str">
        <f>VLOOKUP(F236,配件库!$A:$M,2+F237*3,FALSE)</f>
        <v>力量41</v>
      </c>
      <c r="G238" t="str">
        <f>VLOOKUP(G236,配件库!$A:$M,2+G237*3,FALSE)</f>
        <v>力量41</v>
      </c>
      <c r="H238" s="11"/>
      <c r="J238" s="29"/>
      <c r="Q238" s="28" t="s">
        <v>961</v>
      </c>
      <c r="S238" s="29" t="s">
        <v>964</v>
      </c>
      <c r="AE238" s="78" t="s">
        <v>129</v>
      </c>
      <c r="AF238" s="79">
        <v>0.68</v>
      </c>
      <c r="AG238" s="79">
        <v>0.75</v>
      </c>
      <c r="AH238" s="79">
        <v>0.82</v>
      </c>
      <c r="AI238" s="79">
        <v>0.88</v>
      </c>
      <c r="AJ238" s="79">
        <v>0.95</v>
      </c>
      <c r="AK238" s="79">
        <v>1.02</v>
      </c>
      <c r="AL238" s="79">
        <v>1.0900000000000001</v>
      </c>
      <c r="AM238" s="79">
        <v>1.1599999999999999</v>
      </c>
      <c r="AN238" s="79">
        <v>1.22</v>
      </c>
      <c r="AO238" s="79">
        <v>1.31</v>
      </c>
      <c r="AP238" s="79">
        <v>1.41</v>
      </c>
      <c r="AQ238" s="79">
        <v>1.53</v>
      </c>
    </row>
    <row r="239" spans="2:43" ht="14.4" thickBot="1" x14ac:dyDescent="0.3">
      <c r="B239" s="28" t="s">
        <v>98</v>
      </c>
      <c r="C239" s="43" t="str">
        <f>_xlfn.XLOOKUP(C236,武器库!$B:$B,武器库!$D:$D,"")</f>
        <v>攻击力39</v>
      </c>
      <c r="D239" t="str">
        <f>VLOOKUP(D236,护甲库!$A:$M,3+D237*3,FALSE)</f>
        <v>智识75</v>
      </c>
      <c r="E239" t="str">
        <f>VLOOKUP(E236,护手库!$A:$M,3+E237*3,FALSE)</f>
        <v>意志55</v>
      </c>
      <c r="F239" t="str">
        <f>VLOOKUP(F236,配件库!$A:$M,3+F237*3,FALSE)</f>
        <v>意志27</v>
      </c>
      <c r="G239" t="str">
        <f>VLOOKUP(G236,配件库!$A:$M,3+G237*3,FALSE)</f>
        <v>意志27</v>
      </c>
      <c r="H239" s="9"/>
      <c r="J239" s="29"/>
      <c r="Q239" s="28"/>
      <c r="R239" t="s">
        <v>965</v>
      </c>
      <c r="S239" s="29"/>
      <c r="AE239" s="78" t="s">
        <v>130</v>
      </c>
      <c r="AF239" s="79">
        <v>0.9</v>
      </c>
      <c r="AG239" s="79">
        <v>0.99</v>
      </c>
      <c r="AH239" s="79">
        <v>1.08</v>
      </c>
      <c r="AI239" s="79">
        <v>1.17</v>
      </c>
      <c r="AJ239" s="79">
        <v>1.26</v>
      </c>
      <c r="AK239" s="79">
        <v>1.35</v>
      </c>
      <c r="AL239" s="79">
        <v>1.44</v>
      </c>
      <c r="AM239" s="79">
        <v>1.53</v>
      </c>
      <c r="AN239" s="79">
        <v>1.62</v>
      </c>
      <c r="AO239" s="79">
        <v>1.73</v>
      </c>
      <c r="AP239" s="79">
        <v>1.87</v>
      </c>
      <c r="AQ239" s="79">
        <v>2.0299999999999998</v>
      </c>
    </row>
    <row r="240" spans="2:43" ht="14.4" thickBot="1" x14ac:dyDescent="0.3">
      <c r="B240" s="28" t="s">
        <v>99</v>
      </c>
      <c r="C240" s="43" t="str">
        <f>_xlfn.XLOOKUP(C236,武器库!$B:$B,武器库!$E:$E,"")</f>
        <v>全技伤32.0</v>
      </c>
      <c r="D240" s="43" t="str">
        <f>VLOOKUP(D236,护甲库!$A:$M,4+D237*3,FALSE)</f>
        <v>终结技33.6</v>
      </c>
      <c r="E240" s="43" t="str">
        <f>VLOOKUP(E236,护手库!$A:$M,4+E237*3,FALSE)</f>
        <v>冰电伤24.9</v>
      </c>
      <c r="F240" s="43" t="str">
        <f>VLOOKUP(F236,配件库!$A:$M,4+F237*3,FALSE)</f>
        <v>冰电伤29.9</v>
      </c>
      <c r="G240" s="43" t="str">
        <f>VLOOKUP(G236,配件库!$A:$M,4+G237*3,FALSE)</f>
        <v>冰电伤29.9</v>
      </c>
      <c r="H240" s="9"/>
      <c r="J240" s="29"/>
      <c r="Q240" s="28" t="s">
        <v>962</v>
      </c>
      <c r="R240" t="s">
        <v>967</v>
      </c>
      <c r="S240" s="29"/>
      <c r="AE240" s="78" t="s">
        <v>131</v>
      </c>
      <c r="AF240" s="79">
        <v>4</v>
      </c>
      <c r="AG240" s="79">
        <v>4.4000000000000004</v>
      </c>
      <c r="AH240" s="79">
        <v>4.8</v>
      </c>
      <c r="AI240" s="79">
        <v>5.2</v>
      </c>
      <c r="AJ240" s="79">
        <v>5.6</v>
      </c>
      <c r="AK240" s="79">
        <v>6</v>
      </c>
      <c r="AL240" s="79">
        <v>6.4</v>
      </c>
      <c r="AM240" s="79">
        <v>6.8</v>
      </c>
      <c r="AN240" s="79">
        <v>7.2</v>
      </c>
      <c r="AO240" s="79">
        <v>7.7</v>
      </c>
      <c r="AP240" s="79">
        <v>8.3000000000000007</v>
      </c>
      <c r="AQ240" s="79">
        <v>9</v>
      </c>
    </row>
    <row r="241" spans="2:43" x14ac:dyDescent="0.25">
      <c r="B241" s="28" t="s">
        <v>90</v>
      </c>
      <c r="C241" t="str">
        <f>_xlfn.XLOOKUP(C236,武器库!$B:$B,武器库!$F:$F,"")</f>
        <v>装备者通过战技施加寒冷附着时，获得寒冷伤害+16.0%，持续15秒。装备者对寒冷附着的敌人造成连携技伤害时，获得寒冷伤害+32.0%，持续15秒。</v>
      </c>
      <c r="D241" s="22"/>
      <c r="F241" s="22"/>
      <c r="G241" s="9"/>
      <c r="H241" s="9"/>
      <c r="J241" s="29"/>
      <c r="Q241" s="28"/>
      <c r="S241" s="29"/>
      <c r="AE241" s="78" t="s">
        <v>132</v>
      </c>
      <c r="AF241" s="79">
        <v>0.8</v>
      </c>
      <c r="AG241" s="79">
        <v>0.88</v>
      </c>
      <c r="AH241" s="79">
        <v>0.96</v>
      </c>
      <c r="AI241" s="79">
        <v>1.04</v>
      </c>
      <c r="AJ241" s="79">
        <v>1.1200000000000001</v>
      </c>
      <c r="AK241" s="79">
        <v>1.2</v>
      </c>
      <c r="AL241" s="79">
        <v>1.28</v>
      </c>
      <c r="AM241" s="79">
        <v>1.36</v>
      </c>
      <c r="AN241" s="79">
        <v>1.44</v>
      </c>
      <c r="AO241" s="79">
        <v>1.54</v>
      </c>
      <c r="AP241" s="79">
        <v>1.66</v>
      </c>
      <c r="AQ241" s="79">
        <v>1.8</v>
      </c>
    </row>
    <row r="242" spans="2:43" ht="14.4" thickBot="1" x14ac:dyDescent="0.3">
      <c r="B242" s="30" t="s">
        <v>89</v>
      </c>
      <c r="C242" s="18" t="str">
        <f>VLOOKUP(H236,套装效果库!A:B,2,0)</f>
        <v>全技伤20。装备者使敌人达到2层及以上法术附着后，造成的法术伤害+35%，持续15秒，该效果无法叠加。</v>
      </c>
      <c r="D242" s="19"/>
      <c r="E242" s="18"/>
      <c r="F242" s="19"/>
      <c r="G242" s="20"/>
      <c r="H242" s="20"/>
      <c r="I242" s="18"/>
      <c r="J242" s="31"/>
      <c r="Q242" s="28" t="s">
        <v>968</v>
      </c>
      <c r="S242" s="29" t="s">
        <v>966</v>
      </c>
      <c r="AE242" s="14"/>
      <c r="AF242" s="16"/>
      <c r="AG242" s="16"/>
      <c r="AH242" s="16"/>
      <c r="AI242" s="16"/>
      <c r="AJ242" s="16"/>
      <c r="AK242" s="16"/>
      <c r="AL242" s="16"/>
      <c r="AM242" s="16"/>
      <c r="AN242" s="16"/>
      <c r="AO242" s="16"/>
      <c r="AP242" s="16"/>
      <c r="AQ242" s="16"/>
    </row>
    <row r="243" spans="2:43" x14ac:dyDescent="0.25">
      <c r="Q243" s="28"/>
      <c r="R243" t="s">
        <v>970</v>
      </c>
      <c r="S243" s="29"/>
    </row>
    <row r="244" spans="2:43" x14ac:dyDescent="0.25">
      <c r="Q244" s="28" t="s">
        <v>969</v>
      </c>
      <c r="R244" t="s">
        <v>971</v>
      </c>
      <c r="S244" s="29"/>
      <c r="AE244" s="14" t="s">
        <v>76</v>
      </c>
      <c r="AF244" s="82" t="s">
        <v>1076</v>
      </c>
    </row>
    <row r="245" spans="2:43" ht="14.4" thickBot="1" x14ac:dyDescent="0.3">
      <c r="B245" s="17" t="s">
        <v>962</v>
      </c>
      <c r="C245" s="17" t="s">
        <v>990</v>
      </c>
      <c r="D245" s="17" t="s">
        <v>1054</v>
      </c>
      <c r="E245" s="17"/>
      <c r="F245" s="17"/>
      <c r="G245" s="17"/>
      <c r="H245" s="17"/>
      <c r="I245" s="17"/>
      <c r="K245" s="88" t="s">
        <v>195</v>
      </c>
      <c r="L245" s="17" t="s">
        <v>701</v>
      </c>
      <c r="M245" s="17" t="s">
        <v>157</v>
      </c>
      <c r="N245" s="17" t="s">
        <v>702</v>
      </c>
      <c r="O245" s="89" t="s">
        <v>158</v>
      </c>
      <c r="Q245" s="28"/>
      <c r="R245" t="s">
        <v>972</v>
      </c>
      <c r="S245" s="29"/>
      <c r="AF245" s="82" t="s">
        <v>1077</v>
      </c>
    </row>
    <row r="246" spans="2:43" ht="14.4" thickBot="1" x14ac:dyDescent="0.3">
      <c r="C246" s="21" t="s">
        <v>106</v>
      </c>
      <c r="D246" s="21" t="s">
        <v>108</v>
      </c>
      <c r="E246" s="43" t="s">
        <v>196</v>
      </c>
      <c r="F246" s="43" t="s">
        <v>647</v>
      </c>
      <c r="G246" s="43" t="s">
        <v>649</v>
      </c>
      <c r="H246" s="43" t="s">
        <v>646</v>
      </c>
      <c r="I246" s="43"/>
      <c r="K246" t="s">
        <v>183</v>
      </c>
      <c r="L246" s="21">
        <v>9</v>
      </c>
      <c r="M246" s="21">
        <v>9</v>
      </c>
      <c r="N246" s="21" t="s">
        <v>645</v>
      </c>
      <c r="O246" s="37" t="s">
        <v>645</v>
      </c>
      <c r="Q246" s="28"/>
      <c r="R246" t="s">
        <v>973</v>
      </c>
      <c r="S246" s="29"/>
      <c r="AE246" s="78" t="s">
        <v>133</v>
      </c>
      <c r="AF246" s="79">
        <v>1.42</v>
      </c>
      <c r="AG246" s="79">
        <v>1.56</v>
      </c>
      <c r="AH246" s="79">
        <v>1.71</v>
      </c>
      <c r="AI246" s="79">
        <v>1.85</v>
      </c>
      <c r="AJ246" s="79">
        <v>1.99</v>
      </c>
      <c r="AK246" s="79">
        <v>2.13</v>
      </c>
      <c r="AL246" s="79">
        <v>2.2799999999999998</v>
      </c>
      <c r="AM246" s="79">
        <v>2.42</v>
      </c>
      <c r="AN246" s="79">
        <v>2.56</v>
      </c>
      <c r="AO246" s="79">
        <v>2.74</v>
      </c>
      <c r="AP246" s="79">
        <v>2.95</v>
      </c>
      <c r="AQ246" s="79">
        <v>3.2</v>
      </c>
    </row>
    <row r="247" spans="2:43" ht="14.4" thickBot="1" x14ac:dyDescent="0.3">
      <c r="B247" t="s">
        <v>164</v>
      </c>
      <c r="C247" s="21">
        <f>155+60+IF(I236&gt;=2,20,0)</f>
        <v>235</v>
      </c>
      <c r="D247" s="21">
        <f>109</f>
        <v>109</v>
      </c>
      <c r="E247" cm="1">
        <f t="array" ref="E247">SUM(IFERROR(
    VALUE(MID($C237:$G240,
             SEARCH(E246, $C237:$G240) + LEN(E246),
             10)) *
    ISNUMBER(SEARCH(E246,$C237:$G240)),
    0
))/100+IFERROR(
    MID($C242, SEARCH(E246, $C242) + LEN(E246), 2) / 100,
    0
)</f>
        <v>0.39</v>
      </c>
      <c r="F247" cm="1">
        <f t="array" ref="F247">SUM(IFERROR(
    VALUE(MID($C237:$G240,
             SEARCH(F246, $C237:$G240) + LEN(F246),
             10)) *
    ISNUMBER(SEARCH(F246,$C237:$G240)),
    0
))/100+IFERROR(
    MID($C242, SEARCH(F246, $C242) + LEN(F246), 2) / 100,
    0
)</f>
        <v>0.52</v>
      </c>
      <c r="G247" cm="1">
        <f t="array" ref="G247">SUM(IFERROR(
    VALUE(MID($C237:$G240,
             SEARCH(G246, $C237:$G240) + LEN(G246),
             10)) *
    ISNUMBER(SEARCH(G246,$C237:$G240)),
    0
))/100+IFERROR(
    MID($C242, SEARCH(G246, $C242) + LEN(G246), 2) / 100,
    0
)</f>
        <v>0.33600000000000002</v>
      </c>
      <c r="H247" cm="1">
        <f t="array" ref="H247">SUM(IFERROR(
    VALUE(MID($C237:$G240,
             SEARCH(H246, $C237:$G240) + LEN(H246),
             10)) *
    ISNUMBER(SEARCH(H246,$C237:$G240)),
    0
))/100+IFERROR(
    MID($C242, SEARCH(H246, $C242) + LEN(H246), 2) / 100,
    0
)</f>
        <v>0.84699999999999986</v>
      </c>
      <c r="I247" cm="1">
        <f t="array" ref="I247">SUM(IFERROR(
    VALUE(MID($C237:$G240,
             SEARCH(I246, $C237:$G240) + LEN(I246),
             10)) *
    ISNUMBER(SEARCH(I246,$C237:$G240)),
    0
))/100+IFERROR(
    MID($C242, SEARCH(I246, $C242) + LEN(I246), 2) / 100,
    0
)</f>
        <v>0.12</v>
      </c>
      <c r="L247" s="23" cm="1">
        <f t="array" ref="L247:L252">_xlfn.XLOOKUP(L246,$AE$6:$AQ$6,AE236:AQ241,0,0,1)</f>
        <v>0.54</v>
      </c>
      <c r="M247" s="23" cm="1">
        <f t="array" ref="M247:M250">_xlfn.XLOOKUP(M246,$AE$6:$AQ$6,AE246:AQ249,0,0,1)</f>
        <v>2.56</v>
      </c>
      <c r="N247" s="23" t="str" cm="1">
        <f t="array" ref="N247:N253">_xlfn.XLOOKUP(N246,$AE$6:$AQ$6,AE254:AQ260,0,0,1)</f>
        <v>8s</v>
      </c>
      <c r="O247" s="23" cm="1">
        <f t="array" ref="O247:O253">_xlfn.XLOOKUP(O246,$AE$6:$AQ$6,AE266:AQ272,0,0,1)</f>
        <v>240</v>
      </c>
      <c r="Q247" s="28"/>
      <c r="S247" s="29" t="s">
        <v>974</v>
      </c>
      <c r="AE247" s="78" t="s">
        <v>134</v>
      </c>
      <c r="AF247" s="80">
        <v>30</v>
      </c>
      <c r="AG247" s="80">
        <v>30</v>
      </c>
      <c r="AH247" s="80">
        <v>30</v>
      </c>
      <c r="AI247" s="80">
        <v>30</v>
      </c>
      <c r="AJ247" s="80">
        <v>30</v>
      </c>
      <c r="AK247" s="80">
        <v>30</v>
      </c>
      <c r="AL247" s="80">
        <v>30</v>
      </c>
      <c r="AM247" s="80">
        <v>30</v>
      </c>
      <c r="AN247" s="80">
        <v>30</v>
      </c>
      <c r="AO247" s="80">
        <v>30</v>
      </c>
      <c r="AP247" s="80">
        <v>30</v>
      </c>
      <c r="AQ247" s="80">
        <v>30</v>
      </c>
    </row>
    <row r="248" spans="2:43" ht="14.4" thickBot="1" x14ac:dyDescent="0.3">
      <c r="B248" s="22" t="s">
        <v>165</v>
      </c>
      <c r="C248" cm="1">
        <f t="array" ref="C248">SUM(IFERROR(
    VALUE(MID($C237:$G240,
             FIND(C246, $C237:$G240) + LEN(C246),
             10)) *
    ISNUMBER(FIND(C246, $C237:$G240)),
    0
))+SUM(IFERROR(
    VALUE(MID($C237:$G240,
             FIND(C245, $C237:$G240) + LEN(C245),
             10)) *
    ISNUMBER(FIND(C245, $C237:$G240)),
    0
))+IFERROR(
    MID($C242, SEARCH(C246, $C242) + LEN(C246), 2) / 100,
    0
)+IFERROR(
    MID($C242, SEARCH(C245, $C242) + LEN(C245), 2) / 100,
    0
)</f>
        <v>435</v>
      </c>
      <c r="D248" cm="1">
        <f t="array" ref="D248">SUM(IFERROR(
    VALUE(MID($C237:$G240,
             FIND(D246, $C237:$G240) + LEN(D246),
             10)) *
    ISNUMBER(FIND(D246, $C237:$G240)),
    0
))+SUM(IFERROR(
    VALUE(MID($C237:$G240,
             FIND(D245, $C237:$G240) + LEN(D245),
             10)) *
    ISNUMBER(FIND(D245, $C237:$G240)),
    0
))+IFERROR(
    MID($C242, SEARCH(D246, $C242) + LEN(D246), 2) / 100,
    0
)+IFERROR(
    MID($C242, SEARCH(D245, $C242) + LEN(D245), 2) / 100,
    0
)</f>
        <v>109</v>
      </c>
      <c r="L248">
        <v>0.99</v>
      </c>
      <c r="M248">
        <v>30</v>
      </c>
      <c r="N248">
        <v>1.6</v>
      </c>
      <c r="O248">
        <v>4</v>
      </c>
      <c r="Q248" s="28"/>
      <c r="S248" s="29" t="s">
        <v>975</v>
      </c>
      <c r="AE248" s="78" t="s">
        <v>135</v>
      </c>
      <c r="AF248" s="80">
        <v>15</v>
      </c>
      <c r="AG248" s="80">
        <v>15</v>
      </c>
      <c r="AH248" s="80">
        <v>15</v>
      </c>
      <c r="AI248" s="80">
        <v>15</v>
      </c>
      <c r="AJ248" s="80">
        <v>15</v>
      </c>
      <c r="AK248" s="80">
        <v>15</v>
      </c>
      <c r="AL248" s="80">
        <v>15</v>
      </c>
      <c r="AM248" s="80">
        <v>15</v>
      </c>
      <c r="AN248" s="80">
        <v>15</v>
      </c>
      <c r="AO248" s="80">
        <v>15</v>
      </c>
      <c r="AP248" s="80">
        <v>15</v>
      </c>
      <c r="AQ248" s="80">
        <v>15</v>
      </c>
    </row>
    <row r="249" spans="2:43" ht="14.4" thickBot="1" x14ac:dyDescent="0.3">
      <c r="B249" s="22" t="s">
        <v>166</v>
      </c>
      <c r="C249" s="12" cm="1">
        <f t="array" ref="C249">ROUNDUP(SUM(C247:C248)*(1+IF(LEN(TRIM(LEFT(C245,3)))=0, 0,
   SUMPRODUCT(
       IFERROR(
           VALUE(MID($C237:$G240,
                   SEARCH(LEFT(C245,3), $C237:$G240) + 3,
                   10)) *
           ISNUMBER(SEARCH(LEFT(C245,3), $C237:$G240)),
           0
       )
   )+IFERROR(
    MID($C242, SEARCH(C246, $C242) + LEN(C246), 2) / 100,
    0
)
)/100),0)</f>
        <v>670</v>
      </c>
      <c r="D249" s="12" cm="1">
        <f t="array" ref="D249">ROUNDUP(SUM(D247:D248)*(1+IF(LEN(TRIM(LEFT(D245,3)))=0, 0,
   SUMPRODUCT(
       IFERROR(
           VALUE(MID($C237:$G240,
                   SEARCH(LEFT(D245,3), $C237:$G240) + 3,
                   10)) *
           ISNUMBER(SEARCH(LEFT(D245,3), $C237:$G240)),
           0
       )
   )+IFERROR(
    MID($C242, SEARCH(D246, $C242) + LEN(D246), 2) / 100,
    0
)
)/100),0)</f>
        <v>218</v>
      </c>
      <c r="L249">
        <v>1.22</v>
      </c>
      <c r="M249">
        <v>15</v>
      </c>
      <c r="N249">
        <v>1.6</v>
      </c>
      <c r="O249">
        <v>5</v>
      </c>
      <c r="Q249" s="30"/>
      <c r="R249" s="18"/>
      <c r="S249" s="31" t="s">
        <v>976</v>
      </c>
      <c r="AE249" s="78" t="s">
        <v>136</v>
      </c>
      <c r="AF249" s="80">
        <v>16</v>
      </c>
      <c r="AG249" s="80">
        <v>16</v>
      </c>
      <c r="AH249" s="80">
        <v>16</v>
      </c>
      <c r="AI249" s="80">
        <v>16</v>
      </c>
      <c r="AJ249" s="80">
        <v>16</v>
      </c>
      <c r="AK249" s="80">
        <v>16</v>
      </c>
      <c r="AL249" s="80">
        <v>16</v>
      </c>
      <c r="AM249" s="80">
        <v>16</v>
      </c>
      <c r="AN249" s="80">
        <v>16</v>
      </c>
      <c r="AO249" s="80">
        <v>16</v>
      </c>
      <c r="AP249" s="80">
        <v>16</v>
      </c>
      <c r="AQ249" s="80">
        <v>16</v>
      </c>
    </row>
    <row r="250" spans="2:43" x14ac:dyDescent="0.25">
      <c r="B250" s="85" t="s">
        <v>93</v>
      </c>
      <c r="C250" s="86">
        <f>C249*0.005+D249*0.002</f>
        <v>3.786</v>
      </c>
      <c r="D250" s="87"/>
      <c r="E250" s="86"/>
      <c r="F250" s="86"/>
      <c r="G250" s="86"/>
      <c r="H250" s="86"/>
      <c r="I250" s="86"/>
      <c r="L250">
        <v>1.62</v>
      </c>
      <c r="M250">
        <v>16</v>
      </c>
      <c r="N250">
        <v>15</v>
      </c>
      <c r="O250">
        <v>4</v>
      </c>
      <c r="AD250" s="97"/>
      <c r="AE250" s="42"/>
      <c r="AF250" s="98"/>
      <c r="AG250" s="98"/>
      <c r="AH250" s="98"/>
      <c r="AI250" s="98"/>
      <c r="AJ250" s="98"/>
      <c r="AK250" s="98"/>
      <c r="AL250" s="98"/>
      <c r="AM250" s="98"/>
      <c r="AN250" s="98"/>
      <c r="AO250" s="98"/>
      <c r="AP250" s="98"/>
      <c r="AQ250" s="98"/>
    </row>
    <row r="251" spans="2:43" x14ac:dyDescent="0.25">
      <c r="L251">
        <v>7.2</v>
      </c>
      <c r="N251">
        <v>2.4</v>
      </c>
      <c r="O251">
        <v>5</v>
      </c>
      <c r="AD251" s="97"/>
      <c r="AE251" s="42"/>
      <c r="AF251" s="99"/>
      <c r="AG251" s="99"/>
      <c r="AH251" s="99"/>
      <c r="AI251" s="99"/>
      <c r="AJ251" s="99"/>
      <c r="AK251" s="99"/>
      <c r="AL251" s="99"/>
      <c r="AM251" s="99"/>
      <c r="AN251" s="99"/>
      <c r="AO251" s="99"/>
      <c r="AP251" s="99"/>
      <c r="AQ251" s="99"/>
    </row>
    <row r="252" spans="2:43" ht="13.8" customHeight="1" x14ac:dyDescent="0.25">
      <c r="L252">
        <v>1.44</v>
      </c>
      <c r="N252">
        <v>40</v>
      </c>
      <c r="O252">
        <v>8</v>
      </c>
      <c r="AD252" s="97"/>
      <c r="AE252" s="14" t="s">
        <v>77</v>
      </c>
      <c r="AF252" s="82" t="s">
        <v>1074</v>
      </c>
      <c r="AG252" s="99"/>
      <c r="AH252" s="99"/>
      <c r="AI252" s="99"/>
      <c r="AJ252" s="99"/>
      <c r="AK252" s="99"/>
      <c r="AL252" s="99"/>
      <c r="AM252" s="99"/>
      <c r="AN252" s="99"/>
      <c r="AO252" s="99"/>
      <c r="AP252" s="99"/>
      <c r="AQ252" s="99"/>
    </row>
    <row r="253" spans="2:43" ht="14.4" thickBot="1" x14ac:dyDescent="0.3">
      <c r="E253" s="12"/>
      <c r="G253" s="12"/>
      <c r="N253">
        <v>15</v>
      </c>
      <c r="O253">
        <v>10</v>
      </c>
      <c r="AD253" s="97"/>
      <c r="AE253" s="14"/>
      <c r="AF253" s="82" t="s">
        <v>1075</v>
      </c>
      <c r="AG253" s="16"/>
      <c r="AH253" s="16"/>
      <c r="AI253" s="16"/>
      <c r="AJ253" s="16"/>
      <c r="AK253" s="16"/>
      <c r="AL253" s="16"/>
      <c r="AM253" s="16"/>
      <c r="AN253" s="16"/>
      <c r="AO253" s="16"/>
      <c r="AP253" s="16"/>
      <c r="AQ253" s="16"/>
    </row>
    <row r="254" spans="2:43" ht="14.4" thickBot="1" x14ac:dyDescent="0.3">
      <c r="C254" s="22"/>
      <c r="AE254" s="78" t="s">
        <v>137</v>
      </c>
      <c r="AF254" s="80" t="s">
        <v>138</v>
      </c>
      <c r="AG254" s="80" t="s">
        <v>138</v>
      </c>
      <c r="AH254" s="80" t="s">
        <v>138</v>
      </c>
      <c r="AI254" s="80" t="s">
        <v>138</v>
      </c>
      <c r="AJ254" s="80" t="s">
        <v>138</v>
      </c>
      <c r="AK254" s="80" t="s">
        <v>138</v>
      </c>
      <c r="AL254" s="80" t="s">
        <v>138</v>
      </c>
      <c r="AM254" s="80" t="s">
        <v>138</v>
      </c>
      <c r="AN254" s="80" t="s">
        <v>138</v>
      </c>
      <c r="AO254" s="80" t="s">
        <v>138</v>
      </c>
      <c r="AP254" s="80" t="s">
        <v>138</v>
      </c>
      <c r="AQ254" s="80" t="s">
        <v>139</v>
      </c>
    </row>
    <row r="255" spans="2:43" ht="14.4" thickBot="1" x14ac:dyDescent="0.3">
      <c r="C255" s="22"/>
      <c r="AE255" s="78" t="s">
        <v>140</v>
      </c>
      <c r="AF255" s="79">
        <v>0.71</v>
      </c>
      <c r="AG255" s="79">
        <v>0.78</v>
      </c>
      <c r="AH255" s="79">
        <v>0.85</v>
      </c>
      <c r="AI255" s="79">
        <v>0.92</v>
      </c>
      <c r="AJ255" s="79">
        <v>0.99</v>
      </c>
      <c r="AK255" s="79">
        <v>1.07</v>
      </c>
      <c r="AL255" s="79">
        <v>1.1399999999999999</v>
      </c>
      <c r="AM255" s="79">
        <v>1.21</v>
      </c>
      <c r="AN255" s="79">
        <v>1.28</v>
      </c>
      <c r="AO255" s="79">
        <v>1.37</v>
      </c>
      <c r="AP255" s="79">
        <v>1.47</v>
      </c>
      <c r="AQ255" s="79">
        <v>1.6</v>
      </c>
    </row>
    <row r="256" spans="2:43" ht="14.4" thickBot="1" x14ac:dyDescent="0.3">
      <c r="C256" s="22"/>
      <c r="AE256" s="78" t="s">
        <v>141</v>
      </c>
      <c r="AF256" s="79">
        <v>0.71</v>
      </c>
      <c r="AG256" s="79">
        <v>0.78</v>
      </c>
      <c r="AH256" s="79">
        <v>0.85</v>
      </c>
      <c r="AI256" s="79">
        <v>0.92</v>
      </c>
      <c r="AJ256" s="79">
        <v>0.99</v>
      </c>
      <c r="AK256" s="79">
        <v>1.07</v>
      </c>
      <c r="AL256" s="79">
        <v>1.1399999999999999</v>
      </c>
      <c r="AM256" s="79">
        <v>1.21</v>
      </c>
      <c r="AN256" s="79">
        <v>1.28</v>
      </c>
      <c r="AO256" s="79">
        <v>1.37</v>
      </c>
      <c r="AP256" s="79">
        <v>1.47</v>
      </c>
      <c r="AQ256" s="79">
        <v>1.6</v>
      </c>
    </row>
    <row r="257" spans="1:43" ht="14.4" thickBot="1" x14ac:dyDescent="0.3">
      <c r="C257" s="28" t="s">
        <v>978</v>
      </c>
      <c r="E257" s="61" t="s">
        <v>755</v>
      </c>
      <c r="F257" s="61"/>
      <c r="G257" s="61"/>
      <c r="H257" s="61"/>
      <c r="I257" s="61"/>
      <c r="J257" s="127" t="s">
        <v>785</v>
      </c>
      <c r="K257" s="127"/>
      <c r="L257" s="127"/>
      <c r="M257" s="127"/>
      <c r="N257" s="63" t="s">
        <v>154</v>
      </c>
      <c r="O257" s="63"/>
      <c r="P257" s="63"/>
      <c r="Q257" s="63"/>
      <c r="R257" s="63"/>
      <c r="S257" s="63"/>
      <c r="T257" s="8" t="s">
        <v>161</v>
      </c>
      <c r="U257" s="8"/>
      <c r="V257" s="8"/>
      <c r="W257" s="8"/>
      <c r="X257" s="8"/>
      <c r="Y257" s="8"/>
      <c r="Z257" s="8"/>
      <c r="AE257" s="78" t="s">
        <v>142</v>
      </c>
      <c r="AF257" s="80">
        <v>15</v>
      </c>
      <c r="AG257" s="80">
        <v>15</v>
      </c>
      <c r="AH257" s="80">
        <v>15</v>
      </c>
      <c r="AI257" s="80">
        <v>15</v>
      </c>
      <c r="AJ257" s="80">
        <v>15</v>
      </c>
      <c r="AK257" s="80">
        <v>15</v>
      </c>
      <c r="AL257" s="80">
        <v>15</v>
      </c>
      <c r="AM257" s="80">
        <v>15</v>
      </c>
      <c r="AN257" s="80">
        <v>15</v>
      </c>
      <c r="AO257" s="80">
        <v>15</v>
      </c>
      <c r="AP257" s="80">
        <v>15</v>
      </c>
      <c r="AQ257" s="80">
        <v>15</v>
      </c>
    </row>
    <row r="258" spans="1:43" ht="14.4" thickBot="1" x14ac:dyDescent="0.3">
      <c r="B258" t="s">
        <v>695</v>
      </c>
      <c r="C258" s="17" t="s">
        <v>704</v>
      </c>
      <c r="D258" s="17" t="s">
        <v>991</v>
      </c>
      <c r="E258" s="52" t="s">
        <v>92</v>
      </c>
      <c r="F258" s="52" t="s">
        <v>94</v>
      </c>
      <c r="G258" s="52" t="s">
        <v>95</v>
      </c>
      <c r="H258" s="52" t="s">
        <v>93</v>
      </c>
      <c r="I258" s="52" t="s">
        <v>96</v>
      </c>
      <c r="J258" s="64" t="s">
        <v>688</v>
      </c>
      <c r="K258" s="64" t="s">
        <v>689</v>
      </c>
      <c r="L258" s="64" t="s">
        <v>690</v>
      </c>
      <c r="M258" s="64" t="s">
        <v>163</v>
      </c>
      <c r="N258" s="64" t="s">
        <v>707</v>
      </c>
      <c r="O258" s="64" t="s">
        <v>153</v>
      </c>
      <c r="P258" s="64" t="s">
        <v>76</v>
      </c>
      <c r="Q258" s="64" t="s">
        <v>77</v>
      </c>
      <c r="R258" s="64" t="s">
        <v>78</v>
      </c>
      <c r="S258" s="64" t="s">
        <v>703</v>
      </c>
      <c r="T258" s="64" t="s">
        <v>83</v>
      </c>
      <c r="U258" s="64" t="s">
        <v>80</v>
      </c>
      <c r="V258" s="64" t="s">
        <v>79</v>
      </c>
      <c r="W258" s="64" t="s">
        <v>691</v>
      </c>
      <c r="X258" s="64" t="s">
        <v>694</v>
      </c>
      <c r="Y258" s="64" t="s">
        <v>693</v>
      </c>
      <c r="Z258" s="64" t="s">
        <v>692</v>
      </c>
      <c r="AE258" s="78" t="s">
        <v>143</v>
      </c>
      <c r="AF258" s="79">
        <v>1.07</v>
      </c>
      <c r="AG258" s="79">
        <v>1.17</v>
      </c>
      <c r="AH258" s="79">
        <v>1.28</v>
      </c>
      <c r="AI258" s="79">
        <v>1.39</v>
      </c>
      <c r="AJ258" s="79">
        <v>1.49</v>
      </c>
      <c r="AK258" s="79">
        <v>1.6</v>
      </c>
      <c r="AL258" s="79">
        <v>1.71</v>
      </c>
      <c r="AM258" s="79">
        <v>1.81</v>
      </c>
      <c r="AN258" s="79">
        <v>1.92</v>
      </c>
      <c r="AO258" s="79">
        <v>2.0499999999999998</v>
      </c>
      <c r="AP258" s="79">
        <v>2.21</v>
      </c>
      <c r="AQ258" s="79">
        <v>2.4</v>
      </c>
    </row>
    <row r="259" spans="1:43" ht="14.4" thickBot="1" x14ac:dyDescent="0.3">
      <c r="A259" s="42"/>
      <c r="B259" t="s">
        <v>1080</v>
      </c>
      <c r="E259" s="21">
        <f>332+505</f>
        <v>837</v>
      </c>
      <c r="F259" s="43">
        <f>E247</f>
        <v>0.39</v>
      </c>
      <c r="G259" s="43"/>
      <c r="H259">
        <f>C250</f>
        <v>3.786</v>
      </c>
      <c r="I259">
        <f>(E259*(1+F259)+G259)*(H259+1)</f>
        <v>5568.17598</v>
      </c>
      <c r="K259" s="43"/>
      <c r="L259" s="43"/>
      <c r="M259" s="43"/>
      <c r="N259" s="43">
        <f>IF(I236&gt;=2,0.1,0)+H247</f>
        <v>0.94699999999999984</v>
      </c>
      <c r="O259" s="43"/>
      <c r="P259" s="43">
        <f>$F$247</f>
        <v>0.52</v>
      </c>
      <c r="Q259" s="43">
        <f t="shared" ref="Q259" si="43">$F$247</f>
        <v>0.52</v>
      </c>
      <c r="R259" s="43">
        <f>$F$247+G247</f>
        <v>0.85600000000000009</v>
      </c>
      <c r="AE259" s="78" t="s">
        <v>144</v>
      </c>
      <c r="AF259" s="80">
        <v>40</v>
      </c>
      <c r="AG259" s="80">
        <v>40</v>
      </c>
      <c r="AH259" s="80">
        <v>40</v>
      </c>
      <c r="AI259" s="80">
        <v>40</v>
      </c>
      <c r="AJ259" s="80">
        <v>40</v>
      </c>
      <c r="AK259" s="80">
        <v>40</v>
      </c>
      <c r="AL259" s="80">
        <v>40</v>
      </c>
      <c r="AM259" s="80">
        <v>40</v>
      </c>
      <c r="AN259" s="80">
        <v>40</v>
      </c>
      <c r="AO259" s="80">
        <v>40</v>
      </c>
      <c r="AP259" s="80">
        <v>40</v>
      </c>
      <c r="AQ259" s="80">
        <v>40</v>
      </c>
    </row>
    <row r="260" spans="1:43" x14ac:dyDescent="0.25">
      <c r="A260" s="42"/>
      <c r="C260" t="s">
        <v>1081</v>
      </c>
      <c r="D260" t="s">
        <v>805</v>
      </c>
      <c r="E260">
        <f>E259</f>
        <v>837</v>
      </c>
      <c r="F260">
        <f>F259</f>
        <v>0.39</v>
      </c>
      <c r="G260">
        <f>G259</f>
        <v>0</v>
      </c>
      <c r="H260">
        <f>H259</f>
        <v>3.786</v>
      </c>
      <c r="I260">
        <f t="shared" ref="I260:I262" si="44">(E260*(1+F260)+G260)*(H260+1)</f>
        <v>5568.17598</v>
      </c>
      <c r="J260">
        <f>SUM(L247:L250)</f>
        <v>4.37</v>
      </c>
      <c r="K260">
        <f t="shared" ref="K260:R271" si="45">K259</f>
        <v>0</v>
      </c>
      <c r="L260">
        <f t="shared" si="45"/>
        <v>0</v>
      </c>
      <c r="M260">
        <f t="shared" si="45"/>
        <v>0</v>
      </c>
      <c r="N260">
        <f t="shared" si="45"/>
        <v>0.94699999999999984</v>
      </c>
      <c r="O260">
        <f t="shared" si="45"/>
        <v>0</v>
      </c>
      <c r="P260">
        <f t="shared" si="45"/>
        <v>0.52</v>
      </c>
      <c r="Q260">
        <f t="shared" si="45"/>
        <v>0.52</v>
      </c>
      <c r="R260">
        <f t="shared" si="45"/>
        <v>0.85600000000000009</v>
      </c>
      <c r="T260">
        <f>T259</f>
        <v>0</v>
      </c>
      <c r="U260">
        <f t="shared" ref="U260:X271" si="46">U259</f>
        <v>0</v>
      </c>
      <c r="V260">
        <f t="shared" si="46"/>
        <v>0</v>
      </c>
      <c r="W260">
        <f t="shared" si="46"/>
        <v>0</v>
      </c>
      <c r="X260">
        <f t="shared" si="46"/>
        <v>0</v>
      </c>
      <c r="AE260" s="78" t="s">
        <v>145</v>
      </c>
      <c r="AF260" s="80">
        <v>15</v>
      </c>
      <c r="AG260" s="80">
        <v>15</v>
      </c>
      <c r="AH260" s="80">
        <v>15</v>
      </c>
      <c r="AI260" s="80">
        <v>15</v>
      </c>
      <c r="AJ260" s="80">
        <v>15</v>
      </c>
      <c r="AK260" s="80">
        <v>15</v>
      </c>
      <c r="AL260" s="80">
        <v>15</v>
      </c>
      <c r="AM260" s="80">
        <v>15</v>
      </c>
      <c r="AN260" s="80">
        <v>15</v>
      </c>
      <c r="AO260" s="80">
        <v>15</v>
      </c>
      <c r="AP260" s="80">
        <v>15</v>
      </c>
      <c r="AQ260" s="80">
        <v>15</v>
      </c>
    </row>
    <row r="261" spans="1:43" x14ac:dyDescent="0.25">
      <c r="A261" s="42"/>
      <c r="C261" t="s">
        <v>1082</v>
      </c>
      <c r="D261" t="s">
        <v>805</v>
      </c>
      <c r="E261">
        <f t="shared" ref="E261:H271" si="47">E260</f>
        <v>837</v>
      </c>
      <c r="F261">
        <f t="shared" si="47"/>
        <v>0.39</v>
      </c>
      <c r="G261">
        <f t="shared" si="47"/>
        <v>0</v>
      </c>
      <c r="H261">
        <f t="shared" si="47"/>
        <v>3.786</v>
      </c>
      <c r="I261">
        <f t="shared" si="44"/>
        <v>5568.17598</v>
      </c>
      <c r="J261">
        <f>SUM(L247:L249)</f>
        <v>2.75</v>
      </c>
      <c r="K261">
        <f t="shared" si="45"/>
        <v>0</v>
      </c>
      <c r="L261">
        <f t="shared" si="45"/>
        <v>0</v>
      </c>
      <c r="M261">
        <f t="shared" si="45"/>
        <v>0</v>
      </c>
      <c r="N261">
        <f t="shared" si="45"/>
        <v>0.94699999999999984</v>
      </c>
      <c r="O261">
        <f t="shared" si="45"/>
        <v>0</v>
      </c>
      <c r="P261">
        <f t="shared" si="45"/>
        <v>0.52</v>
      </c>
      <c r="Q261">
        <f t="shared" si="45"/>
        <v>0.52</v>
      </c>
      <c r="R261">
        <f t="shared" si="45"/>
        <v>0.85600000000000009</v>
      </c>
      <c r="T261">
        <f t="shared" ref="T261:X271" si="48">T260</f>
        <v>0</v>
      </c>
      <c r="U261">
        <f t="shared" si="46"/>
        <v>0</v>
      </c>
      <c r="V261">
        <f t="shared" si="46"/>
        <v>0</v>
      </c>
      <c r="W261">
        <f t="shared" si="46"/>
        <v>0</v>
      </c>
      <c r="X261">
        <f t="shared" si="46"/>
        <v>0</v>
      </c>
      <c r="AE261" s="14"/>
      <c r="AF261" s="14"/>
      <c r="AG261" s="14"/>
      <c r="AH261" s="14"/>
      <c r="AI261" s="14"/>
      <c r="AJ261" s="14"/>
      <c r="AK261" s="14"/>
      <c r="AL261" s="14"/>
      <c r="AM261" s="14"/>
      <c r="AN261" s="14"/>
      <c r="AO261" s="14"/>
      <c r="AP261" s="14"/>
      <c r="AQ261" s="14"/>
    </row>
    <row r="262" spans="1:43" x14ac:dyDescent="0.25">
      <c r="A262" s="42"/>
      <c r="C262" t="s">
        <v>1083</v>
      </c>
      <c r="D262" t="s">
        <v>805</v>
      </c>
      <c r="E262">
        <f t="shared" si="47"/>
        <v>837</v>
      </c>
      <c r="F262">
        <f t="shared" si="47"/>
        <v>0.39</v>
      </c>
      <c r="G262">
        <f t="shared" si="47"/>
        <v>0</v>
      </c>
      <c r="H262">
        <f t="shared" si="47"/>
        <v>3.786</v>
      </c>
      <c r="I262">
        <f t="shared" si="44"/>
        <v>5568.17598</v>
      </c>
      <c r="J262">
        <f>L250</f>
        <v>1.62</v>
      </c>
      <c r="K262">
        <f t="shared" si="45"/>
        <v>0</v>
      </c>
      <c r="L262">
        <f t="shared" si="45"/>
        <v>0</v>
      </c>
      <c r="M262">
        <f t="shared" si="45"/>
        <v>0</v>
      </c>
      <c r="N262">
        <f t="shared" si="45"/>
        <v>0.94699999999999984</v>
      </c>
      <c r="O262">
        <f t="shared" si="45"/>
        <v>0</v>
      </c>
      <c r="P262">
        <f t="shared" si="45"/>
        <v>0.52</v>
      </c>
      <c r="Q262">
        <f t="shared" si="45"/>
        <v>0.52</v>
      </c>
      <c r="R262">
        <f t="shared" si="45"/>
        <v>0.85600000000000009</v>
      </c>
      <c r="T262">
        <f t="shared" si="48"/>
        <v>0</v>
      </c>
      <c r="U262">
        <f t="shared" si="46"/>
        <v>0</v>
      </c>
      <c r="V262">
        <f t="shared" si="46"/>
        <v>0</v>
      </c>
      <c r="W262">
        <f t="shared" si="46"/>
        <v>0</v>
      </c>
      <c r="X262">
        <f t="shared" si="46"/>
        <v>0</v>
      </c>
      <c r="AE262" s="14"/>
      <c r="AF262" s="14"/>
      <c r="AG262" s="14"/>
      <c r="AH262" s="14"/>
      <c r="AI262" s="14"/>
      <c r="AJ262" s="14"/>
      <c r="AK262" s="14"/>
      <c r="AL262" s="14"/>
      <c r="AM262" s="14"/>
      <c r="AN262" s="14"/>
      <c r="AO262" s="14"/>
      <c r="AP262" s="14"/>
      <c r="AQ262" s="14"/>
    </row>
    <row r="263" spans="1:43" x14ac:dyDescent="0.25">
      <c r="A263" s="42"/>
      <c r="C263" t="s">
        <v>1084</v>
      </c>
      <c r="D263" t="s">
        <v>805</v>
      </c>
      <c r="E263">
        <f t="shared" si="47"/>
        <v>837</v>
      </c>
      <c r="F263">
        <f t="shared" si="47"/>
        <v>0.39</v>
      </c>
      <c r="G263">
        <f t="shared" si="47"/>
        <v>0</v>
      </c>
      <c r="H263">
        <f t="shared" si="47"/>
        <v>3.786</v>
      </c>
      <c r="I263">
        <f>(E263*(1+F263)+G263)*(H263+1)</f>
        <v>5568.17598</v>
      </c>
      <c r="J263">
        <f>L251</f>
        <v>7.2</v>
      </c>
      <c r="K263">
        <f t="shared" si="45"/>
        <v>0</v>
      </c>
      <c r="L263">
        <f t="shared" si="45"/>
        <v>0</v>
      </c>
      <c r="M263">
        <f t="shared" si="45"/>
        <v>0</v>
      </c>
      <c r="N263">
        <f t="shared" si="45"/>
        <v>0.94699999999999984</v>
      </c>
      <c r="O263">
        <f t="shared" si="45"/>
        <v>0</v>
      </c>
      <c r="P263">
        <f t="shared" si="45"/>
        <v>0.52</v>
      </c>
      <c r="Q263">
        <f t="shared" si="45"/>
        <v>0.52</v>
      </c>
      <c r="R263">
        <f t="shared" si="45"/>
        <v>0.85600000000000009</v>
      </c>
      <c r="T263">
        <f t="shared" si="48"/>
        <v>0</v>
      </c>
      <c r="U263">
        <f t="shared" si="46"/>
        <v>0</v>
      </c>
      <c r="V263">
        <f t="shared" si="46"/>
        <v>0</v>
      </c>
      <c r="W263">
        <f t="shared" si="46"/>
        <v>0</v>
      </c>
      <c r="X263">
        <f t="shared" si="46"/>
        <v>0</v>
      </c>
    </row>
    <row r="264" spans="1:43" x14ac:dyDescent="0.25">
      <c r="A264" s="42"/>
      <c r="C264" t="s">
        <v>1085</v>
      </c>
      <c r="D264" t="s">
        <v>805</v>
      </c>
      <c r="E264">
        <f t="shared" si="47"/>
        <v>837</v>
      </c>
      <c r="F264">
        <f t="shared" si="47"/>
        <v>0.39</v>
      </c>
      <c r="G264">
        <f t="shared" si="47"/>
        <v>0</v>
      </c>
      <c r="H264">
        <f t="shared" si="47"/>
        <v>3.786</v>
      </c>
      <c r="I264">
        <f t="shared" ref="I264:I271" si="49">(E264*(1+F264)+G264)*(H264+1)</f>
        <v>5568.17598</v>
      </c>
      <c r="J264">
        <f>L252</f>
        <v>1.44</v>
      </c>
      <c r="K264">
        <f t="shared" si="45"/>
        <v>0</v>
      </c>
      <c r="L264">
        <f t="shared" si="45"/>
        <v>0</v>
      </c>
      <c r="M264">
        <f t="shared" si="45"/>
        <v>0</v>
      </c>
      <c r="N264">
        <f t="shared" si="45"/>
        <v>0.94699999999999984</v>
      </c>
      <c r="O264">
        <f t="shared" si="45"/>
        <v>0</v>
      </c>
      <c r="P264">
        <f t="shared" si="45"/>
        <v>0.52</v>
      </c>
      <c r="Q264">
        <f t="shared" si="45"/>
        <v>0.52</v>
      </c>
      <c r="R264">
        <f t="shared" si="45"/>
        <v>0.85600000000000009</v>
      </c>
      <c r="T264">
        <f t="shared" si="48"/>
        <v>0</v>
      </c>
      <c r="U264">
        <f t="shared" si="46"/>
        <v>0</v>
      </c>
      <c r="V264">
        <f t="shared" si="46"/>
        <v>0</v>
      </c>
      <c r="W264">
        <f t="shared" si="46"/>
        <v>0</v>
      </c>
      <c r="X264">
        <f t="shared" si="46"/>
        <v>0</v>
      </c>
      <c r="AE264" s="14" t="s">
        <v>649</v>
      </c>
      <c r="AF264" s="82" t="s">
        <v>1078</v>
      </c>
    </row>
    <row r="265" spans="1:43" ht="14.4" thickBot="1" x14ac:dyDescent="0.3">
      <c r="A265" s="14"/>
      <c r="C265" t="s">
        <v>650</v>
      </c>
      <c r="D265" t="s">
        <v>805</v>
      </c>
      <c r="E265">
        <f t="shared" ref="E265:H265" si="50">E264</f>
        <v>837</v>
      </c>
      <c r="F265">
        <f t="shared" si="50"/>
        <v>0.39</v>
      </c>
      <c r="G265">
        <f t="shared" si="50"/>
        <v>0</v>
      </c>
      <c r="H265">
        <f t="shared" si="50"/>
        <v>3.786</v>
      </c>
      <c r="I265">
        <f t="shared" si="49"/>
        <v>5568.17598</v>
      </c>
      <c r="J265">
        <f>M247*IF(I236&gt;=5,1.2,1)</f>
        <v>3.0720000000000001</v>
      </c>
      <c r="K265">
        <f t="shared" ref="K265:R265" si="51">K264</f>
        <v>0</v>
      </c>
      <c r="L265">
        <f t="shared" si="51"/>
        <v>0</v>
      </c>
      <c r="M265">
        <f>M264</f>
        <v>0</v>
      </c>
      <c r="N265">
        <f>N264</f>
        <v>0.94699999999999984</v>
      </c>
      <c r="O265">
        <f t="shared" si="51"/>
        <v>0</v>
      </c>
      <c r="P265">
        <f t="shared" si="51"/>
        <v>0.52</v>
      </c>
      <c r="Q265">
        <f t="shared" si="51"/>
        <v>0.52</v>
      </c>
      <c r="R265">
        <f t="shared" si="51"/>
        <v>0.85600000000000009</v>
      </c>
      <c r="T265">
        <f t="shared" si="48"/>
        <v>0</v>
      </c>
      <c r="U265">
        <f t="shared" si="48"/>
        <v>0</v>
      </c>
      <c r="V265">
        <f t="shared" si="48"/>
        <v>0</v>
      </c>
      <c r="W265">
        <f t="shared" si="48"/>
        <v>0</v>
      </c>
      <c r="X265">
        <f t="shared" si="48"/>
        <v>0</v>
      </c>
      <c r="AF265" s="82" t="s">
        <v>1079</v>
      </c>
    </row>
    <row r="266" spans="1:43" ht="14.4" thickBot="1" x14ac:dyDescent="0.3">
      <c r="A266" s="14"/>
      <c r="C266" t="s">
        <v>1086</v>
      </c>
      <c r="D266" t="s">
        <v>805</v>
      </c>
      <c r="E266">
        <f t="shared" ref="E266:H266" si="52">E265</f>
        <v>837</v>
      </c>
      <c r="F266">
        <f t="shared" si="52"/>
        <v>0.39</v>
      </c>
      <c r="G266">
        <f t="shared" si="52"/>
        <v>0</v>
      </c>
      <c r="H266">
        <f t="shared" si="52"/>
        <v>3.786</v>
      </c>
      <c r="I266">
        <f t="shared" si="49"/>
        <v>5568.17598</v>
      </c>
      <c r="J266">
        <f>SUM(N248:N249)*IF(I236&gt;=4,1.15,1)</f>
        <v>3.6799999999999997</v>
      </c>
      <c r="K266">
        <f t="shared" ref="K266:R266" si="53">K265</f>
        <v>0</v>
      </c>
      <c r="L266">
        <f t="shared" si="53"/>
        <v>0</v>
      </c>
      <c r="M266">
        <f>M264</f>
        <v>0</v>
      </c>
      <c r="N266">
        <f>N264</f>
        <v>0.94699999999999984</v>
      </c>
      <c r="O266">
        <f t="shared" si="53"/>
        <v>0</v>
      </c>
      <c r="P266">
        <f t="shared" si="53"/>
        <v>0.52</v>
      </c>
      <c r="Q266">
        <f t="shared" si="53"/>
        <v>0.52</v>
      </c>
      <c r="R266">
        <f t="shared" si="53"/>
        <v>0.85600000000000009</v>
      </c>
      <c r="T266">
        <f t="shared" si="48"/>
        <v>0</v>
      </c>
      <c r="U266">
        <f t="shared" si="48"/>
        <v>0</v>
      </c>
      <c r="V266">
        <f t="shared" si="48"/>
        <v>0</v>
      </c>
      <c r="W266">
        <f t="shared" si="48"/>
        <v>0</v>
      </c>
      <c r="X266">
        <f t="shared" si="48"/>
        <v>0</v>
      </c>
      <c r="AE266" s="78" t="s">
        <v>146</v>
      </c>
      <c r="AF266" s="80">
        <v>240</v>
      </c>
      <c r="AG266" s="80">
        <v>240</v>
      </c>
      <c r="AH266" s="80">
        <v>240</v>
      </c>
      <c r="AI266" s="80">
        <v>240</v>
      </c>
      <c r="AJ266" s="80">
        <v>240</v>
      </c>
      <c r="AK266" s="80">
        <v>240</v>
      </c>
      <c r="AL266" s="80">
        <v>240</v>
      </c>
      <c r="AM266" s="80">
        <v>240</v>
      </c>
      <c r="AN266" s="80">
        <v>240</v>
      </c>
      <c r="AO266" s="80">
        <v>240</v>
      </c>
      <c r="AP266" s="80">
        <v>240</v>
      </c>
      <c r="AQ266" s="80">
        <v>240</v>
      </c>
    </row>
    <row r="267" spans="1:43" ht="14.4" thickBot="1" x14ac:dyDescent="0.3">
      <c r="A267" s="42"/>
      <c r="C267" t="s">
        <v>1087</v>
      </c>
      <c r="D267" t="s">
        <v>805</v>
      </c>
      <c r="E267">
        <f t="shared" ref="E267:H267" si="54">E266</f>
        <v>837</v>
      </c>
      <c r="F267">
        <f t="shared" si="54"/>
        <v>0.39</v>
      </c>
      <c r="G267">
        <f t="shared" si="54"/>
        <v>0</v>
      </c>
      <c r="H267">
        <f t="shared" si="54"/>
        <v>3.786</v>
      </c>
      <c r="I267">
        <f t="shared" si="49"/>
        <v>5568.17598</v>
      </c>
      <c r="J267">
        <f>(SUM($N$248:$N$249)+$N$251*1)*IF(I236&gt;=4,1.15,1)</f>
        <v>6.4399999999999995</v>
      </c>
      <c r="K267">
        <f t="shared" ref="K267:R267" si="55">K266</f>
        <v>0</v>
      </c>
      <c r="L267">
        <f t="shared" si="55"/>
        <v>0</v>
      </c>
      <c r="M267">
        <f t="shared" si="55"/>
        <v>0</v>
      </c>
      <c r="N267">
        <f>N264</f>
        <v>0.94699999999999984</v>
      </c>
      <c r="O267">
        <f t="shared" si="55"/>
        <v>0</v>
      </c>
      <c r="P267">
        <f t="shared" si="55"/>
        <v>0.52</v>
      </c>
      <c r="Q267">
        <f t="shared" si="55"/>
        <v>0.52</v>
      </c>
      <c r="R267">
        <f t="shared" si="55"/>
        <v>0.85600000000000009</v>
      </c>
      <c r="T267">
        <f t="shared" si="48"/>
        <v>0</v>
      </c>
      <c r="U267">
        <f t="shared" si="48"/>
        <v>0</v>
      </c>
      <c r="V267">
        <f t="shared" si="48"/>
        <v>0</v>
      </c>
      <c r="W267">
        <f t="shared" si="48"/>
        <v>0</v>
      </c>
      <c r="X267">
        <f t="shared" si="48"/>
        <v>0</v>
      </c>
      <c r="AE267" s="78" t="s">
        <v>147</v>
      </c>
      <c r="AF267" s="79">
        <v>1.78</v>
      </c>
      <c r="AG267" s="79">
        <v>1.96</v>
      </c>
      <c r="AH267" s="79">
        <v>2.13</v>
      </c>
      <c r="AI267" s="79">
        <v>2.31</v>
      </c>
      <c r="AJ267" s="79">
        <v>2.4900000000000002</v>
      </c>
      <c r="AK267" s="79">
        <v>2.67</v>
      </c>
      <c r="AL267" s="79">
        <v>2.84</v>
      </c>
      <c r="AM267" s="79">
        <v>3.02</v>
      </c>
      <c r="AN267" s="79">
        <v>3.2</v>
      </c>
      <c r="AO267" s="79">
        <v>3.42</v>
      </c>
      <c r="AP267" s="79">
        <v>3.69</v>
      </c>
      <c r="AQ267" s="79">
        <v>4</v>
      </c>
    </row>
    <row r="268" spans="1:43" ht="14.4" thickBot="1" x14ac:dyDescent="0.3">
      <c r="A268" s="42"/>
      <c r="C268" t="s">
        <v>1088</v>
      </c>
      <c r="D268" t="s">
        <v>805</v>
      </c>
      <c r="E268">
        <f t="shared" ref="E268:H268" si="56">E267</f>
        <v>837</v>
      </c>
      <c r="F268">
        <f t="shared" si="56"/>
        <v>0.39</v>
      </c>
      <c r="G268">
        <f t="shared" si="56"/>
        <v>0</v>
      </c>
      <c r="H268">
        <f t="shared" si="56"/>
        <v>3.786</v>
      </c>
      <c r="I268">
        <f t="shared" si="49"/>
        <v>5568.17598</v>
      </c>
      <c r="J268">
        <f>(SUM($N$248:$N$249)+$N$251*2)*IF(I236&gt;=4,1.15,1)</f>
        <v>9.1999999999999993</v>
      </c>
      <c r="K268">
        <f t="shared" ref="K268:R268" si="57">K267</f>
        <v>0</v>
      </c>
      <c r="L268">
        <f t="shared" si="57"/>
        <v>0</v>
      </c>
      <c r="M268">
        <f t="shared" si="57"/>
        <v>0</v>
      </c>
      <c r="N268">
        <f t="shared" si="57"/>
        <v>0.94699999999999984</v>
      </c>
      <c r="O268">
        <f t="shared" si="57"/>
        <v>0</v>
      </c>
      <c r="P268">
        <f t="shared" si="57"/>
        <v>0.52</v>
      </c>
      <c r="Q268">
        <f t="shared" si="57"/>
        <v>0.52</v>
      </c>
      <c r="R268">
        <f t="shared" si="57"/>
        <v>0.85600000000000009</v>
      </c>
      <c r="T268">
        <f t="shared" si="48"/>
        <v>0</v>
      </c>
      <c r="U268">
        <f t="shared" si="48"/>
        <v>0</v>
      </c>
      <c r="V268">
        <f t="shared" si="48"/>
        <v>0</v>
      </c>
      <c r="W268">
        <f t="shared" si="48"/>
        <v>0</v>
      </c>
      <c r="X268">
        <f t="shared" si="48"/>
        <v>0</v>
      </c>
      <c r="AE268" s="78" t="s">
        <v>148</v>
      </c>
      <c r="AF268" s="80">
        <v>5</v>
      </c>
      <c r="AG268" s="80">
        <v>5</v>
      </c>
      <c r="AH268" s="80">
        <v>5</v>
      </c>
      <c r="AI268" s="80">
        <v>5</v>
      </c>
      <c r="AJ268" s="80">
        <v>5</v>
      </c>
      <c r="AK268" s="80">
        <v>5</v>
      </c>
      <c r="AL268" s="80">
        <v>5</v>
      </c>
      <c r="AM268" s="80">
        <v>5</v>
      </c>
      <c r="AN268" s="80">
        <v>5</v>
      </c>
      <c r="AO268" s="80">
        <v>5</v>
      </c>
      <c r="AP268" s="80">
        <v>5</v>
      </c>
      <c r="AQ268" s="80">
        <v>5</v>
      </c>
    </row>
    <row r="269" spans="1:43" ht="14.4" thickBot="1" x14ac:dyDescent="0.3">
      <c r="A269" s="42"/>
      <c r="C269" t="s">
        <v>1089</v>
      </c>
      <c r="D269" t="s">
        <v>805</v>
      </c>
      <c r="E269">
        <f>E264</f>
        <v>837</v>
      </c>
      <c r="F269">
        <f>F264</f>
        <v>0.39</v>
      </c>
      <c r="G269">
        <f>G264</f>
        <v>0</v>
      </c>
      <c r="H269">
        <f>H264</f>
        <v>3.786</v>
      </c>
      <c r="I269">
        <f t="shared" si="49"/>
        <v>5568.17598</v>
      </c>
      <c r="J269">
        <f>(SUM($N$248:$N$249)+$N$251*3)*IF(I236&gt;=4,1.15,1)</f>
        <v>11.959999999999997</v>
      </c>
      <c r="K269">
        <f t="shared" ref="K269:R269" si="58">K264</f>
        <v>0</v>
      </c>
      <c r="L269">
        <f t="shared" si="58"/>
        <v>0</v>
      </c>
      <c r="M269">
        <f t="shared" si="58"/>
        <v>0</v>
      </c>
      <c r="N269">
        <f t="shared" si="58"/>
        <v>0.94699999999999984</v>
      </c>
      <c r="O269">
        <f t="shared" si="58"/>
        <v>0</v>
      </c>
      <c r="P269">
        <f t="shared" si="58"/>
        <v>0.52</v>
      </c>
      <c r="Q269">
        <f t="shared" si="58"/>
        <v>0.52</v>
      </c>
      <c r="R269">
        <f t="shared" si="58"/>
        <v>0.85600000000000009</v>
      </c>
      <c r="T269">
        <f>T264</f>
        <v>0</v>
      </c>
      <c r="U269">
        <f>U264</f>
        <v>0</v>
      </c>
      <c r="V269">
        <f>V264</f>
        <v>0</v>
      </c>
      <c r="W269">
        <f>W264</f>
        <v>0</v>
      </c>
      <c r="X269">
        <f>X264</f>
        <v>0</v>
      </c>
      <c r="AE269" s="78" t="s">
        <v>149</v>
      </c>
      <c r="AF269" s="79">
        <v>1.78</v>
      </c>
      <c r="AG269" s="79">
        <v>1.96</v>
      </c>
      <c r="AH269" s="79">
        <v>2.13</v>
      </c>
      <c r="AI269" s="79">
        <v>2.31</v>
      </c>
      <c r="AJ269" s="79">
        <v>2.4900000000000002</v>
      </c>
      <c r="AK269" s="79">
        <v>2.67</v>
      </c>
      <c r="AL269" s="79">
        <v>2.84</v>
      </c>
      <c r="AM269" s="79">
        <v>3.02</v>
      </c>
      <c r="AN269" s="79">
        <v>3.2</v>
      </c>
      <c r="AO269" s="79">
        <v>3.42</v>
      </c>
      <c r="AP269" s="79">
        <v>3.69</v>
      </c>
      <c r="AQ269" s="79">
        <v>4</v>
      </c>
    </row>
    <row r="270" spans="1:43" ht="14.4" thickBot="1" x14ac:dyDescent="0.3">
      <c r="A270" s="42"/>
      <c r="C270" t="s">
        <v>1090</v>
      </c>
      <c r="D270" t="s">
        <v>805</v>
      </c>
      <c r="E270">
        <f t="shared" si="47"/>
        <v>837</v>
      </c>
      <c r="F270">
        <f t="shared" si="47"/>
        <v>0.39</v>
      </c>
      <c r="G270">
        <f t="shared" si="47"/>
        <v>0</v>
      </c>
      <c r="H270">
        <f t="shared" si="47"/>
        <v>3.786</v>
      </c>
      <c r="I270">
        <f t="shared" si="49"/>
        <v>5568.17598</v>
      </c>
      <c r="J270">
        <f>(SUM($N$248:$N$249)+$N$251*4)*IF(I236&gt;=4,1.15,1)</f>
        <v>14.719999999999999</v>
      </c>
      <c r="K270">
        <f t="shared" si="45"/>
        <v>0</v>
      </c>
      <c r="L270">
        <f t="shared" si="45"/>
        <v>0</v>
      </c>
      <c r="M270">
        <f t="shared" si="45"/>
        <v>0</v>
      </c>
      <c r="N270">
        <f t="shared" si="45"/>
        <v>0.94699999999999984</v>
      </c>
      <c r="O270">
        <f t="shared" si="45"/>
        <v>0</v>
      </c>
      <c r="P270">
        <f t="shared" si="45"/>
        <v>0.52</v>
      </c>
      <c r="Q270">
        <f t="shared" si="45"/>
        <v>0.52</v>
      </c>
      <c r="R270">
        <f t="shared" si="45"/>
        <v>0.85600000000000009</v>
      </c>
      <c r="T270">
        <f t="shared" si="48"/>
        <v>0</v>
      </c>
      <c r="U270">
        <f t="shared" si="46"/>
        <v>0</v>
      </c>
      <c r="V270">
        <f t="shared" si="46"/>
        <v>0</v>
      </c>
      <c r="W270">
        <f t="shared" si="46"/>
        <v>0</v>
      </c>
      <c r="X270">
        <f t="shared" si="46"/>
        <v>0</v>
      </c>
      <c r="AE270" s="78" t="s">
        <v>150</v>
      </c>
      <c r="AF270" s="80">
        <v>5</v>
      </c>
      <c r="AG270" s="80">
        <v>5</v>
      </c>
      <c r="AH270" s="80">
        <v>5</v>
      </c>
      <c r="AI270" s="80">
        <v>5</v>
      </c>
      <c r="AJ270" s="80">
        <v>5</v>
      </c>
      <c r="AK270" s="80">
        <v>5</v>
      </c>
      <c r="AL270" s="80">
        <v>5</v>
      </c>
      <c r="AM270" s="80">
        <v>5</v>
      </c>
      <c r="AN270" s="80">
        <v>5</v>
      </c>
      <c r="AO270" s="80">
        <v>5</v>
      </c>
      <c r="AP270" s="80">
        <v>5</v>
      </c>
      <c r="AQ270" s="80">
        <v>5</v>
      </c>
    </row>
    <row r="271" spans="1:43" ht="14.4" thickBot="1" x14ac:dyDescent="0.3">
      <c r="A271" s="42"/>
      <c r="C271" t="s">
        <v>685</v>
      </c>
      <c r="D271" t="s">
        <v>805</v>
      </c>
      <c r="E271">
        <f t="shared" si="47"/>
        <v>837</v>
      </c>
      <c r="F271">
        <f t="shared" si="47"/>
        <v>0.39</v>
      </c>
      <c r="G271">
        <f t="shared" si="47"/>
        <v>0</v>
      </c>
      <c r="H271">
        <f t="shared" si="47"/>
        <v>3.786</v>
      </c>
      <c r="I271">
        <f t="shared" si="49"/>
        <v>5568.17598</v>
      </c>
      <c r="J271">
        <f>SUM(O248,O250,O252)*IF(I236&gt;=4,1.15,1)</f>
        <v>18.399999999999999</v>
      </c>
      <c r="K271">
        <f t="shared" si="45"/>
        <v>0</v>
      </c>
      <c r="L271">
        <f t="shared" si="45"/>
        <v>0</v>
      </c>
      <c r="M271">
        <f t="shared" si="45"/>
        <v>0</v>
      </c>
      <c r="N271">
        <f t="shared" si="45"/>
        <v>0.94699999999999984</v>
      </c>
      <c r="O271">
        <f t="shared" si="45"/>
        <v>0</v>
      </c>
      <c r="P271">
        <f t="shared" si="45"/>
        <v>0.52</v>
      </c>
      <c r="Q271">
        <f t="shared" si="45"/>
        <v>0.52</v>
      </c>
      <c r="R271">
        <f t="shared" si="45"/>
        <v>0.85600000000000009</v>
      </c>
      <c r="T271">
        <f t="shared" si="48"/>
        <v>0</v>
      </c>
      <c r="U271">
        <f t="shared" si="46"/>
        <v>0</v>
      </c>
      <c r="V271">
        <f t="shared" si="46"/>
        <v>0</v>
      </c>
      <c r="W271">
        <f t="shared" si="46"/>
        <v>0</v>
      </c>
      <c r="X271">
        <f t="shared" si="46"/>
        <v>0</v>
      </c>
      <c r="AE271" s="78" t="s">
        <v>151</v>
      </c>
      <c r="AF271" s="79">
        <v>3.56</v>
      </c>
      <c r="AG271" s="79">
        <v>3.91</v>
      </c>
      <c r="AH271" s="79">
        <v>4.2699999999999996</v>
      </c>
      <c r="AI271" s="79">
        <v>4.62</v>
      </c>
      <c r="AJ271" s="79">
        <v>4.9800000000000004</v>
      </c>
      <c r="AK271" s="79">
        <v>5.33</v>
      </c>
      <c r="AL271" s="79">
        <v>5.69</v>
      </c>
      <c r="AM271" s="79">
        <v>6.04</v>
      </c>
      <c r="AN271" s="79">
        <v>6.4</v>
      </c>
      <c r="AO271" s="79">
        <v>6.84</v>
      </c>
      <c r="AP271" s="79">
        <v>7.38</v>
      </c>
      <c r="AQ271" s="79">
        <v>8</v>
      </c>
    </row>
    <row r="272" spans="1:43" x14ac:dyDescent="0.25">
      <c r="A272" s="42"/>
      <c r="AE272" s="78" t="s">
        <v>152</v>
      </c>
      <c r="AF272" s="80">
        <v>10</v>
      </c>
      <c r="AG272" s="80">
        <v>10</v>
      </c>
      <c r="AH272" s="80">
        <v>10</v>
      </c>
      <c r="AI272" s="80">
        <v>10</v>
      </c>
      <c r="AJ272" s="80">
        <v>10</v>
      </c>
      <c r="AK272" s="80">
        <v>10</v>
      </c>
      <c r="AL272" s="80">
        <v>10</v>
      </c>
      <c r="AM272" s="80">
        <v>10</v>
      </c>
      <c r="AN272" s="80">
        <v>10</v>
      </c>
      <c r="AO272" s="80">
        <v>10</v>
      </c>
      <c r="AP272" s="80">
        <v>10</v>
      </c>
      <c r="AQ272" s="80">
        <v>10</v>
      </c>
    </row>
    <row r="273" spans="1:43" x14ac:dyDescent="0.25">
      <c r="A273" s="42"/>
      <c r="AE273" s="14"/>
      <c r="AF273" s="14"/>
      <c r="AG273" s="14"/>
      <c r="AH273" s="14"/>
      <c r="AI273" s="14"/>
      <c r="AJ273" s="14"/>
      <c r="AK273" s="14"/>
      <c r="AL273" s="14"/>
      <c r="AM273" s="14"/>
      <c r="AN273" s="14"/>
      <c r="AO273" s="14"/>
      <c r="AP273" s="14"/>
      <c r="AQ273" s="14"/>
    </row>
    <row r="274" spans="1:43" s="86" customFormat="1" x14ac:dyDescent="0.25">
      <c r="A274" s="14"/>
      <c r="B274"/>
      <c r="C274" t="s">
        <v>805</v>
      </c>
      <c r="D274" t="s">
        <v>1091</v>
      </c>
      <c r="E274"/>
      <c r="F274"/>
      <c r="G274"/>
      <c r="H274"/>
      <c r="I274"/>
      <c r="J274"/>
      <c r="K274"/>
      <c r="L274"/>
      <c r="M274"/>
      <c r="N274"/>
      <c r="O274"/>
      <c r="P274"/>
      <c r="Q274"/>
      <c r="R274"/>
      <c r="S274" s="17"/>
      <c r="T274">
        <f>0.04*1</f>
        <v>0.04</v>
      </c>
      <c r="U274" s="17"/>
      <c r="V274" s="17"/>
      <c r="W274" s="17"/>
      <c r="X274" s="17"/>
      <c r="Y274" s="17"/>
      <c r="Z274" s="17"/>
      <c r="AA274"/>
      <c r="AB274"/>
      <c r="AC274"/>
      <c r="AD274" s="96"/>
      <c r="AE274"/>
      <c r="AF274"/>
      <c r="AG274"/>
      <c r="AH274"/>
      <c r="AI274"/>
      <c r="AJ274"/>
      <c r="AK274"/>
      <c r="AL274"/>
      <c r="AM274"/>
      <c r="AN274"/>
      <c r="AO274"/>
      <c r="AP274"/>
      <c r="AQ274"/>
    </row>
    <row r="275" spans="1:43" x14ac:dyDescent="0.25">
      <c r="A275" s="14"/>
      <c r="C275" t="s">
        <v>805</v>
      </c>
      <c r="D275" t="s">
        <v>1092</v>
      </c>
      <c r="T275">
        <f>0.04*2</f>
        <v>0.08</v>
      </c>
    </row>
    <row r="276" spans="1:43" x14ac:dyDescent="0.25">
      <c r="C276" t="s">
        <v>805</v>
      </c>
      <c r="D276" t="s">
        <v>1093</v>
      </c>
      <c r="T276">
        <f>0.04*3</f>
        <v>0.12</v>
      </c>
      <c r="AE276" s="86"/>
      <c r="AF276" s="86"/>
      <c r="AG276" s="86"/>
      <c r="AH276" s="86"/>
      <c r="AI276" s="86"/>
      <c r="AJ276" s="86"/>
      <c r="AK276" s="86"/>
      <c r="AL276" s="86"/>
      <c r="AM276" s="86"/>
      <c r="AN276" s="86"/>
      <c r="AO276" s="86"/>
      <c r="AP276" s="86"/>
      <c r="AQ276" s="86"/>
    </row>
    <row r="277" spans="1:43" x14ac:dyDescent="0.25">
      <c r="A277" s="14"/>
      <c r="C277" t="s">
        <v>805</v>
      </c>
      <c r="D277" t="s">
        <v>1094</v>
      </c>
      <c r="T277">
        <f>0.04*4</f>
        <v>0.16</v>
      </c>
      <c r="AA277" s="86"/>
      <c r="AB277" s="86"/>
      <c r="AC277" s="86"/>
    </row>
    <row r="278" spans="1:43" x14ac:dyDescent="0.25">
      <c r="C278" t="s">
        <v>805</v>
      </c>
      <c r="D278" s="12" t="s">
        <v>1095</v>
      </c>
      <c r="T278">
        <f>0.04*1.5</f>
        <v>0.06</v>
      </c>
    </row>
    <row r="279" spans="1:43" x14ac:dyDescent="0.25">
      <c r="A279" s="42"/>
      <c r="C279" t="s">
        <v>805</v>
      </c>
      <c r="D279" s="12" t="s">
        <v>1095</v>
      </c>
      <c r="T279">
        <f>0.08*1.5</f>
        <v>0.12</v>
      </c>
      <c r="AD279" s="77"/>
    </row>
    <row r="280" spans="1:43" x14ac:dyDescent="0.25">
      <c r="A280" s="42"/>
      <c r="C280" t="s">
        <v>805</v>
      </c>
      <c r="D280" s="12" t="s">
        <v>1095</v>
      </c>
      <c r="P280" s="68"/>
      <c r="T280">
        <f>0.12*1.5</f>
        <v>0.18</v>
      </c>
    </row>
    <row r="281" spans="1:43" x14ac:dyDescent="0.25">
      <c r="A281" s="42"/>
      <c r="C281" t="s">
        <v>805</v>
      </c>
      <c r="D281" s="12" t="s">
        <v>1095</v>
      </c>
      <c r="T281">
        <f>0.16*1.5</f>
        <v>0.24</v>
      </c>
    </row>
    <row r="282" spans="1:43" x14ac:dyDescent="0.25">
      <c r="A282" s="42"/>
      <c r="C282" t="s">
        <v>805</v>
      </c>
      <c r="D282" s="12" t="s">
        <v>1096</v>
      </c>
      <c r="N282">
        <f>0.2</f>
        <v>0.2</v>
      </c>
    </row>
    <row r="283" spans="1:43" x14ac:dyDescent="0.25">
      <c r="A283" s="42"/>
      <c r="C283" t="s">
        <v>805</v>
      </c>
      <c r="D283" s="12" t="s">
        <v>1097</v>
      </c>
      <c r="N283">
        <f>0.35</f>
        <v>0.35</v>
      </c>
    </row>
    <row r="284" spans="1:43" x14ac:dyDescent="0.25">
      <c r="A284" s="42"/>
      <c r="C284" t="s">
        <v>805</v>
      </c>
      <c r="D284" s="12" t="s">
        <v>696</v>
      </c>
      <c r="N284">
        <f>0.16</f>
        <v>0.16</v>
      </c>
      <c r="AD284" s="77"/>
    </row>
    <row r="285" spans="1:43" x14ac:dyDescent="0.25">
      <c r="A285" s="42"/>
      <c r="C285" t="s">
        <v>805</v>
      </c>
      <c r="D285" s="12" t="s">
        <v>697</v>
      </c>
      <c r="N285">
        <f>0.32</f>
        <v>0.32</v>
      </c>
      <c r="P285" s="68"/>
    </row>
    <row r="286" spans="1:43" x14ac:dyDescent="0.25">
      <c r="C286" t="s">
        <v>805</v>
      </c>
      <c r="D286" s="22"/>
    </row>
    <row r="297" spans="1:45" ht="14.4" thickBot="1" x14ac:dyDescent="0.3">
      <c r="A297" s="40"/>
      <c r="B297" s="21">
        <v>42</v>
      </c>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59"/>
      <c r="AE297" s="40"/>
      <c r="AF297" s="40"/>
      <c r="AG297" s="40"/>
      <c r="AH297" s="40"/>
      <c r="AI297" s="40"/>
      <c r="AJ297" s="40"/>
      <c r="AK297" s="40"/>
      <c r="AL297" s="40"/>
      <c r="AM297" s="40"/>
      <c r="AN297" s="40"/>
      <c r="AO297" s="40"/>
      <c r="AP297" s="40"/>
      <c r="AQ297" s="40"/>
      <c r="AR297" s="40"/>
      <c r="AS297" s="40"/>
    </row>
    <row r="298" spans="1:45" s="40" customFormat="1" ht="14.4" thickBot="1" x14ac:dyDescent="0.3">
      <c r="A298"/>
      <c r="B298" s="25" t="s">
        <v>1227</v>
      </c>
      <c r="C298" s="26" t="s">
        <v>1228</v>
      </c>
      <c r="D298" s="26" t="s">
        <v>1229</v>
      </c>
      <c r="E298" s="26" t="s">
        <v>1230</v>
      </c>
      <c r="F298" s="26" t="s">
        <v>1231</v>
      </c>
      <c r="G298" s="26" t="s">
        <v>1232</v>
      </c>
      <c r="H298" s="26" t="s">
        <v>1233</v>
      </c>
      <c r="I298" s="26" t="s">
        <v>1234</v>
      </c>
      <c r="J298" s="83"/>
      <c r="K298"/>
      <c r="L298"/>
      <c r="M298"/>
      <c r="N298"/>
      <c r="O298"/>
      <c r="P298"/>
      <c r="Q298" s="25"/>
      <c r="R298" s="26" t="s">
        <v>977</v>
      </c>
      <c r="S298" s="27" t="s">
        <v>963</v>
      </c>
      <c r="T298"/>
      <c r="U298"/>
      <c r="V298"/>
      <c r="W298"/>
      <c r="X298"/>
      <c r="Y298"/>
      <c r="Z298"/>
      <c r="AA298"/>
      <c r="AB298"/>
      <c r="AC298"/>
      <c r="AD298" s="58"/>
      <c r="AE298" t="s">
        <v>153</v>
      </c>
      <c r="AF298"/>
      <c r="AG298"/>
      <c r="AH298"/>
      <c r="AI298"/>
      <c r="AJ298"/>
      <c r="AK298"/>
      <c r="AL298"/>
      <c r="AM298"/>
      <c r="AN298"/>
      <c r="AO298"/>
      <c r="AP298"/>
      <c r="AQ298"/>
      <c r="AR298"/>
      <c r="AS298"/>
    </row>
    <row r="299" spans="1:45" ht="14.4" thickBot="1" x14ac:dyDescent="0.3">
      <c r="B299" s="28" t="s">
        <v>1235</v>
      </c>
      <c r="C299" s="21" t="s">
        <v>1214</v>
      </c>
      <c r="D299" s="21" t="s">
        <v>608</v>
      </c>
      <c r="E299" s="21" t="s">
        <v>502</v>
      </c>
      <c r="F299" s="21" t="s">
        <v>513</v>
      </c>
      <c r="G299" s="21" t="s">
        <v>513</v>
      </c>
      <c r="H299" t="str">
        <f>IF(COUNTIF(E299:G299,LEFT(D299,2)&amp;"*")&gt;=2,LEFT(D299,2),
IF(COUNTIF(F299:G299,LEFT(E299,2)&amp;"*")=2,LEFT(E299,2),
""))</f>
        <v>动火</v>
      </c>
      <c r="I299" s="21">
        <v>0</v>
      </c>
      <c r="J299" s="29"/>
      <c r="Q299" s="28"/>
      <c r="R299" t="s">
        <v>999</v>
      </c>
      <c r="S299" s="29"/>
      <c r="AE299" s="78" t="s">
        <v>127</v>
      </c>
      <c r="AF299" s="79">
        <v>0.16</v>
      </c>
      <c r="AG299" s="79">
        <v>0.18</v>
      </c>
      <c r="AH299" s="79">
        <v>0.19</v>
      </c>
      <c r="AI299" s="79">
        <v>0.21</v>
      </c>
      <c r="AJ299" s="79">
        <v>0.22</v>
      </c>
      <c r="AK299" s="79">
        <v>0.24</v>
      </c>
      <c r="AL299" s="79">
        <v>0.26</v>
      </c>
      <c r="AM299" s="79">
        <v>0.27</v>
      </c>
      <c r="AN299" s="79">
        <v>0.28999999999999998</v>
      </c>
      <c r="AO299" s="79">
        <v>0.31</v>
      </c>
      <c r="AP299" s="79">
        <v>0.33</v>
      </c>
      <c r="AQ299" s="79">
        <v>0.36</v>
      </c>
    </row>
    <row r="300" spans="1:45" ht="14.4" thickBot="1" x14ac:dyDescent="0.3">
      <c r="B300" s="28" t="s">
        <v>1236</v>
      </c>
      <c r="D300" s="21">
        <v>3</v>
      </c>
      <c r="E300" s="21">
        <v>3</v>
      </c>
      <c r="F300" s="21">
        <v>3</v>
      </c>
      <c r="G300" s="21">
        <v>3</v>
      </c>
      <c r="J300" s="29"/>
      <c r="Q300" s="28"/>
      <c r="R300" t="s">
        <v>1032</v>
      </c>
      <c r="S300" s="29"/>
      <c r="AE300" s="78" t="s">
        <v>128</v>
      </c>
      <c r="AF300" s="79">
        <v>0.24</v>
      </c>
      <c r="AG300" s="79">
        <v>0.26</v>
      </c>
      <c r="AH300" s="79">
        <v>0.28999999999999998</v>
      </c>
      <c r="AI300" s="79">
        <v>0.31</v>
      </c>
      <c r="AJ300" s="79">
        <v>0.34</v>
      </c>
      <c r="AK300" s="79">
        <v>0.36</v>
      </c>
      <c r="AL300" s="79">
        <v>0.38</v>
      </c>
      <c r="AM300" s="79">
        <v>0.41</v>
      </c>
      <c r="AN300" s="79">
        <v>0.43</v>
      </c>
      <c r="AO300" s="79">
        <v>0.46</v>
      </c>
      <c r="AP300" s="79">
        <v>0.5</v>
      </c>
      <c r="AQ300" s="79">
        <v>0.54</v>
      </c>
    </row>
    <row r="301" spans="1:45" ht="14.4" thickBot="1" x14ac:dyDescent="0.3">
      <c r="B301" s="84" t="s">
        <v>1237</v>
      </c>
      <c r="C301" t="str">
        <f>_xlfn.XLOOKUP(C299,武器库!$B:$B,武器库!$C:$C,"")</f>
        <v>主能力值+132</v>
      </c>
      <c r="D301" t="str">
        <f>VLOOKUP(D299,护甲库!$A:$M,2+D300*3,FALSE)</f>
        <v>智识149</v>
      </c>
      <c r="E301" t="str">
        <f>VLOOKUP(E299,护手库!$A:$M,2+E300*3,FALSE)</f>
        <v>智识84</v>
      </c>
      <c r="F301" t="str">
        <f>VLOOKUP(F299,配件库!$A:$M,2+F300*3,FALSE)</f>
        <v>智识53</v>
      </c>
      <c r="G301" t="str">
        <f>VLOOKUP(G299,配件库!$A:$M,2+G300*3,FALSE)</f>
        <v>智识53</v>
      </c>
      <c r="H301" s="11"/>
      <c r="J301" s="29"/>
      <c r="Q301" s="28" t="s">
        <v>961</v>
      </c>
      <c r="S301" s="29" t="s">
        <v>964</v>
      </c>
      <c r="AE301" s="78" t="s">
        <v>129</v>
      </c>
      <c r="AF301" s="79">
        <v>0.25</v>
      </c>
      <c r="AG301" s="79">
        <v>0.28000000000000003</v>
      </c>
      <c r="AH301" s="79">
        <v>0.3</v>
      </c>
      <c r="AI301" s="79">
        <v>0.33</v>
      </c>
      <c r="AJ301" s="79">
        <v>0.35</v>
      </c>
      <c r="AK301" s="79">
        <v>0.38</v>
      </c>
      <c r="AL301" s="79">
        <v>0.4</v>
      </c>
      <c r="AM301" s="79">
        <v>0.43</v>
      </c>
      <c r="AN301" s="79">
        <v>0.45</v>
      </c>
      <c r="AO301" s="79">
        <v>0.48</v>
      </c>
      <c r="AP301" s="79">
        <v>0.52</v>
      </c>
      <c r="AQ301" s="79">
        <v>0.56000000000000005</v>
      </c>
    </row>
    <row r="302" spans="1:45" ht="14.4" thickBot="1" x14ac:dyDescent="0.3">
      <c r="B302" s="28" t="s">
        <v>1238</v>
      </c>
      <c r="C302" s="43" t="str">
        <f>_xlfn.XLOOKUP(C299,武器库!$B:$B,武器库!$D:$D,"")</f>
        <v>源石技艺+78</v>
      </c>
      <c r="D302">
        <f>VLOOKUP(D299,护甲库!$A:$M,3+D300*3,FALSE)</f>
        <v>0</v>
      </c>
      <c r="E302" t="str">
        <f>VLOOKUP(E299,护手库!$A:$M,3+E300*3,FALSE)</f>
        <v>力量55</v>
      </c>
      <c r="F302">
        <f>VLOOKUP(F299,配件库!$A:$M,3+F300*3,FALSE)</f>
        <v>0</v>
      </c>
      <c r="G302">
        <f>VLOOKUP(G299,配件库!$A:$M,3+G300*3,FALSE)</f>
        <v>0</v>
      </c>
      <c r="H302" s="9"/>
      <c r="J302" s="29"/>
      <c r="Q302" s="28"/>
      <c r="R302" t="s">
        <v>965</v>
      </c>
      <c r="S302" s="29"/>
      <c r="AE302" s="78" t="s">
        <v>130</v>
      </c>
      <c r="AF302" s="79">
        <v>0.39</v>
      </c>
      <c r="AG302" s="79">
        <v>0.43</v>
      </c>
      <c r="AH302" s="79">
        <v>0.47</v>
      </c>
      <c r="AI302" s="79">
        <v>0.51</v>
      </c>
      <c r="AJ302" s="79">
        <v>0.55000000000000004</v>
      </c>
      <c r="AK302" s="79">
        <v>0.59</v>
      </c>
      <c r="AL302" s="79">
        <v>0.62</v>
      </c>
      <c r="AM302" s="79">
        <v>0.66</v>
      </c>
      <c r="AN302" s="79">
        <v>0.7</v>
      </c>
      <c r="AO302" s="79">
        <v>0.75</v>
      </c>
      <c r="AP302" s="79">
        <v>0.81</v>
      </c>
      <c r="AQ302" s="79">
        <v>0.88</v>
      </c>
    </row>
    <row r="303" spans="1:45" ht="14.4" thickBot="1" x14ac:dyDescent="0.3">
      <c r="B303" s="28" t="s">
        <v>1239</v>
      </c>
      <c r="C303" s="43" t="str">
        <f>_xlfn.XLOOKUP(C299,武器库!$B:$B,武器库!$E:$E,"")</f>
        <v>法术伤害+19.2</v>
      </c>
      <c r="D303" s="43" t="str">
        <f>VLOOKUP(D299,护甲库!$A:$M,4+D300*3,FALSE)</f>
        <v>充能16.7</v>
      </c>
      <c r="E303" s="43" t="str">
        <f>VLOOKUP(E299,护手库!$A:$M,4+E300*3,FALSE)</f>
        <v>灼自伤24.9</v>
      </c>
      <c r="F303" s="43" t="str">
        <f>VLOOKUP(F299,配件库!$A:$M,4+F300*3,FALSE)</f>
        <v>战技53.8</v>
      </c>
      <c r="G303" s="43" t="str">
        <f>VLOOKUP(G299,配件库!$A:$M,4+G300*3,FALSE)</f>
        <v>战技53.8</v>
      </c>
      <c r="H303" s="9"/>
      <c r="J303" s="29"/>
      <c r="Q303" s="28" t="s">
        <v>962</v>
      </c>
      <c r="R303" t="s">
        <v>967</v>
      </c>
      <c r="S303" s="29"/>
      <c r="AE303" s="78" t="s">
        <v>660</v>
      </c>
      <c r="AF303" s="79">
        <v>0.53</v>
      </c>
      <c r="AG303" s="79">
        <v>0.57999999999999996</v>
      </c>
      <c r="AH303" s="79">
        <v>0.64</v>
      </c>
      <c r="AI303" s="79">
        <v>0.69</v>
      </c>
      <c r="AJ303" s="79">
        <v>0.74</v>
      </c>
      <c r="AK303" s="79">
        <v>0.8</v>
      </c>
      <c r="AL303" s="79">
        <v>0.85</v>
      </c>
      <c r="AM303" s="79">
        <v>0.9</v>
      </c>
      <c r="AN303" s="79">
        <v>0.95</v>
      </c>
      <c r="AO303" s="79">
        <v>1.02</v>
      </c>
      <c r="AP303" s="79">
        <v>1.1000000000000001</v>
      </c>
      <c r="AQ303" s="79">
        <v>1.19</v>
      </c>
    </row>
    <row r="304" spans="1:45" ht="14.4" thickBot="1" x14ac:dyDescent="0.3">
      <c r="B304" s="28" t="s">
        <v>1240</v>
      </c>
      <c r="C304" t="str">
        <f>_xlfn.XLOOKUP(C299,武器库!$B:$B,武器库!$F:$F,"")</f>
        <v>装备者施加燃烧或导电后，法术+伤害+19.2，源石技艺强度+40，持续15秒。</v>
      </c>
      <c r="D304" s="22"/>
      <c r="F304" s="22"/>
      <c r="G304" s="9"/>
      <c r="H304" s="9"/>
      <c r="J304" s="29"/>
      <c r="Q304" s="28"/>
      <c r="S304" s="29"/>
      <c r="AE304" s="78" t="s">
        <v>131</v>
      </c>
      <c r="AF304" s="79">
        <v>4</v>
      </c>
      <c r="AG304" s="79">
        <v>4.4000000000000004</v>
      </c>
      <c r="AH304" s="79">
        <v>4.8</v>
      </c>
      <c r="AI304" s="79">
        <v>5.2</v>
      </c>
      <c r="AJ304" s="79">
        <v>5.6</v>
      </c>
      <c r="AK304" s="79">
        <v>6</v>
      </c>
      <c r="AL304" s="79">
        <v>6.4</v>
      </c>
      <c r="AM304" s="79">
        <v>6.8</v>
      </c>
      <c r="AN304" s="79">
        <v>7.2</v>
      </c>
      <c r="AO304" s="79">
        <v>7.7</v>
      </c>
      <c r="AP304" s="79">
        <v>8.3000000000000007</v>
      </c>
      <c r="AQ304" s="79">
        <v>9</v>
      </c>
    </row>
    <row r="305" spans="2:44" ht="14.4" thickBot="1" x14ac:dyDescent="0.3">
      <c r="B305" s="30" t="s">
        <v>1233</v>
      </c>
      <c r="C305" s="18" t="str">
        <f>VLOOKUP(H299,套装效果库!A:B,2,0)</f>
        <v>源石技艺30。当装备者施加燃烧后，灼热+伤害+50%，持续10秒，该效果无法叠加；当装备者施加腐蚀后，自然伤害+50%，持续10秒，该效果无法叠加。</v>
      </c>
      <c r="D305" s="19"/>
      <c r="E305" s="18"/>
      <c r="F305" s="19"/>
      <c r="G305" s="20"/>
      <c r="H305" s="20"/>
      <c r="I305" s="18"/>
      <c r="J305" s="31"/>
      <c r="Q305" s="28" t="s">
        <v>968</v>
      </c>
      <c r="S305" s="29" t="s">
        <v>966</v>
      </c>
      <c r="AE305" s="78" t="s">
        <v>132</v>
      </c>
      <c r="AF305" s="79">
        <v>0.8</v>
      </c>
      <c r="AG305" s="79">
        <v>0.88</v>
      </c>
      <c r="AH305" s="79">
        <v>0.96</v>
      </c>
      <c r="AI305" s="79">
        <v>1.04</v>
      </c>
      <c r="AJ305" s="79">
        <v>1.1200000000000001</v>
      </c>
      <c r="AK305" s="79">
        <v>1.2</v>
      </c>
      <c r="AL305" s="79">
        <v>1.28</v>
      </c>
      <c r="AM305" s="79">
        <v>1.36</v>
      </c>
      <c r="AN305" s="79">
        <v>1.44</v>
      </c>
      <c r="AO305" s="79">
        <v>1.54</v>
      </c>
      <c r="AP305" s="79">
        <v>1.66</v>
      </c>
      <c r="AQ305" s="79">
        <v>1.8</v>
      </c>
    </row>
    <row r="306" spans="2:44" x14ac:dyDescent="0.25">
      <c r="Q306" s="28"/>
      <c r="R306" t="s">
        <v>970</v>
      </c>
      <c r="S306" s="29"/>
    </row>
    <row r="307" spans="2:44" x14ac:dyDescent="0.25">
      <c r="Q307" s="28" t="s">
        <v>969</v>
      </c>
      <c r="R307" t="s">
        <v>971</v>
      </c>
      <c r="S307" s="29"/>
    </row>
    <row r="308" spans="2:44" x14ac:dyDescent="0.25">
      <c r="B308" s="17" t="s">
        <v>962</v>
      </c>
      <c r="C308" s="17" t="s">
        <v>990</v>
      </c>
      <c r="D308" s="17" t="s">
        <v>1054</v>
      </c>
      <c r="E308" s="17"/>
      <c r="F308" s="17"/>
      <c r="G308" s="17"/>
      <c r="H308" s="17"/>
      <c r="I308" s="17"/>
      <c r="K308" s="88" t="s">
        <v>195</v>
      </c>
      <c r="L308" s="17" t="s">
        <v>701</v>
      </c>
      <c r="M308" s="17" t="s">
        <v>157</v>
      </c>
      <c r="N308" s="17" t="s">
        <v>702</v>
      </c>
      <c r="O308" s="89" t="s">
        <v>158</v>
      </c>
      <c r="Q308" s="28"/>
      <c r="R308" t="s">
        <v>972</v>
      </c>
      <c r="S308" s="29"/>
      <c r="AE308" s="14" t="s">
        <v>76</v>
      </c>
      <c r="AF308" s="82" t="s">
        <v>1165</v>
      </c>
    </row>
    <row r="309" spans="2:44" x14ac:dyDescent="0.25">
      <c r="C309" s="21" t="s">
        <v>162</v>
      </c>
      <c r="D309" s="21" t="s">
        <v>106</v>
      </c>
      <c r="E309" s="43" t="s">
        <v>196</v>
      </c>
      <c r="F309" s="43" t="s">
        <v>1162</v>
      </c>
      <c r="G309" s="43" t="s">
        <v>1163</v>
      </c>
      <c r="H309" s="43" t="s">
        <v>651</v>
      </c>
      <c r="I309" s="43" t="s">
        <v>76</v>
      </c>
      <c r="J309" s="43" t="s">
        <v>644</v>
      </c>
      <c r="K309" t="s">
        <v>183</v>
      </c>
      <c r="L309" s="21" t="s">
        <v>645</v>
      </c>
      <c r="M309" s="21" t="s">
        <v>645</v>
      </c>
      <c r="N309" s="21" t="s">
        <v>645</v>
      </c>
      <c r="O309" s="21" t="s">
        <v>645</v>
      </c>
      <c r="Q309" s="28"/>
      <c r="R309" t="s">
        <v>973</v>
      </c>
      <c r="S309" s="29"/>
      <c r="AE309" s="15"/>
      <c r="AF309" s="82" t="s">
        <v>1166</v>
      </c>
      <c r="AG309" s="15"/>
      <c r="AH309" s="15"/>
      <c r="AI309" s="15"/>
      <c r="AJ309" s="15"/>
      <c r="AK309" s="15"/>
      <c r="AL309" s="15"/>
      <c r="AM309" s="15"/>
      <c r="AN309" s="15"/>
      <c r="AO309" s="15"/>
      <c r="AP309" s="15"/>
      <c r="AQ309" s="15"/>
    </row>
    <row r="310" spans="2:44" ht="14.4" thickBot="1" x14ac:dyDescent="0.3">
      <c r="B310" t="s">
        <v>164</v>
      </c>
      <c r="C310" s="21">
        <f>179+60+IF(I299&gt;=2,20,0)</f>
        <v>239</v>
      </c>
      <c r="D310" s="21">
        <f>123</f>
        <v>123</v>
      </c>
      <c r="E310" cm="1">
        <f t="array" ref="E310">SUM(IFERROR(
    VALUE(MID($C300:$G303,
             SEARCH(E309, $C300:$G303) + LEN(E309),
             10)) *
    ISNUMBER(SEARCH(E309,$C300:$G303)),
    0
))/100+IFERROR(
    MID($C305, SEARCH(E309, $C305) + LEN(E309), 2) / 100,
    0
)</f>
        <v>0</v>
      </c>
      <c r="F310" cm="1">
        <f t="array" ref="F310">SUM(IFERROR(
    VALUE(MID($C300:$G303,
             SEARCH(F309, $C300:$G303) + LEN(F309),
             10)) *
    ISNUMBER(SEARCH(F309,$C300:$G303)),
    0
))/100+IFERROR(
    MID($C305, SEARCH(F309, $C305) + LEN(F309), 2) / 100,
    0
)</f>
        <v>0</v>
      </c>
      <c r="G310" cm="1">
        <f t="array" ref="G310">SUM(IFERROR(
    VALUE(MID($C300:$G303,
             SEARCH(G309, $C300:$G303) + LEN(G309),
             10)) *
    ISNUMBER(SEARCH(G309,$C300:$G303)),
    0
))/100+IFERROR(
    MID($C305, SEARCH(G309, $C305) + LEN(G309), 2) / 100,
    0
)</f>
        <v>0.249</v>
      </c>
      <c r="H310" cm="1">
        <f t="array" ref="H310">SUM(IFERROR(
    VALUE(MID($C300:$G303,
             SEARCH(H309, $C300:$G303) + LEN(H309),
             10)) *
    ISNUMBER(SEARCH(H309,$C300:$G303)),
    0
))/100+IFERROR(
    MID($C305, SEARCH(H309, $C305) + LEN(H309), 2) / 100,
    0
)</f>
        <v>0.16699999999999998</v>
      </c>
      <c r="I310" cm="1">
        <f t="array" ref="I310">SUM(IFERROR(
    VALUE(MID($C300:$G303,
             SEARCH(I309, $C300:$G303) + LEN(I309),
             10)) *
    ISNUMBER(SEARCH(I309,$C300:$G303)),
    0
))/100+IFERROR(
    MID($C305, SEARCH(I309, $C305) + LEN(I309), 2) / 100,
    0
)</f>
        <v>1.0759999999999998</v>
      </c>
      <c r="J310" cm="1">
        <f t="array" ref="J310">SUM(IFERROR(
    VALUE(MID(C299:I305,
             FIND(J309, C299:I305) + LEN(J309),
             10)) *
    ISNUMBER(FIND(J309, C299:I305)),
    0
))/100</f>
        <v>0.78</v>
      </c>
      <c r="L310" s="23" cm="1">
        <f t="array" ref="L310:L316">_xlfn.XLOOKUP(L309,$AE$6:$AQ$6,AE299:AQ305,0,0,1)</f>
        <v>0.36</v>
      </c>
      <c r="M310" s="23" cm="1">
        <f t="array" ref="M310:M323">_xlfn.XLOOKUP(M309,$AE$6:$AQ$6,AE311:AQ324,0,0,1)</f>
        <v>1.4</v>
      </c>
      <c r="N310" s="23" t="str" cm="1">
        <f t="array" ref="N310:N315">_xlfn.XLOOKUP(N309,$AE$6:$AQ$6,AE329:AQ334,0,0,1)</f>
        <v>9s</v>
      </c>
      <c r="O310" s="23" cm="1">
        <f t="array" ref="O310:O315">_xlfn.XLOOKUP(O309,$AE$6:$AQ$6,AE339:AQ344,0,0,1)</f>
        <v>300</v>
      </c>
      <c r="Q310" s="28"/>
      <c r="S310" s="29" t="s">
        <v>974</v>
      </c>
      <c r="AE310" s="14"/>
      <c r="AF310" s="82" t="s">
        <v>1167</v>
      </c>
      <c r="AG310" s="16"/>
      <c r="AH310" s="16"/>
      <c r="AI310" s="16"/>
      <c r="AJ310" s="16"/>
      <c r="AK310" s="16"/>
      <c r="AL310" s="16"/>
      <c r="AM310" s="16"/>
      <c r="AN310" s="16"/>
      <c r="AO310" s="16"/>
      <c r="AP310" s="16"/>
      <c r="AQ310" s="16"/>
    </row>
    <row r="311" spans="2:44" ht="14.4" thickBot="1" x14ac:dyDescent="0.3">
      <c r="B311" s="22" t="s">
        <v>165</v>
      </c>
      <c r="C311" cm="1">
        <f t="array" ref="C311">SUM(IFERROR(
    VALUE(MID($C300:$G303,
             FIND(C309, $C300:$G303) + LEN(C309),
             10)) *
    ISNUMBER(FIND(C309, $C300:$G303)),
    0
))+SUM(IFERROR(
    VALUE(MID($C300:$G303,
             FIND(C308, $C300:$G303) + LEN(C308),
             10)) *
    ISNUMBER(FIND(C308, $C300:$G303)),
    0
))+IFERROR(
    MID($C305, SEARCH(C309, $C305) + LEN(C309), 2) / 100,
    0
)+IFERROR(
    MID($C305, SEARCH(C308, $C305) + LEN(C308), 2) / 100,
    0
)</f>
        <v>471</v>
      </c>
      <c r="D311" cm="1">
        <f t="array" ref="D311">SUM(IFERROR(
    VALUE(MID($C300:$G303,
             FIND(D309, $C300:$G303) + LEN(D309),
             10)) *
    ISNUMBER(FIND(D309, $C300:$G303)),
    0
))+SUM(IFERROR(
    VALUE(MID($C300:$G303,
             FIND(D308, $C300:$G303) + LEN(D308),
             10)) *
    ISNUMBER(FIND(D308, $C300:$G303)),
    0
))+IFERROR(
    MID($C305, SEARCH(D309, $C305) + LEN(D309), 2) / 100,
    0
)+IFERROR(
    MID($C305, SEARCH(D308, $C305) + LEN(D308), 2) / 100,
    0
)</f>
        <v>55</v>
      </c>
      <c r="L311">
        <v>0.54</v>
      </c>
      <c r="M311">
        <v>10</v>
      </c>
      <c r="N311">
        <v>5.4</v>
      </c>
      <c r="O311">
        <v>15</v>
      </c>
      <c r="Q311" s="28"/>
      <c r="S311" s="29" t="s">
        <v>975</v>
      </c>
      <c r="AE311" s="78" t="s">
        <v>1168</v>
      </c>
      <c r="AF311" s="79">
        <v>0.62</v>
      </c>
      <c r="AG311" s="79">
        <v>0.68</v>
      </c>
      <c r="AH311" s="79">
        <v>0.75</v>
      </c>
      <c r="AI311" s="79">
        <v>0.81</v>
      </c>
      <c r="AJ311" s="79">
        <v>0.87</v>
      </c>
      <c r="AK311" s="79">
        <v>0.93</v>
      </c>
      <c r="AL311" s="79">
        <v>0.99</v>
      </c>
      <c r="AM311" s="79">
        <v>1.06</v>
      </c>
      <c r="AN311" s="79">
        <v>1.1200000000000001</v>
      </c>
      <c r="AO311" s="79">
        <v>1.2</v>
      </c>
      <c r="AP311" s="79">
        <v>1.29</v>
      </c>
      <c r="AQ311" s="79">
        <v>1.4</v>
      </c>
    </row>
    <row r="312" spans="2:44" ht="14.4" thickBot="1" x14ac:dyDescent="0.3">
      <c r="B312" s="22" t="s">
        <v>166</v>
      </c>
      <c r="C312" s="12" cm="1">
        <f t="array" ref="C312">ROUNDUP(SUM(C310:C311)*(1+IF(LEN(TRIM(LEFT(C308,3)))=0, 0,
   SUMPRODUCT(
       IFERROR(
           VALUE(MID($C300:$G303,
                   SEARCH(LEFT(C308,3), $C300:$G303) + 3,
                   10)) *
           ISNUMBER(SEARCH(LEFT(C308,3), $C300:$G303)),
           0
       )
   )+IFERROR(
    MID($C305, SEARCH(C309, $C305) + LEN(C309), 2) / 100,
    0
)
)/100),0)</f>
        <v>710</v>
      </c>
      <c r="D312" s="12" cm="1">
        <f t="array" ref="D312">ROUNDUP(SUM(D310:D311)*(1+IF(LEN(TRIM(LEFT(D308,3)))=0, 0,
   SUMPRODUCT(
       IFERROR(
           VALUE(MID($C300:$G303,
                   SEARCH(LEFT(D308,3), $C300:$G303) + 3,
                   10)) *
           ISNUMBER(SEARCH(LEFT(D308,3), $C300:$G303)),
           0
       )
   )+IFERROR(
    MID($C305, SEARCH(D309, $C305) + LEN(D309), 2) / 100,
    0
)
)/100),0)</f>
        <v>178</v>
      </c>
      <c r="L312">
        <v>0.56000000000000005</v>
      </c>
      <c r="M312">
        <v>0.14000000000000001</v>
      </c>
      <c r="N312">
        <v>10</v>
      </c>
      <c r="O312">
        <v>1.46</v>
      </c>
      <c r="Q312" s="30"/>
      <c r="R312" s="18"/>
      <c r="S312" s="31" t="s">
        <v>976</v>
      </c>
      <c r="AE312" s="78" t="s">
        <v>1169</v>
      </c>
      <c r="AF312" s="80">
        <v>10</v>
      </c>
      <c r="AG312" s="80">
        <v>10</v>
      </c>
      <c r="AH312" s="80">
        <v>10</v>
      </c>
      <c r="AI312" s="80">
        <v>10</v>
      </c>
      <c r="AJ312" s="80">
        <v>10</v>
      </c>
      <c r="AK312" s="80">
        <v>10</v>
      </c>
      <c r="AL312" s="80">
        <v>10</v>
      </c>
      <c r="AM312" s="80">
        <v>10</v>
      </c>
      <c r="AN312" s="80">
        <v>10</v>
      </c>
      <c r="AO312" s="80">
        <v>10</v>
      </c>
      <c r="AP312" s="80">
        <v>10</v>
      </c>
      <c r="AQ312" s="80">
        <v>10</v>
      </c>
    </row>
    <row r="313" spans="2:44" ht="14.4" thickBot="1" x14ac:dyDescent="0.3">
      <c r="B313" s="85" t="s">
        <v>93</v>
      </c>
      <c r="C313" s="86">
        <f>C312*0.005+D312*0.002</f>
        <v>3.9060000000000001</v>
      </c>
      <c r="D313" s="87"/>
      <c r="E313" s="86"/>
      <c r="F313" s="86"/>
      <c r="G313" s="86"/>
      <c r="H313" s="86"/>
      <c r="I313" s="86"/>
      <c r="L313">
        <v>0.88</v>
      </c>
      <c r="M313">
        <v>7.7</v>
      </c>
      <c r="N313">
        <v>25</v>
      </c>
      <c r="O313">
        <v>1.82</v>
      </c>
      <c r="AE313" s="78" t="s">
        <v>1170</v>
      </c>
      <c r="AF313" s="79">
        <v>0.06</v>
      </c>
      <c r="AG313" s="79">
        <v>7.0000000000000007E-2</v>
      </c>
      <c r="AH313" s="79">
        <v>0.08</v>
      </c>
      <c r="AI313" s="79">
        <v>0.08</v>
      </c>
      <c r="AJ313" s="79">
        <v>0.09</v>
      </c>
      <c r="AK313" s="79">
        <v>0.09</v>
      </c>
      <c r="AL313" s="79">
        <v>0.1</v>
      </c>
      <c r="AM313" s="79">
        <v>0.11</v>
      </c>
      <c r="AN313" s="79">
        <v>0.11</v>
      </c>
      <c r="AO313" s="79">
        <v>0.12</v>
      </c>
      <c r="AP313" s="79">
        <v>0.13</v>
      </c>
      <c r="AQ313" s="79">
        <v>0.14000000000000001</v>
      </c>
      <c r="AR313" t="s">
        <v>1202</v>
      </c>
    </row>
    <row r="314" spans="2:44" ht="14.4" thickBot="1" x14ac:dyDescent="0.3">
      <c r="L314">
        <v>1.19</v>
      </c>
      <c r="M314">
        <v>10</v>
      </c>
      <c r="N314">
        <v>30</v>
      </c>
      <c r="O314">
        <v>2.6</v>
      </c>
      <c r="AE314" s="78" t="s">
        <v>1171</v>
      </c>
      <c r="AF314" s="79">
        <v>3.42</v>
      </c>
      <c r="AG314" s="79">
        <v>3.76</v>
      </c>
      <c r="AH314" s="79">
        <v>4.0999999999999996</v>
      </c>
      <c r="AI314" s="79">
        <v>4.45</v>
      </c>
      <c r="AJ314" s="79">
        <v>4.79</v>
      </c>
      <c r="AK314" s="79">
        <v>5.13</v>
      </c>
      <c r="AL314" s="79">
        <v>5.47</v>
      </c>
      <c r="AM314" s="79">
        <v>5.81</v>
      </c>
      <c r="AN314" s="79">
        <v>6.16</v>
      </c>
      <c r="AO314" s="79">
        <v>6.58</v>
      </c>
      <c r="AP314" s="79">
        <v>7.1</v>
      </c>
      <c r="AQ314" s="79">
        <v>7.7</v>
      </c>
    </row>
    <row r="315" spans="2:44" ht="14.4" thickBot="1" x14ac:dyDescent="0.3">
      <c r="L315">
        <v>9</v>
      </c>
      <c r="M315">
        <v>5</v>
      </c>
      <c r="N315">
        <v>35</v>
      </c>
      <c r="O315">
        <v>4.5599999999999996</v>
      </c>
      <c r="AE315" s="78" t="s">
        <v>1172</v>
      </c>
      <c r="AF315" s="80">
        <v>10</v>
      </c>
      <c r="AG315" s="80">
        <v>10</v>
      </c>
      <c r="AH315" s="80">
        <v>10</v>
      </c>
      <c r="AI315" s="80">
        <v>10</v>
      </c>
      <c r="AJ315" s="80">
        <v>10</v>
      </c>
      <c r="AK315" s="80">
        <v>10</v>
      </c>
      <c r="AL315" s="80">
        <v>10</v>
      </c>
      <c r="AM315" s="80">
        <v>10</v>
      </c>
      <c r="AN315" s="80">
        <v>10</v>
      </c>
      <c r="AO315" s="80">
        <v>10</v>
      </c>
      <c r="AP315" s="80">
        <v>10</v>
      </c>
      <c r="AQ315" s="80">
        <v>10</v>
      </c>
    </row>
    <row r="316" spans="2:44" ht="13.8" customHeight="1" thickBot="1" x14ac:dyDescent="0.3">
      <c r="E316" s="12"/>
      <c r="G316" s="12"/>
      <c r="L316">
        <v>1.8</v>
      </c>
      <c r="M316">
        <v>100</v>
      </c>
      <c r="AE316" s="78" t="s">
        <v>1173</v>
      </c>
      <c r="AF316" s="80">
        <v>5</v>
      </c>
      <c r="AG316" s="80">
        <v>5</v>
      </c>
      <c r="AH316" s="80">
        <v>5</v>
      </c>
      <c r="AI316" s="80">
        <v>5</v>
      </c>
      <c r="AJ316" s="80">
        <v>5</v>
      </c>
      <c r="AK316" s="80">
        <v>5</v>
      </c>
      <c r="AL316" s="80">
        <v>5</v>
      </c>
      <c r="AM316" s="80">
        <v>5</v>
      </c>
      <c r="AN316" s="80">
        <v>5</v>
      </c>
      <c r="AO316" s="80">
        <v>5</v>
      </c>
      <c r="AP316" s="80">
        <v>5</v>
      </c>
      <c r="AQ316" s="80">
        <v>5</v>
      </c>
    </row>
    <row r="317" spans="2:44" ht="14.4" thickBot="1" x14ac:dyDescent="0.3">
      <c r="C317" s="22"/>
      <c r="M317">
        <v>3.3</v>
      </c>
      <c r="AE317" s="78" t="s">
        <v>1174</v>
      </c>
      <c r="AF317" s="80">
        <v>100</v>
      </c>
      <c r="AG317" s="80">
        <v>100</v>
      </c>
      <c r="AH317" s="80">
        <v>100</v>
      </c>
      <c r="AI317" s="80">
        <v>100</v>
      </c>
      <c r="AJ317" s="80">
        <v>100</v>
      </c>
      <c r="AK317" s="80">
        <v>100</v>
      </c>
      <c r="AL317" s="80">
        <v>100</v>
      </c>
      <c r="AM317" s="80">
        <v>100</v>
      </c>
      <c r="AN317" s="80">
        <v>100</v>
      </c>
      <c r="AO317" s="80">
        <v>100</v>
      </c>
      <c r="AP317" s="80">
        <v>100</v>
      </c>
      <c r="AQ317" s="80">
        <v>100</v>
      </c>
    </row>
    <row r="318" spans="2:44" ht="14.4" thickBot="1" x14ac:dyDescent="0.3">
      <c r="C318" s="22"/>
      <c r="M318">
        <v>10</v>
      </c>
      <c r="AE318" s="78" t="s">
        <v>1175</v>
      </c>
      <c r="AF318" s="79">
        <v>1.47</v>
      </c>
      <c r="AG318" s="79">
        <v>1.61</v>
      </c>
      <c r="AH318" s="79">
        <v>1.76</v>
      </c>
      <c r="AI318" s="79">
        <v>1.91</v>
      </c>
      <c r="AJ318" s="79">
        <v>2.0499999999999998</v>
      </c>
      <c r="AK318" s="79">
        <v>2.2000000000000002</v>
      </c>
      <c r="AL318" s="79">
        <v>2.35</v>
      </c>
      <c r="AM318" s="79">
        <v>2.4900000000000002</v>
      </c>
      <c r="AN318" s="79">
        <v>2.64</v>
      </c>
      <c r="AO318" s="79">
        <v>2.82</v>
      </c>
      <c r="AP318" s="79">
        <v>3.04</v>
      </c>
      <c r="AQ318" s="79">
        <v>3.3</v>
      </c>
    </row>
    <row r="319" spans="2:44" ht="14.4" thickBot="1" x14ac:dyDescent="0.3">
      <c r="C319" s="22"/>
      <c r="M319">
        <v>3.7</v>
      </c>
      <c r="AE319" s="78" t="s">
        <v>1176</v>
      </c>
      <c r="AF319" s="80">
        <v>10</v>
      </c>
      <c r="AG319" s="80">
        <v>10</v>
      </c>
      <c r="AH319" s="80">
        <v>10</v>
      </c>
      <c r="AI319" s="80">
        <v>10</v>
      </c>
      <c r="AJ319" s="80">
        <v>10</v>
      </c>
      <c r="AK319" s="80">
        <v>10</v>
      </c>
      <c r="AL319" s="80">
        <v>10</v>
      </c>
      <c r="AM319" s="80">
        <v>10</v>
      </c>
      <c r="AN319" s="80">
        <v>10</v>
      </c>
      <c r="AO319" s="80">
        <v>10</v>
      </c>
      <c r="AP319" s="80">
        <v>10</v>
      </c>
      <c r="AQ319" s="80">
        <v>10</v>
      </c>
    </row>
    <row r="320" spans="2:44" ht="14.4" thickBot="1" x14ac:dyDescent="0.3">
      <c r="C320" s="22"/>
      <c r="M320">
        <v>10</v>
      </c>
      <c r="AE320" s="78" t="s">
        <v>1177</v>
      </c>
      <c r="AF320" s="79">
        <v>1.64</v>
      </c>
      <c r="AG320" s="79">
        <v>1.81</v>
      </c>
      <c r="AH320" s="79">
        <v>1.97</v>
      </c>
      <c r="AI320" s="79">
        <v>2.14</v>
      </c>
      <c r="AJ320" s="79">
        <v>2.2999999999999998</v>
      </c>
      <c r="AK320" s="79">
        <v>2.4700000000000002</v>
      </c>
      <c r="AL320" s="79">
        <v>2.63</v>
      </c>
      <c r="AM320" s="79">
        <v>2.79</v>
      </c>
      <c r="AN320" s="79">
        <v>2.96</v>
      </c>
      <c r="AO320" s="79">
        <v>3.16</v>
      </c>
      <c r="AP320" s="79">
        <v>3.41</v>
      </c>
      <c r="AQ320" s="79">
        <v>3.7</v>
      </c>
    </row>
    <row r="321" spans="1:43" ht="14.4" thickBot="1" x14ac:dyDescent="0.3">
      <c r="C321" s="22"/>
      <c r="M321">
        <v>9</v>
      </c>
      <c r="AE321" s="78" t="s">
        <v>1178</v>
      </c>
      <c r="AF321" s="80">
        <v>10</v>
      </c>
      <c r="AG321" s="80">
        <v>10</v>
      </c>
      <c r="AH321" s="80">
        <v>10</v>
      </c>
      <c r="AI321" s="80">
        <v>10</v>
      </c>
      <c r="AJ321" s="80">
        <v>10</v>
      </c>
      <c r="AK321" s="80">
        <v>10</v>
      </c>
      <c r="AL321" s="80">
        <v>10</v>
      </c>
      <c r="AM321" s="80">
        <v>10</v>
      </c>
      <c r="AN321" s="80">
        <v>10</v>
      </c>
      <c r="AO321" s="80">
        <v>10</v>
      </c>
      <c r="AP321" s="80">
        <v>10</v>
      </c>
      <c r="AQ321" s="80">
        <v>10</v>
      </c>
    </row>
    <row r="322" spans="1:43" ht="14.4" thickBot="1" x14ac:dyDescent="0.3">
      <c r="M322">
        <v>10</v>
      </c>
      <c r="AE322" s="78" t="s">
        <v>1179</v>
      </c>
      <c r="AF322" s="79">
        <v>4</v>
      </c>
      <c r="AG322" s="79">
        <v>4.4000000000000004</v>
      </c>
      <c r="AH322" s="79">
        <v>4.8</v>
      </c>
      <c r="AI322" s="79">
        <v>5.2</v>
      </c>
      <c r="AJ322" s="79">
        <v>5.6</v>
      </c>
      <c r="AK322" s="79">
        <v>6</v>
      </c>
      <c r="AL322" s="79">
        <v>6.4</v>
      </c>
      <c r="AM322" s="79">
        <v>6.8</v>
      </c>
      <c r="AN322" s="79">
        <v>7.2</v>
      </c>
      <c r="AO322" s="79">
        <v>7.7</v>
      </c>
      <c r="AP322" s="79">
        <v>8.3000000000000007</v>
      </c>
      <c r="AQ322" s="79">
        <v>9</v>
      </c>
    </row>
    <row r="323" spans="1:43" ht="14.4" thickBot="1" x14ac:dyDescent="0.3">
      <c r="A323" s="42"/>
      <c r="C323" s="22"/>
      <c r="M323">
        <v>5</v>
      </c>
      <c r="AE323" s="78" t="s">
        <v>1180</v>
      </c>
      <c r="AF323" s="80">
        <v>10</v>
      </c>
      <c r="AG323" s="80">
        <v>10</v>
      </c>
      <c r="AH323" s="80">
        <v>10</v>
      </c>
      <c r="AI323" s="80">
        <v>10</v>
      </c>
      <c r="AJ323" s="80">
        <v>10</v>
      </c>
      <c r="AK323" s="80">
        <v>10</v>
      </c>
      <c r="AL323" s="80">
        <v>10</v>
      </c>
      <c r="AM323" s="80">
        <v>10</v>
      </c>
      <c r="AN323" s="80">
        <v>10</v>
      </c>
      <c r="AO323" s="80">
        <v>10</v>
      </c>
      <c r="AP323" s="80">
        <v>10</v>
      </c>
      <c r="AQ323" s="80">
        <v>10</v>
      </c>
    </row>
    <row r="324" spans="1:43" x14ac:dyDescent="0.25">
      <c r="A324" s="42"/>
      <c r="C324" s="22"/>
      <c r="AE324" s="78" t="s">
        <v>1181</v>
      </c>
      <c r="AF324" s="80">
        <v>5</v>
      </c>
      <c r="AG324" s="80">
        <v>5</v>
      </c>
      <c r="AH324" s="80">
        <v>5</v>
      </c>
      <c r="AI324" s="80">
        <v>5</v>
      </c>
      <c r="AJ324" s="80">
        <v>5</v>
      </c>
      <c r="AK324" s="80">
        <v>5</v>
      </c>
      <c r="AL324" s="80">
        <v>5</v>
      </c>
      <c r="AM324" s="80">
        <v>5</v>
      </c>
      <c r="AN324" s="80">
        <v>5</v>
      </c>
      <c r="AO324" s="80">
        <v>5</v>
      </c>
      <c r="AP324" s="80">
        <v>5</v>
      </c>
      <c r="AQ324" s="80">
        <v>5</v>
      </c>
    </row>
    <row r="325" spans="1:43" x14ac:dyDescent="0.25">
      <c r="A325" s="42"/>
      <c r="C325" s="22"/>
      <c r="AE325" s="14"/>
      <c r="AF325" s="14"/>
      <c r="AG325" s="14"/>
      <c r="AH325" s="14"/>
      <c r="AI325" s="14"/>
      <c r="AJ325" s="14"/>
      <c r="AK325" s="14"/>
      <c r="AL325" s="14"/>
      <c r="AM325" s="14"/>
      <c r="AN325" s="14"/>
      <c r="AO325" s="14"/>
      <c r="AP325" s="14"/>
      <c r="AQ325" s="14"/>
    </row>
    <row r="326" spans="1:43" x14ac:dyDescent="0.25">
      <c r="A326" s="42"/>
      <c r="C326" s="22"/>
      <c r="AE326" s="42" t="s">
        <v>1182</v>
      </c>
      <c r="AF326" s="82" t="s">
        <v>1183</v>
      </c>
    </row>
    <row r="327" spans="1:43" ht="14.4" thickBot="1" x14ac:dyDescent="0.3">
      <c r="A327" s="42"/>
      <c r="C327" s="28" t="s">
        <v>978</v>
      </c>
      <c r="E327" s="61" t="s">
        <v>755</v>
      </c>
      <c r="F327" s="61"/>
      <c r="G327" s="61"/>
      <c r="H327" s="61"/>
      <c r="I327" s="61"/>
      <c r="J327" s="127" t="s">
        <v>785</v>
      </c>
      <c r="K327" s="127"/>
      <c r="L327" s="127"/>
      <c r="M327" s="127"/>
      <c r="N327" s="63" t="s">
        <v>154</v>
      </c>
      <c r="O327" s="63"/>
      <c r="P327" s="63"/>
      <c r="Q327" s="63"/>
      <c r="R327" s="63"/>
      <c r="S327" s="63"/>
      <c r="T327" s="8" t="s">
        <v>161</v>
      </c>
      <c r="U327" s="8"/>
      <c r="V327" s="8"/>
      <c r="W327" s="8"/>
      <c r="X327" s="8"/>
      <c r="Y327" s="8"/>
      <c r="Z327" s="8"/>
      <c r="AF327" s="82" t="s">
        <v>1184</v>
      </c>
    </row>
    <row r="328" spans="1:43" ht="14.4" thickBot="1" x14ac:dyDescent="0.3">
      <c r="A328" s="42"/>
      <c r="B328" t="s">
        <v>695</v>
      </c>
      <c r="C328" s="17" t="s">
        <v>704</v>
      </c>
      <c r="D328" s="17" t="s">
        <v>991</v>
      </c>
      <c r="E328" s="52" t="s">
        <v>92</v>
      </c>
      <c r="F328" s="52" t="s">
        <v>94</v>
      </c>
      <c r="G328" s="52" t="s">
        <v>95</v>
      </c>
      <c r="H328" s="52" t="s">
        <v>93</v>
      </c>
      <c r="I328" s="52" t="s">
        <v>96</v>
      </c>
      <c r="J328" s="64" t="s">
        <v>688</v>
      </c>
      <c r="K328" s="64" t="s">
        <v>689</v>
      </c>
      <c r="L328" s="64" t="s">
        <v>690</v>
      </c>
      <c r="M328" s="64" t="s">
        <v>163</v>
      </c>
      <c r="N328" s="64" t="s">
        <v>707</v>
      </c>
      <c r="O328" s="64" t="s">
        <v>153</v>
      </c>
      <c r="P328" s="64" t="s">
        <v>76</v>
      </c>
      <c r="Q328" s="64" t="s">
        <v>77</v>
      </c>
      <c r="R328" s="64" t="s">
        <v>78</v>
      </c>
      <c r="S328" s="64" t="s">
        <v>703</v>
      </c>
      <c r="T328" s="64" t="s">
        <v>83</v>
      </c>
      <c r="U328" s="64" t="s">
        <v>80</v>
      </c>
      <c r="V328" s="64" t="s">
        <v>79</v>
      </c>
      <c r="W328" s="64" t="s">
        <v>691</v>
      </c>
      <c r="X328" s="64" t="s">
        <v>694</v>
      </c>
      <c r="Y328" s="64" t="s">
        <v>693</v>
      </c>
      <c r="Z328" s="64" t="s">
        <v>692</v>
      </c>
      <c r="AE328" s="14"/>
      <c r="AF328" s="82" t="s">
        <v>1185</v>
      </c>
    </row>
    <row r="329" spans="1:43" ht="14.4" thickBot="1" x14ac:dyDescent="0.3">
      <c r="A329" s="42"/>
      <c r="B329" t="s">
        <v>1197</v>
      </c>
      <c r="E329" s="21">
        <f>318+510</f>
        <v>828</v>
      </c>
      <c r="F329" s="43">
        <f>E310</f>
        <v>0</v>
      </c>
      <c r="G329" s="43"/>
      <c r="H329">
        <f>C313</f>
        <v>3.9060000000000001</v>
      </c>
      <c r="I329">
        <f>(E329*(1+F329)+G329)*(H329+1)</f>
        <v>4062.1680000000006</v>
      </c>
      <c r="K329" s="43"/>
      <c r="L329" s="43"/>
      <c r="M329" s="43">
        <f>J310</f>
        <v>0.78</v>
      </c>
      <c r="N329" s="43">
        <f>F310+G310</f>
        <v>0.249</v>
      </c>
      <c r="O329" s="43">
        <f>IF(I299&gt;=2,0.15,0)</f>
        <v>0</v>
      </c>
      <c r="P329" s="43">
        <f>I310</f>
        <v>1.0759999999999998</v>
      </c>
      <c r="Q329" s="43"/>
      <c r="R329" s="43"/>
      <c r="AE329" s="78" t="s">
        <v>137</v>
      </c>
      <c r="AF329" s="80" t="s">
        <v>1186</v>
      </c>
      <c r="AG329" s="80" t="s">
        <v>1186</v>
      </c>
      <c r="AH329" s="80" t="s">
        <v>1186</v>
      </c>
      <c r="AI329" s="80" t="s">
        <v>1186</v>
      </c>
      <c r="AJ329" s="80" t="s">
        <v>1186</v>
      </c>
      <c r="AK329" s="80" t="s">
        <v>1186</v>
      </c>
      <c r="AL329" s="80" t="s">
        <v>1186</v>
      </c>
      <c r="AM329" s="80" t="s">
        <v>1186</v>
      </c>
      <c r="AN329" s="80" t="s">
        <v>1186</v>
      </c>
      <c r="AO329" s="80" t="s">
        <v>1186</v>
      </c>
      <c r="AP329" s="80" t="s">
        <v>1186</v>
      </c>
      <c r="AQ329" s="80" t="s">
        <v>138</v>
      </c>
    </row>
    <row r="330" spans="1:43" ht="14.4" thickBot="1" x14ac:dyDescent="0.3">
      <c r="A330" s="42"/>
      <c r="C330" t="s">
        <v>1207</v>
      </c>
      <c r="D330" t="s">
        <v>805</v>
      </c>
      <c r="E330">
        <f>E329</f>
        <v>828</v>
      </c>
      <c r="F330">
        <f>F329</f>
        <v>0</v>
      </c>
      <c r="G330">
        <f>G329</f>
        <v>0</v>
      </c>
      <c r="H330">
        <f>H329</f>
        <v>3.9060000000000001</v>
      </c>
      <c r="I330">
        <f t="shared" ref="I330:I332" si="59">(E330*(1+F330)+G330)*(H330+1)</f>
        <v>4062.1680000000006</v>
      </c>
      <c r="J330">
        <f>SUM(L310:L314)</f>
        <v>3.53</v>
      </c>
      <c r="K330">
        <f t="shared" ref="K330:R341" si="60">K329</f>
        <v>0</v>
      </c>
      <c r="L330">
        <f t="shared" si="60"/>
        <v>0</v>
      </c>
      <c r="M330">
        <f t="shared" si="60"/>
        <v>0.78</v>
      </c>
      <c r="N330">
        <f t="shared" si="60"/>
        <v>0.249</v>
      </c>
      <c r="O330">
        <f t="shared" si="60"/>
        <v>0</v>
      </c>
      <c r="P330">
        <f t="shared" si="60"/>
        <v>1.0759999999999998</v>
      </c>
      <c r="Q330">
        <f t="shared" si="60"/>
        <v>0</v>
      </c>
      <c r="R330">
        <f t="shared" si="60"/>
        <v>0</v>
      </c>
      <c r="T330">
        <f>T329</f>
        <v>0</v>
      </c>
      <c r="U330">
        <f t="shared" ref="U330:X341" si="61">U329</f>
        <v>0</v>
      </c>
      <c r="V330">
        <f t="shared" si="61"/>
        <v>0</v>
      </c>
      <c r="W330">
        <f t="shared" si="61"/>
        <v>0</v>
      </c>
      <c r="X330">
        <f t="shared" si="61"/>
        <v>0</v>
      </c>
      <c r="AE330" s="78" t="s">
        <v>160</v>
      </c>
      <c r="AF330" s="79">
        <v>2.4</v>
      </c>
      <c r="AG330" s="79">
        <v>2.64</v>
      </c>
      <c r="AH330" s="79">
        <v>2.88</v>
      </c>
      <c r="AI330" s="79">
        <v>3.12</v>
      </c>
      <c r="AJ330" s="79">
        <v>3.36</v>
      </c>
      <c r="AK330" s="79">
        <v>3.6</v>
      </c>
      <c r="AL330" s="79">
        <v>3.84</v>
      </c>
      <c r="AM330" s="79">
        <v>4.08</v>
      </c>
      <c r="AN330" s="79">
        <v>4.32</v>
      </c>
      <c r="AO330" s="79">
        <v>4.62</v>
      </c>
      <c r="AP330" s="79">
        <v>4.9800000000000004</v>
      </c>
      <c r="AQ330" s="79">
        <v>5.4</v>
      </c>
    </row>
    <row r="331" spans="1:43" ht="14.4" thickBot="1" x14ac:dyDescent="0.3">
      <c r="A331" s="42"/>
      <c r="C331" t="s">
        <v>1198</v>
      </c>
      <c r="D331" t="s">
        <v>805</v>
      </c>
      <c r="E331">
        <f t="shared" ref="E331:H341" si="62">E330</f>
        <v>828</v>
      </c>
      <c r="F331">
        <f t="shared" si="62"/>
        <v>0</v>
      </c>
      <c r="G331">
        <f t="shared" si="62"/>
        <v>0</v>
      </c>
      <c r="H331">
        <f t="shared" si="62"/>
        <v>3.9060000000000001</v>
      </c>
      <c r="I331">
        <f t="shared" si="59"/>
        <v>4062.1680000000006</v>
      </c>
      <c r="J331">
        <f>SUM(L310:L313)</f>
        <v>2.34</v>
      </c>
      <c r="K331">
        <f t="shared" si="60"/>
        <v>0</v>
      </c>
      <c r="L331">
        <f t="shared" si="60"/>
        <v>0</v>
      </c>
      <c r="M331">
        <f t="shared" si="60"/>
        <v>0.78</v>
      </c>
      <c r="N331">
        <f t="shared" si="60"/>
        <v>0.249</v>
      </c>
      <c r="O331">
        <f t="shared" si="60"/>
        <v>0</v>
      </c>
      <c r="P331">
        <f t="shared" si="60"/>
        <v>1.0759999999999998</v>
      </c>
      <c r="Q331">
        <f t="shared" si="60"/>
        <v>0</v>
      </c>
      <c r="R331">
        <f t="shared" si="60"/>
        <v>0</v>
      </c>
      <c r="T331">
        <f t="shared" ref="T331:T341" si="63">T330</f>
        <v>0</v>
      </c>
      <c r="U331">
        <f t="shared" si="61"/>
        <v>0</v>
      </c>
      <c r="V331">
        <f t="shared" si="61"/>
        <v>0</v>
      </c>
      <c r="W331">
        <f t="shared" si="61"/>
        <v>0</v>
      </c>
      <c r="X331">
        <f t="shared" si="61"/>
        <v>0</v>
      </c>
      <c r="AE331" s="78" t="s">
        <v>155</v>
      </c>
      <c r="AF331" s="80">
        <v>10</v>
      </c>
      <c r="AG331" s="80">
        <v>10</v>
      </c>
      <c r="AH331" s="80">
        <v>10</v>
      </c>
      <c r="AI331" s="80">
        <v>10</v>
      </c>
      <c r="AJ331" s="80">
        <v>10</v>
      </c>
      <c r="AK331" s="80">
        <v>10</v>
      </c>
      <c r="AL331" s="80">
        <v>10</v>
      </c>
      <c r="AM331" s="80">
        <v>10</v>
      </c>
      <c r="AN331" s="80">
        <v>10</v>
      </c>
      <c r="AO331" s="80">
        <v>10</v>
      </c>
      <c r="AP331" s="80">
        <v>10</v>
      </c>
      <c r="AQ331" s="80">
        <v>10</v>
      </c>
    </row>
    <row r="332" spans="1:43" ht="14.4" thickBot="1" x14ac:dyDescent="0.3">
      <c r="A332" s="42"/>
      <c r="C332" t="s">
        <v>1199</v>
      </c>
      <c r="D332" t="s">
        <v>805</v>
      </c>
      <c r="E332">
        <f t="shared" si="62"/>
        <v>828</v>
      </c>
      <c r="F332">
        <f t="shared" si="62"/>
        <v>0</v>
      </c>
      <c r="G332">
        <f t="shared" si="62"/>
        <v>0</v>
      </c>
      <c r="H332">
        <f t="shared" si="62"/>
        <v>3.9060000000000001</v>
      </c>
      <c r="I332">
        <f t="shared" si="59"/>
        <v>4062.1680000000006</v>
      </c>
      <c r="J332">
        <f>L314</f>
        <v>1.19</v>
      </c>
      <c r="K332">
        <f t="shared" si="60"/>
        <v>0</v>
      </c>
      <c r="L332">
        <f t="shared" si="60"/>
        <v>0</v>
      </c>
      <c r="M332">
        <f t="shared" si="60"/>
        <v>0.78</v>
      </c>
      <c r="N332">
        <f t="shared" si="60"/>
        <v>0.249</v>
      </c>
      <c r="O332">
        <f t="shared" si="60"/>
        <v>0</v>
      </c>
      <c r="P332">
        <f t="shared" si="60"/>
        <v>1.0759999999999998</v>
      </c>
      <c r="Q332">
        <f t="shared" si="60"/>
        <v>0</v>
      </c>
      <c r="R332">
        <f t="shared" si="60"/>
        <v>0</v>
      </c>
      <c r="T332">
        <f t="shared" si="63"/>
        <v>0</v>
      </c>
      <c r="U332">
        <f t="shared" si="61"/>
        <v>0</v>
      </c>
      <c r="V332">
        <f t="shared" si="61"/>
        <v>0</v>
      </c>
      <c r="W332">
        <f t="shared" si="61"/>
        <v>0</v>
      </c>
      <c r="X332">
        <f t="shared" si="61"/>
        <v>0</v>
      </c>
      <c r="AE332" s="78" t="s">
        <v>1187</v>
      </c>
      <c r="AF332" s="80">
        <v>25</v>
      </c>
      <c r="AG332" s="80">
        <v>25</v>
      </c>
      <c r="AH332" s="80">
        <v>25</v>
      </c>
      <c r="AI332" s="80">
        <v>25</v>
      </c>
      <c r="AJ332" s="80">
        <v>25</v>
      </c>
      <c r="AK332" s="80">
        <v>25</v>
      </c>
      <c r="AL332" s="80">
        <v>25</v>
      </c>
      <c r="AM332" s="80">
        <v>25</v>
      </c>
      <c r="AN332" s="80">
        <v>25</v>
      </c>
      <c r="AO332" s="80">
        <v>25</v>
      </c>
      <c r="AP332" s="80">
        <v>25</v>
      </c>
      <c r="AQ332" s="80">
        <v>25</v>
      </c>
    </row>
    <row r="333" spans="1:43" ht="14.4" thickBot="1" x14ac:dyDescent="0.3">
      <c r="A333" s="42"/>
      <c r="C333" t="s">
        <v>1200</v>
      </c>
      <c r="D333" t="s">
        <v>805</v>
      </c>
      <c r="E333">
        <f t="shared" si="62"/>
        <v>828</v>
      </c>
      <c r="F333">
        <f t="shared" si="62"/>
        <v>0</v>
      </c>
      <c r="G333">
        <f t="shared" si="62"/>
        <v>0</v>
      </c>
      <c r="H333">
        <f t="shared" si="62"/>
        <v>3.9060000000000001</v>
      </c>
      <c r="I333">
        <f>(E333*(1+F333)+G333)*(H333+1)</f>
        <v>4062.1680000000006</v>
      </c>
      <c r="J333">
        <f>L315</f>
        <v>9</v>
      </c>
      <c r="K333">
        <f t="shared" si="60"/>
        <v>0</v>
      </c>
      <c r="L333">
        <f t="shared" si="60"/>
        <v>0</v>
      </c>
      <c r="M333">
        <f t="shared" si="60"/>
        <v>0.78</v>
      </c>
      <c r="N333">
        <f t="shared" si="60"/>
        <v>0.249</v>
      </c>
      <c r="O333">
        <f t="shared" si="60"/>
        <v>0</v>
      </c>
      <c r="P333">
        <f t="shared" si="60"/>
        <v>1.0759999999999998</v>
      </c>
      <c r="Q333">
        <f t="shared" si="60"/>
        <v>0</v>
      </c>
      <c r="R333">
        <f t="shared" si="60"/>
        <v>0</v>
      </c>
      <c r="T333">
        <f t="shared" si="63"/>
        <v>0</v>
      </c>
      <c r="U333">
        <f t="shared" si="61"/>
        <v>0</v>
      </c>
      <c r="V333">
        <f t="shared" si="61"/>
        <v>0</v>
      </c>
      <c r="W333">
        <f t="shared" si="61"/>
        <v>0</v>
      </c>
      <c r="X333">
        <f t="shared" si="61"/>
        <v>0</v>
      </c>
      <c r="AE333" s="78" t="s">
        <v>1188</v>
      </c>
      <c r="AF333" s="80">
        <v>30</v>
      </c>
      <c r="AG333" s="80">
        <v>30</v>
      </c>
      <c r="AH333" s="80">
        <v>30</v>
      </c>
      <c r="AI333" s="80">
        <v>30</v>
      </c>
      <c r="AJ333" s="80">
        <v>30</v>
      </c>
      <c r="AK333" s="80">
        <v>30</v>
      </c>
      <c r="AL333" s="80">
        <v>30</v>
      </c>
      <c r="AM333" s="80">
        <v>30</v>
      </c>
      <c r="AN333" s="80">
        <v>30</v>
      </c>
      <c r="AO333" s="80">
        <v>30</v>
      </c>
      <c r="AP333" s="80">
        <v>30</v>
      </c>
      <c r="AQ333" s="80">
        <v>30</v>
      </c>
    </row>
    <row r="334" spans="1:43" x14ac:dyDescent="0.25">
      <c r="A334" s="42"/>
      <c r="C334" t="s">
        <v>1201</v>
      </c>
      <c r="D334" t="s">
        <v>805</v>
      </c>
      <c r="E334">
        <f t="shared" si="62"/>
        <v>828</v>
      </c>
      <c r="F334">
        <f t="shared" si="62"/>
        <v>0</v>
      </c>
      <c r="G334">
        <f t="shared" si="62"/>
        <v>0</v>
      </c>
      <c r="H334">
        <f t="shared" si="62"/>
        <v>3.9060000000000001</v>
      </c>
      <c r="I334">
        <f t="shared" ref="I334:I341" si="64">(E334*(1+F334)+G334)*(H334+1)</f>
        <v>4062.1680000000006</v>
      </c>
      <c r="J334">
        <f>L316</f>
        <v>1.8</v>
      </c>
      <c r="K334">
        <f t="shared" si="60"/>
        <v>0</v>
      </c>
      <c r="L334">
        <f t="shared" si="60"/>
        <v>0</v>
      </c>
      <c r="M334">
        <f t="shared" si="60"/>
        <v>0.78</v>
      </c>
      <c r="N334">
        <f t="shared" si="60"/>
        <v>0.249</v>
      </c>
      <c r="O334">
        <f t="shared" si="60"/>
        <v>0</v>
      </c>
      <c r="P334">
        <f t="shared" si="60"/>
        <v>1.0759999999999998</v>
      </c>
      <c r="Q334">
        <f t="shared" si="60"/>
        <v>0</v>
      </c>
      <c r="R334">
        <f t="shared" si="60"/>
        <v>0</v>
      </c>
      <c r="T334">
        <f t="shared" si="63"/>
        <v>0</v>
      </c>
      <c r="U334">
        <f t="shared" si="61"/>
        <v>0</v>
      </c>
      <c r="V334">
        <f t="shared" si="61"/>
        <v>0</v>
      </c>
      <c r="W334">
        <f t="shared" si="61"/>
        <v>0</v>
      </c>
      <c r="X334">
        <f t="shared" si="61"/>
        <v>0</v>
      </c>
      <c r="AE334" s="78" t="s">
        <v>1189</v>
      </c>
      <c r="AF334" s="80">
        <v>35</v>
      </c>
      <c r="AG334" s="80">
        <v>35</v>
      </c>
      <c r="AH334" s="80">
        <v>35</v>
      </c>
      <c r="AI334" s="80">
        <v>35</v>
      </c>
      <c r="AJ334" s="80">
        <v>35</v>
      </c>
      <c r="AK334" s="80">
        <v>35</v>
      </c>
      <c r="AL334" s="80">
        <v>35</v>
      </c>
      <c r="AM334" s="80">
        <v>35</v>
      </c>
      <c r="AN334" s="80">
        <v>35</v>
      </c>
      <c r="AO334" s="80">
        <v>35</v>
      </c>
      <c r="AP334" s="80">
        <v>35</v>
      </c>
      <c r="AQ334" s="80">
        <v>35</v>
      </c>
    </row>
    <row r="335" spans="1:43" x14ac:dyDescent="0.25">
      <c r="A335" s="42"/>
      <c r="C335" t="s">
        <v>1203</v>
      </c>
      <c r="D335" t="s">
        <v>805</v>
      </c>
      <c r="E335">
        <f t="shared" si="62"/>
        <v>828</v>
      </c>
      <c r="F335">
        <f t="shared" si="62"/>
        <v>0</v>
      </c>
      <c r="G335">
        <f t="shared" si="62"/>
        <v>0</v>
      </c>
      <c r="H335">
        <f t="shared" si="62"/>
        <v>3.9060000000000001</v>
      </c>
      <c r="I335">
        <f t="shared" si="64"/>
        <v>4062.1680000000006</v>
      </c>
      <c r="J335">
        <f>($M$310+$M$312*10)*IF(I299&gt;=1,1.2,1)</f>
        <v>2.8</v>
      </c>
      <c r="K335">
        <f t="shared" si="60"/>
        <v>0</v>
      </c>
      <c r="L335">
        <f t="shared" si="60"/>
        <v>0</v>
      </c>
      <c r="M335">
        <f t="shared" si="60"/>
        <v>0.78</v>
      </c>
      <c r="N335">
        <f t="shared" si="60"/>
        <v>0.249</v>
      </c>
      <c r="O335">
        <f t="shared" si="60"/>
        <v>0</v>
      </c>
      <c r="P335">
        <f t="shared" si="60"/>
        <v>1.0759999999999998</v>
      </c>
      <c r="Q335">
        <f t="shared" si="60"/>
        <v>0</v>
      </c>
      <c r="R335">
        <f t="shared" si="60"/>
        <v>0</v>
      </c>
      <c r="T335">
        <f t="shared" si="63"/>
        <v>0</v>
      </c>
      <c r="U335">
        <f t="shared" si="61"/>
        <v>0</v>
      </c>
      <c r="V335">
        <f t="shared" si="61"/>
        <v>0</v>
      </c>
      <c r="W335">
        <f t="shared" si="61"/>
        <v>0</v>
      </c>
      <c r="X335">
        <f t="shared" si="61"/>
        <v>0</v>
      </c>
      <c r="AE335" s="14"/>
      <c r="AF335" s="14"/>
      <c r="AG335" s="14"/>
      <c r="AH335" s="14"/>
      <c r="AI335" s="14"/>
      <c r="AJ335" s="14"/>
      <c r="AK335" s="14"/>
      <c r="AL335" s="14"/>
      <c r="AM335" s="14"/>
      <c r="AN335" s="14"/>
      <c r="AO335" s="14"/>
      <c r="AP335" s="14"/>
      <c r="AQ335" s="14"/>
    </row>
    <row r="336" spans="1:43" x14ac:dyDescent="0.25">
      <c r="A336" s="42"/>
      <c r="C336" t="s">
        <v>1204</v>
      </c>
      <c r="D336" t="s">
        <v>805</v>
      </c>
      <c r="E336">
        <f t="shared" si="62"/>
        <v>828</v>
      </c>
      <c r="F336">
        <f t="shared" si="62"/>
        <v>0</v>
      </c>
      <c r="G336">
        <f t="shared" si="62"/>
        <v>0</v>
      </c>
      <c r="H336">
        <f t="shared" si="62"/>
        <v>3.9060000000000001</v>
      </c>
      <c r="I336">
        <f t="shared" si="64"/>
        <v>4062.1680000000006</v>
      </c>
      <c r="J336">
        <f>($M$310+$M$312*10+M313)*IF(I299&gt;=1,1.2,1)</f>
        <v>10.5</v>
      </c>
      <c r="K336">
        <f t="shared" si="60"/>
        <v>0</v>
      </c>
      <c r="L336">
        <f t="shared" si="60"/>
        <v>0</v>
      </c>
      <c r="M336">
        <f t="shared" si="60"/>
        <v>0.78</v>
      </c>
      <c r="N336">
        <f t="shared" si="60"/>
        <v>0.249</v>
      </c>
      <c r="O336">
        <f t="shared" si="60"/>
        <v>0</v>
      </c>
      <c r="P336">
        <f t="shared" si="60"/>
        <v>1.0759999999999998</v>
      </c>
      <c r="Q336">
        <f t="shared" si="60"/>
        <v>0</v>
      </c>
      <c r="R336">
        <f t="shared" si="60"/>
        <v>0</v>
      </c>
      <c r="T336">
        <f t="shared" si="63"/>
        <v>0</v>
      </c>
      <c r="U336">
        <f t="shared" si="61"/>
        <v>0</v>
      </c>
      <c r="V336">
        <f t="shared" si="61"/>
        <v>0</v>
      </c>
      <c r="W336">
        <f t="shared" si="61"/>
        <v>0</v>
      </c>
      <c r="X336">
        <f t="shared" si="61"/>
        <v>0</v>
      </c>
      <c r="AE336" s="14"/>
      <c r="AF336" s="14"/>
      <c r="AG336" s="14"/>
      <c r="AH336" s="14"/>
      <c r="AI336" s="14"/>
      <c r="AJ336" s="14"/>
      <c r="AK336" s="14"/>
      <c r="AL336" s="14"/>
      <c r="AM336" s="14"/>
      <c r="AN336" s="14"/>
      <c r="AO336" s="14"/>
      <c r="AP336" s="14"/>
      <c r="AQ336" s="14"/>
    </row>
    <row r="337" spans="1:45" x14ac:dyDescent="0.25">
      <c r="A337" s="14"/>
      <c r="C337" t="s">
        <v>1210</v>
      </c>
      <c r="D337" t="s">
        <v>805</v>
      </c>
      <c r="E337">
        <f t="shared" si="62"/>
        <v>828</v>
      </c>
      <c r="F337">
        <f t="shared" si="62"/>
        <v>0</v>
      </c>
      <c r="G337">
        <f t="shared" si="62"/>
        <v>0</v>
      </c>
      <c r="H337">
        <f t="shared" si="62"/>
        <v>3.9060000000000001</v>
      </c>
      <c r="I337">
        <f t="shared" ref="I337" si="65">(E337*(1+F337)+G337)*(H337+1)</f>
        <v>4062.1680000000006</v>
      </c>
      <c r="J337">
        <f>IF(I299&gt;=3,7.5,5)*0.12*(1+89/196)*(1+M337/100)*IF(I299&gt;=3,1.5,1)</f>
        <v>0.87925408163265306</v>
      </c>
      <c r="K337">
        <f t="shared" si="60"/>
        <v>0</v>
      </c>
      <c r="L337">
        <f t="shared" si="60"/>
        <v>0</v>
      </c>
      <c r="M337">
        <f t="shared" si="60"/>
        <v>0.78</v>
      </c>
      <c r="N337">
        <f t="shared" si="60"/>
        <v>0.249</v>
      </c>
      <c r="O337">
        <f t="shared" si="60"/>
        <v>0</v>
      </c>
      <c r="P337">
        <f t="shared" si="60"/>
        <v>1.0759999999999998</v>
      </c>
      <c r="Q337">
        <f t="shared" si="60"/>
        <v>0</v>
      </c>
      <c r="R337">
        <f t="shared" si="60"/>
        <v>0</v>
      </c>
      <c r="T337">
        <f t="shared" si="63"/>
        <v>0</v>
      </c>
      <c r="U337">
        <f t="shared" si="61"/>
        <v>0</v>
      </c>
      <c r="V337">
        <f t="shared" si="61"/>
        <v>0</v>
      </c>
      <c r="W337">
        <f t="shared" si="61"/>
        <v>0</v>
      </c>
      <c r="X337">
        <f t="shared" si="61"/>
        <v>0</v>
      </c>
      <c r="AD337" s="96"/>
      <c r="AE337" s="42" t="s">
        <v>1190</v>
      </c>
      <c r="AF337" s="82" t="s">
        <v>1191</v>
      </c>
      <c r="AR337" s="86"/>
      <c r="AS337" s="86"/>
    </row>
    <row r="338" spans="1:45" s="86" customFormat="1" ht="14.4" thickBot="1" x14ac:dyDescent="0.3">
      <c r="A338" s="42"/>
      <c r="B338"/>
      <c r="C338" t="s">
        <v>1205</v>
      </c>
      <c r="D338" t="s">
        <v>805</v>
      </c>
      <c r="E338">
        <f>E336</f>
        <v>828</v>
      </c>
      <c r="F338">
        <f>F336</f>
        <v>0</v>
      </c>
      <c r="G338">
        <f>G336</f>
        <v>0</v>
      </c>
      <c r="H338">
        <f>H336</f>
        <v>3.9060000000000001</v>
      </c>
      <c r="I338">
        <f t="shared" si="64"/>
        <v>4062.1680000000006</v>
      </c>
      <c r="J338">
        <f>N311</f>
        <v>5.4</v>
      </c>
      <c r="K338">
        <f t="shared" ref="K338:R338" si="66">K336</f>
        <v>0</v>
      </c>
      <c r="L338">
        <f t="shared" si="66"/>
        <v>0</v>
      </c>
      <c r="M338">
        <f t="shared" si="66"/>
        <v>0.78</v>
      </c>
      <c r="N338">
        <f t="shared" si="66"/>
        <v>0.249</v>
      </c>
      <c r="O338">
        <f t="shared" si="66"/>
        <v>0</v>
      </c>
      <c r="P338">
        <f t="shared" si="66"/>
        <v>1.0759999999999998</v>
      </c>
      <c r="Q338">
        <f t="shared" si="66"/>
        <v>0</v>
      </c>
      <c r="R338">
        <f t="shared" si="66"/>
        <v>0</v>
      </c>
      <c r="S338"/>
      <c r="T338">
        <f>T336</f>
        <v>0</v>
      </c>
      <c r="U338">
        <f>U336</f>
        <v>0</v>
      </c>
      <c r="V338">
        <f>V336</f>
        <v>0</v>
      </c>
      <c r="W338">
        <f>W336</f>
        <v>0</v>
      </c>
      <c r="X338">
        <f>X336</f>
        <v>0</v>
      </c>
      <c r="Y338"/>
      <c r="Z338"/>
      <c r="AA338"/>
      <c r="AB338"/>
      <c r="AC338"/>
      <c r="AD338" s="58"/>
      <c r="AE338"/>
      <c r="AF338" s="82" t="s">
        <v>1192</v>
      </c>
      <c r="AG338"/>
      <c r="AH338"/>
      <c r="AI338"/>
      <c r="AJ338"/>
      <c r="AK338"/>
      <c r="AL338"/>
      <c r="AM338"/>
      <c r="AN338"/>
      <c r="AO338"/>
      <c r="AP338"/>
      <c r="AQ338"/>
      <c r="AR338"/>
      <c r="AS338"/>
    </row>
    <row r="339" spans="1:45" ht="14.4" thickBot="1" x14ac:dyDescent="0.3">
      <c r="C339" t="s">
        <v>1206</v>
      </c>
      <c r="D339" t="s">
        <v>805</v>
      </c>
      <c r="E339">
        <f t="shared" si="62"/>
        <v>828</v>
      </c>
      <c r="F339">
        <f t="shared" si="62"/>
        <v>0</v>
      </c>
      <c r="G339">
        <f t="shared" si="62"/>
        <v>0</v>
      </c>
      <c r="H339">
        <f t="shared" si="62"/>
        <v>3.9060000000000001</v>
      </c>
      <c r="I339">
        <f t="shared" si="64"/>
        <v>4062.1680000000006</v>
      </c>
      <c r="J339">
        <f>SUM(O312:O315)*IF(I299&gt;=5,1.2,1)</f>
        <v>10.440000000000001</v>
      </c>
      <c r="K339">
        <f t="shared" si="60"/>
        <v>0</v>
      </c>
      <c r="L339">
        <f t="shared" si="60"/>
        <v>0</v>
      </c>
      <c r="M339">
        <f t="shared" si="60"/>
        <v>0.78</v>
      </c>
      <c r="N339">
        <f t="shared" si="60"/>
        <v>0.249</v>
      </c>
      <c r="O339">
        <f t="shared" si="60"/>
        <v>0</v>
      </c>
      <c r="P339">
        <f t="shared" si="60"/>
        <v>1.0759999999999998</v>
      </c>
      <c r="Q339">
        <f t="shared" si="60"/>
        <v>0</v>
      </c>
      <c r="R339">
        <f t="shared" si="60"/>
        <v>0</v>
      </c>
      <c r="T339">
        <f t="shared" si="63"/>
        <v>0</v>
      </c>
      <c r="U339">
        <f t="shared" si="61"/>
        <v>0</v>
      </c>
      <c r="V339">
        <f t="shared" si="61"/>
        <v>0</v>
      </c>
      <c r="W339">
        <f t="shared" si="61"/>
        <v>0</v>
      </c>
      <c r="X339">
        <f t="shared" si="61"/>
        <v>0</v>
      </c>
      <c r="AE339" s="78" t="s">
        <v>146</v>
      </c>
      <c r="AF339" s="80">
        <v>300</v>
      </c>
      <c r="AG339" s="80">
        <v>300</v>
      </c>
      <c r="AH339" s="80">
        <v>300</v>
      </c>
      <c r="AI339" s="80">
        <v>300</v>
      </c>
      <c r="AJ339" s="80">
        <v>300</v>
      </c>
      <c r="AK339" s="80">
        <v>300</v>
      </c>
      <c r="AL339" s="80">
        <v>300</v>
      </c>
      <c r="AM339" s="80">
        <v>300</v>
      </c>
      <c r="AN339" s="80">
        <v>300</v>
      </c>
      <c r="AO339" s="80">
        <v>300</v>
      </c>
      <c r="AP339" s="80">
        <v>300</v>
      </c>
      <c r="AQ339" s="80">
        <v>300</v>
      </c>
    </row>
    <row r="340" spans="1:45" ht="14.4" thickBot="1" x14ac:dyDescent="0.3">
      <c r="A340" s="14"/>
      <c r="C340" t="s">
        <v>1208</v>
      </c>
      <c r="D340" t="s">
        <v>805</v>
      </c>
      <c r="E340">
        <f t="shared" si="62"/>
        <v>828</v>
      </c>
      <c r="F340">
        <f t="shared" si="62"/>
        <v>0</v>
      </c>
      <c r="G340">
        <f t="shared" si="62"/>
        <v>0</v>
      </c>
      <c r="H340">
        <f t="shared" si="62"/>
        <v>3.9060000000000001</v>
      </c>
      <c r="I340">
        <f t="shared" si="64"/>
        <v>4062.1680000000006</v>
      </c>
      <c r="J340">
        <f>($M$317+$M$319)*IF(I299&gt;=1,1.2,1)</f>
        <v>7</v>
      </c>
      <c r="K340">
        <f t="shared" si="60"/>
        <v>0</v>
      </c>
      <c r="L340">
        <f t="shared" si="60"/>
        <v>0</v>
      </c>
      <c r="M340">
        <f t="shared" si="60"/>
        <v>0.78</v>
      </c>
      <c r="N340">
        <f t="shared" si="60"/>
        <v>0.249</v>
      </c>
      <c r="O340">
        <f t="shared" si="60"/>
        <v>0</v>
      </c>
      <c r="P340">
        <f t="shared" si="60"/>
        <v>1.0759999999999998</v>
      </c>
      <c r="Q340">
        <f t="shared" si="60"/>
        <v>0</v>
      </c>
      <c r="R340">
        <f t="shared" si="60"/>
        <v>0</v>
      </c>
      <c r="T340">
        <f t="shared" si="63"/>
        <v>0</v>
      </c>
      <c r="U340">
        <f t="shared" si="61"/>
        <v>0</v>
      </c>
      <c r="V340">
        <f t="shared" si="61"/>
        <v>0</v>
      </c>
      <c r="W340">
        <f t="shared" si="61"/>
        <v>0</v>
      </c>
      <c r="X340">
        <f t="shared" si="61"/>
        <v>0</v>
      </c>
      <c r="AA340" s="86"/>
      <c r="AB340" s="86"/>
      <c r="AC340" s="86"/>
      <c r="AE340" s="78" t="s">
        <v>135</v>
      </c>
      <c r="AF340" s="80">
        <v>15</v>
      </c>
      <c r="AG340" s="80">
        <v>15</v>
      </c>
      <c r="AH340" s="80">
        <v>15</v>
      </c>
      <c r="AI340" s="80">
        <v>15</v>
      </c>
      <c r="AJ340" s="80">
        <v>15</v>
      </c>
      <c r="AK340" s="80">
        <v>15</v>
      </c>
      <c r="AL340" s="80">
        <v>15</v>
      </c>
      <c r="AM340" s="80">
        <v>15</v>
      </c>
      <c r="AN340" s="80">
        <v>15</v>
      </c>
      <c r="AO340" s="80">
        <v>15</v>
      </c>
      <c r="AP340" s="80">
        <v>15</v>
      </c>
      <c r="AQ340" s="80">
        <v>15</v>
      </c>
    </row>
    <row r="341" spans="1:45" ht="14.4" thickBot="1" x14ac:dyDescent="0.3">
      <c r="A341" s="42"/>
      <c r="C341" t="s">
        <v>1209</v>
      </c>
      <c r="D341" t="s">
        <v>805</v>
      </c>
      <c r="E341">
        <f t="shared" si="62"/>
        <v>828</v>
      </c>
      <c r="F341">
        <f t="shared" si="62"/>
        <v>0</v>
      </c>
      <c r="G341">
        <f t="shared" si="62"/>
        <v>0</v>
      </c>
      <c r="H341">
        <f t="shared" si="62"/>
        <v>3.9060000000000001</v>
      </c>
      <c r="I341">
        <f t="shared" si="64"/>
        <v>4062.1680000000006</v>
      </c>
      <c r="J341">
        <f>($M$317+$M$319+M321)*IF(I299&gt;=1,1.2,1)</f>
        <v>16</v>
      </c>
      <c r="K341">
        <f t="shared" si="60"/>
        <v>0</v>
      </c>
      <c r="L341">
        <f t="shared" si="60"/>
        <v>0</v>
      </c>
      <c r="M341">
        <f t="shared" si="60"/>
        <v>0.78</v>
      </c>
      <c r="N341">
        <f t="shared" si="60"/>
        <v>0.249</v>
      </c>
      <c r="O341">
        <f t="shared" si="60"/>
        <v>0</v>
      </c>
      <c r="P341">
        <f t="shared" si="60"/>
        <v>1.0759999999999998</v>
      </c>
      <c r="Q341">
        <f t="shared" si="60"/>
        <v>0</v>
      </c>
      <c r="R341">
        <f t="shared" si="60"/>
        <v>0</v>
      </c>
      <c r="T341">
        <f t="shared" si="63"/>
        <v>0</v>
      </c>
      <c r="U341">
        <f t="shared" si="61"/>
        <v>0</v>
      </c>
      <c r="V341">
        <f t="shared" si="61"/>
        <v>0</v>
      </c>
      <c r="W341">
        <f t="shared" si="61"/>
        <v>0</v>
      </c>
      <c r="X341">
        <f t="shared" si="61"/>
        <v>0</v>
      </c>
      <c r="AE341" s="78" t="s">
        <v>1193</v>
      </c>
      <c r="AF341" s="79">
        <v>0.65</v>
      </c>
      <c r="AG341" s="79">
        <v>0.71</v>
      </c>
      <c r="AH341" s="79">
        <v>0.78</v>
      </c>
      <c r="AI341" s="79">
        <v>0.84</v>
      </c>
      <c r="AJ341" s="79">
        <v>0.91</v>
      </c>
      <c r="AK341" s="79">
        <v>0.97</v>
      </c>
      <c r="AL341" s="79">
        <v>1.04</v>
      </c>
      <c r="AM341" s="79">
        <v>1.1000000000000001</v>
      </c>
      <c r="AN341" s="79">
        <v>1.17</v>
      </c>
      <c r="AO341" s="79">
        <v>1.25</v>
      </c>
      <c r="AP341" s="79">
        <v>1.34</v>
      </c>
      <c r="AQ341" s="79">
        <v>1.46</v>
      </c>
    </row>
    <row r="342" spans="1:45" ht="14.4" thickBot="1" x14ac:dyDescent="0.3">
      <c r="A342" s="42"/>
      <c r="AD342" s="77"/>
      <c r="AE342" s="78" t="s">
        <v>1194</v>
      </c>
      <c r="AF342" s="79">
        <v>0.81</v>
      </c>
      <c r="AG342" s="79">
        <v>0.89</v>
      </c>
      <c r="AH342" s="79">
        <v>0.97</v>
      </c>
      <c r="AI342" s="79">
        <v>1.05</v>
      </c>
      <c r="AJ342" s="79">
        <v>1.1299999999999999</v>
      </c>
      <c r="AK342" s="79">
        <v>1.22</v>
      </c>
      <c r="AL342" s="79">
        <v>1.3</v>
      </c>
      <c r="AM342" s="79">
        <v>1.38</v>
      </c>
      <c r="AN342" s="79">
        <v>1.46</v>
      </c>
      <c r="AO342" s="79">
        <v>1.56</v>
      </c>
      <c r="AP342" s="79">
        <v>1.68</v>
      </c>
      <c r="AQ342" s="79">
        <v>1.82</v>
      </c>
    </row>
    <row r="343" spans="1:45" ht="14.4" thickBot="1" x14ac:dyDescent="0.3">
      <c r="A343" s="42"/>
      <c r="AE343" s="78" t="s">
        <v>1195</v>
      </c>
      <c r="AF343" s="79">
        <v>1.1499999999999999</v>
      </c>
      <c r="AG343" s="79">
        <v>1.27</v>
      </c>
      <c r="AH343" s="79">
        <v>1.39</v>
      </c>
      <c r="AI343" s="79">
        <v>1.5</v>
      </c>
      <c r="AJ343" s="79">
        <v>1.62</v>
      </c>
      <c r="AK343" s="79">
        <v>1.73</v>
      </c>
      <c r="AL343" s="79">
        <v>1.85</v>
      </c>
      <c r="AM343" s="79">
        <v>1.96</v>
      </c>
      <c r="AN343" s="79">
        <v>2.08</v>
      </c>
      <c r="AO343" s="79">
        <v>2.2200000000000002</v>
      </c>
      <c r="AP343" s="79">
        <v>2.4</v>
      </c>
      <c r="AQ343" s="79">
        <v>2.6</v>
      </c>
    </row>
    <row r="344" spans="1:45" x14ac:dyDescent="0.25">
      <c r="A344" s="42"/>
      <c r="B344" s="86" t="s">
        <v>892</v>
      </c>
      <c r="C344" s="86"/>
      <c r="D344" s="86"/>
      <c r="E344" s="86"/>
      <c r="F344" s="86"/>
      <c r="G344" s="86"/>
      <c r="H344" s="86"/>
      <c r="I344" s="86"/>
      <c r="J344" s="86"/>
      <c r="K344" s="86"/>
      <c r="L344" s="86"/>
      <c r="M344" s="86"/>
      <c r="N344" s="86"/>
      <c r="O344" s="86"/>
      <c r="P344" s="86"/>
      <c r="Q344" s="86"/>
      <c r="R344" s="86"/>
      <c r="AE344" s="78" t="s">
        <v>1196</v>
      </c>
      <c r="AF344" s="79">
        <v>2.0299999999999998</v>
      </c>
      <c r="AG344" s="79">
        <v>2.23</v>
      </c>
      <c r="AH344" s="79">
        <v>2.4300000000000002</v>
      </c>
      <c r="AI344" s="79">
        <v>2.63</v>
      </c>
      <c r="AJ344" s="79">
        <v>2.84</v>
      </c>
      <c r="AK344" s="79">
        <v>3.04</v>
      </c>
      <c r="AL344" s="79">
        <v>3.24</v>
      </c>
      <c r="AM344" s="79">
        <v>3.44</v>
      </c>
      <c r="AN344" s="79">
        <v>3.65</v>
      </c>
      <c r="AO344" s="79">
        <v>3.9</v>
      </c>
      <c r="AP344" s="79">
        <v>4.2</v>
      </c>
      <c r="AQ344" s="79">
        <v>4.5599999999999996</v>
      </c>
    </row>
    <row r="345" spans="1:45" x14ac:dyDescent="0.25">
      <c r="A345" s="42"/>
      <c r="C345" t="s">
        <v>805</v>
      </c>
      <c r="D345" t="s">
        <v>1211</v>
      </c>
      <c r="S345" s="17"/>
      <c r="T345" s="17"/>
      <c r="U345" s="17"/>
      <c r="V345" s="17"/>
      <c r="W345" s="17">
        <f>0.15</f>
        <v>0.15</v>
      </c>
      <c r="X345" s="17"/>
      <c r="Y345" s="17"/>
      <c r="Z345" s="17"/>
    </row>
    <row r="346" spans="1:45" x14ac:dyDescent="0.25">
      <c r="A346" s="42"/>
      <c r="C346" t="s">
        <v>805</v>
      </c>
      <c r="D346" t="s">
        <v>1213</v>
      </c>
      <c r="N346">
        <f>0.5</f>
        <v>0.5</v>
      </c>
    </row>
    <row r="347" spans="1:45" x14ac:dyDescent="0.25">
      <c r="A347" s="14"/>
      <c r="C347" t="s">
        <v>805</v>
      </c>
      <c r="D347" t="s">
        <v>1212</v>
      </c>
      <c r="O347">
        <f>1.2</f>
        <v>1.2</v>
      </c>
      <c r="AD347" s="77"/>
    </row>
    <row r="348" spans="1:45" x14ac:dyDescent="0.25">
      <c r="A348" s="14"/>
      <c r="C348" t="s">
        <v>805</v>
      </c>
      <c r="D348" t="s">
        <v>1217</v>
      </c>
      <c r="M348">
        <f>0.4</f>
        <v>0.4</v>
      </c>
      <c r="N348">
        <f>0.192</f>
        <v>0.192</v>
      </c>
    </row>
    <row r="349" spans="1:45" x14ac:dyDescent="0.25">
      <c r="A349" s="42"/>
      <c r="C349" t="s">
        <v>805</v>
      </c>
      <c r="D349" s="12"/>
    </row>
    <row r="350" spans="1:45" x14ac:dyDescent="0.25">
      <c r="D350" s="12"/>
    </row>
    <row r="351" spans="1:45" x14ac:dyDescent="0.25">
      <c r="A351" s="42"/>
      <c r="D351" s="12"/>
      <c r="P351" s="68"/>
    </row>
    <row r="352" spans="1:45" x14ac:dyDescent="0.25">
      <c r="A352" s="42"/>
      <c r="D352" s="22"/>
    </row>
    <row r="353" spans="1:45" x14ac:dyDescent="0.25">
      <c r="A353" s="42"/>
    </row>
    <row r="354" spans="1:45" x14ac:dyDescent="0.25">
      <c r="A354" s="42"/>
      <c r="D354" s="12"/>
    </row>
    <row r="355" spans="1:45" x14ac:dyDescent="0.25">
      <c r="A355" s="42"/>
      <c r="D355" s="12"/>
    </row>
    <row r="356" spans="1:45" x14ac:dyDescent="0.25">
      <c r="A356" s="42"/>
      <c r="D356" s="12"/>
      <c r="P356" s="68"/>
    </row>
    <row r="357" spans="1:45" ht="14.4" thickBot="1" x14ac:dyDescent="0.3">
      <c r="A357" s="40"/>
      <c r="B357" s="21" t="s">
        <v>1276</v>
      </c>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59"/>
      <c r="AE357" s="40"/>
      <c r="AF357" s="40"/>
      <c r="AG357" s="40"/>
      <c r="AH357" s="40"/>
      <c r="AI357" s="40"/>
      <c r="AJ357" s="40"/>
      <c r="AK357" s="40"/>
      <c r="AL357" s="40"/>
      <c r="AM357" s="40"/>
      <c r="AN357" s="40"/>
      <c r="AO357" s="40"/>
      <c r="AP357" s="40"/>
      <c r="AQ357" s="40"/>
      <c r="AR357" s="40"/>
      <c r="AS357" s="40"/>
    </row>
    <row r="358" spans="1:45" s="40" customFormat="1" x14ac:dyDescent="0.25">
      <c r="A358"/>
      <c r="B358" s="25" t="s">
        <v>961</v>
      </c>
      <c r="C358" s="26" t="s">
        <v>75</v>
      </c>
      <c r="D358" s="26" t="s">
        <v>85</v>
      </c>
      <c r="E358" s="26" t="s">
        <v>86</v>
      </c>
      <c r="F358" s="26" t="s">
        <v>87</v>
      </c>
      <c r="G358" s="26" t="s">
        <v>88</v>
      </c>
      <c r="H358" s="26" t="s">
        <v>89</v>
      </c>
      <c r="I358" s="26" t="s">
        <v>192</v>
      </c>
      <c r="J358" s="83"/>
      <c r="K358"/>
      <c r="L358"/>
      <c r="M358"/>
      <c r="N358"/>
      <c r="O358"/>
      <c r="P358"/>
      <c r="Q358" s="25"/>
      <c r="R358" s="26" t="s">
        <v>977</v>
      </c>
      <c r="S358" s="27" t="s">
        <v>963</v>
      </c>
      <c r="T358"/>
      <c r="U358"/>
      <c r="V358"/>
      <c r="W358"/>
      <c r="X358"/>
      <c r="Y358"/>
      <c r="Z358"/>
      <c r="AA358"/>
      <c r="AB358"/>
      <c r="AC358"/>
      <c r="AD358" s="58"/>
      <c r="AE358" t="s">
        <v>153</v>
      </c>
      <c r="AF358"/>
      <c r="AG358"/>
      <c r="AH358"/>
      <c r="AI358"/>
      <c r="AJ358"/>
      <c r="AK358"/>
      <c r="AL358"/>
      <c r="AM358"/>
      <c r="AN358"/>
      <c r="AO358"/>
      <c r="AP358"/>
      <c r="AQ358"/>
      <c r="AR358"/>
      <c r="AS358"/>
    </row>
    <row r="359" spans="1:45" x14ac:dyDescent="0.25">
      <c r="B359" s="28" t="s">
        <v>91</v>
      </c>
      <c r="C359" s="21" t="s">
        <v>1277</v>
      </c>
      <c r="D359" s="21" t="s">
        <v>1285</v>
      </c>
      <c r="E359" s="21" t="s">
        <v>1286</v>
      </c>
      <c r="F359" s="21" t="s">
        <v>1287</v>
      </c>
      <c r="G359" s="21" t="s">
        <v>543</v>
      </c>
      <c r="H359" t="str">
        <f>IF(COUNTIF(E359:G359,LEFT(D359,2)&amp;"*")&gt;=2,LEFT(D359,2),
IF(COUNTIF(F359:G359,LEFT(E359,2)&amp;"*")=2,LEFT(E359,2),
""))</f>
        <v>壤流</v>
      </c>
      <c r="I359" s="21">
        <v>0</v>
      </c>
      <c r="J359" s="29"/>
      <c r="Q359" s="28"/>
      <c r="R359" t="s">
        <v>999</v>
      </c>
      <c r="S359" s="29"/>
      <c r="AE359" s="14" t="s">
        <v>1299</v>
      </c>
      <c r="AF359" s="16">
        <v>0.16</v>
      </c>
      <c r="AG359" s="16">
        <v>0.18</v>
      </c>
      <c r="AH359" s="16">
        <v>0.19</v>
      </c>
      <c r="AI359" s="16">
        <v>0.21</v>
      </c>
      <c r="AJ359" s="16">
        <v>0.22</v>
      </c>
      <c r="AK359" s="16">
        <v>0.24</v>
      </c>
      <c r="AL359" s="16">
        <v>0.26</v>
      </c>
      <c r="AM359" s="16">
        <v>0.27</v>
      </c>
      <c r="AN359" s="16">
        <v>0.28999999999999998</v>
      </c>
      <c r="AO359" s="16">
        <v>0.31</v>
      </c>
      <c r="AP359" s="16">
        <v>0.33</v>
      </c>
      <c r="AQ359" s="16">
        <v>0.36</v>
      </c>
    </row>
    <row r="360" spans="1:45" x14ac:dyDescent="0.25">
      <c r="B360" s="28" t="s">
        <v>183</v>
      </c>
      <c r="D360" s="21">
        <v>3</v>
      </c>
      <c r="E360" s="21">
        <v>3</v>
      </c>
      <c r="F360" s="21">
        <v>3</v>
      </c>
      <c r="G360" s="21">
        <v>3</v>
      </c>
      <c r="J360" s="29"/>
      <c r="Q360" s="28"/>
      <c r="R360" t="s">
        <v>1032</v>
      </c>
      <c r="S360" s="29"/>
      <c r="AE360" s="14" t="s">
        <v>1300</v>
      </c>
      <c r="AF360" s="16">
        <v>0.24</v>
      </c>
      <c r="AG360" s="16">
        <v>0.26</v>
      </c>
      <c r="AH360" s="16">
        <v>0.28999999999999998</v>
      </c>
      <c r="AI360" s="16">
        <v>0.31</v>
      </c>
      <c r="AJ360" s="16">
        <v>0.34</v>
      </c>
      <c r="AK360" s="16">
        <v>0.36</v>
      </c>
      <c r="AL360" s="16">
        <v>0.38</v>
      </c>
      <c r="AM360" s="16">
        <v>0.41</v>
      </c>
      <c r="AN360" s="16">
        <v>0.43</v>
      </c>
      <c r="AO360" s="16">
        <v>0.46</v>
      </c>
      <c r="AP360" s="16">
        <v>0.5</v>
      </c>
      <c r="AQ360" s="16">
        <v>0.54</v>
      </c>
    </row>
    <row r="361" spans="1:45" x14ac:dyDescent="0.25">
      <c r="B361" s="84" t="s">
        <v>97</v>
      </c>
      <c r="C361" t="str">
        <f>_xlfn.XLOOKUP(C359,武器库!$B:$B,武器库!$C:$C,"")</f>
        <v>意志+156</v>
      </c>
      <c r="D361" t="str">
        <f>VLOOKUP(D359,护甲库!$A:$M,2+D360*3,FALSE)</f>
        <v>意志113</v>
      </c>
      <c r="E361" t="str">
        <f>VLOOKUP(E359,护手库!$A:$M,2+E360*3,FALSE)</f>
        <v>意志84</v>
      </c>
      <c r="F361" t="str">
        <f>VLOOKUP(F359,配件库!$A:$M,2+F360*3,FALSE)</f>
        <v>意志41</v>
      </c>
      <c r="G361" t="str">
        <f>VLOOKUP(G359,配件库!$A:$M,2+G360*3,FALSE)</f>
        <v>意志41</v>
      </c>
      <c r="H361" s="11"/>
      <c r="J361" s="29"/>
      <c r="Q361" s="28" t="s">
        <v>961</v>
      </c>
      <c r="S361" s="29" t="s">
        <v>964</v>
      </c>
      <c r="AE361" s="14" t="s">
        <v>1301</v>
      </c>
      <c r="AF361" s="16">
        <v>0.32</v>
      </c>
      <c r="AG361" s="16">
        <v>0.35</v>
      </c>
      <c r="AH361" s="16">
        <v>0.39</v>
      </c>
      <c r="AI361" s="16">
        <v>0.42</v>
      </c>
      <c r="AJ361" s="16">
        <v>0.45</v>
      </c>
      <c r="AK361" s="16">
        <v>0.48</v>
      </c>
      <c r="AL361" s="16">
        <v>0.52</v>
      </c>
      <c r="AM361" s="16">
        <v>0.55000000000000004</v>
      </c>
      <c r="AN361" s="16">
        <v>0.57999999999999996</v>
      </c>
      <c r="AO361" s="16">
        <v>0.62</v>
      </c>
      <c r="AP361" s="16">
        <v>0.67</v>
      </c>
      <c r="AQ361" s="16">
        <v>0.72</v>
      </c>
    </row>
    <row r="362" spans="1:45" x14ac:dyDescent="0.25">
      <c r="B362" s="28" t="s">
        <v>98</v>
      </c>
      <c r="C362" s="43" t="str">
        <f>_xlfn.XLOOKUP(C359,武器库!$B:$B,武器库!$D:$D,"")</f>
        <v>攻击力+39.0</v>
      </c>
      <c r="D362" t="str">
        <f>VLOOKUP(D359,护甲库!$A:$M,3+D360*3,FALSE)</f>
        <v>智识75</v>
      </c>
      <c r="E362" t="str">
        <f>VLOOKUP(E359,护手库!$A:$M,3+E360*3,FALSE)</f>
        <v>智识55</v>
      </c>
      <c r="F362" t="str">
        <f>VLOOKUP(F359,配件库!$A:$M,3+F360*3,FALSE)</f>
        <v>智识27</v>
      </c>
      <c r="G362" t="str">
        <f>VLOOKUP(G359,配件库!$A:$M,3+G360*3,FALSE)</f>
        <v>智识27</v>
      </c>
      <c r="H362" s="9"/>
      <c r="J362" s="29"/>
      <c r="Q362" s="28"/>
      <c r="R362" t="s">
        <v>965</v>
      </c>
      <c r="S362" s="29"/>
      <c r="AE362" s="14" t="s">
        <v>1302</v>
      </c>
      <c r="AF362" s="16">
        <v>0.45</v>
      </c>
      <c r="AG362" s="16">
        <v>0.5</v>
      </c>
      <c r="AH362" s="16">
        <v>0.54</v>
      </c>
      <c r="AI362" s="16">
        <v>0.59</v>
      </c>
      <c r="AJ362" s="16">
        <v>0.63</v>
      </c>
      <c r="AK362" s="16">
        <v>0.68</v>
      </c>
      <c r="AL362" s="16">
        <v>0.72</v>
      </c>
      <c r="AM362" s="16">
        <v>0.77</v>
      </c>
      <c r="AN362" s="16">
        <v>0.81</v>
      </c>
      <c r="AO362" s="16">
        <v>0.87</v>
      </c>
      <c r="AP362" s="16">
        <v>0.93</v>
      </c>
      <c r="AQ362" s="16">
        <v>1.01</v>
      </c>
    </row>
    <row r="363" spans="1:45" x14ac:dyDescent="0.25">
      <c r="B363" s="28" t="s">
        <v>99</v>
      </c>
      <c r="C363" s="43" t="str">
        <f>_xlfn.XLOOKUP(C359,武器库!$B:$B,武器库!$E:$E,"")</f>
        <v>电磁伤害+44.8</v>
      </c>
      <c r="D363" s="43" t="str">
        <f>VLOOKUP(D359,护甲库!$A:$M,4+D360*3,FALSE)</f>
        <v>冰电伤14.9</v>
      </c>
      <c r="E363" s="43" t="str">
        <f>VLOOKUP(E359,护手库!$A:$M,4+E360*3,FALSE)</f>
        <v>冰电伤24.9</v>
      </c>
      <c r="F363" s="43" t="str">
        <f>VLOOKUP(F359,配件库!$A:$M,4+F360*3,FALSE)</f>
        <v>战技53.8</v>
      </c>
      <c r="G363" s="43" t="str">
        <f>VLOOKUP(G359,配件库!$A:$M,4+G360*3,FALSE)</f>
        <v>主能力26.9</v>
      </c>
      <c r="H363" s="9"/>
      <c r="J363" s="29"/>
      <c r="Q363" s="28" t="s">
        <v>962</v>
      </c>
      <c r="R363" t="s">
        <v>967</v>
      </c>
      <c r="S363" s="29"/>
      <c r="AE363" s="14" t="s">
        <v>1303</v>
      </c>
      <c r="AF363" s="16">
        <v>0.48</v>
      </c>
      <c r="AG363" s="16">
        <v>0.53</v>
      </c>
      <c r="AH363" s="16">
        <v>0.57999999999999996</v>
      </c>
      <c r="AI363" s="16">
        <v>0.62</v>
      </c>
      <c r="AJ363" s="16">
        <v>0.67</v>
      </c>
      <c r="AK363" s="16">
        <v>0.72</v>
      </c>
      <c r="AL363" s="16">
        <v>0.77</v>
      </c>
      <c r="AM363" s="16">
        <v>0.82</v>
      </c>
      <c r="AN363" s="16">
        <v>0.86</v>
      </c>
      <c r="AO363" s="16">
        <v>0.92</v>
      </c>
      <c r="AP363" s="16">
        <v>1</v>
      </c>
      <c r="AQ363" s="16">
        <v>1.08</v>
      </c>
    </row>
    <row r="364" spans="1:45" x14ac:dyDescent="0.25">
      <c r="B364" s="28" t="s">
        <v>90</v>
      </c>
      <c r="C364" t="str">
        <f>_xlfn.XLOOKUP(C359,武器库!$B:$B,武器库!$F:$F,"")</f>
        <v>装备者通过战技消耗法术异常时，战技造成的电磁+伤害+56.0%，持续20秒。该效果最多叠加2层。装备者施放终结技后，战技造成的电磁+伤害+112.0%，持续25秒。</v>
      </c>
      <c r="D364" s="22"/>
      <c r="F364" s="22"/>
      <c r="G364" s="9"/>
      <c r="H364" s="9"/>
      <c r="J364" s="29"/>
      <c r="Q364" s="28"/>
      <c r="S364" s="29"/>
      <c r="AE364" s="14" t="s">
        <v>1304</v>
      </c>
      <c r="AF364" s="16">
        <v>4</v>
      </c>
      <c r="AG364" s="16">
        <v>4.4000000000000004</v>
      </c>
      <c r="AH364" s="16">
        <v>4.8</v>
      </c>
      <c r="AI364" s="16">
        <v>5.2</v>
      </c>
      <c r="AJ364" s="16">
        <v>5.6</v>
      </c>
      <c r="AK364" s="16">
        <v>6</v>
      </c>
      <c r="AL364" s="16">
        <v>6.4</v>
      </c>
      <c r="AM364" s="16">
        <v>6.8</v>
      </c>
      <c r="AN364" s="16">
        <v>7.2</v>
      </c>
      <c r="AO364" s="16">
        <v>7.7</v>
      </c>
      <c r="AP364" s="16">
        <v>8.3000000000000007</v>
      </c>
      <c r="AQ364" s="16">
        <v>9</v>
      </c>
    </row>
    <row r="365" spans="1:45" ht="14.4" thickBot="1" x14ac:dyDescent="0.3">
      <c r="B365" s="30" t="s">
        <v>89</v>
      </c>
      <c r="C365" s="18" t="str">
        <f>VLOOKUP(H359,套装效果库!A:B,2,0)</f>
        <v>攻击力10。装备者每次消耗法术异常，根据异常等级获得相同层数的强化状态，每层使自身法术伤害+15%，持续25秒。强化状态最多存在3层，每层单独计算持续时间。</v>
      </c>
      <c r="D365" s="19"/>
      <c r="E365" s="18"/>
      <c r="F365" s="19"/>
      <c r="G365" s="20"/>
      <c r="H365" s="20"/>
      <c r="I365" s="18"/>
      <c r="J365" s="31"/>
      <c r="Q365" s="28" t="s">
        <v>968</v>
      </c>
      <c r="S365" s="29" t="s">
        <v>966</v>
      </c>
      <c r="AE365" s="14" t="s">
        <v>1305</v>
      </c>
      <c r="AF365" s="16">
        <v>0.8</v>
      </c>
      <c r="AG365" s="16">
        <v>0.88</v>
      </c>
      <c r="AH365" s="16">
        <v>0.96</v>
      </c>
      <c r="AI365" s="16">
        <v>1.04</v>
      </c>
      <c r="AJ365" s="16">
        <v>1.1200000000000001</v>
      </c>
      <c r="AK365" s="16">
        <v>1.2</v>
      </c>
      <c r="AL365" s="16">
        <v>1.28</v>
      </c>
      <c r="AM365" s="16">
        <v>1.36</v>
      </c>
      <c r="AN365" s="16">
        <v>1.44</v>
      </c>
      <c r="AO365" s="16">
        <v>1.54</v>
      </c>
      <c r="AP365" s="16">
        <v>1.66</v>
      </c>
      <c r="AQ365" s="16">
        <v>1.8</v>
      </c>
    </row>
    <row r="366" spans="1:45" x14ac:dyDescent="0.25">
      <c r="Q366" s="28"/>
      <c r="R366" t="s">
        <v>970</v>
      </c>
      <c r="S366" s="29"/>
    </row>
    <row r="367" spans="1:45" x14ac:dyDescent="0.25">
      <c r="Q367" s="28" t="s">
        <v>969</v>
      </c>
      <c r="R367" t="s">
        <v>971</v>
      </c>
      <c r="S367" s="29"/>
    </row>
    <row r="368" spans="1:45" x14ac:dyDescent="0.25">
      <c r="B368" s="17" t="s">
        <v>962</v>
      </c>
      <c r="C368" s="17" t="s">
        <v>990</v>
      </c>
      <c r="D368" s="17" t="s">
        <v>1054</v>
      </c>
      <c r="E368" s="17"/>
      <c r="F368" s="17"/>
      <c r="G368" s="17"/>
      <c r="H368" s="17"/>
      <c r="I368" s="17"/>
      <c r="K368" s="88" t="s">
        <v>195</v>
      </c>
      <c r="L368" s="17" t="s">
        <v>701</v>
      </c>
      <c r="M368" s="17" t="s">
        <v>157</v>
      </c>
      <c r="N368" s="17" t="s">
        <v>702</v>
      </c>
      <c r="O368" s="89" t="s">
        <v>158</v>
      </c>
      <c r="Q368" s="28"/>
      <c r="R368" t="s">
        <v>972</v>
      </c>
      <c r="S368" s="29"/>
      <c r="AE368" s="14" t="s">
        <v>76</v>
      </c>
      <c r="AF368" s="12" t="s">
        <v>1340</v>
      </c>
      <c r="AG368" s="12"/>
      <c r="AH368" s="12"/>
      <c r="AI368" s="12"/>
      <c r="AJ368" s="12"/>
      <c r="AK368" s="12"/>
      <c r="AL368" s="12"/>
      <c r="AM368" s="12"/>
      <c r="AN368" s="12"/>
      <c r="AO368" s="12"/>
      <c r="AP368" s="12"/>
      <c r="AQ368" s="12"/>
    </row>
    <row r="369" spans="1:43" x14ac:dyDescent="0.25">
      <c r="C369" s="21" t="s">
        <v>108</v>
      </c>
      <c r="D369" s="21" t="s">
        <v>162</v>
      </c>
      <c r="E369" s="43" t="s">
        <v>196</v>
      </c>
      <c r="F369" s="43" t="s">
        <v>646</v>
      </c>
      <c r="G369" s="43" t="s">
        <v>76</v>
      </c>
      <c r="H369" s="43" t="s">
        <v>1397</v>
      </c>
      <c r="I369" s="43"/>
      <c r="K369" t="s">
        <v>183</v>
      </c>
      <c r="L369" s="21" t="s">
        <v>645</v>
      </c>
      <c r="M369" s="21" t="s">
        <v>645</v>
      </c>
      <c r="N369" s="21" t="s">
        <v>645</v>
      </c>
      <c r="O369" s="37" t="s">
        <v>645</v>
      </c>
      <c r="Q369" s="28"/>
      <c r="R369" t="s">
        <v>973</v>
      </c>
      <c r="S369" s="29"/>
      <c r="AE369" s="15"/>
      <c r="AF369" s="12" t="s">
        <v>1341</v>
      </c>
      <c r="AG369" s="152"/>
      <c r="AH369" s="152"/>
      <c r="AI369" s="152"/>
      <c r="AJ369" s="152"/>
      <c r="AK369" s="152"/>
      <c r="AL369" s="152"/>
      <c r="AM369" s="152"/>
      <c r="AN369" s="152"/>
      <c r="AO369" s="152"/>
      <c r="AP369" s="152"/>
      <c r="AQ369" s="152"/>
    </row>
    <row r="370" spans="1:43" x14ac:dyDescent="0.25">
      <c r="B370" t="s">
        <v>164</v>
      </c>
      <c r="C370" s="21">
        <f>184+60+IF(I359&gt;=2,20,0)</f>
        <v>244</v>
      </c>
      <c r="D370" s="21">
        <f>123</f>
        <v>123</v>
      </c>
      <c r="E370" cm="1">
        <f t="array" ref="E370">SUM(IFERROR(
    VALUE(MID($C360:$G363,
             SEARCH(E369, $C360:$G363) + LEN(E369),
             10)) *
    ISNUMBER(SEARCH(E369,$C360:$G363)),
    0
))/100+IFERROR(
    MID($C365, SEARCH(E369, $C365) + LEN(E369), 2) / 100,
    0
)</f>
        <v>0.49</v>
      </c>
      <c r="F370" cm="1">
        <f t="array" ref="F370">SUM(IFERROR(
    VALUE(MID($C360:$G363,
             SEARCH(F369, $C360:$G363) + LEN(F369),
             10)) *
    ISNUMBER(SEARCH(F369,$C360:$G363)),
    0
))/100+IFERROR(
    MID($C365, SEARCH(F369, $C365) + LEN(F369), 2) / 100,
    0
)</f>
        <v>0.39799999999999996</v>
      </c>
      <c r="G370" cm="1">
        <f t="array" ref="G370">SUM(IFERROR(
    VALUE(MID($C360:$G363,
             SEARCH(G369, $C360:$G363) + LEN(G369),
             10)) *
    ISNUMBER(SEARCH(G369,$C360:$G363)),
    0
))/100+IFERROR(
    MID($C365, SEARCH(G369, $C365) + LEN(G369), 2) / 100,
    0
)</f>
        <v>0.53799999999999992</v>
      </c>
      <c r="H370" cm="1">
        <f t="array" ref="H370">SUM(IFERROR(
    VALUE(MID($C360:$G363,
             SEARCH(H369, $C360:$G363) + LEN(H369),
             10)) *
    ISNUMBER(SEARCH(H369,$C360:$G363)),
    0
))/100+IFERROR(
    MID($C365, SEARCH(H369, $C365) + LEN(H369), 2) / 100,
    0
)</f>
        <v>0.44799999999999995</v>
      </c>
      <c r="I370" cm="1">
        <f t="array" ref="I370">SUM(IFERROR(
    VALUE(MID($C360:$G363,
             SEARCH(I369, $C360:$G363) + LEN(I369),
             10)) *
    ISNUMBER(SEARCH(I369,$C360:$G363)),
    0
))/100+IFERROR(
    MID($C365, SEARCH(I369, $C365) + LEN(I369), 2) / 100,
    0
)</f>
        <v>0.12</v>
      </c>
      <c r="L370" s="23" cm="1">
        <f t="array" ref="L370:L376">_xlfn.XLOOKUP(L369,$AE$6:$AQ$6,AE359:AQ365,0,0,1)</f>
        <v>0.36</v>
      </c>
      <c r="M370" s="23" cm="1">
        <f t="array" ref="M370:M377">_xlfn.XLOOKUP(M369,$AE$6:$AQ$6,AE370:AQ377,0,0,1)</f>
        <v>0.45</v>
      </c>
      <c r="N370" s="23" t="str" cm="1">
        <f t="array" ref="N370:N375">_xlfn.XLOOKUP(N369,$AE$6:$AQ$6,AE383:AQ388,0,0,1)</f>
        <v>17s</v>
      </c>
      <c r="O370" s="23" cm="1">
        <f t="array" ref="O370:O374">_xlfn.XLOOKUP(O369,$AE$6:$AQ$6,AE395:AQ399,0,0,1)</f>
        <v>240</v>
      </c>
      <c r="Q370" s="28"/>
      <c r="S370" s="29" t="s">
        <v>974</v>
      </c>
      <c r="AE370" s="14" t="s">
        <v>1306</v>
      </c>
      <c r="AF370" s="153">
        <v>0.2</v>
      </c>
      <c r="AG370" s="153">
        <v>0.22</v>
      </c>
      <c r="AH370" s="153">
        <v>0.24</v>
      </c>
      <c r="AI370" s="153">
        <v>0.26</v>
      </c>
      <c r="AJ370" s="153">
        <v>0.28000000000000003</v>
      </c>
      <c r="AK370" s="153">
        <v>0.3</v>
      </c>
      <c r="AL370" s="153">
        <v>0.32</v>
      </c>
      <c r="AM370" s="153">
        <v>0.34</v>
      </c>
      <c r="AN370" s="153">
        <v>0.36</v>
      </c>
      <c r="AO370" s="153">
        <v>0.39</v>
      </c>
      <c r="AP370" s="153">
        <v>0.42</v>
      </c>
      <c r="AQ370" s="153">
        <v>0.45</v>
      </c>
    </row>
    <row r="371" spans="1:43" x14ac:dyDescent="0.25">
      <c r="B371" s="22" t="s">
        <v>165</v>
      </c>
      <c r="C371" cm="1">
        <f t="array" ref="C371">SUM(IFERROR(
    VALUE(MID($C360:$G363,
             FIND(C369, $C360:$G363) + LEN(C369),
             10)) *
    ISNUMBER(FIND(C369, $C360:$G363)),
    0
))+SUM(IFERROR(
    VALUE(MID($C360:$G363,
             FIND(C368, $C360:$G363) + LEN(C368),
             10)) *
    ISNUMBER(FIND(C368, $C360:$G363)),
    0
))+IFERROR(
    MID($C365, SEARCH(C369, $C365) + LEN(C369), 2) / 100,
    0
)+IFERROR(
    MID($C365, SEARCH(C368, $C365) + LEN(C368), 2) / 100,
    0
)</f>
        <v>435</v>
      </c>
      <c r="D371" cm="1">
        <f t="array" ref="D371">SUM(IFERROR(
    VALUE(MID($C360:$G363,
             FIND(D369, $C360:$G363) + LEN(D369),
             10)) *
    ISNUMBER(FIND(D369, $C360:$G363)),
    0
))+SUM(IFERROR(
    VALUE(MID($C360:$G363,
             FIND(D368, $C360:$G363) + LEN(D368),
             10)) *
    ISNUMBER(FIND(D368, $C360:$G363)),
    0
))+IFERROR(
    MID($C365, SEARCH(D369, $C365) + LEN(D369), 2) / 100,
    0
)+IFERROR(
    MID($C365, SEARCH(D368, $C365) + LEN(D368), 2) / 100,
    0
)</f>
        <v>184</v>
      </c>
      <c r="L371">
        <v>0.54</v>
      </c>
      <c r="M371">
        <v>15</v>
      </c>
      <c r="N371">
        <v>3.6</v>
      </c>
      <c r="O371">
        <v>25</v>
      </c>
      <c r="Q371" s="28"/>
      <c r="S371" s="29" t="s">
        <v>975</v>
      </c>
      <c r="AE371" s="14" t="s">
        <v>1307</v>
      </c>
      <c r="AF371" s="151">
        <v>15</v>
      </c>
      <c r="AG371" s="151">
        <v>15</v>
      </c>
      <c r="AH371" s="151">
        <v>15</v>
      </c>
      <c r="AI371" s="151">
        <v>15</v>
      </c>
      <c r="AJ371" s="151">
        <v>15</v>
      </c>
      <c r="AK371" s="151">
        <v>15</v>
      </c>
      <c r="AL371" s="151">
        <v>15</v>
      </c>
      <c r="AM371" s="151">
        <v>15</v>
      </c>
      <c r="AN371" s="151">
        <v>15</v>
      </c>
      <c r="AO371" s="151">
        <v>15</v>
      </c>
      <c r="AP371" s="151">
        <v>15</v>
      </c>
      <c r="AQ371" s="151">
        <v>15</v>
      </c>
    </row>
    <row r="372" spans="1:43" ht="14.4" thickBot="1" x14ac:dyDescent="0.3">
      <c r="B372" s="22" t="s">
        <v>166</v>
      </c>
      <c r="C372" s="12" cm="1">
        <f t="array" ref="C372">ROUND(SUM(C370:C371)*(1+IF(LEN(TRIM(LEFT(C368,3)))=0, 0,
   SUMPRODUCT(
       IFERROR(
           VALUE(MID($C360:$G363,
                   SEARCH(LEFT(C368,3), $C360:$G363) + 3,
                   10)) *
           ISNUMBER(SEARCH(LEFT(C368,3), $C360:$G363)),
           0
       )
   )+IFERROR(
    MID($C365, SEARCH(C369, $C365) + LEN(C369), 2) / 100,
    0
)
)/100),0)</f>
        <v>862</v>
      </c>
      <c r="D372" s="12" cm="1">
        <f t="array" ref="D372">ROUND(SUM(D370:D371)*(1+IF(LEN(TRIM(LEFT(D368,3)))=0, 0,
   SUMPRODUCT(
       IFERROR(
           VALUE(MID($C360:$G363,
                   SEARCH(LEFT(D368,3), $C360:$G363) + 3,
                   10)) *
           ISNUMBER(SEARCH(LEFT(D368,3), $C360:$G363)),
           0
       )
   )+IFERROR(
    MID($C365, SEARCH(D369, $C365) + LEN(D369), 2) / 100,
    0
)
)/100),0)</f>
        <v>307</v>
      </c>
      <c r="L372">
        <v>0.72</v>
      </c>
      <c r="M372">
        <v>0.09</v>
      </c>
      <c r="N372">
        <v>10</v>
      </c>
      <c r="O372">
        <v>1.5</v>
      </c>
      <c r="Q372" s="30"/>
      <c r="R372" s="18"/>
      <c r="S372" s="31" t="s">
        <v>976</v>
      </c>
      <c r="AE372" t="s">
        <v>1308</v>
      </c>
      <c r="AF372" s="153">
        <v>0.03</v>
      </c>
      <c r="AG372" s="153">
        <v>0.04</v>
      </c>
      <c r="AH372" s="153">
        <v>0.04</v>
      </c>
      <c r="AI372" s="153">
        <v>0.04</v>
      </c>
      <c r="AJ372" s="153">
        <v>0.05</v>
      </c>
      <c r="AK372" s="153">
        <v>0.05</v>
      </c>
      <c r="AL372" s="153">
        <v>0.05</v>
      </c>
      <c r="AM372" s="153">
        <v>0.06</v>
      </c>
      <c r="AN372" s="153">
        <v>0.06</v>
      </c>
      <c r="AO372" s="153">
        <v>7.0000000000000007E-2</v>
      </c>
      <c r="AP372" s="153">
        <v>0.08</v>
      </c>
      <c r="AQ372" s="153">
        <v>0.09</v>
      </c>
    </row>
    <row r="373" spans="1:43" x14ac:dyDescent="0.25">
      <c r="B373" s="85" t="s">
        <v>93</v>
      </c>
      <c r="C373" s="86">
        <f>C372*0.005+D372*0.002</f>
        <v>4.9240000000000004</v>
      </c>
      <c r="D373" s="87"/>
      <c r="E373" s="86"/>
      <c r="F373" s="86"/>
      <c r="G373" s="86"/>
      <c r="H373" s="86"/>
      <c r="I373" s="86"/>
      <c r="L373">
        <v>1.01</v>
      </c>
      <c r="M373">
        <v>6</v>
      </c>
      <c r="N373">
        <v>10</v>
      </c>
      <c r="O373">
        <v>2.1</v>
      </c>
      <c r="AE373" t="s">
        <v>1309</v>
      </c>
      <c r="AF373" s="151">
        <v>6</v>
      </c>
      <c r="AG373" s="151">
        <v>6</v>
      </c>
      <c r="AH373" s="151">
        <v>6</v>
      </c>
      <c r="AI373" s="151">
        <v>6</v>
      </c>
      <c r="AJ373" s="151">
        <v>6</v>
      </c>
      <c r="AK373" s="151">
        <v>6</v>
      </c>
      <c r="AL373" s="151">
        <v>6</v>
      </c>
      <c r="AM373" s="151">
        <v>6</v>
      </c>
      <c r="AN373" s="151">
        <v>6</v>
      </c>
      <c r="AO373" s="151">
        <v>6</v>
      </c>
      <c r="AP373" s="151">
        <v>6</v>
      </c>
      <c r="AQ373" s="151">
        <v>6</v>
      </c>
    </row>
    <row r="374" spans="1:43" x14ac:dyDescent="0.25">
      <c r="L374">
        <v>1.08</v>
      </c>
      <c r="M374">
        <v>9</v>
      </c>
      <c r="N374">
        <v>10</v>
      </c>
      <c r="O374">
        <v>3</v>
      </c>
      <c r="AE374" t="s">
        <v>1310</v>
      </c>
      <c r="AF374" s="151">
        <v>9</v>
      </c>
      <c r="AG374" s="151">
        <v>9</v>
      </c>
      <c r="AH374" s="151">
        <v>9</v>
      </c>
      <c r="AI374" s="151">
        <v>9</v>
      </c>
      <c r="AJ374" s="151">
        <v>9</v>
      </c>
      <c r="AK374" s="151">
        <v>9</v>
      </c>
      <c r="AL374" s="151">
        <v>9</v>
      </c>
      <c r="AM374" s="151">
        <v>9</v>
      </c>
      <c r="AN374" s="151">
        <v>9</v>
      </c>
      <c r="AO374" s="151">
        <v>9</v>
      </c>
      <c r="AP374" s="151">
        <v>9</v>
      </c>
      <c r="AQ374" s="151">
        <v>9</v>
      </c>
    </row>
    <row r="375" spans="1:43" x14ac:dyDescent="0.25">
      <c r="L375">
        <v>9</v>
      </c>
      <c r="M375">
        <v>36</v>
      </c>
      <c r="N375">
        <v>5.4</v>
      </c>
      <c r="AE375" s="14" t="s">
        <v>1311</v>
      </c>
      <c r="AF375" s="151">
        <v>36</v>
      </c>
      <c r="AG375" s="151">
        <v>36</v>
      </c>
      <c r="AH375" s="151">
        <v>36</v>
      </c>
      <c r="AI375" s="151">
        <v>36</v>
      </c>
      <c r="AJ375" s="151">
        <v>36</v>
      </c>
      <c r="AK375" s="151">
        <v>36</v>
      </c>
      <c r="AL375" s="151">
        <v>36</v>
      </c>
      <c r="AM375" s="151">
        <v>36</v>
      </c>
      <c r="AN375" s="151">
        <v>36</v>
      </c>
      <c r="AO375" s="151">
        <v>36</v>
      </c>
      <c r="AP375" s="151">
        <v>36</v>
      </c>
      <c r="AQ375" s="151">
        <v>36</v>
      </c>
    </row>
    <row r="376" spans="1:43" ht="13.8" customHeight="1" x14ac:dyDescent="0.25">
      <c r="E376" s="12"/>
      <c r="G376" s="12"/>
      <c r="L376">
        <v>1.8</v>
      </c>
      <c r="M376">
        <v>0.81</v>
      </c>
      <c r="AE376" s="14" t="s">
        <v>1312</v>
      </c>
      <c r="AF376" s="153">
        <v>0.36</v>
      </c>
      <c r="AG376" s="153">
        <v>0.4</v>
      </c>
      <c r="AH376" s="153">
        <v>0.43</v>
      </c>
      <c r="AI376" s="153">
        <v>0.47</v>
      </c>
      <c r="AJ376" s="153">
        <v>0.5</v>
      </c>
      <c r="AK376" s="153">
        <v>0.54</v>
      </c>
      <c r="AL376" s="153">
        <v>0.57999999999999996</v>
      </c>
      <c r="AM376" s="153">
        <v>0.61</v>
      </c>
      <c r="AN376" s="153">
        <v>0.65</v>
      </c>
      <c r="AO376" s="153">
        <v>0.69</v>
      </c>
      <c r="AP376" s="153">
        <v>0.75</v>
      </c>
      <c r="AQ376" s="153">
        <v>0.81</v>
      </c>
    </row>
    <row r="377" spans="1:43" x14ac:dyDescent="0.25">
      <c r="C377" s="22"/>
      <c r="M377">
        <v>0.18</v>
      </c>
      <c r="AE377" t="s">
        <v>1313</v>
      </c>
      <c r="AF377" s="153">
        <v>0.08</v>
      </c>
      <c r="AG377" s="153">
        <v>0.09</v>
      </c>
      <c r="AH377" s="153">
        <v>0.1</v>
      </c>
      <c r="AI377" s="153">
        <v>0.11</v>
      </c>
      <c r="AJ377" s="153">
        <v>0.11</v>
      </c>
      <c r="AK377" s="153">
        <v>0.12</v>
      </c>
      <c r="AL377" s="153">
        <v>0.13</v>
      </c>
      <c r="AM377" s="153">
        <v>0.14000000000000001</v>
      </c>
      <c r="AN377" s="153">
        <v>0.15</v>
      </c>
      <c r="AO377" s="153">
        <v>0.16</v>
      </c>
      <c r="AP377" s="153">
        <v>0.17</v>
      </c>
      <c r="AQ377" s="153">
        <v>0.18</v>
      </c>
    </row>
    <row r="378" spans="1:43" x14ac:dyDescent="0.25">
      <c r="C378" s="22"/>
      <c r="AF378" s="12"/>
      <c r="AG378" s="12"/>
      <c r="AH378" s="12"/>
      <c r="AI378" s="12"/>
      <c r="AJ378" s="12"/>
      <c r="AK378" s="12"/>
      <c r="AL378" s="12"/>
      <c r="AM378" s="12"/>
      <c r="AN378" s="12"/>
      <c r="AO378" s="12"/>
      <c r="AP378" s="12"/>
      <c r="AQ378" s="12"/>
    </row>
    <row r="379" spans="1:43" x14ac:dyDescent="0.25">
      <c r="C379" s="22"/>
      <c r="AF379" s="12"/>
      <c r="AG379" s="12"/>
      <c r="AH379" s="12"/>
      <c r="AI379" s="12"/>
      <c r="AJ379" s="12"/>
      <c r="AK379" s="12"/>
      <c r="AL379" s="12"/>
      <c r="AM379" s="12"/>
      <c r="AN379" s="12"/>
      <c r="AO379" s="12"/>
      <c r="AP379" s="12"/>
      <c r="AQ379" s="12"/>
    </row>
    <row r="380" spans="1:43" ht="14.4" thickBot="1" x14ac:dyDescent="0.3">
      <c r="A380" s="14"/>
      <c r="C380" s="28" t="s">
        <v>978</v>
      </c>
      <c r="E380" s="61" t="s">
        <v>755</v>
      </c>
      <c r="F380" s="61"/>
      <c r="G380" s="61"/>
      <c r="H380" s="61"/>
      <c r="I380" s="61"/>
      <c r="J380" s="127" t="s">
        <v>785</v>
      </c>
      <c r="K380" s="127"/>
      <c r="L380" s="127"/>
      <c r="M380" s="127"/>
      <c r="N380" s="63" t="s">
        <v>154</v>
      </c>
      <c r="O380" s="63"/>
      <c r="P380" s="63"/>
      <c r="Q380" s="63"/>
      <c r="R380" s="63"/>
      <c r="S380" s="63"/>
      <c r="T380" s="8" t="s">
        <v>161</v>
      </c>
      <c r="U380" s="8"/>
      <c r="V380" s="8"/>
      <c r="W380" s="8"/>
      <c r="X380" s="8"/>
      <c r="Y380" s="8"/>
      <c r="Z380" s="8"/>
      <c r="AE380" s="14" t="s">
        <v>77</v>
      </c>
      <c r="AF380" s="12" t="s">
        <v>1342</v>
      </c>
      <c r="AG380" s="12"/>
      <c r="AH380" s="12"/>
      <c r="AI380" s="12"/>
      <c r="AJ380" s="12"/>
      <c r="AK380" s="12"/>
      <c r="AL380" s="12"/>
      <c r="AM380" s="12"/>
      <c r="AN380" s="12"/>
      <c r="AO380" s="12"/>
      <c r="AP380" s="12"/>
      <c r="AQ380" s="12"/>
    </row>
    <row r="381" spans="1:43" x14ac:dyDescent="0.25">
      <c r="A381" s="14"/>
      <c r="B381" t="s">
        <v>695</v>
      </c>
      <c r="C381" s="17" t="s">
        <v>704</v>
      </c>
      <c r="D381" s="17" t="s">
        <v>991</v>
      </c>
      <c r="E381" s="52" t="s">
        <v>92</v>
      </c>
      <c r="F381" s="52" t="s">
        <v>94</v>
      </c>
      <c r="G381" s="52" t="s">
        <v>95</v>
      </c>
      <c r="H381" s="52" t="s">
        <v>93</v>
      </c>
      <c r="I381" s="52" t="s">
        <v>96</v>
      </c>
      <c r="J381" s="64" t="s">
        <v>688</v>
      </c>
      <c r="K381" s="64" t="s">
        <v>689</v>
      </c>
      <c r="L381" s="64" t="s">
        <v>690</v>
      </c>
      <c r="M381" s="64" t="s">
        <v>163</v>
      </c>
      <c r="N381" s="64" t="s">
        <v>707</v>
      </c>
      <c r="O381" s="64" t="s">
        <v>153</v>
      </c>
      <c r="P381" s="64" t="s">
        <v>76</v>
      </c>
      <c r="Q381" s="64" t="s">
        <v>77</v>
      </c>
      <c r="R381" s="64" t="s">
        <v>78</v>
      </c>
      <c r="S381" s="64" t="s">
        <v>703</v>
      </c>
      <c r="T381" s="64" t="s">
        <v>83</v>
      </c>
      <c r="U381" s="64" t="s">
        <v>80</v>
      </c>
      <c r="V381" s="64" t="s">
        <v>79</v>
      </c>
      <c r="W381" s="64" t="s">
        <v>691</v>
      </c>
      <c r="X381" s="64" t="s">
        <v>694</v>
      </c>
      <c r="Y381" s="64" t="s">
        <v>693</v>
      </c>
      <c r="Z381" s="64" t="s">
        <v>692</v>
      </c>
      <c r="AF381" s="12" t="s">
        <v>1343</v>
      </c>
      <c r="AG381" s="152"/>
      <c r="AH381" s="152"/>
      <c r="AI381" s="152"/>
      <c r="AJ381" s="152"/>
      <c r="AK381" s="152"/>
      <c r="AL381" s="152"/>
      <c r="AM381" s="152"/>
      <c r="AN381" s="152"/>
      <c r="AO381" s="152"/>
      <c r="AP381" s="152"/>
      <c r="AQ381" s="152"/>
    </row>
    <row r="382" spans="1:43" x14ac:dyDescent="0.25">
      <c r="B382" t="s">
        <v>1334</v>
      </c>
      <c r="E382" s="21">
        <f>326+510</f>
        <v>836</v>
      </c>
      <c r="F382" s="43">
        <f>E370</f>
        <v>0.49</v>
      </c>
      <c r="G382" s="43"/>
      <c r="H382">
        <f>C373</f>
        <v>4.9240000000000004</v>
      </c>
      <c r="I382">
        <f>(E382*(1+F382)+G382)*(H382+1)</f>
        <v>7379.1713600000012</v>
      </c>
      <c r="K382" s="43">
        <f>0.05</f>
        <v>0.05</v>
      </c>
      <c r="L382" s="43">
        <f>0.5</f>
        <v>0.5</v>
      </c>
      <c r="M382" s="43"/>
      <c r="N382" s="43">
        <f>F370+H370</f>
        <v>0.84599999999999986</v>
      </c>
      <c r="O382" s="43"/>
      <c r="P382" s="43">
        <f>IF($I$359&gt;=2,0.15,0)</f>
        <v>0</v>
      </c>
      <c r="Q382" s="43"/>
      <c r="R382" s="43"/>
      <c r="W382">
        <f>IF(I359&gt;=5,0.15,0)</f>
        <v>0</v>
      </c>
      <c r="AE382" s="14"/>
      <c r="AF382" s="12" t="s">
        <v>1344</v>
      </c>
      <c r="AG382" s="151"/>
      <c r="AH382" s="151"/>
      <c r="AI382" s="151"/>
      <c r="AJ382" s="151"/>
      <c r="AK382" s="151"/>
      <c r="AL382" s="151"/>
      <c r="AM382" s="151"/>
      <c r="AN382" s="151"/>
      <c r="AO382" s="151"/>
      <c r="AP382" s="151"/>
      <c r="AQ382" s="151"/>
    </row>
    <row r="383" spans="1:43" x14ac:dyDescent="0.25">
      <c r="C383" t="s">
        <v>1335</v>
      </c>
      <c r="D383" t="s">
        <v>805</v>
      </c>
      <c r="E383">
        <f>E382</f>
        <v>836</v>
      </c>
      <c r="F383">
        <f>F382</f>
        <v>0.49</v>
      </c>
      <c r="G383">
        <f>G382</f>
        <v>0</v>
      </c>
      <c r="H383">
        <f>H382</f>
        <v>4.9240000000000004</v>
      </c>
      <c r="I383">
        <f t="shared" ref="I383:I385" si="67">(E383*(1+F383)+G383)*(H383+1)</f>
        <v>7379.1713600000012</v>
      </c>
      <c r="J383">
        <f>SUM(L370:L374)</f>
        <v>3.71</v>
      </c>
      <c r="K383">
        <f t="shared" ref="K383:R399" si="68">K382</f>
        <v>0.05</v>
      </c>
      <c r="L383">
        <f t="shared" si="68"/>
        <v>0.5</v>
      </c>
      <c r="M383">
        <f t="shared" si="68"/>
        <v>0</v>
      </c>
      <c r="N383">
        <f t="shared" si="68"/>
        <v>0.84599999999999986</v>
      </c>
      <c r="O383">
        <f t="shared" si="68"/>
        <v>0</v>
      </c>
      <c r="P383">
        <f t="shared" si="68"/>
        <v>0</v>
      </c>
      <c r="Q383">
        <f t="shared" si="68"/>
        <v>0</v>
      </c>
      <c r="R383">
        <f t="shared" si="68"/>
        <v>0</v>
      </c>
      <c r="T383">
        <f>T382</f>
        <v>0</v>
      </c>
      <c r="U383">
        <f t="shared" ref="U383:X399" si="69">U382</f>
        <v>0</v>
      </c>
      <c r="V383">
        <f t="shared" si="69"/>
        <v>0</v>
      </c>
      <c r="W383">
        <f t="shared" si="69"/>
        <v>0</v>
      </c>
      <c r="X383">
        <f t="shared" si="69"/>
        <v>0</v>
      </c>
      <c r="AE383" s="14" t="s">
        <v>137</v>
      </c>
      <c r="AF383" s="151" t="s">
        <v>939</v>
      </c>
      <c r="AG383" s="151" t="s">
        <v>939</v>
      </c>
      <c r="AH383" s="151" t="s">
        <v>939</v>
      </c>
      <c r="AI383" s="151" t="s">
        <v>939</v>
      </c>
      <c r="AJ383" s="151" t="s">
        <v>939</v>
      </c>
      <c r="AK383" s="151" t="s">
        <v>939</v>
      </c>
      <c r="AL383" s="151" t="s">
        <v>939</v>
      </c>
      <c r="AM383" s="151" t="s">
        <v>939</v>
      </c>
      <c r="AN383" s="151" t="s">
        <v>939</v>
      </c>
      <c r="AO383" s="151" t="s">
        <v>939</v>
      </c>
      <c r="AP383" s="151" t="s">
        <v>939</v>
      </c>
      <c r="AQ383" s="151" t="s">
        <v>1314</v>
      </c>
    </row>
    <row r="384" spans="1:43" x14ac:dyDescent="0.25">
      <c r="C384" t="s">
        <v>1336</v>
      </c>
      <c r="D384" t="s">
        <v>805</v>
      </c>
      <c r="E384">
        <f t="shared" ref="E384:H387" si="70">E383</f>
        <v>836</v>
      </c>
      <c r="F384">
        <f t="shared" si="70"/>
        <v>0.49</v>
      </c>
      <c r="G384">
        <f t="shared" si="70"/>
        <v>0</v>
      </c>
      <c r="H384">
        <f t="shared" si="70"/>
        <v>4.9240000000000004</v>
      </c>
      <c r="I384">
        <f t="shared" si="67"/>
        <v>7379.1713600000012</v>
      </c>
      <c r="J384">
        <f>SUM(L370:L373)</f>
        <v>2.63</v>
      </c>
      <c r="K384">
        <f t="shared" si="68"/>
        <v>0.05</v>
      </c>
      <c r="L384">
        <f t="shared" si="68"/>
        <v>0.5</v>
      </c>
      <c r="M384">
        <f t="shared" si="68"/>
        <v>0</v>
      </c>
      <c r="N384">
        <f t="shared" si="68"/>
        <v>0.84599999999999986</v>
      </c>
      <c r="O384">
        <f t="shared" si="68"/>
        <v>0</v>
      </c>
      <c r="P384">
        <f t="shared" si="68"/>
        <v>0</v>
      </c>
      <c r="Q384">
        <f t="shared" si="68"/>
        <v>0</v>
      </c>
      <c r="R384">
        <f t="shared" si="68"/>
        <v>0</v>
      </c>
      <c r="T384">
        <f t="shared" ref="T384:X399" si="71">T383</f>
        <v>0</v>
      </c>
      <c r="U384">
        <f t="shared" si="69"/>
        <v>0</v>
      </c>
      <c r="V384">
        <f t="shared" si="69"/>
        <v>0</v>
      </c>
      <c r="W384">
        <f t="shared" si="69"/>
        <v>0</v>
      </c>
      <c r="X384">
        <f t="shared" si="69"/>
        <v>0</v>
      </c>
      <c r="AE384" t="s">
        <v>1315</v>
      </c>
      <c r="AF384" s="153">
        <v>1.6</v>
      </c>
      <c r="AG384" s="153">
        <v>1.76</v>
      </c>
      <c r="AH384" s="153">
        <v>1.92</v>
      </c>
      <c r="AI384" s="153">
        <v>2.08</v>
      </c>
      <c r="AJ384" s="153">
        <v>2.2400000000000002</v>
      </c>
      <c r="AK384" s="153">
        <v>2.4</v>
      </c>
      <c r="AL384" s="153">
        <v>2.56</v>
      </c>
      <c r="AM384" s="153">
        <v>2.72</v>
      </c>
      <c r="AN384" s="153">
        <v>2.88</v>
      </c>
      <c r="AO384" s="153">
        <v>3.08</v>
      </c>
      <c r="AP384" s="153">
        <v>3.32</v>
      </c>
      <c r="AQ384" s="153">
        <v>3.6</v>
      </c>
    </row>
    <row r="385" spans="1:45" x14ac:dyDescent="0.25">
      <c r="A385" s="14"/>
      <c r="C385" t="s">
        <v>1337</v>
      </c>
      <c r="D385" t="s">
        <v>805</v>
      </c>
      <c r="E385">
        <f t="shared" si="70"/>
        <v>836</v>
      </c>
      <c r="F385">
        <f t="shared" si="70"/>
        <v>0.49</v>
      </c>
      <c r="G385">
        <f t="shared" si="70"/>
        <v>0</v>
      </c>
      <c r="H385">
        <f t="shared" si="70"/>
        <v>4.9240000000000004</v>
      </c>
      <c r="I385">
        <f t="shared" si="67"/>
        <v>7379.1713600000012</v>
      </c>
      <c r="J385">
        <f>L374</f>
        <v>1.08</v>
      </c>
      <c r="K385">
        <f t="shared" si="68"/>
        <v>0.05</v>
      </c>
      <c r="L385">
        <f t="shared" si="68"/>
        <v>0.5</v>
      </c>
      <c r="M385">
        <f t="shared" si="68"/>
        <v>0</v>
      </c>
      <c r="N385">
        <f t="shared" si="68"/>
        <v>0.84599999999999986</v>
      </c>
      <c r="O385">
        <f t="shared" si="68"/>
        <v>0</v>
      </c>
      <c r="P385">
        <f t="shared" si="68"/>
        <v>0</v>
      </c>
      <c r="Q385">
        <f t="shared" si="68"/>
        <v>0</v>
      </c>
      <c r="R385">
        <f t="shared" si="68"/>
        <v>0</v>
      </c>
      <c r="T385">
        <f t="shared" si="71"/>
        <v>0</v>
      </c>
      <c r="U385">
        <f t="shared" si="69"/>
        <v>0</v>
      </c>
      <c r="V385">
        <f t="shared" si="69"/>
        <v>0</v>
      </c>
      <c r="W385">
        <f t="shared" si="69"/>
        <v>0</v>
      </c>
      <c r="X385">
        <f t="shared" si="69"/>
        <v>0</v>
      </c>
      <c r="AE385" s="14" t="s">
        <v>1307</v>
      </c>
      <c r="AF385" s="151">
        <v>10</v>
      </c>
      <c r="AG385" s="151">
        <v>10</v>
      </c>
      <c r="AH385" s="151">
        <v>10</v>
      </c>
      <c r="AI385" s="151">
        <v>10</v>
      </c>
      <c r="AJ385" s="151">
        <v>10</v>
      </c>
      <c r="AK385" s="151">
        <v>10</v>
      </c>
      <c r="AL385" s="151">
        <v>10</v>
      </c>
      <c r="AM385" s="151">
        <v>10</v>
      </c>
      <c r="AN385" s="151">
        <v>10</v>
      </c>
      <c r="AO385" s="151">
        <v>10</v>
      </c>
      <c r="AP385" s="151">
        <v>10</v>
      </c>
      <c r="AQ385" s="151">
        <v>10</v>
      </c>
    </row>
    <row r="386" spans="1:45" x14ac:dyDescent="0.25">
      <c r="A386" s="14"/>
      <c r="C386" t="s">
        <v>1338</v>
      </c>
      <c r="D386" t="s">
        <v>805</v>
      </c>
      <c r="E386">
        <f t="shared" si="70"/>
        <v>836</v>
      </c>
      <c r="F386">
        <f t="shared" si="70"/>
        <v>0.49</v>
      </c>
      <c r="G386">
        <f t="shared" si="70"/>
        <v>0</v>
      </c>
      <c r="H386">
        <f t="shared" si="70"/>
        <v>4.9240000000000004</v>
      </c>
      <c r="I386">
        <f>(E386*(1+F386)+G386)*(H386+1)</f>
        <v>7379.1713600000012</v>
      </c>
      <c r="J386">
        <f>L375</f>
        <v>9</v>
      </c>
      <c r="K386">
        <f t="shared" si="68"/>
        <v>0.05</v>
      </c>
      <c r="L386">
        <f t="shared" si="68"/>
        <v>0.5</v>
      </c>
      <c r="M386">
        <f t="shared" si="68"/>
        <v>0</v>
      </c>
      <c r="N386">
        <f t="shared" si="68"/>
        <v>0.84599999999999986</v>
      </c>
      <c r="O386">
        <f t="shared" si="68"/>
        <v>0</v>
      </c>
      <c r="P386">
        <f t="shared" si="68"/>
        <v>0</v>
      </c>
      <c r="Q386">
        <f t="shared" si="68"/>
        <v>0</v>
      </c>
      <c r="R386">
        <f t="shared" si="68"/>
        <v>0</v>
      </c>
      <c r="T386">
        <f t="shared" si="71"/>
        <v>0</v>
      </c>
      <c r="U386">
        <f t="shared" si="69"/>
        <v>0</v>
      </c>
      <c r="V386">
        <f t="shared" si="69"/>
        <v>0</v>
      </c>
      <c r="W386">
        <f t="shared" si="69"/>
        <v>0</v>
      </c>
      <c r="X386">
        <f t="shared" si="69"/>
        <v>0</v>
      </c>
      <c r="AE386" s="14" t="s">
        <v>1316</v>
      </c>
      <c r="AF386" s="151">
        <v>10</v>
      </c>
      <c r="AG386" s="151">
        <v>10</v>
      </c>
      <c r="AH386" s="151">
        <v>10</v>
      </c>
      <c r="AI386" s="151">
        <v>10</v>
      </c>
      <c r="AJ386" s="151">
        <v>10</v>
      </c>
      <c r="AK386" s="151">
        <v>10</v>
      </c>
      <c r="AL386" s="151">
        <v>10</v>
      </c>
      <c r="AM386" s="151">
        <v>10</v>
      </c>
      <c r="AN386" s="151">
        <v>10</v>
      </c>
      <c r="AO386" s="151">
        <v>10</v>
      </c>
      <c r="AP386" s="151">
        <v>10</v>
      </c>
      <c r="AQ386" s="151">
        <v>10</v>
      </c>
    </row>
    <row r="387" spans="1:45" x14ac:dyDescent="0.25">
      <c r="C387" t="s">
        <v>1339</v>
      </c>
      <c r="D387" t="s">
        <v>805</v>
      </c>
      <c r="E387">
        <f t="shared" si="70"/>
        <v>836</v>
      </c>
      <c r="F387">
        <f t="shared" si="70"/>
        <v>0.49</v>
      </c>
      <c r="G387">
        <f t="shared" si="70"/>
        <v>0</v>
      </c>
      <c r="H387">
        <f t="shared" si="70"/>
        <v>4.9240000000000004</v>
      </c>
      <c r="I387">
        <f t="shared" ref="I387" si="72">(E387*(1+F387)+G387)*(H387+1)</f>
        <v>7379.1713600000012</v>
      </c>
      <c r="J387">
        <f>L376</f>
        <v>1.8</v>
      </c>
      <c r="K387">
        <f t="shared" si="68"/>
        <v>0.05</v>
      </c>
      <c r="L387">
        <f t="shared" si="68"/>
        <v>0.5</v>
      </c>
      <c r="M387">
        <f t="shared" si="68"/>
        <v>0</v>
      </c>
      <c r="N387">
        <f t="shared" si="68"/>
        <v>0.84599999999999986</v>
      </c>
      <c r="O387">
        <f t="shared" si="68"/>
        <v>0</v>
      </c>
      <c r="P387">
        <f t="shared" si="68"/>
        <v>0</v>
      </c>
      <c r="Q387">
        <f t="shared" si="68"/>
        <v>0</v>
      </c>
      <c r="R387">
        <f t="shared" si="68"/>
        <v>0</v>
      </c>
      <c r="T387">
        <f t="shared" si="71"/>
        <v>0</v>
      </c>
      <c r="U387">
        <f t="shared" si="69"/>
        <v>0</v>
      </c>
      <c r="V387">
        <f t="shared" si="69"/>
        <v>0</v>
      </c>
      <c r="W387">
        <f t="shared" si="69"/>
        <v>0</v>
      </c>
      <c r="X387">
        <f t="shared" si="69"/>
        <v>0</v>
      </c>
      <c r="AE387" t="s">
        <v>1317</v>
      </c>
      <c r="AF387" s="151">
        <v>10</v>
      </c>
      <c r="AG387" s="151">
        <v>10</v>
      </c>
      <c r="AH387" s="151">
        <v>10</v>
      </c>
      <c r="AI387" s="151">
        <v>10</v>
      </c>
      <c r="AJ387" s="151">
        <v>10</v>
      </c>
      <c r="AK387" s="151">
        <v>10</v>
      </c>
      <c r="AL387" s="151">
        <v>10</v>
      </c>
      <c r="AM387" s="151">
        <v>10</v>
      </c>
      <c r="AN387" s="151">
        <v>10</v>
      </c>
      <c r="AO387" s="151">
        <v>10</v>
      </c>
      <c r="AP387" s="151">
        <v>10</v>
      </c>
      <c r="AQ387" s="151">
        <v>10</v>
      </c>
    </row>
    <row r="388" spans="1:45" x14ac:dyDescent="0.25">
      <c r="C388" s="68" t="s">
        <v>1374</v>
      </c>
      <c r="D388" t="s">
        <v>805</v>
      </c>
      <c r="E388">
        <f t="shared" ref="E388:H388" si="73">E387</f>
        <v>836</v>
      </c>
      <c r="F388">
        <f t="shared" si="73"/>
        <v>0.49</v>
      </c>
      <c r="G388">
        <f t="shared" si="73"/>
        <v>0</v>
      </c>
      <c r="H388">
        <f t="shared" si="73"/>
        <v>4.9240000000000004</v>
      </c>
      <c r="I388">
        <f t="shared" ref="I388:I410" si="74">(E388*(1+F388)+G388)*(H388+1)</f>
        <v>7379.1713600000012</v>
      </c>
      <c r="J388">
        <f>($M$370*(6+0))*(IF($I$359&gt;=1,1.15,1))</f>
        <v>2.7</v>
      </c>
      <c r="K388">
        <f t="shared" si="68"/>
        <v>0.05</v>
      </c>
      <c r="L388">
        <f t="shared" si="68"/>
        <v>0.5</v>
      </c>
      <c r="M388">
        <f t="shared" si="68"/>
        <v>0</v>
      </c>
      <c r="N388">
        <f t="shared" si="68"/>
        <v>0.84599999999999986</v>
      </c>
      <c r="O388">
        <f t="shared" si="68"/>
        <v>0</v>
      </c>
      <c r="P388">
        <f t="shared" si="68"/>
        <v>0</v>
      </c>
      <c r="Q388">
        <f t="shared" si="68"/>
        <v>0</v>
      </c>
      <c r="R388">
        <f t="shared" si="68"/>
        <v>0</v>
      </c>
      <c r="T388">
        <f t="shared" si="71"/>
        <v>0</v>
      </c>
      <c r="U388">
        <f t="shared" si="69"/>
        <v>0</v>
      </c>
      <c r="V388">
        <f t="shared" si="69"/>
        <v>0</v>
      </c>
      <c r="W388">
        <f t="shared" si="69"/>
        <v>0</v>
      </c>
      <c r="X388">
        <f t="shared" si="69"/>
        <v>0</v>
      </c>
      <c r="AE388" s="14" t="s">
        <v>1318</v>
      </c>
      <c r="AF388" s="153">
        <v>2.4</v>
      </c>
      <c r="AG388" s="153">
        <v>2.64</v>
      </c>
      <c r="AH388" s="153">
        <v>2.88</v>
      </c>
      <c r="AI388" s="153">
        <v>3.12</v>
      </c>
      <c r="AJ388" s="153">
        <v>3.36</v>
      </c>
      <c r="AK388" s="153">
        <v>3.6</v>
      </c>
      <c r="AL388" s="153">
        <v>3.84</v>
      </c>
      <c r="AM388" s="153">
        <v>4.08</v>
      </c>
      <c r="AN388" s="153">
        <v>4.32</v>
      </c>
      <c r="AO388" s="153">
        <v>4.62</v>
      </c>
      <c r="AP388" s="153">
        <v>4.9800000000000004</v>
      </c>
      <c r="AQ388" s="153">
        <v>5.4</v>
      </c>
    </row>
    <row r="389" spans="1:45" x14ac:dyDescent="0.25">
      <c r="C389" s="68" t="s">
        <v>1386</v>
      </c>
      <c r="D389" t="s">
        <v>805</v>
      </c>
      <c r="E389">
        <f t="shared" ref="E389:H389" si="75">E388</f>
        <v>836</v>
      </c>
      <c r="F389">
        <f t="shared" si="75"/>
        <v>0.49</v>
      </c>
      <c r="G389">
        <f t="shared" si="75"/>
        <v>0</v>
      </c>
      <c r="H389">
        <f t="shared" si="75"/>
        <v>4.9240000000000004</v>
      </c>
      <c r="I389">
        <f t="shared" si="74"/>
        <v>7379.1713600000012</v>
      </c>
      <c r="J389">
        <f>($M$370*(6+1))*(IF($I$359&gt;=1,1.15,1))</f>
        <v>3.15</v>
      </c>
      <c r="K389">
        <f t="shared" si="68"/>
        <v>0.05</v>
      </c>
      <c r="L389">
        <f t="shared" si="68"/>
        <v>0.5</v>
      </c>
      <c r="M389">
        <f t="shared" si="68"/>
        <v>0</v>
      </c>
      <c r="N389">
        <f t="shared" si="68"/>
        <v>0.84599999999999986</v>
      </c>
      <c r="O389">
        <f t="shared" si="68"/>
        <v>0</v>
      </c>
      <c r="P389">
        <f t="shared" si="68"/>
        <v>0</v>
      </c>
      <c r="Q389">
        <f t="shared" si="68"/>
        <v>0</v>
      </c>
      <c r="R389">
        <f t="shared" si="68"/>
        <v>0</v>
      </c>
      <c r="T389">
        <f t="shared" si="71"/>
        <v>0</v>
      </c>
      <c r="U389">
        <f t="shared" si="69"/>
        <v>0</v>
      </c>
      <c r="V389">
        <f t="shared" si="69"/>
        <v>0</v>
      </c>
      <c r="W389">
        <f t="shared" si="69"/>
        <v>0</v>
      </c>
      <c r="X389">
        <f t="shared" si="69"/>
        <v>0</v>
      </c>
      <c r="AF389" s="152"/>
      <c r="AG389" s="152"/>
      <c r="AH389" s="152"/>
      <c r="AI389" s="152"/>
      <c r="AJ389" s="152"/>
      <c r="AK389" s="152"/>
      <c r="AL389" s="152"/>
      <c r="AM389" s="152"/>
      <c r="AN389" s="152"/>
      <c r="AO389" s="152"/>
      <c r="AP389" s="152"/>
      <c r="AQ389" s="152"/>
    </row>
    <row r="390" spans="1:45" x14ac:dyDescent="0.25">
      <c r="A390" s="14"/>
      <c r="C390" s="154" t="s">
        <v>1375</v>
      </c>
      <c r="D390" t="s">
        <v>805</v>
      </c>
      <c r="E390">
        <f t="shared" ref="E390:H390" si="76">E389</f>
        <v>836</v>
      </c>
      <c r="F390">
        <f t="shared" si="76"/>
        <v>0.49</v>
      </c>
      <c r="G390">
        <f t="shared" si="76"/>
        <v>0</v>
      </c>
      <c r="H390">
        <f t="shared" si="76"/>
        <v>4.9240000000000004</v>
      </c>
      <c r="I390">
        <f t="shared" si="74"/>
        <v>7379.1713600000012</v>
      </c>
      <c r="J390" s="10">
        <f>(($M$370+$M$372*1)*(6+1))*(IF($I$359&gt;=1,1.15,1))</f>
        <v>3.7800000000000002</v>
      </c>
      <c r="K390">
        <f t="shared" si="68"/>
        <v>0.05</v>
      </c>
      <c r="L390">
        <f t="shared" si="68"/>
        <v>0.5</v>
      </c>
      <c r="M390">
        <f t="shared" si="68"/>
        <v>0</v>
      </c>
      <c r="N390">
        <f t="shared" si="68"/>
        <v>0.84599999999999986</v>
      </c>
      <c r="O390">
        <f t="shared" si="68"/>
        <v>0</v>
      </c>
      <c r="P390">
        <f t="shared" si="68"/>
        <v>0</v>
      </c>
      <c r="Q390">
        <f t="shared" si="68"/>
        <v>0</v>
      </c>
      <c r="R390">
        <f t="shared" si="68"/>
        <v>0</v>
      </c>
      <c r="T390">
        <f t="shared" si="71"/>
        <v>0</v>
      </c>
      <c r="U390">
        <f t="shared" si="69"/>
        <v>0</v>
      </c>
      <c r="V390">
        <f t="shared" si="69"/>
        <v>0</v>
      </c>
      <c r="W390">
        <f t="shared" si="69"/>
        <v>0</v>
      </c>
      <c r="X390">
        <f t="shared" si="69"/>
        <v>0</v>
      </c>
      <c r="AE390" s="14"/>
      <c r="AF390" s="151"/>
      <c r="AG390" s="151"/>
      <c r="AH390" s="151"/>
      <c r="AI390" s="151"/>
      <c r="AJ390" s="151"/>
      <c r="AK390" s="151"/>
      <c r="AL390" s="151"/>
      <c r="AM390" s="151"/>
      <c r="AN390" s="151"/>
      <c r="AO390" s="151"/>
      <c r="AP390" s="151"/>
      <c r="AQ390" s="151"/>
    </row>
    <row r="391" spans="1:45" x14ac:dyDescent="0.25">
      <c r="C391" t="s">
        <v>1391</v>
      </c>
      <c r="D391" t="s">
        <v>805</v>
      </c>
      <c r="E391">
        <f t="shared" ref="E391:H391" si="77">E390</f>
        <v>836</v>
      </c>
      <c r="F391">
        <f t="shared" si="77"/>
        <v>0.49</v>
      </c>
      <c r="G391">
        <f t="shared" si="77"/>
        <v>0</v>
      </c>
      <c r="H391">
        <f t="shared" si="77"/>
        <v>4.9240000000000004</v>
      </c>
      <c r="I391">
        <f t="shared" si="74"/>
        <v>7379.1713600000012</v>
      </c>
      <c r="J391">
        <f>(($M$370+$M$372*1)*(6+2))*(IF($I$359&gt;=1,1.15,1))</f>
        <v>4.32</v>
      </c>
      <c r="K391">
        <f t="shared" si="68"/>
        <v>0.05</v>
      </c>
      <c r="L391">
        <f t="shared" si="68"/>
        <v>0.5</v>
      </c>
      <c r="M391">
        <f t="shared" si="68"/>
        <v>0</v>
      </c>
      <c r="N391">
        <f t="shared" si="68"/>
        <v>0.84599999999999986</v>
      </c>
      <c r="O391">
        <f t="shared" si="68"/>
        <v>0</v>
      </c>
      <c r="P391">
        <f t="shared" si="68"/>
        <v>0</v>
      </c>
      <c r="Q391">
        <f t="shared" si="68"/>
        <v>0</v>
      </c>
      <c r="R391">
        <f t="shared" si="68"/>
        <v>0</v>
      </c>
      <c r="T391">
        <f t="shared" si="71"/>
        <v>0</v>
      </c>
      <c r="U391">
        <f t="shared" si="69"/>
        <v>0</v>
      </c>
      <c r="V391">
        <f t="shared" si="69"/>
        <v>0</v>
      </c>
      <c r="W391">
        <f t="shared" si="69"/>
        <v>0</v>
      </c>
      <c r="X391">
        <f t="shared" si="69"/>
        <v>0</v>
      </c>
      <c r="AE391" s="14" t="s">
        <v>649</v>
      </c>
      <c r="AF391" s="12" t="s">
        <v>1345</v>
      </c>
      <c r="AG391" s="153"/>
      <c r="AH391" s="153"/>
      <c r="AI391" s="153"/>
      <c r="AJ391" s="153"/>
      <c r="AK391" s="153"/>
      <c r="AL391" s="153"/>
      <c r="AM391" s="153"/>
      <c r="AN391" s="153"/>
      <c r="AO391" s="153"/>
      <c r="AP391" s="153"/>
      <c r="AQ391" s="153"/>
    </row>
    <row r="392" spans="1:45" x14ac:dyDescent="0.25">
      <c r="A392" s="14"/>
      <c r="C392" s="155" t="s">
        <v>1376</v>
      </c>
      <c r="D392" t="s">
        <v>805</v>
      </c>
      <c r="E392">
        <f t="shared" ref="E392:H392" si="78">E391</f>
        <v>836</v>
      </c>
      <c r="F392">
        <f t="shared" si="78"/>
        <v>0.49</v>
      </c>
      <c r="G392">
        <f t="shared" si="78"/>
        <v>0</v>
      </c>
      <c r="H392">
        <f t="shared" si="78"/>
        <v>4.9240000000000004</v>
      </c>
      <c r="I392">
        <f t="shared" si="74"/>
        <v>7379.1713600000012</v>
      </c>
      <c r="J392" s="10">
        <f>(($M$370+$M$372*2)*(6+2))*(IF($I$359&gt;=1,1.15,1))</f>
        <v>5.04</v>
      </c>
      <c r="K392">
        <f t="shared" si="68"/>
        <v>0.05</v>
      </c>
      <c r="L392">
        <f t="shared" si="68"/>
        <v>0.5</v>
      </c>
      <c r="M392">
        <f t="shared" si="68"/>
        <v>0</v>
      </c>
      <c r="N392">
        <f t="shared" si="68"/>
        <v>0.84599999999999986</v>
      </c>
      <c r="O392">
        <f t="shared" si="68"/>
        <v>0</v>
      </c>
      <c r="P392">
        <f t="shared" si="68"/>
        <v>0</v>
      </c>
      <c r="Q392">
        <f t="shared" si="68"/>
        <v>0</v>
      </c>
      <c r="R392">
        <f t="shared" si="68"/>
        <v>0</v>
      </c>
      <c r="T392">
        <f t="shared" si="71"/>
        <v>0</v>
      </c>
      <c r="U392">
        <f t="shared" si="69"/>
        <v>0</v>
      </c>
      <c r="V392">
        <f t="shared" si="69"/>
        <v>0</v>
      </c>
      <c r="W392">
        <f t="shared" si="69"/>
        <v>0</v>
      </c>
      <c r="X392">
        <f t="shared" si="69"/>
        <v>0</v>
      </c>
      <c r="AE392" s="14"/>
      <c r="AF392" s="12" t="s">
        <v>1346</v>
      </c>
      <c r="AG392" s="151"/>
      <c r="AH392" s="151"/>
      <c r="AI392" s="151"/>
      <c r="AJ392" s="151"/>
      <c r="AK392" s="151"/>
      <c r="AL392" s="151"/>
      <c r="AM392" s="151"/>
      <c r="AN392" s="151"/>
      <c r="AO392" s="151"/>
      <c r="AP392" s="151"/>
      <c r="AQ392" s="151"/>
    </row>
    <row r="393" spans="1:45" x14ac:dyDescent="0.25">
      <c r="A393" s="14"/>
      <c r="C393" s="12" t="s">
        <v>1377</v>
      </c>
      <c r="D393" t="s">
        <v>805</v>
      </c>
      <c r="E393">
        <f t="shared" ref="E393:H393" si="79">E392</f>
        <v>836</v>
      </c>
      <c r="F393">
        <f t="shared" si="79"/>
        <v>0.49</v>
      </c>
      <c r="G393">
        <f t="shared" si="79"/>
        <v>0</v>
      </c>
      <c r="H393">
        <f t="shared" si="79"/>
        <v>4.9240000000000004</v>
      </c>
      <c r="I393">
        <f t="shared" si="74"/>
        <v>7379.1713600000012</v>
      </c>
      <c r="J393">
        <f>(($M$370+$M$372*1)*(6+3))*(IF($I$359&gt;=1,1.15,1))</f>
        <v>4.8600000000000003</v>
      </c>
      <c r="K393">
        <f t="shared" si="68"/>
        <v>0.05</v>
      </c>
      <c r="L393">
        <f t="shared" si="68"/>
        <v>0.5</v>
      </c>
      <c r="M393">
        <f t="shared" si="68"/>
        <v>0</v>
      </c>
      <c r="N393">
        <f t="shared" si="68"/>
        <v>0.84599999999999986</v>
      </c>
      <c r="O393">
        <f t="shared" si="68"/>
        <v>0</v>
      </c>
      <c r="P393">
        <f t="shared" si="68"/>
        <v>0</v>
      </c>
      <c r="Q393">
        <f t="shared" si="68"/>
        <v>0</v>
      </c>
      <c r="R393">
        <f t="shared" si="68"/>
        <v>0</v>
      </c>
      <c r="T393">
        <f t="shared" si="71"/>
        <v>0</v>
      </c>
      <c r="U393">
        <f t="shared" si="69"/>
        <v>0</v>
      </c>
      <c r="V393">
        <f t="shared" si="69"/>
        <v>0</v>
      </c>
      <c r="W393">
        <f t="shared" si="69"/>
        <v>0</v>
      </c>
      <c r="X393">
        <f t="shared" si="69"/>
        <v>0</v>
      </c>
      <c r="AE393" s="14"/>
      <c r="AF393" s="12" t="s">
        <v>1347</v>
      </c>
      <c r="AG393" s="153"/>
      <c r="AH393" s="153"/>
      <c r="AI393" s="153"/>
      <c r="AJ393" s="153"/>
      <c r="AK393" s="153"/>
      <c r="AL393" s="153"/>
      <c r="AM393" s="153"/>
      <c r="AN393" s="153"/>
      <c r="AO393" s="153"/>
      <c r="AP393" s="153"/>
      <c r="AQ393" s="153"/>
    </row>
    <row r="394" spans="1:45" x14ac:dyDescent="0.25">
      <c r="C394" s="12" t="s">
        <v>1378</v>
      </c>
      <c r="D394" t="s">
        <v>805</v>
      </c>
      <c r="E394">
        <f t="shared" ref="E394:H394" si="80">E393</f>
        <v>836</v>
      </c>
      <c r="F394">
        <f t="shared" si="80"/>
        <v>0.49</v>
      </c>
      <c r="G394">
        <f t="shared" si="80"/>
        <v>0</v>
      </c>
      <c r="H394">
        <f t="shared" si="80"/>
        <v>4.9240000000000004</v>
      </c>
      <c r="I394">
        <f t="shared" si="74"/>
        <v>7379.1713600000012</v>
      </c>
      <c r="J394">
        <f>(($M$370+$M$372*1)*(6+4))*(IF($I$359&gt;=1,1.15,1))</f>
        <v>5.4</v>
      </c>
      <c r="K394">
        <f t="shared" si="68"/>
        <v>0.05</v>
      </c>
      <c r="L394">
        <f t="shared" si="68"/>
        <v>0.5</v>
      </c>
      <c r="M394">
        <f t="shared" si="68"/>
        <v>0</v>
      </c>
      <c r="N394">
        <f t="shared" si="68"/>
        <v>0.84599999999999986</v>
      </c>
      <c r="O394">
        <f t="shared" si="68"/>
        <v>0</v>
      </c>
      <c r="P394">
        <f t="shared" si="68"/>
        <v>0</v>
      </c>
      <c r="Q394">
        <f t="shared" si="68"/>
        <v>0</v>
      </c>
      <c r="R394">
        <f t="shared" si="68"/>
        <v>0</v>
      </c>
      <c r="T394">
        <f t="shared" si="71"/>
        <v>0</v>
      </c>
      <c r="U394">
        <f t="shared" si="69"/>
        <v>0</v>
      </c>
      <c r="V394">
        <f t="shared" si="69"/>
        <v>0</v>
      </c>
      <c r="W394">
        <f t="shared" si="69"/>
        <v>0</v>
      </c>
      <c r="X394">
        <f t="shared" si="69"/>
        <v>0</v>
      </c>
      <c r="AF394" s="12" t="s">
        <v>1348</v>
      </c>
      <c r="AG394" s="153"/>
      <c r="AH394" s="153"/>
      <c r="AI394" s="153"/>
      <c r="AJ394" s="153"/>
      <c r="AK394" s="153"/>
      <c r="AL394" s="153"/>
      <c r="AM394" s="153"/>
      <c r="AN394" s="153"/>
      <c r="AO394" s="153"/>
      <c r="AP394" s="153"/>
      <c r="AQ394" s="153"/>
    </row>
    <row r="395" spans="1:45" x14ac:dyDescent="0.25">
      <c r="A395" s="14"/>
      <c r="C395" s="155" t="s">
        <v>1379</v>
      </c>
      <c r="D395" t="s">
        <v>805</v>
      </c>
      <c r="E395">
        <f t="shared" ref="E395:H395" si="81">E394</f>
        <v>836</v>
      </c>
      <c r="F395">
        <f t="shared" si="81"/>
        <v>0.49</v>
      </c>
      <c r="G395">
        <f t="shared" si="81"/>
        <v>0</v>
      </c>
      <c r="H395">
        <f t="shared" si="81"/>
        <v>4.9240000000000004</v>
      </c>
      <c r="I395">
        <f t="shared" si="74"/>
        <v>7379.1713600000012</v>
      </c>
      <c r="J395" s="10">
        <f>(($M$370+$M$372*2)*(6+4))*(IF($I$359&gt;=1,1.15,1))</f>
        <v>6.3</v>
      </c>
      <c r="K395">
        <f t="shared" ref="K395:R395" si="82">K394</f>
        <v>0.05</v>
      </c>
      <c r="L395">
        <f t="shared" si="82"/>
        <v>0.5</v>
      </c>
      <c r="M395">
        <f t="shared" si="82"/>
        <v>0</v>
      </c>
      <c r="N395">
        <f t="shared" si="82"/>
        <v>0.84599999999999986</v>
      </c>
      <c r="O395">
        <f t="shared" si="82"/>
        <v>0</v>
      </c>
      <c r="P395">
        <f t="shared" si="82"/>
        <v>0</v>
      </c>
      <c r="Q395">
        <f t="shared" si="82"/>
        <v>0</v>
      </c>
      <c r="R395">
        <f t="shared" si="82"/>
        <v>0</v>
      </c>
      <c r="T395">
        <f t="shared" si="71"/>
        <v>0</v>
      </c>
      <c r="U395">
        <f t="shared" si="71"/>
        <v>0</v>
      </c>
      <c r="V395">
        <f t="shared" si="71"/>
        <v>0</v>
      </c>
      <c r="W395">
        <f t="shared" si="71"/>
        <v>0</v>
      </c>
      <c r="X395">
        <f t="shared" si="71"/>
        <v>0</v>
      </c>
      <c r="AE395" s="14" t="s">
        <v>146</v>
      </c>
      <c r="AF395" s="14">
        <v>240</v>
      </c>
      <c r="AG395" s="14">
        <v>240</v>
      </c>
      <c r="AH395" s="14">
        <v>240</v>
      </c>
      <c r="AI395" s="14">
        <v>240</v>
      </c>
      <c r="AJ395" s="14">
        <v>240</v>
      </c>
      <c r="AK395" s="14">
        <v>240</v>
      </c>
      <c r="AL395" s="14">
        <v>240</v>
      </c>
      <c r="AM395" s="14">
        <v>240</v>
      </c>
      <c r="AN395" s="14">
        <v>240</v>
      </c>
      <c r="AO395" s="14">
        <v>240</v>
      </c>
      <c r="AP395" s="14">
        <v>240</v>
      </c>
      <c r="AQ395" s="14">
        <v>240</v>
      </c>
    </row>
    <row r="396" spans="1:45" x14ac:dyDescent="0.25">
      <c r="A396" s="14"/>
      <c r="C396" s="12" t="s">
        <v>1380</v>
      </c>
      <c r="D396" t="s">
        <v>805</v>
      </c>
      <c r="E396">
        <f t="shared" ref="E396:H396" si="83">E395</f>
        <v>836</v>
      </c>
      <c r="F396">
        <f t="shared" si="83"/>
        <v>0.49</v>
      </c>
      <c r="G396">
        <f t="shared" si="83"/>
        <v>0</v>
      </c>
      <c r="H396">
        <f t="shared" si="83"/>
        <v>4.9240000000000004</v>
      </c>
      <c r="I396">
        <f t="shared" si="74"/>
        <v>7379.1713600000012</v>
      </c>
      <c r="J396">
        <f>(($M$370+$M$372*1)*(6+5))*(IF($I$359&gt;=1,1.15,1))</f>
        <v>5.94</v>
      </c>
      <c r="K396">
        <f t="shared" ref="K396:R396" si="84">K395</f>
        <v>0.05</v>
      </c>
      <c r="L396">
        <f t="shared" si="84"/>
        <v>0.5</v>
      </c>
      <c r="M396">
        <f t="shared" si="84"/>
        <v>0</v>
      </c>
      <c r="N396">
        <f t="shared" si="84"/>
        <v>0.84599999999999986</v>
      </c>
      <c r="O396">
        <f t="shared" si="84"/>
        <v>0</v>
      </c>
      <c r="P396">
        <f t="shared" si="84"/>
        <v>0</v>
      </c>
      <c r="Q396">
        <f t="shared" si="84"/>
        <v>0</v>
      </c>
      <c r="R396">
        <f t="shared" si="84"/>
        <v>0</v>
      </c>
      <c r="T396">
        <f t="shared" si="71"/>
        <v>0</v>
      </c>
      <c r="U396">
        <f t="shared" si="71"/>
        <v>0</v>
      </c>
      <c r="V396">
        <f t="shared" si="71"/>
        <v>0</v>
      </c>
      <c r="W396">
        <f t="shared" si="71"/>
        <v>0</v>
      </c>
      <c r="X396">
        <f t="shared" si="71"/>
        <v>0</v>
      </c>
      <c r="AE396" s="14" t="s">
        <v>1322</v>
      </c>
      <c r="AF396" s="14">
        <v>25</v>
      </c>
      <c r="AG396" s="14">
        <v>25</v>
      </c>
      <c r="AH396" s="14">
        <v>25</v>
      </c>
      <c r="AI396" s="14">
        <v>25</v>
      </c>
      <c r="AJ396" s="14">
        <v>25</v>
      </c>
      <c r="AK396" s="14">
        <v>25</v>
      </c>
      <c r="AL396" s="14">
        <v>25</v>
      </c>
      <c r="AM396" s="14">
        <v>25</v>
      </c>
      <c r="AN396" s="14">
        <v>25</v>
      </c>
      <c r="AO396" s="14">
        <v>25</v>
      </c>
      <c r="AP396" s="14">
        <v>25</v>
      </c>
      <c r="AQ396" s="14">
        <v>25</v>
      </c>
    </row>
    <row r="397" spans="1:45" x14ac:dyDescent="0.25">
      <c r="C397" s="12" t="s">
        <v>1381</v>
      </c>
      <c r="D397" t="s">
        <v>805</v>
      </c>
      <c r="E397">
        <f t="shared" ref="E397:H397" si="85">E396</f>
        <v>836</v>
      </c>
      <c r="F397">
        <f t="shared" si="85"/>
        <v>0.49</v>
      </c>
      <c r="G397">
        <f t="shared" si="85"/>
        <v>0</v>
      </c>
      <c r="H397">
        <f t="shared" si="85"/>
        <v>4.9240000000000004</v>
      </c>
      <c r="I397">
        <f t="shared" si="74"/>
        <v>7379.1713600000012</v>
      </c>
      <c r="J397">
        <f>(($M$370+$M$372*2)*(6+5))*(IF($I$359&gt;=1,1.15,1))</f>
        <v>6.93</v>
      </c>
      <c r="K397">
        <f t="shared" ref="K397:R397" si="86">K396</f>
        <v>0.05</v>
      </c>
      <c r="L397">
        <f t="shared" si="86"/>
        <v>0.5</v>
      </c>
      <c r="M397">
        <f t="shared" si="86"/>
        <v>0</v>
      </c>
      <c r="N397">
        <f t="shared" si="86"/>
        <v>0.84599999999999986</v>
      </c>
      <c r="O397">
        <f t="shared" si="86"/>
        <v>0</v>
      </c>
      <c r="P397">
        <f t="shared" si="86"/>
        <v>0</v>
      </c>
      <c r="Q397">
        <f t="shared" si="86"/>
        <v>0</v>
      </c>
      <c r="R397">
        <f t="shared" si="86"/>
        <v>0</v>
      </c>
      <c r="T397">
        <f t="shared" si="71"/>
        <v>0</v>
      </c>
      <c r="U397">
        <f t="shared" si="71"/>
        <v>0</v>
      </c>
      <c r="V397">
        <f t="shared" si="71"/>
        <v>0</v>
      </c>
      <c r="W397">
        <f t="shared" si="71"/>
        <v>0</v>
      </c>
      <c r="X397">
        <f t="shared" si="71"/>
        <v>0</v>
      </c>
      <c r="AD397" s="96"/>
      <c r="AE397" t="s">
        <v>1319</v>
      </c>
      <c r="AF397" s="16">
        <v>0.67</v>
      </c>
      <c r="AG397" s="16">
        <v>0.73</v>
      </c>
      <c r="AH397" s="16">
        <v>0.8</v>
      </c>
      <c r="AI397" s="16">
        <v>0.86</v>
      </c>
      <c r="AJ397" s="16">
        <v>0.93</v>
      </c>
      <c r="AK397" s="16">
        <v>1</v>
      </c>
      <c r="AL397" s="16">
        <v>1.06</v>
      </c>
      <c r="AM397" s="16">
        <v>1.1299999999999999</v>
      </c>
      <c r="AN397" s="16">
        <v>1.2</v>
      </c>
      <c r="AO397" s="16">
        <v>1.28</v>
      </c>
      <c r="AP397" s="16">
        <v>1.38</v>
      </c>
      <c r="AQ397" s="16">
        <v>1.5</v>
      </c>
      <c r="AR397" s="86"/>
      <c r="AS397" s="86"/>
    </row>
    <row r="398" spans="1:45" s="86" customFormat="1" x14ac:dyDescent="0.25">
      <c r="A398" s="14"/>
      <c r="B398"/>
      <c r="C398" s="155" t="s">
        <v>1382</v>
      </c>
      <c r="D398" t="s">
        <v>805</v>
      </c>
      <c r="E398">
        <f t="shared" ref="E398:H398" si="87">E397</f>
        <v>836</v>
      </c>
      <c r="F398">
        <f t="shared" si="87"/>
        <v>0.49</v>
      </c>
      <c r="G398">
        <f t="shared" si="87"/>
        <v>0</v>
      </c>
      <c r="H398">
        <f t="shared" si="87"/>
        <v>4.9240000000000004</v>
      </c>
      <c r="I398">
        <f t="shared" si="74"/>
        <v>7379.1713600000012</v>
      </c>
      <c r="J398" s="10">
        <f>(($M$370+$M$372*1)*(6+6))*(IF($I$359&gt;=1,1.15,1))</f>
        <v>6.48</v>
      </c>
      <c r="K398">
        <f t="shared" ref="K398:R398" si="88">K394</f>
        <v>0.05</v>
      </c>
      <c r="L398">
        <f t="shared" si="88"/>
        <v>0.5</v>
      </c>
      <c r="M398">
        <f t="shared" si="88"/>
        <v>0</v>
      </c>
      <c r="N398">
        <f t="shared" si="88"/>
        <v>0.84599999999999986</v>
      </c>
      <c r="O398">
        <f t="shared" si="88"/>
        <v>0</v>
      </c>
      <c r="P398">
        <f t="shared" si="88"/>
        <v>0</v>
      </c>
      <c r="Q398">
        <f t="shared" si="88"/>
        <v>0</v>
      </c>
      <c r="R398">
        <f t="shared" si="88"/>
        <v>0</v>
      </c>
      <c r="S398"/>
      <c r="T398">
        <f>T394</f>
        <v>0</v>
      </c>
      <c r="U398">
        <f>U394</f>
        <v>0</v>
      </c>
      <c r="V398">
        <f>V394</f>
        <v>0</v>
      </c>
      <c r="W398">
        <f>W394</f>
        <v>0</v>
      </c>
      <c r="X398">
        <f>X394</f>
        <v>0</v>
      </c>
      <c r="Y398" s="17"/>
      <c r="Z398" s="17"/>
      <c r="AA398"/>
      <c r="AB398"/>
      <c r="AC398"/>
      <c r="AD398" s="58"/>
      <c r="AE398" t="s">
        <v>1320</v>
      </c>
      <c r="AF398" s="16">
        <v>0.94</v>
      </c>
      <c r="AG398" s="16">
        <v>1.03</v>
      </c>
      <c r="AH398" s="16">
        <v>1.1200000000000001</v>
      </c>
      <c r="AI398" s="16">
        <v>1.22</v>
      </c>
      <c r="AJ398" s="16">
        <v>1.31</v>
      </c>
      <c r="AK398" s="16">
        <v>1.4</v>
      </c>
      <c r="AL398" s="16">
        <v>1.5</v>
      </c>
      <c r="AM398" s="16">
        <v>1.59</v>
      </c>
      <c r="AN398" s="16">
        <v>1.68</v>
      </c>
      <c r="AO398" s="16">
        <v>1.8</v>
      </c>
      <c r="AP398" s="16">
        <v>1.94</v>
      </c>
      <c r="AQ398" s="16">
        <v>2.1</v>
      </c>
      <c r="AR398"/>
      <c r="AS398"/>
    </row>
    <row r="399" spans="1:45" x14ac:dyDescent="0.25">
      <c r="C399" s="12" t="s">
        <v>1383</v>
      </c>
      <c r="D399" t="s">
        <v>805</v>
      </c>
      <c r="E399">
        <f t="shared" ref="E399:H399" si="89">E398</f>
        <v>836</v>
      </c>
      <c r="F399">
        <f t="shared" si="89"/>
        <v>0.49</v>
      </c>
      <c r="G399">
        <f t="shared" si="89"/>
        <v>0</v>
      </c>
      <c r="H399">
        <f t="shared" si="89"/>
        <v>4.9240000000000004</v>
      </c>
      <c r="I399">
        <f t="shared" si="74"/>
        <v>7379.1713600000012</v>
      </c>
      <c r="J399">
        <f>(($M$370+$M$372*1)*(6+7))*(IF($I$359&gt;=1,1.15,1))</f>
        <v>7.0200000000000005</v>
      </c>
      <c r="K399">
        <f t="shared" si="68"/>
        <v>0.05</v>
      </c>
      <c r="L399">
        <f t="shared" si="68"/>
        <v>0.5</v>
      </c>
      <c r="M399">
        <f t="shared" si="68"/>
        <v>0</v>
      </c>
      <c r="N399">
        <f t="shared" si="68"/>
        <v>0.84599999999999986</v>
      </c>
      <c r="O399">
        <f t="shared" si="68"/>
        <v>0</v>
      </c>
      <c r="P399">
        <f t="shared" si="68"/>
        <v>0</v>
      </c>
      <c r="Q399">
        <f t="shared" si="68"/>
        <v>0</v>
      </c>
      <c r="R399">
        <f t="shared" si="68"/>
        <v>0</v>
      </c>
      <c r="T399">
        <f t="shared" si="71"/>
        <v>0</v>
      </c>
      <c r="U399">
        <f t="shared" si="69"/>
        <v>0</v>
      </c>
      <c r="V399">
        <f t="shared" si="69"/>
        <v>0</v>
      </c>
      <c r="W399">
        <f t="shared" si="69"/>
        <v>0</v>
      </c>
      <c r="X399">
        <f t="shared" si="69"/>
        <v>0</v>
      </c>
      <c r="AE399" t="s">
        <v>1321</v>
      </c>
      <c r="AF399" s="16">
        <v>1.34</v>
      </c>
      <c r="AG399" s="16">
        <v>1.47</v>
      </c>
      <c r="AH399" s="16">
        <v>1.6</v>
      </c>
      <c r="AI399" s="16">
        <v>1.74</v>
      </c>
      <c r="AJ399" s="16">
        <v>1.87</v>
      </c>
      <c r="AK399" s="16">
        <v>2</v>
      </c>
      <c r="AL399" s="16">
        <v>2.14</v>
      </c>
      <c r="AM399" s="16">
        <v>2.27</v>
      </c>
      <c r="AN399" s="16">
        <v>2.4</v>
      </c>
      <c r="AO399" s="16">
        <v>2.57</v>
      </c>
      <c r="AP399" s="16">
        <v>2.77</v>
      </c>
      <c r="AQ399" s="16">
        <v>3</v>
      </c>
    </row>
    <row r="400" spans="1:45" x14ac:dyDescent="0.25">
      <c r="A400" s="14"/>
      <c r="C400" s="155" t="s">
        <v>1384</v>
      </c>
      <c r="D400" t="s">
        <v>805</v>
      </c>
      <c r="E400">
        <f t="shared" ref="E400:H400" si="90">E399</f>
        <v>836</v>
      </c>
      <c r="F400">
        <f t="shared" si="90"/>
        <v>0.49</v>
      </c>
      <c r="G400">
        <f t="shared" si="90"/>
        <v>0</v>
      </c>
      <c r="H400">
        <f t="shared" si="90"/>
        <v>4.9240000000000004</v>
      </c>
      <c r="I400">
        <f t="shared" si="74"/>
        <v>7379.1713600000012</v>
      </c>
      <c r="J400" s="10">
        <f>(($M$370+$M$372*1)*(6+8))*(IF($I$359&gt;=1,1.15,1))</f>
        <v>7.5600000000000005</v>
      </c>
      <c r="K400">
        <f t="shared" ref="K400:R400" si="91">K396</f>
        <v>0.05</v>
      </c>
      <c r="L400">
        <f t="shared" si="91"/>
        <v>0.5</v>
      </c>
      <c r="M400">
        <f t="shared" si="91"/>
        <v>0</v>
      </c>
      <c r="N400">
        <f t="shared" si="91"/>
        <v>0.84599999999999986</v>
      </c>
      <c r="O400">
        <f t="shared" si="91"/>
        <v>0</v>
      </c>
      <c r="P400">
        <f t="shared" si="91"/>
        <v>0</v>
      </c>
      <c r="Q400">
        <f t="shared" si="91"/>
        <v>0</v>
      </c>
      <c r="R400">
        <f t="shared" si="91"/>
        <v>0</v>
      </c>
      <c r="T400">
        <f t="shared" ref="T400:X400" si="92">T396</f>
        <v>0</v>
      </c>
      <c r="U400">
        <f t="shared" si="92"/>
        <v>0</v>
      </c>
      <c r="V400">
        <f t="shared" si="92"/>
        <v>0</v>
      </c>
      <c r="W400">
        <f t="shared" si="92"/>
        <v>0</v>
      </c>
      <c r="X400">
        <f t="shared" si="92"/>
        <v>0</v>
      </c>
      <c r="AD400"/>
    </row>
    <row r="401" spans="1:30" x14ac:dyDescent="0.25">
      <c r="A401" s="14"/>
      <c r="C401" s="12" t="s">
        <v>1385</v>
      </c>
      <c r="D401" t="s">
        <v>805</v>
      </c>
      <c r="E401">
        <f t="shared" ref="E401:H401" si="93">E400</f>
        <v>836</v>
      </c>
      <c r="F401">
        <f t="shared" si="93"/>
        <v>0.49</v>
      </c>
      <c r="G401">
        <f t="shared" si="93"/>
        <v>0</v>
      </c>
      <c r="H401">
        <f t="shared" si="93"/>
        <v>4.9240000000000004</v>
      </c>
      <c r="I401">
        <f t="shared" si="74"/>
        <v>7379.1713600000012</v>
      </c>
      <c r="J401">
        <f>(($M$370+$M$372*2)*(6+8))*(IF($I$359&gt;=1,1.15,1))</f>
        <v>8.82</v>
      </c>
      <c r="K401">
        <f t="shared" ref="K401:R401" si="94">K400</f>
        <v>0.05</v>
      </c>
      <c r="L401">
        <f t="shared" si="94"/>
        <v>0.5</v>
      </c>
      <c r="M401">
        <f t="shared" si="94"/>
        <v>0</v>
      </c>
      <c r="N401">
        <f t="shared" si="94"/>
        <v>0.84599999999999986</v>
      </c>
      <c r="O401">
        <f t="shared" si="94"/>
        <v>0</v>
      </c>
      <c r="P401">
        <f t="shared" si="94"/>
        <v>0</v>
      </c>
      <c r="Q401">
        <f t="shared" si="94"/>
        <v>0</v>
      </c>
      <c r="R401">
        <f t="shared" si="94"/>
        <v>0</v>
      </c>
      <c r="T401">
        <f t="shared" ref="T401:X401" si="95">T400</f>
        <v>0</v>
      </c>
      <c r="U401">
        <f t="shared" si="95"/>
        <v>0</v>
      </c>
      <c r="V401">
        <f t="shared" si="95"/>
        <v>0</v>
      </c>
      <c r="W401">
        <f t="shared" si="95"/>
        <v>0</v>
      </c>
      <c r="X401">
        <f t="shared" si="95"/>
        <v>0</v>
      </c>
    </row>
    <row r="402" spans="1:30" x14ac:dyDescent="0.25">
      <c r="A402" s="14"/>
      <c r="C402" t="s">
        <v>1350</v>
      </c>
      <c r="D402" t="s">
        <v>805</v>
      </c>
      <c r="E402">
        <f t="shared" ref="E402:H402" si="96">E401</f>
        <v>836</v>
      </c>
      <c r="F402">
        <f t="shared" si="96"/>
        <v>0.49</v>
      </c>
      <c r="G402">
        <f t="shared" si="96"/>
        <v>0</v>
      </c>
      <c r="H402">
        <f t="shared" si="96"/>
        <v>4.9240000000000004</v>
      </c>
      <c r="I402">
        <f t="shared" si="74"/>
        <v>7379.1713600000012</v>
      </c>
      <c r="J402">
        <f>N371</f>
        <v>3.6</v>
      </c>
      <c r="K402">
        <f t="shared" ref="K402:R402" si="97">K398</f>
        <v>0.05</v>
      </c>
      <c r="L402">
        <f t="shared" si="97"/>
        <v>0.5</v>
      </c>
      <c r="M402">
        <f t="shared" si="97"/>
        <v>0</v>
      </c>
      <c r="N402">
        <f t="shared" si="97"/>
        <v>0.84599999999999986</v>
      </c>
      <c r="O402">
        <f t="shared" si="97"/>
        <v>0</v>
      </c>
      <c r="P402">
        <f t="shared" si="97"/>
        <v>0</v>
      </c>
      <c r="Q402">
        <f t="shared" si="97"/>
        <v>0</v>
      </c>
      <c r="R402">
        <f t="shared" si="97"/>
        <v>0</v>
      </c>
      <c r="T402">
        <f t="shared" ref="T402:X402" si="98">T398</f>
        <v>0</v>
      </c>
      <c r="U402">
        <f t="shared" si="98"/>
        <v>0</v>
      </c>
      <c r="V402">
        <f t="shared" si="98"/>
        <v>0</v>
      </c>
      <c r="W402">
        <f t="shared" si="98"/>
        <v>0</v>
      </c>
      <c r="X402">
        <f t="shared" si="98"/>
        <v>0</v>
      </c>
      <c r="AD402" s="77"/>
    </row>
    <row r="403" spans="1:30" x14ac:dyDescent="0.25">
      <c r="A403" s="14"/>
      <c r="C403" t="s">
        <v>1446</v>
      </c>
      <c r="D403" t="s">
        <v>805</v>
      </c>
      <c r="AD403" s="77"/>
    </row>
    <row r="404" spans="1:30" x14ac:dyDescent="0.25">
      <c r="A404" s="14"/>
      <c r="C404" s="11" t="s">
        <v>1352</v>
      </c>
      <c r="D404" t="s">
        <v>805</v>
      </c>
      <c r="E404">
        <f t="shared" ref="E404:H404" si="99">E402</f>
        <v>836</v>
      </c>
      <c r="F404">
        <f t="shared" si="99"/>
        <v>0.49</v>
      </c>
      <c r="G404">
        <f t="shared" si="99"/>
        <v>0</v>
      </c>
      <c r="H404">
        <f t="shared" si="99"/>
        <v>4.9240000000000004</v>
      </c>
      <c r="I404">
        <f t="shared" si="74"/>
        <v>7379.1713600000012</v>
      </c>
      <c r="J404">
        <f>N375</f>
        <v>5.4</v>
      </c>
      <c r="K404">
        <f t="shared" ref="K404:R404" si="100">K402</f>
        <v>0.05</v>
      </c>
      <c r="L404">
        <f t="shared" si="100"/>
        <v>0.5</v>
      </c>
      <c r="M404">
        <f t="shared" si="100"/>
        <v>0</v>
      </c>
      <c r="N404">
        <f t="shared" si="100"/>
        <v>0.84599999999999986</v>
      </c>
      <c r="O404">
        <f t="shared" si="100"/>
        <v>0</v>
      </c>
      <c r="P404">
        <f t="shared" si="100"/>
        <v>0</v>
      </c>
      <c r="Q404">
        <f t="shared" si="100"/>
        <v>0</v>
      </c>
      <c r="R404">
        <f t="shared" si="100"/>
        <v>0</v>
      </c>
      <c r="T404">
        <f t="shared" ref="T404:X404" si="101">T402</f>
        <v>0</v>
      </c>
      <c r="U404">
        <f t="shared" si="101"/>
        <v>0</v>
      </c>
      <c r="V404">
        <f t="shared" si="101"/>
        <v>0</v>
      </c>
      <c r="W404">
        <f t="shared" si="101"/>
        <v>0</v>
      </c>
      <c r="X404">
        <f t="shared" si="101"/>
        <v>0</v>
      </c>
    </row>
    <row r="405" spans="1:30" x14ac:dyDescent="0.25">
      <c r="C405" s="9" t="s">
        <v>1351</v>
      </c>
      <c r="D405" t="s">
        <v>805</v>
      </c>
      <c r="E405">
        <f t="shared" ref="E405:H405" si="102">E404</f>
        <v>836</v>
      </c>
      <c r="F405">
        <f t="shared" si="102"/>
        <v>0.49</v>
      </c>
      <c r="G405">
        <f t="shared" si="102"/>
        <v>0</v>
      </c>
      <c r="H405">
        <f t="shared" si="102"/>
        <v>4.9240000000000004</v>
      </c>
      <c r="I405">
        <f t="shared" si="74"/>
        <v>7379.1713600000012</v>
      </c>
      <c r="J405">
        <f>SUM(O372:O374)</f>
        <v>6.6</v>
      </c>
      <c r="K405">
        <f t="shared" ref="K405:R405" si="103">K400</f>
        <v>0.05</v>
      </c>
      <c r="L405">
        <f t="shared" si="103"/>
        <v>0.5</v>
      </c>
      <c r="M405">
        <f t="shared" si="103"/>
        <v>0</v>
      </c>
      <c r="N405">
        <f t="shared" si="103"/>
        <v>0.84599999999999986</v>
      </c>
      <c r="O405">
        <f t="shared" si="103"/>
        <v>0</v>
      </c>
      <c r="P405">
        <f t="shared" si="103"/>
        <v>0</v>
      </c>
      <c r="Q405">
        <f t="shared" si="103"/>
        <v>0</v>
      </c>
      <c r="R405">
        <f t="shared" si="103"/>
        <v>0</v>
      </c>
      <c r="T405">
        <f t="shared" ref="T405:X405" si="104">T400</f>
        <v>0</v>
      </c>
      <c r="U405">
        <f t="shared" si="104"/>
        <v>0</v>
      </c>
      <c r="V405">
        <f t="shared" si="104"/>
        <v>0</v>
      </c>
      <c r="W405">
        <f t="shared" si="104"/>
        <v>0</v>
      </c>
      <c r="X405">
        <f t="shared" si="104"/>
        <v>0</v>
      </c>
    </row>
    <row r="406" spans="1:30" x14ac:dyDescent="0.25">
      <c r="A406" s="14"/>
      <c r="C406" s="113" t="s">
        <v>1387</v>
      </c>
      <c r="D406" t="s">
        <v>805</v>
      </c>
      <c r="E406">
        <f t="shared" ref="E406:H406" si="105">E405</f>
        <v>836</v>
      </c>
      <c r="F406">
        <f t="shared" si="105"/>
        <v>0.49</v>
      </c>
      <c r="G406">
        <f t="shared" si="105"/>
        <v>0</v>
      </c>
      <c r="H406">
        <f t="shared" si="105"/>
        <v>4.9240000000000004</v>
      </c>
      <c r="I406">
        <f t="shared" si="74"/>
        <v>7379.1713600000012</v>
      </c>
      <c r="J406" s="10">
        <f>($M$376+$M$377*1)*(6+8)</f>
        <v>13.86</v>
      </c>
      <c r="K406">
        <f t="shared" ref="K406:R406" si="106">K405</f>
        <v>0.05</v>
      </c>
      <c r="L406">
        <f t="shared" si="106"/>
        <v>0.5</v>
      </c>
      <c r="M406">
        <f t="shared" si="106"/>
        <v>0</v>
      </c>
      <c r="N406">
        <f t="shared" si="106"/>
        <v>0.84599999999999986</v>
      </c>
      <c r="O406">
        <f t="shared" si="106"/>
        <v>0</v>
      </c>
      <c r="P406">
        <f t="shared" si="106"/>
        <v>0</v>
      </c>
      <c r="Q406">
        <f t="shared" si="106"/>
        <v>0</v>
      </c>
      <c r="R406">
        <f t="shared" si="106"/>
        <v>0</v>
      </c>
      <c r="T406">
        <f t="shared" ref="T406:X406" si="107">T405</f>
        <v>0</v>
      </c>
      <c r="U406">
        <f t="shared" si="107"/>
        <v>0</v>
      </c>
      <c r="V406">
        <f t="shared" si="107"/>
        <v>0</v>
      </c>
      <c r="W406">
        <f t="shared" si="107"/>
        <v>0</v>
      </c>
      <c r="X406">
        <f t="shared" si="107"/>
        <v>0</v>
      </c>
    </row>
    <row r="407" spans="1:30" x14ac:dyDescent="0.25">
      <c r="A407" s="14"/>
      <c r="C407" s="9" t="s">
        <v>1389</v>
      </c>
      <c r="D407" t="s">
        <v>805</v>
      </c>
      <c r="E407">
        <f t="shared" ref="E407:H407" si="108">E406</f>
        <v>836</v>
      </c>
      <c r="F407">
        <f t="shared" si="108"/>
        <v>0.49</v>
      </c>
      <c r="G407">
        <f t="shared" si="108"/>
        <v>0</v>
      </c>
      <c r="H407">
        <f t="shared" si="108"/>
        <v>4.9240000000000004</v>
      </c>
      <c r="I407">
        <f t="shared" si="74"/>
        <v>7379.1713600000012</v>
      </c>
      <c r="J407">
        <f>($M$376+$M$377*0)*(6+8)</f>
        <v>11.34</v>
      </c>
      <c r="K407">
        <f t="shared" ref="K407:R407" si="109">K402</f>
        <v>0.05</v>
      </c>
      <c r="L407">
        <f t="shared" si="109"/>
        <v>0.5</v>
      </c>
      <c r="M407">
        <f t="shared" si="109"/>
        <v>0</v>
      </c>
      <c r="N407">
        <f t="shared" si="109"/>
        <v>0.84599999999999986</v>
      </c>
      <c r="O407">
        <f t="shared" si="109"/>
        <v>0</v>
      </c>
      <c r="P407">
        <f t="shared" si="109"/>
        <v>0</v>
      </c>
      <c r="Q407">
        <f t="shared" si="109"/>
        <v>0</v>
      </c>
      <c r="R407">
        <f t="shared" si="109"/>
        <v>0</v>
      </c>
      <c r="T407">
        <f t="shared" ref="T407:X407" si="110">T402</f>
        <v>0</v>
      </c>
      <c r="U407">
        <f t="shared" si="110"/>
        <v>0</v>
      </c>
      <c r="V407">
        <f t="shared" si="110"/>
        <v>0</v>
      </c>
      <c r="W407">
        <f t="shared" si="110"/>
        <v>0</v>
      </c>
      <c r="X407">
        <f t="shared" si="110"/>
        <v>0</v>
      </c>
    </row>
    <row r="408" spans="1:30" x14ac:dyDescent="0.25">
      <c r="C408" s="9" t="s">
        <v>1390</v>
      </c>
      <c r="D408" t="s">
        <v>805</v>
      </c>
      <c r="E408">
        <f t="shared" ref="E408:H408" si="111">E407</f>
        <v>836</v>
      </c>
      <c r="F408">
        <f t="shared" si="111"/>
        <v>0.49</v>
      </c>
      <c r="G408">
        <f t="shared" si="111"/>
        <v>0</v>
      </c>
      <c r="H408">
        <f t="shared" si="111"/>
        <v>4.9240000000000004</v>
      </c>
      <c r="I408">
        <f t="shared" si="74"/>
        <v>7379.1713600000012</v>
      </c>
      <c r="J408">
        <f>($M$376+$M$377*2)*(6+8)</f>
        <v>16.38</v>
      </c>
      <c r="K408">
        <f t="shared" ref="K408:R408" si="112">K407</f>
        <v>0.05</v>
      </c>
      <c r="L408">
        <f t="shared" si="112"/>
        <v>0.5</v>
      </c>
      <c r="M408">
        <f t="shared" si="112"/>
        <v>0</v>
      </c>
      <c r="N408">
        <f t="shared" si="112"/>
        <v>0.84599999999999986</v>
      </c>
      <c r="O408">
        <f t="shared" si="112"/>
        <v>0</v>
      </c>
      <c r="P408">
        <f t="shared" si="112"/>
        <v>0</v>
      </c>
      <c r="Q408">
        <f t="shared" si="112"/>
        <v>0</v>
      </c>
      <c r="R408">
        <f t="shared" si="112"/>
        <v>0</v>
      </c>
      <c r="T408">
        <f t="shared" ref="T408:X408" si="113">T407</f>
        <v>0</v>
      </c>
      <c r="U408">
        <f t="shared" si="113"/>
        <v>0</v>
      </c>
      <c r="V408">
        <f t="shared" si="113"/>
        <v>0</v>
      </c>
      <c r="W408">
        <f t="shared" si="113"/>
        <v>0</v>
      </c>
      <c r="X408">
        <f t="shared" si="113"/>
        <v>0</v>
      </c>
      <c r="AD408" s="77"/>
    </row>
    <row r="409" spans="1:30" x14ac:dyDescent="0.25">
      <c r="C409" s="9" t="s">
        <v>1392</v>
      </c>
      <c r="D409" t="s">
        <v>805</v>
      </c>
      <c r="E409">
        <f t="shared" ref="E409:H409" si="114">E408</f>
        <v>836</v>
      </c>
      <c r="F409">
        <f t="shared" si="114"/>
        <v>0.49</v>
      </c>
      <c r="G409">
        <f t="shared" si="114"/>
        <v>0</v>
      </c>
      <c r="H409">
        <f t="shared" si="114"/>
        <v>4.9240000000000004</v>
      </c>
      <c r="I409">
        <f t="shared" si="74"/>
        <v>7379.1713600000012</v>
      </c>
      <c r="J409">
        <f>($M$376+$M$377*0)*(6+2)</f>
        <v>6.48</v>
      </c>
      <c r="K409">
        <f t="shared" ref="K409:R409" si="115">K405</f>
        <v>0.05</v>
      </c>
      <c r="L409">
        <f t="shared" si="115"/>
        <v>0.5</v>
      </c>
      <c r="M409">
        <f t="shared" si="115"/>
        <v>0</v>
      </c>
      <c r="N409">
        <f t="shared" si="115"/>
        <v>0.84599999999999986</v>
      </c>
      <c r="O409">
        <f t="shared" si="115"/>
        <v>0</v>
      </c>
      <c r="P409">
        <f t="shared" si="115"/>
        <v>0</v>
      </c>
      <c r="Q409">
        <f t="shared" si="115"/>
        <v>0</v>
      </c>
      <c r="R409">
        <f t="shared" si="115"/>
        <v>0</v>
      </c>
      <c r="T409">
        <f t="shared" ref="T409:X409" si="116">T405</f>
        <v>0</v>
      </c>
      <c r="U409">
        <f t="shared" si="116"/>
        <v>0</v>
      </c>
      <c r="V409">
        <f t="shared" si="116"/>
        <v>0</v>
      </c>
      <c r="W409">
        <f t="shared" si="116"/>
        <v>0</v>
      </c>
      <c r="X409">
        <f t="shared" si="116"/>
        <v>0</v>
      </c>
    </row>
    <row r="410" spans="1:30" x14ac:dyDescent="0.25">
      <c r="C410" s="9" t="s">
        <v>1388</v>
      </c>
      <c r="D410" t="s">
        <v>805</v>
      </c>
      <c r="E410">
        <f t="shared" ref="E410:H410" si="117">E409</f>
        <v>836</v>
      </c>
      <c r="F410">
        <f t="shared" si="117"/>
        <v>0.49</v>
      </c>
      <c r="G410">
        <f t="shared" si="117"/>
        <v>0</v>
      </c>
      <c r="H410">
        <f t="shared" si="117"/>
        <v>4.9240000000000004</v>
      </c>
      <c r="I410">
        <f t="shared" si="74"/>
        <v>7379.1713600000012</v>
      </c>
      <c r="J410">
        <f>($M$376+$M$377*1)*(6+5)</f>
        <v>10.89</v>
      </c>
      <c r="K410">
        <f t="shared" ref="K410:R410" si="118">K409</f>
        <v>0.05</v>
      </c>
      <c r="L410">
        <f t="shared" si="118"/>
        <v>0.5</v>
      </c>
      <c r="M410">
        <f t="shared" si="118"/>
        <v>0</v>
      </c>
      <c r="N410">
        <f t="shared" si="118"/>
        <v>0.84599999999999986</v>
      </c>
      <c r="O410">
        <f t="shared" si="118"/>
        <v>0</v>
      </c>
      <c r="P410">
        <f t="shared" si="118"/>
        <v>0</v>
      </c>
      <c r="Q410">
        <f t="shared" si="118"/>
        <v>0</v>
      </c>
      <c r="R410">
        <f t="shared" si="118"/>
        <v>0</v>
      </c>
      <c r="T410">
        <f t="shared" ref="T410:X410" si="119">T409</f>
        <v>0</v>
      </c>
      <c r="U410">
        <f t="shared" si="119"/>
        <v>0</v>
      </c>
      <c r="V410">
        <f t="shared" si="119"/>
        <v>0</v>
      </c>
      <c r="W410">
        <f t="shared" si="119"/>
        <v>0</v>
      </c>
      <c r="X410">
        <f t="shared" si="119"/>
        <v>0</v>
      </c>
    </row>
    <row r="411" spans="1:30" s="17" customFormat="1" x14ac:dyDescent="0.25">
      <c r="C411" s="17" t="s">
        <v>805</v>
      </c>
      <c r="D411" s="88" t="s">
        <v>1394</v>
      </c>
      <c r="V411" s="17">
        <f>0.12</f>
        <v>0.12</v>
      </c>
      <c r="AD411" s="70"/>
    </row>
    <row r="412" spans="1:30" x14ac:dyDescent="0.25">
      <c r="C412" s="12" t="s">
        <v>1393</v>
      </c>
      <c r="D412" s="12" t="s">
        <v>1395</v>
      </c>
      <c r="V412">
        <f>0.16</f>
        <v>0.16</v>
      </c>
    </row>
    <row r="413" spans="1:30" x14ac:dyDescent="0.25">
      <c r="C413" s="12" t="s">
        <v>1393</v>
      </c>
      <c r="D413" s="12" t="s">
        <v>1396</v>
      </c>
      <c r="P413" s="68"/>
      <c r="U413">
        <f>0.2</f>
        <v>0.2</v>
      </c>
    </row>
    <row r="414" spans="1:30" x14ac:dyDescent="0.25">
      <c r="C414" s="12" t="s">
        <v>1393</v>
      </c>
      <c r="D414" s="12" t="s">
        <v>1402</v>
      </c>
      <c r="N414">
        <f>0.15</f>
        <v>0.15</v>
      </c>
    </row>
    <row r="415" spans="1:30" x14ac:dyDescent="0.25">
      <c r="C415" s="12" t="s">
        <v>1393</v>
      </c>
      <c r="D415" s="12" t="s">
        <v>1403</v>
      </c>
      <c r="N415">
        <f>0.15*2</f>
        <v>0.3</v>
      </c>
    </row>
    <row r="416" spans="1:30" x14ac:dyDescent="0.25">
      <c r="C416" s="12" t="s">
        <v>1393</v>
      </c>
      <c r="D416" s="12" t="s">
        <v>1404</v>
      </c>
      <c r="N416">
        <f>0.15*3</f>
        <v>0.44999999999999996</v>
      </c>
    </row>
    <row r="417" spans="1:45" x14ac:dyDescent="0.25">
      <c r="C417" s="12" t="s">
        <v>1393</v>
      </c>
      <c r="D417" s="12" t="s">
        <v>1398</v>
      </c>
      <c r="N417">
        <f>0.56</f>
        <v>0.56000000000000005</v>
      </c>
    </row>
    <row r="418" spans="1:45" x14ac:dyDescent="0.25">
      <c r="C418" s="12" t="s">
        <v>1393</v>
      </c>
      <c r="D418" s="12" t="s">
        <v>1399</v>
      </c>
      <c r="N418">
        <f>N417*2</f>
        <v>1.1200000000000001</v>
      </c>
    </row>
    <row r="419" spans="1:45" x14ac:dyDescent="0.25">
      <c r="C419" s="12" t="s">
        <v>1393</v>
      </c>
      <c r="D419" s="12" t="s">
        <v>1401</v>
      </c>
      <c r="N419">
        <f>N418</f>
        <v>1.1200000000000001</v>
      </c>
    </row>
    <row r="420" spans="1:45" x14ac:dyDescent="0.25">
      <c r="C420" s="12" t="s">
        <v>1393</v>
      </c>
      <c r="D420" s="12" t="s">
        <v>1409</v>
      </c>
      <c r="N420">
        <f>0.088</f>
        <v>8.7999999999999995E-2</v>
      </c>
    </row>
    <row r="422" spans="1:45" s="40" customFormat="1" x14ac:dyDescent="0.25">
      <c r="A422"/>
      <c r="B422"/>
      <c r="C422"/>
      <c r="D422"/>
      <c r="E422"/>
      <c r="F422"/>
      <c r="G422"/>
      <c r="H422"/>
      <c r="I422"/>
      <c r="J422"/>
      <c r="K422"/>
      <c r="L422"/>
      <c r="M422"/>
      <c r="N422"/>
      <c r="O422"/>
      <c r="P422"/>
      <c r="Q422"/>
      <c r="R422"/>
      <c r="S422"/>
      <c r="T422"/>
      <c r="U422"/>
      <c r="V422"/>
      <c r="W422"/>
      <c r="X422"/>
      <c r="Y422"/>
      <c r="Z422"/>
      <c r="AA422"/>
      <c r="AB422"/>
      <c r="AC422"/>
      <c r="AD422" s="58"/>
      <c r="AE422"/>
      <c r="AF422"/>
      <c r="AG422"/>
      <c r="AH422"/>
      <c r="AI422"/>
      <c r="AJ422"/>
      <c r="AK422"/>
      <c r="AL422"/>
      <c r="AM422"/>
      <c r="AN422"/>
      <c r="AO422"/>
      <c r="AP422"/>
      <c r="AQ422"/>
      <c r="AR422"/>
      <c r="AS422"/>
    </row>
    <row r="423" spans="1:45" x14ac:dyDescent="0.25">
      <c r="D423" s="22"/>
    </row>
    <row r="424" spans="1:45" ht="14.4" thickBot="1" x14ac:dyDescent="0.3">
      <c r="A424" s="40"/>
      <c r="B424" s="21" t="s">
        <v>992</v>
      </c>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59"/>
      <c r="AE424" s="40"/>
      <c r="AF424" s="40"/>
      <c r="AG424" s="40"/>
      <c r="AH424" s="40"/>
      <c r="AI424" s="40"/>
      <c r="AJ424" s="40"/>
      <c r="AK424" s="40"/>
      <c r="AL424" s="40"/>
      <c r="AM424" s="40"/>
      <c r="AN424" s="40"/>
      <c r="AO424" s="40"/>
      <c r="AP424" s="40"/>
      <c r="AQ424" s="40"/>
      <c r="AR424" s="40"/>
      <c r="AS424" s="40"/>
    </row>
    <row r="425" spans="1:45" x14ac:dyDescent="0.25">
      <c r="B425" s="25" t="s">
        <v>961</v>
      </c>
      <c r="C425" s="26" t="s">
        <v>75</v>
      </c>
      <c r="D425" s="26" t="s">
        <v>85</v>
      </c>
      <c r="E425" s="26" t="s">
        <v>86</v>
      </c>
      <c r="F425" s="26" t="s">
        <v>87</v>
      </c>
      <c r="G425" s="26" t="s">
        <v>88</v>
      </c>
      <c r="H425" s="26" t="s">
        <v>89</v>
      </c>
      <c r="I425" s="26" t="s">
        <v>192</v>
      </c>
      <c r="J425" s="83"/>
      <c r="Q425" s="25"/>
      <c r="R425" s="26" t="s">
        <v>977</v>
      </c>
      <c r="S425" s="27" t="s">
        <v>963</v>
      </c>
      <c r="AE425" t="s">
        <v>153</v>
      </c>
    </row>
    <row r="426" spans="1:45" x14ac:dyDescent="0.25">
      <c r="B426" s="28" t="s">
        <v>91</v>
      </c>
      <c r="C426" s="21"/>
      <c r="D426" s="21"/>
      <c r="E426" s="21"/>
      <c r="F426" s="21"/>
      <c r="G426" s="21"/>
      <c r="H426" t="str">
        <f>IF(COUNTIF(E426:G426,LEFT(D426,2)&amp;"*")&gt;=2,LEFT(D426,2),
IF(COUNTIF(F426:G426,LEFT(E426,2)&amp;"*")=2,LEFT(E426,2),
""))</f>
        <v/>
      </c>
      <c r="I426" s="21">
        <v>0</v>
      </c>
      <c r="J426" s="29"/>
      <c r="Q426" s="28"/>
      <c r="R426" t="s">
        <v>999</v>
      </c>
      <c r="S426" s="29"/>
      <c r="AE426" s="14" t="s">
        <v>127</v>
      </c>
      <c r="AF426" s="16">
        <v>0.23</v>
      </c>
      <c r="AG426" s="16">
        <v>0.25</v>
      </c>
      <c r="AH426" s="16">
        <v>0.27</v>
      </c>
      <c r="AI426" s="16">
        <v>0.28999999999999998</v>
      </c>
      <c r="AJ426" s="16">
        <v>0.32</v>
      </c>
      <c r="AK426" s="16">
        <v>0.34</v>
      </c>
      <c r="AL426" s="16">
        <v>0.36</v>
      </c>
      <c r="AM426" s="16">
        <v>0.39</v>
      </c>
      <c r="AN426" s="16">
        <v>0.41</v>
      </c>
      <c r="AO426" s="16">
        <v>0.44</v>
      </c>
      <c r="AP426" s="16">
        <v>0.47</v>
      </c>
      <c r="AQ426" s="16">
        <v>0.51</v>
      </c>
    </row>
    <row r="427" spans="1:45" x14ac:dyDescent="0.25">
      <c r="B427" s="28" t="s">
        <v>183</v>
      </c>
      <c r="D427" s="21">
        <v>3</v>
      </c>
      <c r="E427" s="21">
        <v>3</v>
      </c>
      <c r="F427" s="21">
        <v>3</v>
      </c>
      <c r="G427" s="21">
        <v>3</v>
      </c>
      <c r="J427" s="29"/>
      <c r="Q427" s="28"/>
      <c r="R427" t="s">
        <v>1032</v>
      </c>
      <c r="S427" s="29"/>
      <c r="AE427" s="14" t="s">
        <v>128</v>
      </c>
      <c r="AF427" s="16">
        <v>0.25</v>
      </c>
      <c r="AG427" s="16">
        <v>0.28000000000000003</v>
      </c>
      <c r="AH427" s="16">
        <v>0.3</v>
      </c>
      <c r="AI427" s="16">
        <v>0.33</v>
      </c>
      <c r="AJ427" s="16">
        <v>0.35</v>
      </c>
      <c r="AK427" s="16">
        <v>0.38</v>
      </c>
      <c r="AL427" s="16">
        <v>0.4</v>
      </c>
      <c r="AM427" s="16">
        <v>0.43</v>
      </c>
      <c r="AN427" s="16">
        <v>0.45</v>
      </c>
      <c r="AO427" s="16">
        <v>0.48</v>
      </c>
      <c r="AP427" s="16">
        <v>0.52</v>
      </c>
      <c r="AQ427" s="16">
        <v>0.56000000000000005</v>
      </c>
    </row>
    <row r="428" spans="1:45" x14ac:dyDescent="0.25">
      <c r="B428" s="84" t="s">
        <v>97</v>
      </c>
      <c r="C428">
        <f>_xlfn.XLOOKUP(C426,武器库!$B:$B,武器库!$C:$C,"")</f>
        <v>0</v>
      </c>
      <c r="D428" t="e">
        <f>VLOOKUP(D426,护甲库!$A:$M,2+D427*3,FALSE)</f>
        <v>#N/A</v>
      </c>
      <c r="E428" t="e">
        <f>VLOOKUP(E426,护手库!$A:$M,2+E427*3,FALSE)</f>
        <v>#N/A</v>
      </c>
      <c r="F428" t="e">
        <f>VLOOKUP(F426,配件库!$A:$M,2+F427*3,FALSE)</f>
        <v>#N/A</v>
      </c>
      <c r="G428" t="e">
        <f>VLOOKUP(G426,配件库!$A:$M,2+G427*3,FALSE)</f>
        <v>#N/A</v>
      </c>
      <c r="H428" s="11"/>
      <c r="J428" s="29"/>
      <c r="Q428" s="28" t="s">
        <v>961</v>
      </c>
      <c r="S428" s="29" t="s">
        <v>964</v>
      </c>
      <c r="AE428" s="14" t="s">
        <v>129</v>
      </c>
      <c r="AF428" s="16">
        <v>0.35</v>
      </c>
      <c r="AG428" s="16">
        <v>0.39</v>
      </c>
      <c r="AH428" s="16">
        <v>0.42</v>
      </c>
      <c r="AI428" s="16">
        <v>0.46</v>
      </c>
      <c r="AJ428" s="16">
        <v>0.49</v>
      </c>
      <c r="AK428" s="16">
        <v>0.53</v>
      </c>
      <c r="AL428" s="16">
        <v>0.56000000000000005</v>
      </c>
      <c r="AM428" s="16">
        <v>0.6</v>
      </c>
      <c r="AN428" s="16">
        <v>0.63</v>
      </c>
      <c r="AO428" s="16">
        <v>0.67</v>
      </c>
      <c r="AP428" s="16">
        <v>0.73</v>
      </c>
      <c r="AQ428" s="16">
        <v>0.79</v>
      </c>
    </row>
    <row r="429" spans="1:45" x14ac:dyDescent="0.25">
      <c r="B429" s="28" t="s">
        <v>98</v>
      </c>
      <c r="C429" s="43">
        <f>_xlfn.XLOOKUP(C426,武器库!$B:$B,武器库!$D:$D,"")</f>
        <v>0</v>
      </c>
      <c r="D429" t="e">
        <f>VLOOKUP(D426,护甲库!$A:$M,3+D427*3,FALSE)</f>
        <v>#N/A</v>
      </c>
      <c r="E429" t="e">
        <f>VLOOKUP(E426,护手库!$A:$M,3+E427*3,FALSE)</f>
        <v>#N/A</v>
      </c>
      <c r="F429" t="e">
        <f>VLOOKUP(F426,配件库!$A:$M,3+F427*3,FALSE)</f>
        <v>#N/A</v>
      </c>
      <c r="G429" t="e">
        <f>VLOOKUP(G426,配件库!$A:$M,3+G427*3,FALSE)</f>
        <v>#N/A</v>
      </c>
      <c r="H429" s="9"/>
      <c r="J429" s="29"/>
      <c r="Q429" s="28"/>
      <c r="R429" t="s">
        <v>965</v>
      </c>
      <c r="S429" s="29"/>
      <c r="AE429" s="14" t="s">
        <v>130</v>
      </c>
      <c r="AF429" s="16">
        <v>0.37</v>
      </c>
      <c r="AG429" s="16">
        <v>0.4</v>
      </c>
      <c r="AH429" s="16">
        <v>0.44</v>
      </c>
      <c r="AI429" s="16">
        <v>0.47</v>
      </c>
      <c r="AJ429" s="16">
        <v>0.51</v>
      </c>
      <c r="AK429" s="16">
        <v>0.55000000000000004</v>
      </c>
      <c r="AL429" s="16">
        <v>0.57999999999999996</v>
      </c>
      <c r="AM429" s="16">
        <v>0.62</v>
      </c>
      <c r="AN429" s="16">
        <v>0.66</v>
      </c>
      <c r="AO429" s="16">
        <v>0.7</v>
      </c>
      <c r="AP429" s="16">
        <v>0.76</v>
      </c>
      <c r="AQ429" s="16">
        <v>0.82</v>
      </c>
    </row>
    <row r="430" spans="1:45" x14ac:dyDescent="0.25">
      <c r="B430" s="28" t="s">
        <v>99</v>
      </c>
      <c r="C430" s="43">
        <f>_xlfn.XLOOKUP(C426,武器库!$B:$B,武器库!$E:$E,"")</f>
        <v>0</v>
      </c>
      <c r="D430" s="43" t="e">
        <f>VLOOKUP(D426,护甲库!$A:$M,4+D427*3,FALSE)</f>
        <v>#N/A</v>
      </c>
      <c r="E430" s="43" t="e">
        <f>VLOOKUP(E426,护手库!$A:$M,4+E427*3,FALSE)</f>
        <v>#N/A</v>
      </c>
      <c r="F430" s="43" t="e">
        <f>VLOOKUP(F426,配件库!$A:$M,4+F427*3,FALSE)</f>
        <v>#N/A</v>
      </c>
      <c r="G430" s="43" t="e">
        <f>VLOOKUP(G426,配件库!$A:$M,4+G427*3,FALSE)</f>
        <v>#N/A</v>
      </c>
      <c r="H430" s="9"/>
      <c r="J430" s="29"/>
      <c r="Q430" s="28" t="s">
        <v>962</v>
      </c>
      <c r="R430" t="s">
        <v>967</v>
      </c>
      <c r="S430" s="29"/>
      <c r="AE430" s="14" t="s">
        <v>660</v>
      </c>
      <c r="AF430" s="16">
        <v>0.5</v>
      </c>
      <c r="AG430" s="16">
        <v>0.55000000000000004</v>
      </c>
      <c r="AH430" s="16">
        <v>0.6</v>
      </c>
      <c r="AI430" s="16">
        <v>0.65</v>
      </c>
      <c r="AJ430" s="16">
        <v>0.7</v>
      </c>
      <c r="AK430" s="16">
        <v>0.75</v>
      </c>
      <c r="AL430" s="16">
        <v>0.8</v>
      </c>
      <c r="AM430" s="16">
        <v>0.85</v>
      </c>
      <c r="AN430" s="16">
        <v>0.9</v>
      </c>
      <c r="AO430" s="16">
        <v>0.96</v>
      </c>
      <c r="AP430" s="16">
        <v>1.04</v>
      </c>
      <c r="AQ430" s="16">
        <v>1.1299999999999999</v>
      </c>
    </row>
    <row r="431" spans="1:45" x14ac:dyDescent="0.25">
      <c r="B431" s="28" t="s">
        <v>90</v>
      </c>
      <c r="C431">
        <f>_xlfn.XLOOKUP(C426,武器库!$B:$B,武器库!$F:$F,"")</f>
        <v>0</v>
      </c>
      <c r="D431" s="22"/>
      <c r="F431" s="22"/>
      <c r="G431" s="9"/>
      <c r="H431" s="9"/>
      <c r="J431" s="29"/>
      <c r="Q431" s="28"/>
      <c r="S431" s="29"/>
      <c r="AE431" s="14" t="s">
        <v>131</v>
      </c>
      <c r="AF431" s="16">
        <v>4</v>
      </c>
      <c r="AG431" s="16">
        <v>4.4000000000000004</v>
      </c>
      <c r="AH431" s="16">
        <v>4.8</v>
      </c>
      <c r="AI431" s="16">
        <v>5.2</v>
      </c>
      <c r="AJ431" s="16">
        <v>5.6</v>
      </c>
      <c r="AK431" s="16">
        <v>6</v>
      </c>
      <c r="AL431" s="16">
        <v>6.4</v>
      </c>
      <c r="AM431" s="16">
        <v>6.8</v>
      </c>
      <c r="AN431" s="16">
        <v>7.2</v>
      </c>
      <c r="AO431" s="16">
        <v>7.7</v>
      </c>
      <c r="AP431" s="16">
        <v>8.3000000000000007</v>
      </c>
      <c r="AQ431" s="16">
        <v>9</v>
      </c>
    </row>
    <row r="432" spans="1:45" ht="14.4" thickBot="1" x14ac:dyDescent="0.3">
      <c r="B432" s="30" t="s">
        <v>89</v>
      </c>
      <c r="C432" s="18" t="e">
        <f>VLOOKUP(H426,套装效果库!A:B,2,0)</f>
        <v>#N/A</v>
      </c>
      <c r="D432" s="19"/>
      <c r="E432" s="18"/>
      <c r="F432" s="19"/>
      <c r="G432" s="20"/>
      <c r="H432" s="20"/>
      <c r="I432" s="18"/>
      <c r="J432" s="31"/>
      <c r="Q432" s="28" t="s">
        <v>968</v>
      </c>
      <c r="S432" s="29" t="s">
        <v>966</v>
      </c>
      <c r="AE432" s="14" t="s">
        <v>132</v>
      </c>
      <c r="AF432" s="16">
        <v>0.8</v>
      </c>
      <c r="AG432" s="16">
        <v>0.88</v>
      </c>
      <c r="AH432" s="16">
        <v>0.96</v>
      </c>
      <c r="AI432" s="16">
        <v>1.04</v>
      </c>
      <c r="AJ432" s="16">
        <v>1.1200000000000001</v>
      </c>
      <c r="AK432" s="16">
        <v>1.2</v>
      </c>
      <c r="AL432" s="16">
        <v>1.28</v>
      </c>
      <c r="AM432" s="16">
        <v>1.36</v>
      </c>
      <c r="AN432" s="16">
        <v>1.44</v>
      </c>
      <c r="AO432" s="16">
        <v>1.54</v>
      </c>
      <c r="AP432" s="16">
        <v>1.66</v>
      </c>
      <c r="AQ432" s="16">
        <v>1.8</v>
      </c>
    </row>
    <row r="433" spans="2:43" x14ac:dyDescent="0.25">
      <c r="Q433" s="28"/>
      <c r="R433" t="s">
        <v>970</v>
      </c>
      <c r="S433" s="29"/>
    </row>
    <row r="434" spans="2:43" x14ac:dyDescent="0.25">
      <c r="Q434" s="28" t="s">
        <v>969</v>
      </c>
      <c r="R434" t="s">
        <v>971</v>
      </c>
      <c r="S434" s="29"/>
    </row>
    <row r="435" spans="2:43" x14ac:dyDescent="0.25">
      <c r="B435" s="17" t="s">
        <v>962</v>
      </c>
      <c r="C435" s="17" t="s">
        <v>990</v>
      </c>
      <c r="D435" s="17" t="s">
        <v>1054</v>
      </c>
      <c r="E435" s="17"/>
      <c r="F435" s="17"/>
      <c r="G435" s="17"/>
      <c r="H435" s="17"/>
      <c r="I435" s="17"/>
      <c r="K435" s="88" t="s">
        <v>195</v>
      </c>
      <c r="L435" s="17" t="s">
        <v>701</v>
      </c>
      <c r="M435" s="17" t="s">
        <v>157</v>
      </c>
      <c r="N435" s="17" t="s">
        <v>702</v>
      </c>
      <c r="O435" s="89" t="s">
        <v>158</v>
      </c>
      <c r="Q435" s="28"/>
      <c r="R435" t="s">
        <v>972</v>
      </c>
      <c r="S435" s="29"/>
      <c r="AE435" s="14" t="s">
        <v>76</v>
      </c>
    </row>
    <row r="436" spans="2:43" x14ac:dyDescent="0.25">
      <c r="C436" s="21"/>
      <c r="D436" s="21"/>
      <c r="E436" s="43"/>
      <c r="F436" s="43"/>
      <c r="G436" s="43"/>
      <c r="H436" s="43"/>
      <c r="I436" s="43"/>
      <c r="K436" t="s">
        <v>183</v>
      </c>
      <c r="L436" s="21">
        <v>9</v>
      </c>
      <c r="M436" s="21">
        <v>9</v>
      </c>
      <c r="N436" s="21">
        <v>9</v>
      </c>
      <c r="O436" s="37">
        <v>9</v>
      </c>
      <c r="Q436" s="28"/>
      <c r="R436" t="s">
        <v>973</v>
      </c>
      <c r="S436" s="29"/>
      <c r="AE436" s="15"/>
      <c r="AF436" s="15"/>
      <c r="AG436" s="15"/>
      <c r="AH436" s="15"/>
      <c r="AI436" s="15"/>
      <c r="AJ436" s="15"/>
      <c r="AK436" s="15"/>
      <c r="AL436" s="15"/>
      <c r="AM436" s="15"/>
      <c r="AN436" s="15"/>
      <c r="AO436" s="15"/>
      <c r="AP436" s="15"/>
      <c r="AQ436" s="15"/>
    </row>
    <row r="437" spans="2:43" x14ac:dyDescent="0.25">
      <c r="B437" t="s">
        <v>164</v>
      </c>
      <c r="C437" s="21">
        <f>179+60+IF(I426&gt;=2,20,0)</f>
        <v>239</v>
      </c>
      <c r="D437" s="21">
        <f>123</f>
        <v>123</v>
      </c>
      <c r="E437" cm="1">
        <f t="array" ref="E437">SUM(IFERROR(
    VALUE(MID($C427:$G430,
             SEARCH(E436, $C427:$G430) + LEN(E436),
             10)) *
    ISNUMBER(SEARCH(E436,$C427:$G430)),
    0
))/100+IFERROR(
    MID($C432, SEARCH(E436, $C432) + LEN(E436), 2) / 100,
    0
)</f>
        <v>0.12</v>
      </c>
      <c r="F437" cm="1">
        <f t="array" ref="F437">SUM(IFERROR(
    VALUE(MID($C427:$G430,
             SEARCH(F436, $C427:$G430) + LEN(F436),
             10)) *
    ISNUMBER(SEARCH(F436,$C427:$G430)),
    0
))/100+IFERROR(
    MID($C432, SEARCH(F436, $C432) + LEN(F436), 2) / 100,
    0
)</f>
        <v>0.12</v>
      </c>
      <c r="G437" cm="1">
        <f t="array" ref="G437">SUM(IFERROR(
    VALUE(MID($C427:$G430,
             SEARCH(G436, $C427:$G430) + LEN(G436),
             10)) *
    ISNUMBER(SEARCH(G436,$C427:$G430)),
    0
))/100+IFERROR(
    MID($C432, SEARCH(G436, $C432) + LEN(G436), 2) / 100,
    0
)</f>
        <v>0.12</v>
      </c>
      <c r="H437" cm="1">
        <f t="array" ref="H437">SUM(IFERROR(
    VALUE(MID($C427:$G430,
             SEARCH(H436, $C427:$G430) + LEN(H436),
             10)) *
    ISNUMBER(SEARCH(H436,$C427:$G430)),
    0
))/100+IFERROR(
    MID($C432, SEARCH(H436, $C432) + LEN(H436), 2) / 100,
    0
)</f>
        <v>0.12</v>
      </c>
      <c r="I437" cm="1">
        <f t="array" ref="I437">SUM(IFERROR(
    VALUE(MID($C427:$G430,
             SEARCH(I436, $C427:$G430) + LEN(I436),
             10)) *
    ISNUMBER(SEARCH(I436,$C427:$G430)),
    0
))/100+IFERROR(
    MID($C432, SEARCH(I436, $C432) + LEN(I436), 2) / 100,
    0
)</f>
        <v>0.12</v>
      </c>
      <c r="L437" s="23" cm="1">
        <f t="array" ref="L437:L443">_xlfn.XLOOKUP(L436,$AE$6:$AQ$6,AE426:AQ432,0,0,1)</f>
        <v>0.41</v>
      </c>
      <c r="M437" s="23" cm="1">
        <f t="array" ref="M437:M444">_xlfn.XLOOKUP(M436,$AE$6:$AQ$6,AE438:AQ445,0,0,1)</f>
        <v>0</v>
      </c>
      <c r="N437" s="23" cm="1">
        <f t="array" ref="N437:N440">_xlfn.XLOOKUP(N436,$AE$6:$AQ$6,AE450:AQ453,0,0,1)</f>
        <v>0</v>
      </c>
      <c r="O437" s="23" cm="1">
        <f t="array" ref="O437:O442">_xlfn.XLOOKUP(O436,$AE$6:$AQ$6,AE458:AQ463,0,0,1)</f>
        <v>0</v>
      </c>
      <c r="Q437" s="28"/>
      <c r="S437" s="29" t="s">
        <v>974</v>
      </c>
      <c r="AE437" s="14"/>
      <c r="AF437" s="16"/>
      <c r="AG437" s="16"/>
      <c r="AH437" s="16"/>
      <c r="AI437" s="16"/>
      <c r="AJ437" s="16"/>
      <c r="AK437" s="16"/>
      <c r="AL437" s="16"/>
      <c r="AM437" s="16"/>
      <c r="AN437" s="16"/>
      <c r="AO437" s="16"/>
      <c r="AP437" s="16"/>
      <c r="AQ437" s="16"/>
    </row>
    <row r="438" spans="2:43" x14ac:dyDescent="0.25">
      <c r="B438" s="22" t="s">
        <v>165</v>
      </c>
      <c r="C438" cm="1">
        <f t="array" ref="C438">SUM(IFERROR(
    VALUE(MID($C427:$G430,
             FIND(C436, $C427:$G430) + LEN(C436),
             10)) *
    ISNUMBER(FIND(C436, $C427:$G430)),
    0
))+SUM(IFERROR(
    VALUE(MID($C427:$G430,
             FIND(C435, $C427:$G430) + LEN(C435),
             10)) *
    ISNUMBER(FIND(C435, $C427:$G430)),
    0
))+IFERROR(
    MID($C432, SEARCH(C436, $C432) + LEN(C436), 2) / 100,
    0
)+IFERROR(
    MID($C432, SEARCH(C435, $C432) + LEN(C435), 2) / 100,
    0
)</f>
        <v>12</v>
      </c>
      <c r="D438" cm="1">
        <f t="array" ref="D438">SUM(IFERROR(
    VALUE(MID($C427:$G430,
             FIND(D436, $C427:$G430) + LEN(D436),
             10)) *
    ISNUMBER(FIND(D436, $C427:$G430)),
    0
))+SUM(IFERROR(
    VALUE(MID($C427:$G430,
             FIND(D435, $C427:$G430) + LEN(D435),
             10)) *
    ISNUMBER(FIND(D435, $C427:$G430)),
    0
))+IFERROR(
    MID($C432, SEARCH(D436, $C432) + LEN(D436), 2) / 100,
    0
)+IFERROR(
    MID($C432, SEARCH(D435, $C432) + LEN(D435), 2) / 100,
    0
)</f>
        <v>12</v>
      </c>
      <c r="L438">
        <v>0.45</v>
      </c>
      <c r="M438">
        <v>0</v>
      </c>
      <c r="N438">
        <v>0</v>
      </c>
      <c r="O438">
        <v>0</v>
      </c>
      <c r="Q438" s="28"/>
      <c r="S438" s="29" t="s">
        <v>975</v>
      </c>
      <c r="AE438" s="14"/>
      <c r="AF438" s="14"/>
      <c r="AG438" s="14"/>
      <c r="AH438" s="14"/>
      <c r="AI438" s="14"/>
      <c r="AJ438" s="14"/>
      <c r="AK438" s="14"/>
      <c r="AL438" s="14"/>
      <c r="AM438" s="14"/>
      <c r="AN438" s="14"/>
      <c r="AO438" s="14"/>
      <c r="AP438" s="14"/>
      <c r="AQ438" s="14"/>
    </row>
    <row r="439" spans="2:43" ht="14.4" thickBot="1" x14ac:dyDescent="0.3">
      <c r="B439" s="22" t="s">
        <v>166</v>
      </c>
      <c r="C439" s="12" cm="1">
        <f t="array" ref="C439">ROUNDUP(SUM(C437:C438)*(1+IF(LEN(TRIM(LEFT(C435,3)))=0, 0,
   SUMPRODUCT(
       IFERROR(
           VALUE(MID($C427:$G430,
                   SEARCH(LEFT(C435,3), $C427:$G430) + 3,
                   10)) *
           ISNUMBER(SEARCH(LEFT(C435,3), $C427:$G430)),
           0
       )
   )+IFERROR(
    MID($C432, SEARCH(C436, $C432) + LEN(C436), 2) / 100,
    0
)
)/100),0)</f>
        <v>251</v>
      </c>
      <c r="D439" s="12" cm="1">
        <f t="array" ref="D439">ROUNDUP(SUM(D437:D438)*(1+IF(LEN(TRIM(LEFT(D435,3)))=0, 0,
   SUMPRODUCT(
       IFERROR(
           VALUE(MID($C427:$G430,
                   SEARCH(LEFT(D435,3), $C427:$G430) + 3,
                   10)) *
           ISNUMBER(SEARCH(LEFT(D435,3), $C427:$G430)),
           0
       )
   )+IFERROR(
    MID($C432, SEARCH(D436, $C432) + LEN(D436), 2) / 100,
    0
)
)/100),0)</f>
        <v>135</v>
      </c>
      <c r="L439">
        <v>0.63</v>
      </c>
      <c r="M439">
        <v>0</v>
      </c>
      <c r="N439">
        <v>0</v>
      </c>
      <c r="O439">
        <v>0</v>
      </c>
      <c r="Q439" s="30"/>
      <c r="R439" s="18"/>
      <c r="S439" s="31" t="s">
        <v>976</v>
      </c>
      <c r="AE439" s="14"/>
      <c r="AF439" s="16"/>
      <c r="AG439" s="16"/>
      <c r="AH439" s="16"/>
      <c r="AI439" s="16"/>
      <c r="AJ439" s="16"/>
      <c r="AK439" s="16"/>
      <c r="AL439" s="16"/>
      <c r="AM439" s="16"/>
      <c r="AN439" s="16"/>
      <c r="AO439" s="16"/>
      <c r="AP439" s="16"/>
      <c r="AQ439" s="16"/>
    </row>
    <row r="440" spans="2:43" ht="13.8" customHeight="1" x14ac:dyDescent="0.25">
      <c r="B440" s="85" t="s">
        <v>93</v>
      </c>
      <c r="C440" s="86">
        <f>C439*0.005+D439*0.002</f>
        <v>1.5250000000000001</v>
      </c>
      <c r="D440" s="87"/>
      <c r="E440" s="86"/>
      <c r="F440" s="86"/>
      <c r="G440" s="86"/>
      <c r="H440" s="86"/>
      <c r="I440" s="86"/>
      <c r="L440">
        <v>0.66</v>
      </c>
      <c r="M440">
        <v>0</v>
      </c>
      <c r="N440">
        <v>0</v>
      </c>
      <c r="O440">
        <v>0</v>
      </c>
      <c r="AE440" s="14"/>
      <c r="AF440" s="14"/>
      <c r="AG440" s="14"/>
      <c r="AH440" s="14"/>
      <c r="AI440" s="14"/>
      <c r="AJ440" s="14"/>
      <c r="AK440" s="14"/>
      <c r="AL440" s="14"/>
      <c r="AM440" s="14"/>
      <c r="AN440" s="14"/>
      <c r="AO440" s="14"/>
      <c r="AP440" s="14"/>
      <c r="AQ440" s="14"/>
    </row>
    <row r="441" spans="2:43" x14ac:dyDescent="0.25">
      <c r="L441">
        <v>0.9</v>
      </c>
      <c r="M441">
        <v>0</v>
      </c>
      <c r="O441">
        <v>0</v>
      </c>
      <c r="AE441" s="14"/>
      <c r="AF441" s="14"/>
      <c r="AG441" s="14"/>
      <c r="AH441" s="14"/>
      <c r="AI441" s="14"/>
      <c r="AJ441" s="14"/>
      <c r="AK441" s="14"/>
      <c r="AL441" s="14"/>
      <c r="AM441" s="14"/>
      <c r="AN441" s="14"/>
      <c r="AO441" s="14"/>
      <c r="AP441" s="14"/>
      <c r="AQ441" s="14"/>
    </row>
    <row r="442" spans="2:43" x14ac:dyDescent="0.25">
      <c r="L442">
        <v>7.2</v>
      </c>
      <c r="M442">
        <v>0</v>
      </c>
      <c r="O442">
        <v>0</v>
      </c>
      <c r="AE442" s="14"/>
      <c r="AF442" s="16"/>
      <c r="AG442" s="16"/>
      <c r="AH442" s="16"/>
      <c r="AI442" s="38"/>
      <c r="AJ442" s="38"/>
      <c r="AK442" s="38"/>
      <c r="AL442" s="16"/>
      <c r="AM442" s="16"/>
      <c r="AN442" s="16"/>
      <c r="AO442" s="38"/>
      <c r="AP442" s="38"/>
      <c r="AQ442" s="16"/>
    </row>
    <row r="443" spans="2:43" x14ac:dyDescent="0.25">
      <c r="E443" s="12"/>
      <c r="G443" s="12"/>
      <c r="L443">
        <v>1.44</v>
      </c>
      <c r="M443">
        <v>0</v>
      </c>
      <c r="AE443" s="14"/>
      <c r="AF443" s="16"/>
      <c r="AG443" s="16"/>
      <c r="AH443" s="16"/>
      <c r="AI443" s="16"/>
      <c r="AJ443" s="16"/>
      <c r="AK443" s="16"/>
      <c r="AL443" s="16"/>
      <c r="AM443" s="16"/>
      <c r="AN443" s="16"/>
      <c r="AO443" s="16"/>
      <c r="AP443" s="16"/>
      <c r="AQ443" s="16"/>
    </row>
    <row r="444" spans="2:43" x14ac:dyDescent="0.25">
      <c r="C444" s="22"/>
      <c r="M444">
        <v>0</v>
      </c>
      <c r="AE444" s="14"/>
      <c r="AF444" s="14"/>
      <c r="AG444" s="14"/>
      <c r="AH444" s="14"/>
      <c r="AI444" s="14"/>
      <c r="AJ444" s="14"/>
      <c r="AK444" s="14"/>
      <c r="AL444" s="14"/>
      <c r="AM444" s="14"/>
      <c r="AN444" s="14"/>
      <c r="AO444" s="14"/>
      <c r="AP444" s="14"/>
      <c r="AQ444" s="14"/>
    </row>
    <row r="445" spans="2:43" x14ac:dyDescent="0.25">
      <c r="C445" s="22"/>
    </row>
    <row r="446" spans="2:43" x14ac:dyDescent="0.25">
      <c r="C446" s="22"/>
    </row>
    <row r="447" spans="2:43" ht="14.4" thickBot="1" x14ac:dyDescent="0.3">
      <c r="C447" s="28" t="s">
        <v>978</v>
      </c>
      <c r="E447" s="61" t="s">
        <v>755</v>
      </c>
      <c r="F447" s="61"/>
      <c r="G447" s="61"/>
      <c r="H447" s="61"/>
      <c r="I447" s="61"/>
      <c r="J447" s="127" t="s">
        <v>785</v>
      </c>
      <c r="K447" s="127"/>
      <c r="L447" s="127"/>
      <c r="M447" s="127"/>
      <c r="N447" s="63" t="s">
        <v>154</v>
      </c>
      <c r="O447" s="63"/>
      <c r="P447" s="63"/>
      <c r="Q447" s="63"/>
      <c r="R447" s="63"/>
      <c r="S447" s="63"/>
      <c r="T447" s="8" t="s">
        <v>161</v>
      </c>
      <c r="U447" s="8"/>
      <c r="V447" s="8"/>
      <c r="W447" s="8"/>
      <c r="X447" s="8"/>
      <c r="Y447" s="8"/>
      <c r="Z447" s="8"/>
      <c r="AE447" s="14" t="s">
        <v>77</v>
      </c>
    </row>
    <row r="448" spans="2:43" x14ac:dyDescent="0.25">
      <c r="B448" t="s">
        <v>695</v>
      </c>
      <c r="C448" s="17" t="s">
        <v>704</v>
      </c>
      <c r="D448" s="17" t="s">
        <v>991</v>
      </c>
      <c r="E448" s="52" t="s">
        <v>92</v>
      </c>
      <c r="F448" s="52" t="s">
        <v>94</v>
      </c>
      <c r="G448" s="52" t="s">
        <v>95</v>
      </c>
      <c r="H448" s="52" t="s">
        <v>93</v>
      </c>
      <c r="I448" s="52" t="s">
        <v>96</v>
      </c>
      <c r="J448" s="64" t="s">
        <v>688</v>
      </c>
      <c r="K448" s="64" t="s">
        <v>689</v>
      </c>
      <c r="L448" s="64" t="s">
        <v>690</v>
      </c>
      <c r="M448" s="64" t="s">
        <v>163</v>
      </c>
      <c r="N448" s="64" t="s">
        <v>707</v>
      </c>
      <c r="O448" s="64" t="s">
        <v>153</v>
      </c>
      <c r="P448" s="64" t="s">
        <v>76</v>
      </c>
      <c r="Q448" s="64" t="s">
        <v>77</v>
      </c>
      <c r="R448" s="64" t="s">
        <v>78</v>
      </c>
      <c r="S448" s="64" t="s">
        <v>703</v>
      </c>
      <c r="T448" s="64" t="s">
        <v>83</v>
      </c>
      <c r="U448" s="64" t="s">
        <v>80</v>
      </c>
      <c r="V448" s="64" t="s">
        <v>79</v>
      </c>
      <c r="W448" s="64" t="s">
        <v>691</v>
      </c>
      <c r="X448" s="64" t="s">
        <v>694</v>
      </c>
      <c r="Y448" s="64" t="s">
        <v>693</v>
      </c>
      <c r="Z448" s="64" t="s">
        <v>692</v>
      </c>
      <c r="AF448" s="15"/>
      <c r="AG448" s="15"/>
      <c r="AH448" s="15"/>
      <c r="AI448" s="15"/>
      <c r="AJ448" s="15"/>
      <c r="AK448" s="15"/>
      <c r="AL448" s="15"/>
      <c r="AM448" s="15"/>
      <c r="AN448" s="15"/>
      <c r="AO448" s="15"/>
      <c r="AP448" s="15"/>
      <c r="AQ448" s="15"/>
    </row>
    <row r="449" spans="1:45" x14ac:dyDescent="0.25">
      <c r="B449" t="s">
        <v>993</v>
      </c>
      <c r="E449" s="21"/>
      <c r="F449" s="43"/>
      <c r="G449" s="43"/>
      <c r="H449">
        <f>C440</f>
        <v>1.5250000000000001</v>
      </c>
      <c r="I449">
        <f>(E449*(1+F449)+G449)*(H449+1)</f>
        <v>0</v>
      </c>
      <c r="K449" s="43"/>
      <c r="L449" s="43"/>
      <c r="M449" s="43"/>
      <c r="N449" s="43"/>
      <c r="O449" s="43"/>
      <c r="P449" s="43"/>
      <c r="Q449" s="43"/>
      <c r="R449" s="43"/>
      <c r="AE449" s="14"/>
      <c r="AF449" s="14"/>
      <c r="AG449" s="14"/>
      <c r="AH449" s="14"/>
      <c r="AI449" s="14"/>
      <c r="AJ449" s="14"/>
      <c r="AK449" s="14"/>
      <c r="AL449" s="14"/>
      <c r="AM449" s="14"/>
      <c r="AN449" s="14"/>
      <c r="AO449" s="14"/>
      <c r="AP449" s="14"/>
      <c r="AQ449" s="14"/>
    </row>
    <row r="450" spans="1:45" x14ac:dyDescent="0.25">
      <c r="C450" t="s">
        <v>994</v>
      </c>
      <c r="D450" t="s">
        <v>805</v>
      </c>
      <c r="E450">
        <f>E449</f>
        <v>0</v>
      </c>
      <c r="F450">
        <f>F449</f>
        <v>0</v>
      </c>
      <c r="G450">
        <f>G449</f>
        <v>0</v>
      </c>
      <c r="H450">
        <f>H449</f>
        <v>1.5250000000000001</v>
      </c>
      <c r="I450">
        <f t="shared" ref="I450:I452" si="120">(E450*(1+F450)+G450)*(H450+1)</f>
        <v>0</v>
      </c>
      <c r="J450">
        <f>SUM(L437:L441)</f>
        <v>3.05</v>
      </c>
      <c r="K450">
        <f t="shared" ref="K450:R450" si="121">K449</f>
        <v>0</v>
      </c>
      <c r="L450">
        <f t="shared" si="121"/>
        <v>0</v>
      </c>
      <c r="M450">
        <f t="shared" si="121"/>
        <v>0</v>
      </c>
      <c r="N450">
        <f t="shared" si="121"/>
        <v>0</v>
      </c>
      <c r="O450">
        <f t="shared" si="121"/>
        <v>0</v>
      </c>
      <c r="P450">
        <f t="shared" si="121"/>
        <v>0</v>
      </c>
      <c r="Q450">
        <f t="shared" si="121"/>
        <v>0</v>
      </c>
      <c r="R450">
        <f t="shared" si="121"/>
        <v>0</v>
      </c>
      <c r="T450">
        <f>T449</f>
        <v>0</v>
      </c>
      <c r="U450">
        <f t="shared" ref="U450:U463" si="122">U449</f>
        <v>0</v>
      </c>
      <c r="V450">
        <f t="shared" ref="V450:V463" si="123">V449</f>
        <v>0</v>
      </c>
      <c r="W450">
        <f t="shared" ref="W450:W463" si="124">W449</f>
        <v>0</v>
      </c>
      <c r="X450">
        <f t="shared" ref="X450:X463" si="125">X449</f>
        <v>0</v>
      </c>
      <c r="AE450" s="14"/>
      <c r="AF450" s="16"/>
      <c r="AG450" s="16"/>
      <c r="AH450" s="16"/>
      <c r="AI450" s="16"/>
      <c r="AJ450" s="16"/>
      <c r="AK450" s="16"/>
      <c r="AL450" s="16"/>
      <c r="AM450" s="16"/>
      <c r="AN450" s="16"/>
      <c r="AO450" s="16"/>
      <c r="AP450" s="16"/>
      <c r="AQ450" s="16"/>
    </row>
    <row r="451" spans="1:45" x14ac:dyDescent="0.25">
      <c r="C451" t="s">
        <v>995</v>
      </c>
      <c r="D451" t="s">
        <v>805</v>
      </c>
      <c r="E451">
        <f t="shared" ref="E451:E463" si="126">E450</f>
        <v>0</v>
      </c>
      <c r="F451">
        <f t="shared" ref="F451:F463" si="127">F450</f>
        <v>0</v>
      </c>
      <c r="G451">
        <f t="shared" ref="G451:G463" si="128">G450</f>
        <v>0</v>
      </c>
      <c r="H451">
        <f t="shared" ref="H451:H463" si="129">H450</f>
        <v>1.5250000000000001</v>
      </c>
      <c r="I451">
        <f t="shared" si="120"/>
        <v>0</v>
      </c>
      <c r="J451">
        <f>SUM(L437:L440)</f>
        <v>2.15</v>
      </c>
      <c r="K451">
        <f t="shared" ref="K451:K463" si="130">K450</f>
        <v>0</v>
      </c>
      <c r="L451">
        <f t="shared" ref="L451:L463" si="131">L450</f>
        <v>0</v>
      </c>
      <c r="M451">
        <f t="shared" ref="M451:M463" si="132">M450</f>
        <v>0</v>
      </c>
      <c r="N451">
        <f t="shared" ref="N451:N463" si="133">N450</f>
        <v>0</v>
      </c>
      <c r="O451">
        <f t="shared" ref="O451:O463" si="134">O450</f>
        <v>0</v>
      </c>
      <c r="P451">
        <f t="shared" ref="P451:P463" si="135">P450</f>
        <v>0</v>
      </c>
      <c r="Q451">
        <f t="shared" ref="Q451:Q463" si="136">Q450</f>
        <v>0</v>
      </c>
      <c r="R451">
        <f t="shared" ref="R451:R463" si="137">R450</f>
        <v>0</v>
      </c>
      <c r="T451">
        <f t="shared" ref="T451:T463" si="138">T450</f>
        <v>0</v>
      </c>
      <c r="U451">
        <f t="shared" si="122"/>
        <v>0</v>
      </c>
      <c r="V451">
        <f t="shared" si="123"/>
        <v>0</v>
      </c>
      <c r="W451">
        <f t="shared" si="124"/>
        <v>0</v>
      </c>
      <c r="X451">
        <f t="shared" si="125"/>
        <v>0</v>
      </c>
      <c r="AE451" s="14"/>
      <c r="AF451" s="14"/>
      <c r="AG451" s="14"/>
      <c r="AH451" s="14"/>
      <c r="AI451" s="14"/>
      <c r="AJ451" s="14"/>
      <c r="AK451" s="14"/>
      <c r="AL451" s="14"/>
      <c r="AM451" s="14"/>
      <c r="AN451" s="14"/>
      <c r="AO451" s="14"/>
      <c r="AP451" s="14"/>
      <c r="AQ451" s="14"/>
    </row>
    <row r="452" spans="1:45" x14ac:dyDescent="0.25">
      <c r="C452" t="s">
        <v>996</v>
      </c>
      <c r="D452" t="s">
        <v>805</v>
      </c>
      <c r="E452">
        <f t="shared" si="126"/>
        <v>0</v>
      </c>
      <c r="F452">
        <f t="shared" si="127"/>
        <v>0</v>
      </c>
      <c r="G452">
        <f t="shared" si="128"/>
        <v>0</v>
      </c>
      <c r="H452">
        <f t="shared" si="129"/>
        <v>1.5250000000000001</v>
      </c>
      <c r="I452">
        <f t="shared" si="120"/>
        <v>0</v>
      </c>
      <c r="J452">
        <f>L441</f>
        <v>0.9</v>
      </c>
      <c r="K452">
        <f t="shared" si="130"/>
        <v>0</v>
      </c>
      <c r="L452">
        <f t="shared" si="131"/>
        <v>0</v>
      </c>
      <c r="M452">
        <f t="shared" si="132"/>
        <v>0</v>
      </c>
      <c r="N452">
        <f t="shared" si="133"/>
        <v>0</v>
      </c>
      <c r="O452">
        <f t="shared" si="134"/>
        <v>0</v>
      </c>
      <c r="P452">
        <f t="shared" si="135"/>
        <v>0</v>
      </c>
      <c r="Q452">
        <f t="shared" si="136"/>
        <v>0</v>
      </c>
      <c r="R452">
        <f t="shared" si="137"/>
        <v>0</v>
      </c>
      <c r="T452">
        <f t="shared" si="138"/>
        <v>0</v>
      </c>
      <c r="U452">
        <f t="shared" si="122"/>
        <v>0</v>
      </c>
      <c r="V452">
        <f t="shared" si="123"/>
        <v>0</v>
      </c>
      <c r="W452">
        <f t="shared" si="124"/>
        <v>0</v>
      </c>
      <c r="X452">
        <f t="shared" si="125"/>
        <v>0</v>
      </c>
      <c r="AE452" s="14"/>
      <c r="AF452" s="14"/>
      <c r="AG452" s="14"/>
      <c r="AH452" s="14"/>
      <c r="AI452" s="14"/>
      <c r="AJ452" s="14"/>
      <c r="AK452" s="14"/>
      <c r="AL452" s="14"/>
      <c r="AM452" s="14"/>
      <c r="AN452" s="14"/>
      <c r="AO452" s="14"/>
      <c r="AP452" s="14"/>
      <c r="AQ452" s="14"/>
    </row>
    <row r="453" spans="1:45" x14ac:dyDescent="0.25">
      <c r="C453" t="s">
        <v>997</v>
      </c>
      <c r="D453" t="s">
        <v>805</v>
      </c>
      <c r="E453">
        <f t="shared" si="126"/>
        <v>0</v>
      </c>
      <c r="F453">
        <f t="shared" si="127"/>
        <v>0</v>
      </c>
      <c r="G453">
        <f t="shared" si="128"/>
        <v>0</v>
      </c>
      <c r="H453">
        <f t="shared" si="129"/>
        <v>1.5250000000000001</v>
      </c>
      <c r="I453">
        <f>(E453*(1+F453)+G453)*(H453+1)</f>
        <v>0</v>
      </c>
      <c r="J453">
        <f>L442</f>
        <v>7.2</v>
      </c>
      <c r="K453">
        <f t="shared" si="130"/>
        <v>0</v>
      </c>
      <c r="L453">
        <f t="shared" si="131"/>
        <v>0</v>
      </c>
      <c r="M453">
        <f t="shared" si="132"/>
        <v>0</v>
      </c>
      <c r="N453">
        <f t="shared" si="133"/>
        <v>0</v>
      </c>
      <c r="O453">
        <f t="shared" si="134"/>
        <v>0</v>
      </c>
      <c r="P453">
        <f t="shared" si="135"/>
        <v>0</v>
      </c>
      <c r="Q453">
        <f t="shared" si="136"/>
        <v>0</v>
      </c>
      <c r="R453">
        <f t="shared" si="137"/>
        <v>0</v>
      </c>
      <c r="T453">
        <f t="shared" si="138"/>
        <v>0</v>
      </c>
      <c r="U453">
        <f t="shared" si="122"/>
        <v>0</v>
      </c>
      <c r="V453">
        <f t="shared" si="123"/>
        <v>0</v>
      </c>
      <c r="W453">
        <f t="shared" si="124"/>
        <v>0</v>
      </c>
      <c r="X453">
        <f t="shared" si="125"/>
        <v>0</v>
      </c>
    </row>
    <row r="454" spans="1:45" x14ac:dyDescent="0.25">
      <c r="C454" t="s">
        <v>998</v>
      </c>
      <c r="D454" t="s">
        <v>805</v>
      </c>
      <c r="E454">
        <f t="shared" si="126"/>
        <v>0</v>
      </c>
      <c r="F454">
        <f t="shared" si="127"/>
        <v>0</v>
      </c>
      <c r="G454">
        <f t="shared" si="128"/>
        <v>0</v>
      </c>
      <c r="H454">
        <f t="shared" si="129"/>
        <v>1.5250000000000001</v>
      </c>
      <c r="I454">
        <f t="shared" ref="I454:I463" si="139">(E454*(1+F454)+G454)*(H454+1)</f>
        <v>0</v>
      </c>
      <c r="J454">
        <f>L443</f>
        <v>1.44</v>
      </c>
      <c r="K454">
        <f t="shared" si="130"/>
        <v>0</v>
      </c>
      <c r="L454">
        <f t="shared" si="131"/>
        <v>0</v>
      </c>
      <c r="M454">
        <f t="shared" si="132"/>
        <v>0</v>
      </c>
      <c r="N454">
        <f t="shared" si="133"/>
        <v>0</v>
      </c>
      <c r="O454">
        <f t="shared" si="134"/>
        <v>0</v>
      </c>
      <c r="P454">
        <f t="shared" si="135"/>
        <v>0</v>
      </c>
      <c r="Q454">
        <f t="shared" si="136"/>
        <v>0</v>
      </c>
      <c r="R454">
        <f t="shared" si="137"/>
        <v>0</v>
      </c>
      <c r="T454">
        <f t="shared" si="138"/>
        <v>0</v>
      </c>
      <c r="U454">
        <f t="shared" si="122"/>
        <v>0</v>
      </c>
      <c r="V454">
        <f t="shared" si="123"/>
        <v>0</v>
      </c>
      <c r="W454">
        <f t="shared" si="124"/>
        <v>0</v>
      </c>
      <c r="X454">
        <f t="shared" si="125"/>
        <v>0</v>
      </c>
    </row>
    <row r="455" spans="1:45" x14ac:dyDescent="0.25">
      <c r="D455" t="s">
        <v>805</v>
      </c>
      <c r="E455">
        <f t="shared" si="126"/>
        <v>0</v>
      </c>
      <c r="F455">
        <f t="shared" si="127"/>
        <v>0</v>
      </c>
      <c r="G455">
        <f t="shared" si="128"/>
        <v>0</v>
      </c>
      <c r="H455">
        <f t="shared" si="129"/>
        <v>1.5250000000000001</v>
      </c>
      <c r="I455">
        <f t="shared" si="139"/>
        <v>0</v>
      </c>
      <c r="K455">
        <f t="shared" si="130"/>
        <v>0</v>
      </c>
      <c r="L455">
        <f t="shared" si="131"/>
        <v>0</v>
      </c>
      <c r="M455">
        <f t="shared" si="132"/>
        <v>0</v>
      </c>
      <c r="N455">
        <f t="shared" si="133"/>
        <v>0</v>
      </c>
      <c r="O455">
        <f t="shared" si="134"/>
        <v>0</v>
      </c>
      <c r="P455">
        <f t="shared" si="135"/>
        <v>0</v>
      </c>
      <c r="Q455">
        <f t="shared" si="136"/>
        <v>0</v>
      </c>
      <c r="R455">
        <f t="shared" si="137"/>
        <v>0</v>
      </c>
      <c r="T455">
        <f t="shared" si="138"/>
        <v>0</v>
      </c>
      <c r="U455">
        <f t="shared" si="122"/>
        <v>0</v>
      </c>
      <c r="V455">
        <f t="shared" si="123"/>
        <v>0</v>
      </c>
      <c r="W455">
        <f t="shared" si="124"/>
        <v>0</v>
      </c>
      <c r="X455">
        <f t="shared" si="125"/>
        <v>0</v>
      </c>
      <c r="AE455" s="14" t="s">
        <v>649</v>
      </c>
    </row>
    <row r="456" spans="1:45" x14ac:dyDescent="0.25">
      <c r="D456" t="s">
        <v>805</v>
      </c>
      <c r="E456">
        <f t="shared" si="126"/>
        <v>0</v>
      </c>
      <c r="F456">
        <f t="shared" si="127"/>
        <v>0</v>
      </c>
      <c r="G456">
        <f t="shared" si="128"/>
        <v>0</v>
      </c>
      <c r="H456">
        <f t="shared" si="129"/>
        <v>1.5250000000000001</v>
      </c>
      <c r="I456">
        <f t="shared" si="139"/>
        <v>0</v>
      </c>
      <c r="K456">
        <f t="shared" si="130"/>
        <v>0</v>
      </c>
      <c r="L456">
        <f t="shared" si="131"/>
        <v>0</v>
      </c>
      <c r="M456">
        <f t="shared" si="132"/>
        <v>0</v>
      </c>
      <c r="N456">
        <f t="shared" si="133"/>
        <v>0</v>
      </c>
      <c r="O456">
        <f t="shared" si="134"/>
        <v>0</v>
      </c>
      <c r="P456">
        <f t="shared" si="135"/>
        <v>0</v>
      </c>
      <c r="Q456">
        <f t="shared" si="136"/>
        <v>0</v>
      </c>
      <c r="R456">
        <f t="shared" si="137"/>
        <v>0</v>
      </c>
      <c r="T456">
        <f t="shared" si="138"/>
        <v>0</v>
      </c>
      <c r="U456">
        <f t="shared" si="122"/>
        <v>0</v>
      </c>
      <c r="V456">
        <f t="shared" si="123"/>
        <v>0</v>
      </c>
      <c r="W456">
        <f t="shared" si="124"/>
        <v>0</v>
      </c>
      <c r="X456">
        <f t="shared" si="125"/>
        <v>0</v>
      </c>
      <c r="AF456" s="15"/>
      <c r="AG456" s="15"/>
      <c r="AH456" s="15"/>
      <c r="AI456" s="15"/>
      <c r="AJ456" s="15"/>
      <c r="AK456" s="15"/>
      <c r="AL456" s="15"/>
      <c r="AM456" s="15"/>
      <c r="AN456" s="15"/>
      <c r="AO456" s="15"/>
      <c r="AP456" s="15"/>
      <c r="AQ456" s="15"/>
    </row>
    <row r="457" spans="1:45" x14ac:dyDescent="0.25">
      <c r="D457" t="s">
        <v>805</v>
      </c>
      <c r="E457">
        <f t="shared" si="126"/>
        <v>0</v>
      </c>
      <c r="F457">
        <f t="shared" si="127"/>
        <v>0</v>
      </c>
      <c r="G457">
        <f t="shared" si="128"/>
        <v>0</v>
      </c>
      <c r="H457">
        <f t="shared" si="129"/>
        <v>1.5250000000000001</v>
      </c>
      <c r="I457">
        <f t="shared" si="139"/>
        <v>0</v>
      </c>
      <c r="K457">
        <f t="shared" si="130"/>
        <v>0</v>
      </c>
      <c r="L457">
        <f t="shared" si="131"/>
        <v>0</v>
      </c>
      <c r="M457">
        <f t="shared" si="132"/>
        <v>0</v>
      </c>
      <c r="N457">
        <f t="shared" si="133"/>
        <v>0</v>
      </c>
      <c r="O457">
        <f t="shared" si="134"/>
        <v>0</v>
      </c>
      <c r="P457">
        <f t="shared" si="135"/>
        <v>0</v>
      </c>
      <c r="Q457">
        <f t="shared" si="136"/>
        <v>0</v>
      </c>
      <c r="R457">
        <f t="shared" si="137"/>
        <v>0</v>
      </c>
      <c r="T457">
        <f t="shared" si="138"/>
        <v>0</v>
      </c>
      <c r="U457">
        <f t="shared" si="122"/>
        <v>0</v>
      </c>
      <c r="V457">
        <f t="shared" si="123"/>
        <v>0</v>
      </c>
      <c r="W457">
        <f t="shared" si="124"/>
        <v>0</v>
      </c>
      <c r="X457">
        <f t="shared" si="125"/>
        <v>0</v>
      </c>
      <c r="AE457" s="14"/>
      <c r="AF457" s="14"/>
      <c r="AG457" s="14"/>
      <c r="AH457" s="14"/>
      <c r="AI457" s="14"/>
      <c r="AJ457" s="14"/>
      <c r="AK457" s="14"/>
      <c r="AL457" s="14"/>
      <c r="AM457" s="14"/>
      <c r="AN457" s="14"/>
      <c r="AO457" s="14"/>
      <c r="AP457" s="14"/>
      <c r="AQ457" s="14"/>
    </row>
    <row r="458" spans="1:45" x14ac:dyDescent="0.25">
      <c r="D458" t="s">
        <v>805</v>
      </c>
      <c r="E458">
        <f t="shared" si="126"/>
        <v>0</v>
      </c>
      <c r="F458">
        <f t="shared" si="127"/>
        <v>0</v>
      </c>
      <c r="G458">
        <f t="shared" si="128"/>
        <v>0</v>
      </c>
      <c r="H458">
        <f t="shared" si="129"/>
        <v>1.5250000000000001</v>
      </c>
      <c r="I458">
        <f t="shared" si="139"/>
        <v>0</v>
      </c>
      <c r="K458">
        <f t="shared" si="130"/>
        <v>0</v>
      </c>
      <c r="L458">
        <f t="shared" si="131"/>
        <v>0</v>
      </c>
      <c r="M458">
        <f t="shared" si="132"/>
        <v>0</v>
      </c>
      <c r="N458">
        <f t="shared" si="133"/>
        <v>0</v>
      </c>
      <c r="O458">
        <f t="shared" si="134"/>
        <v>0</v>
      </c>
      <c r="P458">
        <f t="shared" si="135"/>
        <v>0</v>
      </c>
      <c r="Q458">
        <f t="shared" si="136"/>
        <v>0</v>
      </c>
      <c r="R458">
        <f t="shared" si="137"/>
        <v>0</v>
      </c>
      <c r="T458">
        <f t="shared" si="138"/>
        <v>0</v>
      </c>
      <c r="U458">
        <f t="shared" si="122"/>
        <v>0</v>
      </c>
      <c r="V458">
        <f t="shared" si="123"/>
        <v>0</v>
      </c>
      <c r="W458">
        <f t="shared" si="124"/>
        <v>0</v>
      </c>
      <c r="X458">
        <f t="shared" si="125"/>
        <v>0</v>
      </c>
      <c r="AE458" s="14"/>
      <c r="AF458" s="16"/>
      <c r="AG458" s="16"/>
      <c r="AH458" s="16"/>
      <c r="AI458" s="16"/>
      <c r="AJ458" s="16"/>
      <c r="AK458" s="16"/>
      <c r="AL458" s="16"/>
      <c r="AM458" s="16"/>
      <c r="AN458" s="16"/>
      <c r="AO458" s="16"/>
      <c r="AP458" s="16"/>
      <c r="AQ458" s="16"/>
    </row>
    <row r="459" spans="1:45" x14ac:dyDescent="0.25">
      <c r="D459" t="s">
        <v>805</v>
      </c>
      <c r="E459">
        <f t="shared" si="126"/>
        <v>0</v>
      </c>
      <c r="F459">
        <f t="shared" si="127"/>
        <v>0</v>
      </c>
      <c r="G459">
        <f t="shared" si="128"/>
        <v>0</v>
      </c>
      <c r="H459">
        <f t="shared" si="129"/>
        <v>1.5250000000000001</v>
      </c>
      <c r="I459">
        <f t="shared" si="139"/>
        <v>0</v>
      </c>
      <c r="K459">
        <f t="shared" si="130"/>
        <v>0</v>
      </c>
      <c r="L459">
        <f t="shared" si="131"/>
        <v>0</v>
      </c>
      <c r="M459">
        <f t="shared" si="132"/>
        <v>0</v>
      </c>
      <c r="N459">
        <f t="shared" si="133"/>
        <v>0</v>
      </c>
      <c r="O459">
        <f t="shared" si="134"/>
        <v>0</v>
      </c>
      <c r="P459">
        <f t="shared" si="135"/>
        <v>0</v>
      </c>
      <c r="Q459">
        <f t="shared" si="136"/>
        <v>0</v>
      </c>
      <c r="R459">
        <f t="shared" si="137"/>
        <v>0</v>
      </c>
      <c r="T459">
        <f t="shared" si="138"/>
        <v>0</v>
      </c>
      <c r="U459">
        <f t="shared" si="122"/>
        <v>0</v>
      </c>
      <c r="V459">
        <f t="shared" si="123"/>
        <v>0</v>
      </c>
      <c r="W459">
        <f t="shared" si="124"/>
        <v>0</v>
      </c>
      <c r="X459">
        <f t="shared" si="125"/>
        <v>0</v>
      </c>
      <c r="AE459" s="14"/>
      <c r="AF459" s="14"/>
      <c r="AG459" s="14"/>
      <c r="AH459" s="14"/>
      <c r="AI459" s="14"/>
      <c r="AJ459" s="14"/>
      <c r="AK459" s="14"/>
      <c r="AL459" s="14"/>
      <c r="AM459" s="14"/>
      <c r="AN459" s="14"/>
      <c r="AO459" s="14"/>
      <c r="AP459" s="14"/>
      <c r="AQ459" s="14"/>
    </row>
    <row r="460" spans="1:45" x14ac:dyDescent="0.25">
      <c r="D460" t="s">
        <v>805</v>
      </c>
      <c r="E460">
        <f t="shared" si="126"/>
        <v>0</v>
      </c>
      <c r="F460">
        <f t="shared" si="127"/>
        <v>0</v>
      </c>
      <c r="G460">
        <f t="shared" si="128"/>
        <v>0</v>
      </c>
      <c r="H460">
        <f t="shared" si="129"/>
        <v>1.5250000000000001</v>
      </c>
      <c r="I460">
        <f t="shared" si="139"/>
        <v>0</v>
      </c>
      <c r="K460">
        <f t="shared" si="130"/>
        <v>0</v>
      </c>
      <c r="L460">
        <f t="shared" si="131"/>
        <v>0</v>
      </c>
      <c r="M460">
        <f t="shared" si="132"/>
        <v>0</v>
      </c>
      <c r="N460">
        <f t="shared" si="133"/>
        <v>0</v>
      </c>
      <c r="O460">
        <f t="shared" si="134"/>
        <v>0</v>
      </c>
      <c r="P460">
        <f t="shared" si="135"/>
        <v>0</v>
      </c>
      <c r="Q460">
        <f t="shared" si="136"/>
        <v>0</v>
      </c>
      <c r="R460">
        <f t="shared" si="137"/>
        <v>0</v>
      </c>
      <c r="T460">
        <f t="shared" si="138"/>
        <v>0</v>
      </c>
      <c r="U460">
        <f t="shared" si="122"/>
        <v>0</v>
      </c>
      <c r="V460">
        <f t="shared" si="123"/>
        <v>0</v>
      </c>
      <c r="W460">
        <f t="shared" si="124"/>
        <v>0</v>
      </c>
      <c r="X460">
        <f t="shared" si="125"/>
        <v>0</v>
      </c>
      <c r="AE460" s="14"/>
      <c r="AF460" s="16"/>
      <c r="AG460" s="16"/>
      <c r="AH460" s="16"/>
      <c r="AI460" s="16"/>
      <c r="AJ460" s="16"/>
      <c r="AK460" s="16"/>
      <c r="AL460" s="16"/>
      <c r="AM460" s="16"/>
      <c r="AN460" s="16"/>
      <c r="AO460" s="16"/>
      <c r="AP460" s="16"/>
      <c r="AQ460" s="16"/>
    </row>
    <row r="461" spans="1:45" x14ac:dyDescent="0.25">
      <c r="D461" t="s">
        <v>805</v>
      </c>
      <c r="E461">
        <f t="shared" si="126"/>
        <v>0</v>
      </c>
      <c r="F461">
        <f t="shared" si="127"/>
        <v>0</v>
      </c>
      <c r="G461">
        <f t="shared" si="128"/>
        <v>0</v>
      </c>
      <c r="H461">
        <f t="shared" si="129"/>
        <v>1.5250000000000001</v>
      </c>
      <c r="I461">
        <f t="shared" si="139"/>
        <v>0</v>
      </c>
      <c r="K461">
        <f t="shared" si="130"/>
        <v>0</v>
      </c>
      <c r="L461">
        <f t="shared" si="131"/>
        <v>0</v>
      </c>
      <c r="M461">
        <f t="shared" si="132"/>
        <v>0</v>
      </c>
      <c r="N461">
        <f t="shared" si="133"/>
        <v>0</v>
      </c>
      <c r="O461">
        <f t="shared" si="134"/>
        <v>0</v>
      </c>
      <c r="P461">
        <f t="shared" si="135"/>
        <v>0</v>
      </c>
      <c r="Q461">
        <f t="shared" si="136"/>
        <v>0</v>
      </c>
      <c r="R461">
        <f t="shared" si="137"/>
        <v>0</v>
      </c>
      <c r="T461">
        <f t="shared" si="138"/>
        <v>0</v>
      </c>
      <c r="U461">
        <f t="shared" si="122"/>
        <v>0</v>
      </c>
      <c r="V461">
        <f t="shared" si="123"/>
        <v>0</v>
      </c>
      <c r="W461">
        <f t="shared" si="124"/>
        <v>0</v>
      </c>
      <c r="X461">
        <f t="shared" si="125"/>
        <v>0</v>
      </c>
      <c r="AE461" s="14"/>
      <c r="AF461" s="16"/>
      <c r="AG461" s="16"/>
      <c r="AH461" s="16"/>
      <c r="AI461" s="16"/>
      <c r="AJ461" s="16"/>
      <c r="AK461" s="16"/>
      <c r="AL461" s="16"/>
      <c r="AM461" s="16"/>
      <c r="AN461" s="16"/>
      <c r="AO461" s="16"/>
      <c r="AP461" s="16"/>
      <c r="AQ461" s="16"/>
    </row>
    <row r="462" spans="1:45" s="86" customFormat="1" x14ac:dyDescent="0.25">
      <c r="A462"/>
      <c r="B462"/>
      <c r="C462"/>
      <c r="D462" t="s">
        <v>805</v>
      </c>
      <c r="E462">
        <f t="shared" si="126"/>
        <v>0</v>
      </c>
      <c r="F462">
        <f t="shared" si="127"/>
        <v>0</v>
      </c>
      <c r="G462">
        <f t="shared" si="128"/>
        <v>0</v>
      </c>
      <c r="H462">
        <f t="shared" si="129"/>
        <v>1.5250000000000001</v>
      </c>
      <c r="I462">
        <f t="shared" si="139"/>
        <v>0</v>
      </c>
      <c r="J462"/>
      <c r="K462">
        <f t="shared" si="130"/>
        <v>0</v>
      </c>
      <c r="L462">
        <f t="shared" si="131"/>
        <v>0</v>
      </c>
      <c r="M462">
        <f t="shared" si="132"/>
        <v>0</v>
      </c>
      <c r="N462">
        <f t="shared" si="133"/>
        <v>0</v>
      </c>
      <c r="O462">
        <f t="shared" si="134"/>
        <v>0</v>
      </c>
      <c r="P462">
        <f t="shared" si="135"/>
        <v>0</v>
      </c>
      <c r="Q462">
        <f t="shared" si="136"/>
        <v>0</v>
      </c>
      <c r="R462">
        <f t="shared" si="137"/>
        <v>0</v>
      </c>
      <c r="S462"/>
      <c r="T462">
        <f t="shared" si="138"/>
        <v>0</v>
      </c>
      <c r="U462">
        <f t="shared" si="122"/>
        <v>0</v>
      </c>
      <c r="V462">
        <f t="shared" si="123"/>
        <v>0</v>
      </c>
      <c r="W462">
        <f t="shared" si="124"/>
        <v>0</v>
      </c>
      <c r="X462">
        <f t="shared" si="125"/>
        <v>0</v>
      </c>
      <c r="Y462"/>
      <c r="Z462"/>
      <c r="AA462"/>
      <c r="AB462"/>
      <c r="AC462"/>
      <c r="AD462" s="58"/>
      <c r="AE462" s="14"/>
      <c r="AF462" s="14"/>
      <c r="AG462" s="14"/>
      <c r="AH462" s="14"/>
      <c r="AI462" s="14"/>
      <c r="AJ462" s="14"/>
      <c r="AK462" s="14"/>
      <c r="AL462" s="14"/>
      <c r="AM462" s="14"/>
      <c r="AN462" s="14"/>
      <c r="AO462" s="14"/>
      <c r="AP462" s="14"/>
      <c r="AQ462" s="14"/>
      <c r="AR462"/>
      <c r="AS462"/>
    </row>
    <row r="463" spans="1:45" x14ac:dyDescent="0.25">
      <c r="D463" t="s">
        <v>805</v>
      </c>
      <c r="E463">
        <f t="shared" si="126"/>
        <v>0</v>
      </c>
      <c r="F463">
        <f t="shared" si="127"/>
        <v>0</v>
      </c>
      <c r="G463">
        <f t="shared" si="128"/>
        <v>0</v>
      </c>
      <c r="H463">
        <f t="shared" si="129"/>
        <v>1.5250000000000001</v>
      </c>
      <c r="I463">
        <f t="shared" si="139"/>
        <v>0</v>
      </c>
      <c r="K463">
        <f t="shared" si="130"/>
        <v>0</v>
      </c>
      <c r="L463">
        <f t="shared" si="131"/>
        <v>0</v>
      </c>
      <c r="M463">
        <f t="shared" si="132"/>
        <v>0</v>
      </c>
      <c r="N463">
        <f t="shared" si="133"/>
        <v>0</v>
      </c>
      <c r="O463">
        <f t="shared" si="134"/>
        <v>0</v>
      </c>
      <c r="P463">
        <f t="shared" si="135"/>
        <v>0</v>
      </c>
      <c r="Q463">
        <f t="shared" si="136"/>
        <v>0</v>
      </c>
      <c r="R463">
        <f t="shared" si="137"/>
        <v>0</v>
      </c>
      <c r="T463">
        <f t="shared" si="138"/>
        <v>0</v>
      </c>
      <c r="U463">
        <f t="shared" si="122"/>
        <v>0</v>
      </c>
      <c r="V463">
        <f t="shared" si="123"/>
        <v>0</v>
      </c>
      <c r="W463">
        <f t="shared" si="124"/>
        <v>0</v>
      </c>
      <c r="X463">
        <f t="shared" si="125"/>
        <v>0</v>
      </c>
      <c r="AE463" s="14"/>
      <c r="AF463" s="14"/>
      <c r="AG463" s="14"/>
      <c r="AH463" s="14"/>
      <c r="AI463" s="14"/>
      <c r="AJ463" s="14"/>
      <c r="AK463" s="14"/>
      <c r="AL463" s="14"/>
      <c r="AM463" s="14"/>
      <c r="AN463" s="14"/>
      <c r="AO463" s="14"/>
      <c r="AP463" s="14"/>
      <c r="AQ463" s="14"/>
    </row>
    <row r="464" spans="1:45" x14ac:dyDescent="0.25">
      <c r="B464" s="86" t="s">
        <v>892</v>
      </c>
      <c r="C464" s="86"/>
      <c r="D464" s="86"/>
      <c r="E464" s="86"/>
      <c r="F464" s="86"/>
      <c r="G464" s="86"/>
      <c r="H464" s="86"/>
      <c r="I464" s="86"/>
      <c r="J464" s="86"/>
      <c r="K464" s="86"/>
      <c r="L464" s="86"/>
      <c r="M464" s="86"/>
      <c r="N464" s="86"/>
      <c r="O464" s="86"/>
      <c r="P464" s="86"/>
      <c r="Q464" s="86"/>
      <c r="R464" s="86"/>
      <c r="AD464" s="96"/>
      <c r="AR464" s="86"/>
      <c r="AS464" s="86"/>
    </row>
    <row r="465" spans="1:43" x14ac:dyDescent="0.25">
      <c r="C465" t="s">
        <v>805</v>
      </c>
      <c r="S465" s="17"/>
      <c r="T465" s="17"/>
      <c r="U465" s="17"/>
      <c r="V465" s="17"/>
      <c r="W465" s="17"/>
      <c r="X465" s="17"/>
      <c r="Y465" s="17"/>
      <c r="Z465" s="17"/>
    </row>
    <row r="466" spans="1:43" x14ac:dyDescent="0.25">
      <c r="C466" t="s">
        <v>805</v>
      </c>
      <c r="AE466" s="86"/>
      <c r="AF466" s="86"/>
      <c r="AG466" s="86"/>
      <c r="AH466" s="86"/>
      <c r="AI466" s="86"/>
      <c r="AJ466" s="86"/>
      <c r="AK466" s="86"/>
      <c r="AL466" s="86"/>
      <c r="AM466" s="86"/>
      <c r="AN466" s="86"/>
      <c r="AO466" s="86"/>
      <c r="AP466" s="86"/>
      <c r="AQ466" s="86"/>
    </row>
    <row r="467" spans="1:43" x14ac:dyDescent="0.25">
      <c r="C467" t="s">
        <v>805</v>
      </c>
      <c r="AA467" s="86"/>
      <c r="AB467" s="86"/>
      <c r="AC467" s="86"/>
    </row>
    <row r="468" spans="1:43" x14ac:dyDescent="0.25">
      <c r="C468" t="s">
        <v>805</v>
      </c>
    </row>
    <row r="469" spans="1:43" x14ac:dyDescent="0.25">
      <c r="A469" s="86"/>
      <c r="C469" t="s">
        <v>805</v>
      </c>
      <c r="D469" s="12"/>
      <c r="AD469" s="77"/>
    </row>
    <row r="470" spans="1:43" x14ac:dyDescent="0.25">
      <c r="C470" t="s">
        <v>805</v>
      </c>
      <c r="D470" s="12"/>
    </row>
    <row r="471" spans="1:43" x14ac:dyDescent="0.25">
      <c r="C471" t="s">
        <v>805</v>
      </c>
      <c r="D471" s="12"/>
      <c r="P471" s="68"/>
    </row>
    <row r="472" spans="1:43" x14ac:dyDescent="0.25">
      <c r="C472" t="s">
        <v>805</v>
      </c>
      <c r="D472" s="22"/>
    </row>
    <row r="473" spans="1:43" x14ac:dyDescent="0.25">
      <c r="C473" t="s">
        <v>805</v>
      </c>
    </row>
    <row r="474" spans="1:43" x14ac:dyDescent="0.25">
      <c r="C474" t="s">
        <v>805</v>
      </c>
      <c r="D474" s="12"/>
      <c r="AD474" s="77"/>
    </row>
    <row r="475" spans="1:43" x14ac:dyDescent="0.25">
      <c r="C475" t="s">
        <v>805</v>
      </c>
      <c r="D475" s="12"/>
    </row>
    <row r="476" spans="1:43" x14ac:dyDescent="0.25">
      <c r="C476" t="s">
        <v>805</v>
      </c>
      <c r="D476" s="12"/>
      <c r="P476" s="68"/>
    </row>
    <row r="477" spans="1:43" x14ac:dyDescent="0.25">
      <c r="C477" t="s">
        <v>805</v>
      </c>
      <c r="D477" s="22"/>
    </row>
  </sheetData>
  <phoneticPr fontId="1" type="noConversion"/>
  <dataValidations count="1">
    <dataValidation type="list" allowBlank="1" showInputMessage="1" showErrorMessage="1" promptTitle="注意" prompt="输入完整装备名_x000a_·壹型之类的全部替换成一_x000a_50型前缀省略" sqref="D296:G296 T115:W115" xr:uid="{908A2FDE-E5EB-4746-A580-C5DD175E866C}">
      <formula1>#REF!</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promptTitle="注意" prompt="输入完整装备名_x000a_·壹型之类的全部替换成一_x000a_50型前缀省略" xr:uid="{7E55CDA3-33D6-4A54-A3CB-ED091C7C9FA7}">
          <x14:formula1>
            <xm:f>配件库!$A:$A</xm:f>
          </x14:formula1>
          <xm:sqref>F426:G426 F9:G9 F299:G299 F236:G236 F179:G179 F118:G118 F64:G64 F359:G359</xm:sqref>
        </x14:dataValidation>
        <x14:dataValidation type="list" allowBlank="1" showInputMessage="1" showErrorMessage="1" promptTitle="注意" prompt="输入完整装备名_x000a_·壹型之类的全部替换成一_x000a_50型前缀省略" xr:uid="{FCE5110E-9F61-418D-94AD-10034FBAC5FF}">
          <x14:formula1>
            <xm:f>护手库!$A:$A</xm:f>
          </x14:formula1>
          <xm:sqref>E426 E359 E9 E64 E118 E179 E236 E299</xm:sqref>
        </x14:dataValidation>
        <x14:dataValidation type="list" allowBlank="1" showInputMessage="1" showErrorMessage="1" promptTitle="注意" prompt="输入完整装备名_x000a_·壹型之类的全部替换成一_x000a_50型前缀省略" xr:uid="{E99776E0-AD38-4166-9906-96A4D07330B9}">
          <x14:formula1>
            <xm:f>护甲库!$A:$A</xm:f>
          </x14:formula1>
          <xm:sqref>D426 D359 D299 D236 D179 D118 D64 D9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0DD3F-790E-419E-BD0E-1EDF3633D76D}">
  <sheetPr codeName="Sheet8"/>
  <dimension ref="A1:M37"/>
  <sheetViews>
    <sheetView topLeftCell="A7" zoomScale="115" zoomScaleNormal="115" workbookViewId="0">
      <selection activeCell="E23" sqref="E23"/>
    </sheetView>
  </sheetViews>
  <sheetFormatPr defaultRowHeight="13.8" x14ac:dyDescent="0.25"/>
  <cols>
    <col min="1" max="13" width="14.109375" customWidth="1"/>
  </cols>
  <sheetData>
    <row r="1" spans="1:13" x14ac:dyDescent="0.25">
      <c r="A1" s="21" t="s">
        <v>1226</v>
      </c>
      <c r="B1">
        <v>0</v>
      </c>
      <c r="E1">
        <v>1</v>
      </c>
      <c r="H1">
        <v>2</v>
      </c>
      <c r="K1">
        <v>3</v>
      </c>
    </row>
    <row r="2" spans="1:13" x14ac:dyDescent="0.25">
      <c r="A2" s="21" t="s">
        <v>91</v>
      </c>
      <c r="B2" s="12" t="s">
        <v>97</v>
      </c>
      <c r="C2" t="s">
        <v>98</v>
      </c>
      <c r="D2" t="s">
        <v>99</v>
      </c>
      <c r="E2" s="12" t="s">
        <v>97</v>
      </c>
      <c r="F2" t="s">
        <v>98</v>
      </c>
      <c r="G2" t="s">
        <v>99</v>
      </c>
      <c r="H2" s="12" t="s">
        <v>97</v>
      </c>
      <c r="I2" t="s">
        <v>98</v>
      </c>
      <c r="J2" t="s">
        <v>99</v>
      </c>
      <c r="K2" s="12" t="s">
        <v>97</v>
      </c>
      <c r="L2" t="s">
        <v>98</v>
      </c>
      <c r="M2" t="s">
        <v>99</v>
      </c>
    </row>
    <row r="3" spans="1:13" x14ac:dyDescent="0.25">
      <c r="A3" s="21" t="s">
        <v>248</v>
      </c>
      <c r="B3" t="s">
        <v>258</v>
      </c>
      <c r="C3" t="s">
        <v>265</v>
      </c>
      <c r="D3" t="s">
        <v>250</v>
      </c>
      <c r="E3" t="s">
        <v>260</v>
      </c>
      <c r="F3" t="s">
        <v>267</v>
      </c>
      <c r="G3" t="s">
        <v>256</v>
      </c>
      <c r="H3" t="s">
        <v>262</v>
      </c>
      <c r="I3" t="s">
        <v>269</v>
      </c>
      <c r="J3" t="s">
        <v>253</v>
      </c>
      <c r="K3" t="s">
        <v>104</v>
      </c>
      <c r="L3" t="s">
        <v>105</v>
      </c>
      <c r="M3" t="s">
        <v>255</v>
      </c>
    </row>
    <row r="4" spans="1:13" x14ac:dyDescent="0.25">
      <c r="A4" s="21" t="s">
        <v>101</v>
      </c>
      <c r="B4" t="s">
        <v>257</v>
      </c>
      <c r="C4" t="s">
        <v>237</v>
      </c>
      <c r="D4" t="s">
        <v>271</v>
      </c>
      <c r="E4" t="s">
        <v>259</v>
      </c>
      <c r="F4" t="s">
        <v>239</v>
      </c>
      <c r="G4" t="s">
        <v>272</v>
      </c>
      <c r="H4" t="s">
        <v>261</v>
      </c>
      <c r="I4" t="s">
        <v>241</v>
      </c>
      <c r="J4" t="s">
        <v>273</v>
      </c>
      <c r="K4" t="s">
        <v>263</v>
      </c>
      <c r="L4" t="s">
        <v>243</v>
      </c>
      <c r="M4" t="s">
        <v>274</v>
      </c>
    </row>
    <row r="5" spans="1:13" x14ac:dyDescent="0.25">
      <c r="A5" s="21" t="s">
        <v>275</v>
      </c>
      <c r="B5" t="s">
        <v>276</v>
      </c>
      <c r="C5" t="s">
        <v>264</v>
      </c>
      <c r="D5" t="s">
        <v>271</v>
      </c>
      <c r="E5" t="s">
        <v>277</v>
      </c>
      <c r="F5" t="s">
        <v>266</v>
      </c>
      <c r="G5" t="s">
        <v>272</v>
      </c>
      <c r="H5" t="s">
        <v>278</v>
      </c>
      <c r="I5" t="s">
        <v>268</v>
      </c>
      <c r="J5" t="s">
        <v>273</v>
      </c>
      <c r="K5" t="s">
        <v>226</v>
      </c>
      <c r="L5" t="s">
        <v>270</v>
      </c>
      <c r="M5" t="s">
        <v>274</v>
      </c>
    </row>
    <row r="6" spans="1:13" x14ac:dyDescent="0.25">
      <c r="A6" s="21" t="s">
        <v>279</v>
      </c>
      <c r="B6" t="s">
        <v>276</v>
      </c>
      <c r="C6" t="s">
        <v>264</v>
      </c>
      <c r="D6" t="s">
        <v>280</v>
      </c>
      <c r="E6" t="s">
        <v>277</v>
      </c>
      <c r="F6" t="s">
        <v>266</v>
      </c>
      <c r="G6" t="s">
        <v>281</v>
      </c>
      <c r="H6" t="s">
        <v>278</v>
      </c>
      <c r="I6" t="s">
        <v>268</v>
      </c>
      <c r="J6" t="s">
        <v>282</v>
      </c>
      <c r="K6" t="s">
        <v>226</v>
      </c>
      <c r="L6" t="s">
        <v>270</v>
      </c>
      <c r="M6" t="s">
        <v>283</v>
      </c>
    </row>
    <row r="7" spans="1:13" x14ac:dyDescent="0.25">
      <c r="A7" s="21" t="s">
        <v>235</v>
      </c>
      <c r="B7" t="s">
        <v>236</v>
      </c>
      <c r="C7" t="s">
        <v>237</v>
      </c>
      <c r="D7" t="s">
        <v>284</v>
      </c>
      <c r="E7" t="s">
        <v>238</v>
      </c>
      <c r="F7" t="s">
        <v>239</v>
      </c>
      <c r="G7" t="s">
        <v>285</v>
      </c>
      <c r="H7" t="s">
        <v>240</v>
      </c>
      <c r="I7" t="s">
        <v>241</v>
      </c>
      <c r="J7" t="s">
        <v>286</v>
      </c>
      <c r="K7" t="s">
        <v>242</v>
      </c>
      <c r="L7" t="s">
        <v>243</v>
      </c>
      <c r="M7" t="s">
        <v>287</v>
      </c>
    </row>
    <row r="8" spans="1:13" x14ac:dyDescent="0.25">
      <c r="A8" s="21" t="s">
        <v>350</v>
      </c>
      <c r="B8" t="s">
        <v>257</v>
      </c>
      <c r="C8" t="s">
        <v>351</v>
      </c>
      <c r="D8" t="s">
        <v>352</v>
      </c>
      <c r="E8" t="s">
        <v>259</v>
      </c>
      <c r="F8" t="s">
        <v>353</v>
      </c>
      <c r="G8" t="s">
        <v>354</v>
      </c>
      <c r="H8" t="s">
        <v>261</v>
      </c>
      <c r="I8" t="s">
        <v>355</v>
      </c>
      <c r="J8" t="s">
        <v>356</v>
      </c>
      <c r="K8" t="s">
        <v>263</v>
      </c>
      <c r="L8" t="s">
        <v>357</v>
      </c>
      <c r="M8" t="s">
        <v>358</v>
      </c>
    </row>
    <row r="9" spans="1:13" x14ac:dyDescent="0.25">
      <c r="A9" s="21" t="s">
        <v>359</v>
      </c>
      <c r="B9" t="s">
        <v>276</v>
      </c>
      <c r="C9" t="s">
        <v>360</v>
      </c>
      <c r="D9" t="s">
        <v>284</v>
      </c>
      <c r="E9" t="s">
        <v>277</v>
      </c>
      <c r="F9" t="s">
        <v>361</v>
      </c>
      <c r="G9" t="s">
        <v>285</v>
      </c>
      <c r="H9" t="s">
        <v>278</v>
      </c>
      <c r="I9" t="s">
        <v>362</v>
      </c>
      <c r="J9" t="s">
        <v>286</v>
      </c>
      <c r="K9" t="s">
        <v>226</v>
      </c>
      <c r="L9" t="s">
        <v>363</v>
      </c>
      <c r="M9" t="s">
        <v>287</v>
      </c>
    </row>
    <row r="10" spans="1:13" x14ac:dyDescent="0.25">
      <c r="A10" s="21" t="s">
        <v>364</v>
      </c>
      <c r="B10" t="s">
        <v>276</v>
      </c>
      <c r="C10" t="s">
        <v>264</v>
      </c>
      <c r="D10" t="s">
        <v>365</v>
      </c>
      <c r="E10" t="s">
        <v>277</v>
      </c>
      <c r="F10" t="s">
        <v>266</v>
      </c>
      <c r="G10" t="s">
        <v>366</v>
      </c>
      <c r="H10" t="s">
        <v>278</v>
      </c>
      <c r="I10" t="s">
        <v>268</v>
      </c>
      <c r="J10" t="s">
        <v>367</v>
      </c>
      <c r="K10" t="s">
        <v>226</v>
      </c>
      <c r="L10" t="s">
        <v>270</v>
      </c>
      <c r="M10" t="s">
        <v>368</v>
      </c>
    </row>
    <row r="11" spans="1:13" x14ac:dyDescent="0.25">
      <c r="A11" s="21" t="s">
        <v>369</v>
      </c>
      <c r="B11" t="s">
        <v>370</v>
      </c>
      <c r="C11" t="s">
        <v>360</v>
      </c>
      <c r="D11" t="s">
        <v>371</v>
      </c>
      <c r="E11" t="s">
        <v>372</v>
      </c>
      <c r="F11" t="s">
        <v>361</v>
      </c>
      <c r="G11" t="s">
        <v>373</v>
      </c>
      <c r="H11" t="s">
        <v>374</v>
      </c>
      <c r="I11" t="s">
        <v>362</v>
      </c>
      <c r="J11" t="s">
        <v>375</v>
      </c>
      <c r="K11" t="s">
        <v>376</v>
      </c>
      <c r="L11" t="s">
        <v>363</v>
      </c>
      <c r="M11" t="s">
        <v>377</v>
      </c>
    </row>
    <row r="12" spans="1:13" x14ac:dyDescent="0.25">
      <c r="A12" s="21" t="s">
        <v>410</v>
      </c>
      <c r="B12" t="s">
        <v>370</v>
      </c>
      <c r="C12" t="s">
        <v>360</v>
      </c>
      <c r="D12" t="s">
        <v>365</v>
      </c>
      <c r="E12" t="s">
        <v>372</v>
      </c>
      <c r="F12" t="s">
        <v>361</v>
      </c>
      <c r="G12" t="s">
        <v>366</v>
      </c>
      <c r="H12" t="s">
        <v>374</v>
      </c>
      <c r="I12" t="s">
        <v>362</v>
      </c>
      <c r="J12" t="s">
        <v>367</v>
      </c>
      <c r="K12" t="s">
        <v>376</v>
      </c>
      <c r="L12" t="s">
        <v>363</v>
      </c>
      <c r="M12" t="s">
        <v>368</v>
      </c>
    </row>
    <row r="13" spans="1:13" x14ac:dyDescent="0.25">
      <c r="A13" s="21" t="s">
        <v>411</v>
      </c>
      <c r="B13" t="s">
        <v>370</v>
      </c>
      <c r="C13" t="s">
        <v>237</v>
      </c>
      <c r="D13" t="s">
        <v>284</v>
      </c>
      <c r="E13" t="s">
        <v>372</v>
      </c>
      <c r="F13" t="s">
        <v>239</v>
      </c>
      <c r="G13" t="s">
        <v>285</v>
      </c>
      <c r="H13" t="s">
        <v>374</v>
      </c>
      <c r="I13" t="s">
        <v>241</v>
      </c>
      <c r="J13" t="s">
        <v>286</v>
      </c>
      <c r="K13" t="s">
        <v>376</v>
      </c>
      <c r="L13" t="s">
        <v>243</v>
      </c>
      <c r="M13" t="s">
        <v>287</v>
      </c>
    </row>
    <row r="14" spans="1:13" x14ac:dyDescent="0.25">
      <c r="A14" s="21" t="s">
        <v>417</v>
      </c>
      <c r="B14" t="s">
        <v>276</v>
      </c>
      <c r="C14" t="s">
        <v>264</v>
      </c>
      <c r="D14" t="s">
        <v>284</v>
      </c>
      <c r="E14" t="s">
        <v>277</v>
      </c>
      <c r="F14" t="s">
        <v>266</v>
      </c>
      <c r="G14" t="s">
        <v>285</v>
      </c>
      <c r="H14" t="s">
        <v>278</v>
      </c>
      <c r="I14" t="s">
        <v>268</v>
      </c>
      <c r="J14" t="s">
        <v>286</v>
      </c>
      <c r="K14" t="s">
        <v>226</v>
      </c>
      <c r="L14" t="s">
        <v>270</v>
      </c>
      <c r="M14" t="s">
        <v>287</v>
      </c>
    </row>
    <row r="15" spans="1:13" x14ac:dyDescent="0.25">
      <c r="A15" s="21" t="s">
        <v>418</v>
      </c>
      <c r="B15" t="s">
        <v>276</v>
      </c>
      <c r="C15" t="s">
        <v>360</v>
      </c>
      <c r="D15" t="s">
        <v>365</v>
      </c>
      <c r="E15" t="s">
        <v>277</v>
      </c>
      <c r="F15" t="s">
        <v>361</v>
      </c>
      <c r="G15" t="s">
        <v>366</v>
      </c>
      <c r="H15" t="s">
        <v>278</v>
      </c>
      <c r="I15" t="s">
        <v>362</v>
      </c>
      <c r="J15" t="s">
        <v>367</v>
      </c>
      <c r="K15" t="s">
        <v>226</v>
      </c>
      <c r="L15" t="s">
        <v>363</v>
      </c>
      <c r="M15" t="s">
        <v>368</v>
      </c>
    </row>
    <row r="16" spans="1:13" x14ac:dyDescent="0.25">
      <c r="A16" s="21" t="s">
        <v>412</v>
      </c>
      <c r="B16" t="s">
        <v>276</v>
      </c>
      <c r="C16" t="s">
        <v>360</v>
      </c>
      <c r="D16" t="s">
        <v>413</v>
      </c>
      <c r="E16" t="s">
        <v>277</v>
      </c>
      <c r="F16" t="s">
        <v>361</v>
      </c>
      <c r="G16" t="s">
        <v>414</v>
      </c>
      <c r="H16" t="s">
        <v>278</v>
      </c>
      <c r="I16" t="s">
        <v>362</v>
      </c>
      <c r="J16" t="s">
        <v>415</v>
      </c>
      <c r="K16" s="12" t="s">
        <v>226</v>
      </c>
      <c r="L16" t="s">
        <v>363</v>
      </c>
      <c r="M16" t="s">
        <v>416</v>
      </c>
    </row>
    <row r="17" spans="1:13" x14ac:dyDescent="0.25">
      <c r="A17" s="21" t="s">
        <v>1070</v>
      </c>
      <c r="B17" t="s">
        <v>236</v>
      </c>
      <c r="C17" t="s">
        <v>360</v>
      </c>
      <c r="D17" t="s">
        <v>284</v>
      </c>
      <c r="E17" t="s">
        <v>238</v>
      </c>
      <c r="F17" t="s">
        <v>361</v>
      </c>
      <c r="G17" t="s">
        <v>285</v>
      </c>
      <c r="H17" t="s">
        <v>240</v>
      </c>
      <c r="I17" t="s">
        <v>362</v>
      </c>
      <c r="J17" t="s">
        <v>286</v>
      </c>
      <c r="K17" t="s">
        <v>242</v>
      </c>
      <c r="L17" t="s">
        <v>363</v>
      </c>
      <c r="M17" t="s">
        <v>287</v>
      </c>
    </row>
    <row r="18" spans="1:13" x14ac:dyDescent="0.25">
      <c r="A18" t="s">
        <v>1288</v>
      </c>
      <c r="B18" t="s">
        <v>276</v>
      </c>
      <c r="C18" t="s">
        <v>360</v>
      </c>
      <c r="D18" t="s">
        <v>284</v>
      </c>
      <c r="E18" t="s">
        <v>277</v>
      </c>
      <c r="F18" t="s">
        <v>361</v>
      </c>
      <c r="G18" t="s">
        <v>285</v>
      </c>
      <c r="H18" t="s">
        <v>278</v>
      </c>
      <c r="I18" t="s">
        <v>362</v>
      </c>
      <c r="J18" t="s">
        <v>286</v>
      </c>
      <c r="K18" t="s">
        <v>226</v>
      </c>
      <c r="L18" t="s">
        <v>363</v>
      </c>
      <c r="M18" t="s">
        <v>287</v>
      </c>
    </row>
    <row r="19" spans="1:13" x14ac:dyDescent="0.25">
      <c r="A19" t="s">
        <v>1289</v>
      </c>
      <c r="B19" t="s">
        <v>236</v>
      </c>
      <c r="C19" t="s">
        <v>351</v>
      </c>
      <c r="D19" t="s">
        <v>465</v>
      </c>
      <c r="E19" t="s">
        <v>238</v>
      </c>
      <c r="F19" t="s">
        <v>353</v>
      </c>
      <c r="G19" t="s">
        <v>466</v>
      </c>
      <c r="H19" t="s">
        <v>240</v>
      </c>
      <c r="I19" t="s">
        <v>355</v>
      </c>
      <c r="J19" t="s">
        <v>467</v>
      </c>
      <c r="K19" t="s">
        <v>242</v>
      </c>
      <c r="L19" t="s">
        <v>357</v>
      </c>
      <c r="M19" t="s">
        <v>468</v>
      </c>
    </row>
    <row r="20" spans="1:13" x14ac:dyDescent="0.25">
      <c r="A20" s="21" t="s">
        <v>453</v>
      </c>
      <c r="B20" t="s">
        <v>236</v>
      </c>
      <c r="C20" t="s">
        <v>237</v>
      </c>
      <c r="D20" t="s">
        <v>454</v>
      </c>
      <c r="E20" t="s">
        <v>238</v>
      </c>
      <c r="F20" t="s">
        <v>239</v>
      </c>
      <c r="G20" t="s">
        <v>455</v>
      </c>
      <c r="H20" t="s">
        <v>240</v>
      </c>
      <c r="I20" t="s">
        <v>241</v>
      </c>
      <c r="J20" t="s">
        <v>456</v>
      </c>
      <c r="K20" t="s">
        <v>242</v>
      </c>
      <c r="L20" t="s">
        <v>243</v>
      </c>
      <c r="M20" t="s">
        <v>457</v>
      </c>
    </row>
    <row r="21" spans="1:13" x14ac:dyDescent="0.25">
      <c r="A21" s="21" t="s">
        <v>458</v>
      </c>
      <c r="B21" t="s">
        <v>236</v>
      </c>
      <c r="C21" t="s">
        <v>351</v>
      </c>
      <c r="D21" t="s">
        <v>459</v>
      </c>
      <c r="E21" t="s">
        <v>238</v>
      </c>
      <c r="F21" t="s">
        <v>353</v>
      </c>
      <c r="G21" t="s">
        <v>460</v>
      </c>
      <c r="H21" t="s">
        <v>240</v>
      </c>
      <c r="I21" t="s">
        <v>355</v>
      </c>
      <c r="J21" t="s">
        <v>461</v>
      </c>
      <c r="K21" t="s">
        <v>242</v>
      </c>
      <c r="L21" t="s">
        <v>357</v>
      </c>
      <c r="M21" t="s">
        <v>462</v>
      </c>
    </row>
    <row r="22" spans="1:13" x14ac:dyDescent="0.25">
      <c r="A22" s="21" t="s">
        <v>463</v>
      </c>
      <c r="B22" t="s">
        <v>370</v>
      </c>
      <c r="C22" t="s">
        <v>237</v>
      </c>
      <c r="D22" t="s">
        <v>271</v>
      </c>
      <c r="E22" t="s">
        <v>372</v>
      </c>
      <c r="F22" t="s">
        <v>239</v>
      </c>
      <c r="G22" t="s">
        <v>272</v>
      </c>
      <c r="H22" t="s">
        <v>374</v>
      </c>
      <c r="I22" t="s">
        <v>241</v>
      </c>
      <c r="J22" t="s">
        <v>273</v>
      </c>
      <c r="K22" t="s">
        <v>376</v>
      </c>
      <c r="L22" t="s">
        <v>243</v>
      </c>
      <c r="M22" t="s">
        <v>274</v>
      </c>
    </row>
    <row r="23" spans="1:13" x14ac:dyDescent="0.25">
      <c r="A23" s="21" t="s">
        <v>464</v>
      </c>
      <c r="B23" t="s">
        <v>276</v>
      </c>
      <c r="C23" t="s">
        <v>360</v>
      </c>
      <c r="D23" t="s">
        <v>465</v>
      </c>
      <c r="E23" t="s">
        <v>277</v>
      </c>
      <c r="F23" t="s">
        <v>361</v>
      </c>
      <c r="G23" t="s">
        <v>466</v>
      </c>
      <c r="H23" t="s">
        <v>278</v>
      </c>
      <c r="I23" t="s">
        <v>362</v>
      </c>
      <c r="J23" t="s">
        <v>467</v>
      </c>
      <c r="K23" s="12" t="s">
        <v>226</v>
      </c>
      <c r="L23" t="s">
        <v>363</v>
      </c>
      <c r="M23" t="s">
        <v>468</v>
      </c>
    </row>
    <row r="24" spans="1:13" x14ac:dyDescent="0.25">
      <c r="A24" s="21" t="s">
        <v>469</v>
      </c>
      <c r="B24" t="s">
        <v>276</v>
      </c>
      <c r="C24" t="s">
        <v>264</v>
      </c>
      <c r="D24" t="s">
        <v>284</v>
      </c>
      <c r="E24" t="s">
        <v>277</v>
      </c>
      <c r="F24" t="s">
        <v>266</v>
      </c>
      <c r="G24" t="s">
        <v>285</v>
      </c>
      <c r="H24" t="s">
        <v>278</v>
      </c>
      <c r="I24" t="s">
        <v>268</v>
      </c>
      <c r="J24" t="s">
        <v>286</v>
      </c>
      <c r="K24" t="s">
        <v>226</v>
      </c>
      <c r="L24" t="s">
        <v>270</v>
      </c>
      <c r="M24" t="s">
        <v>287</v>
      </c>
    </row>
    <row r="25" spans="1:13" x14ac:dyDescent="0.25">
      <c r="A25" t="s">
        <v>1285</v>
      </c>
      <c r="B25" t="s">
        <v>370</v>
      </c>
      <c r="C25" t="s">
        <v>264</v>
      </c>
      <c r="D25" t="s">
        <v>413</v>
      </c>
      <c r="E25" t="s">
        <v>372</v>
      </c>
      <c r="F25" t="s">
        <v>266</v>
      </c>
      <c r="G25" t="s">
        <v>414</v>
      </c>
      <c r="H25" t="s">
        <v>374</v>
      </c>
      <c r="I25" t="s">
        <v>268</v>
      </c>
      <c r="J25" t="s">
        <v>415</v>
      </c>
      <c r="K25" t="s">
        <v>376</v>
      </c>
      <c r="L25" t="s">
        <v>270</v>
      </c>
      <c r="M25" t="s">
        <v>416</v>
      </c>
    </row>
    <row r="26" spans="1:13" x14ac:dyDescent="0.25">
      <c r="A26" s="21" t="s">
        <v>496</v>
      </c>
      <c r="B26" t="s">
        <v>257</v>
      </c>
      <c r="C26" t="s">
        <v>237</v>
      </c>
      <c r="D26" t="s">
        <v>497</v>
      </c>
      <c r="E26" t="s">
        <v>259</v>
      </c>
      <c r="F26" t="s">
        <v>239</v>
      </c>
      <c r="G26" t="s">
        <v>498</v>
      </c>
      <c r="H26" t="s">
        <v>261</v>
      </c>
      <c r="I26" t="s">
        <v>241</v>
      </c>
      <c r="J26" t="s">
        <v>499</v>
      </c>
      <c r="K26" t="s">
        <v>263</v>
      </c>
      <c r="L26" t="s">
        <v>243</v>
      </c>
      <c r="M26" t="s">
        <v>500</v>
      </c>
    </row>
    <row r="27" spans="1:13" x14ac:dyDescent="0.25">
      <c r="A27" s="21" t="s">
        <v>501</v>
      </c>
      <c r="B27" t="s">
        <v>236</v>
      </c>
      <c r="C27" t="s">
        <v>351</v>
      </c>
      <c r="D27" t="s">
        <v>497</v>
      </c>
      <c r="E27" t="s">
        <v>238</v>
      </c>
      <c r="F27" t="s">
        <v>353</v>
      </c>
      <c r="G27" t="s">
        <v>498</v>
      </c>
      <c r="H27" t="s">
        <v>240</v>
      </c>
      <c r="I27" t="s">
        <v>355</v>
      </c>
      <c r="J27" t="s">
        <v>499</v>
      </c>
      <c r="K27" s="12" t="s">
        <v>242</v>
      </c>
      <c r="L27" t="s">
        <v>357</v>
      </c>
      <c r="M27" t="s">
        <v>500</v>
      </c>
    </row>
    <row r="28" spans="1:13" x14ac:dyDescent="0.25">
      <c r="A28" s="21" t="s">
        <v>518</v>
      </c>
      <c r="B28" t="s">
        <v>370</v>
      </c>
      <c r="C28" t="s">
        <v>264</v>
      </c>
      <c r="D28" t="s">
        <v>519</v>
      </c>
      <c r="E28" t="s">
        <v>372</v>
      </c>
      <c r="F28" t="s">
        <v>266</v>
      </c>
      <c r="G28" t="s">
        <v>520</v>
      </c>
      <c r="H28" t="s">
        <v>374</v>
      </c>
      <c r="I28" t="s">
        <v>268</v>
      </c>
      <c r="J28" t="s">
        <v>521</v>
      </c>
      <c r="K28" t="s">
        <v>376</v>
      </c>
      <c r="L28" t="s">
        <v>270</v>
      </c>
      <c r="M28" t="s">
        <v>522</v>
      </c>
    </row>
    <row r="29" spans="1:13" x14ac:dyDescent="0.25">
      <c r="A29" s="21" t="s">
        <v>523</v>
      </c>
      <c r="B29" t="s">
        <v>257</v>
      </c>
      <c r="C29" t="s">
        <v>351</v>
      </c>
      <c r="D29" t="s">
        <v>519</v>
      </c>
      <c r="E29" t="s">
        <v>259</v>
      </c>
      <c r="F29" t="s">
        <v>353</v>
      </c>
      <c r="G29" t="s">
        <v>520</v>
      </c>
      <c r="H29" t="s">
        <v>261</v>
      </c>
      <c r="I29" t="s">
        <v>355</v>
      </c>
      <c r="J29" t="s">
        <v>521</v>
      </c>
      <c r="K29" s="12" t="s">
        <v>263</v>
      </c>
      <c r="L29" t="s">
        <v>357</v>
      </c>
      <c r="M29" t="s">
        <v>522</v>
      </c>
    </row>
    <row r="30" spans="1:13" x14ac:dyDescent="0.25">
      <c r="A30" s="21" t="s">
        <v>553</v>
      </c>
      <c r="B30" t="s">
        <v>257</v>
      </c>
      <c r="C30" t="s">
        <v>351</v>
      </c>
      <c r="D30" t="s">
        <v>284</v>
      </c>
      <c r="E30" t="s">
        <v>259</v>
      </c>
      <c r="F30" t="s">
        <v>353</v>
      </c>
      <c r="G30" t="s">
        <v>285</v>
      </c>
      <c r="H30" t="s">
        <v>261</v>
      </c>
      <c r="I30" t="s">
        <v>355</v>
      </c>
      <c r="J30" t="s">
        <v>286</v>
      </c>
      <c r="K30" t="s">
        <v>263</v>
      </c>
      <c r="L30" t="s">
        <v>357</v>
      </c>
      <c r="M30" t="s">
        <v>287</v>
      </c>
    </row>
    <row r="31" spans="1:13" x14ac:dyDescent="0.25">
      <c r="A31" s="21" t="s">
        <v>554</v>
      </c>
      <c r="B31" t="s">
        <v>276</v>
      </c>
      <c r="C31" t="s">
        <v>360</v>
      </c>
      <c r="D31" t="s">
        <v>465</v>
      </c>
      <c r="E31" t="s">
        <v>277</v>
      </c>
      <c r="F31" t="s">
        <v>361</v>
      </c>
      <c r="G31" t="s">
        <v>466</v>
      </c>
      <c r="H31" t="s">
        <v>278</v>
      </c>
      <c r="I31" t="s">
        <v>362</v>
      </c>
      <c r="J31" t="s">
        <v>467</v>
      </c>
      <c r="K31" s="12" t="s">
        <v>226</v>
      </c>
      <c r="L31" t="s">
        <v>363</v>
      </c>
      <c r="M31" t="s">
        <v>468</v>
      </c>
    </row>
    <row r="32" spans="1:13" x14ac:dyDescent="0.25">
      <c r="A32" t="s">
        <v>1284</v>
      </c>
      <c r="B32" t="s">
        <v>276</v>
      </c>
      <c r="C32" t="s">
        <v>360</v>
      </c>
      <c r="D32" t="s">
        <v>352</v>
      </c>
      <c r="E32" t="s">
        <v>277</v>
      </c>
      <c r="F32" t="s">
        <v>361</v>
      </c>
      <c r="G32" t="s">
        <v>354</v>
      </c>
      <c r="H32" t="s">
        <v>278</v>
      </c>
      <c r="I32" t="s">
        <v>362</v>
      </c>
      <c r="J32" t="s">
        <v>356</v>
      </c>
      <c r="K32" t="s">
        <v>226</v>
      </c>
      <c r="L32" t="s">
        <v>363</v>
      </c>
      <c r="M32" t="s">
        <v>358</v>
      </c>
    </row>
    <row r="33" spans="1:13" x14ac:dyDescent="0.25">
      <c r="A33" s="21" t="s">
        <v>563</v>
      </c>
      <c r="B33" t="s">
        <v>257</v>
      </c>
      <c r="C33" t="s">
        <v>351</v>
      </c>
      <c r="D33" t="s">
        <v>564</v>
      </c>
      <c r="E33" t="s">
        <v>259</v>
      </c>
      <c r="F33" t="s">
        <v>353</v>
      </c>
      <c r="G33" t="s">
        <v>565</v>
      </c>
      <c r="H33" t="s">
        <v>261</v>
      </c>
      <c r="I33" t="s">
        <v>355</v>
      </c>
      <c r="J33" t="s">
        <v>566</v>
      </c>
      <c r="K33" t="s">
        <v>263</v>
      </c>
      <c r="L33" t="s">
        <v>357</v>
      </c>
      <c r="M33" t="s">
        <v>567</v>
      </c>
    </row>
    <row r="34" spans="1:13" x14ac:dyDescent="0.25">
      <c r="A34" s="21" t="s">
        <v>574</v>
      </c>
      <c r="B34" t="s">
        <v>236</v>
      </c>
      <c r="C34" t="s">
        <v>351</v>
      </c>
      <c r="D34" t="s">
        <v>465</v>
      </c>
      <c r="E34" t="s">
        <v>238</v>
      </c>
      <c r="F34" t="s">
        <v>353</v>
      </c>
      <c r="G34" t="s">
        <v>466</v>
      </c>
      <c r="H34" t="s">
        <v>240</v>
      </c>
      <c r="I34" t="s">
        <v>355</v>
      </c>
      <c r="J34" t="s">
        <v>467</v>
      </c>
      <c r="K34" t="s">
        <v>242</v>
      </c>
      <c r="L34" t="s">
        <v>357</v>
      </c>
      <c r="M34" t="s">
        <v>468</v>
      </c>
    </row>
    <row r="35" spans="1:13" x14ac:dyDescent="0.25">
      <c r="A35" s="21" t="s">
        <v>579</v>
      </c>
      <c r="B35" t="s">
        <v>370</v>
      </c>
      <c r="C35" t="s">
        <v>264</v>
      </c>
      <c r="D35" t="s">
        <v>465</v>
      </c>
      <c r="E35" t="s">
        <v>372</v>
      </c>
      <c r="F35" t="s">
        <v>266</v>
      </c>
      <c r="G35" t="s">
        <v>466</v>
      </c>
      <c r="H35" t="s">
        <v>374</v>
      </c>
      <c r="I35" t="s">
        <v>268</v>
      </c>
      <c r="J35" t="s">
        <v>467</v>
      </c>
      <c r="K35" t="s">
        <v>376</v>
      </c>
      <c r="L35" t="s">
        <v>270</v>
      </c>
      <c r="M35" t="s">
        <v>468</v>
      </c>
    </row>
    <row r="36" spans="1:13" x14ac:dyDescent="0.25">
      <c r="A36" s="21" t="s">
        <v>608</v>
      </c>
      <c r="B36" t="s">
        <v>609</v>
      </c>
      <c r="D36" t="s">
        <v>610</v>
      </c>
      <c r="E36" t="s">
        <v>611</v>
      </c>
      <c r="G36" t="s">
        <v>612</v>
      </c>
      <c r="H36" t="s">
        <v>613</v>
      </c>
      <c r="J36" t="s">
        <v>614</v>
      </c>
      <c r="K36" t="s">
        <v>615</v>
      </c>
      <c r="M36" t="s">
        <v>616</v>
      </c>
    </row>
    <row r="37" spans="1:13" x14ac:dyDescent="0.25">
      <c r="A37" s="21" t="s">
        <v>617</v>
      </c>
      <c r="B37" t="s">
        <v>618</v>
      </c>
      <c r="D37" t="s">
        <v>619</v>
      </c>
      <c r="E37" t="s">
        <v>620</v>
      </c>
      <c r="G37" t="s">
        <v>621</v>
      </c>
      <c r="H37" t="s">
        <v>622</v>
      </c>
      <c r="J37" t="s">
        <v>623</v>
      </c>
      <c r="K37" t="s">
        <v>624</v>
      </c>
      <c r="M37" t="s">
        <v>625</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7649E-EDD9-49A9-B198-489DA04B544D}">
  <sheetPr codeName="Sheet11"/>
  <dimension ref="A1:M33"/>
  <sheetViews>
    <sheetView workbookViewId="0">
      <selection activeCell="F17" sqref="F17"/>
    </sheetView>
  </sheetViews>
  <sheetFormatPr defaultRowHeight="13.8" x14ac:dyDescent="0.25"/>
  <cols>
    <col min="1" max="13" width="14.109375" customWidth="1"/>
  </cols>
  <sheetData>
    <row r="1" spans="1:13" x14ac:dyDescent="0.25">
      <c r="A1" s="21" t="s">
        <v>1226</v>
      </c>
      <c r="B1">
        <v>0</v>
      </c>
      <c r="E1">
        <v>1</v>
      </c>
      <c r="H1">
        <v>2</v>
      </c>
      <c r="K1">
        <v>3</v>
      </c>
    </row>
    <row r="2" spans="1:13" x14ac:dyDescent="0.25">
      <c r="A2" s="21" t="s">
        <v>91</v>
      </c>
      <c r="B2" s="12" t="s">
        <v>97</v>
      </c>
      <c r="C2" t="s">
        <v>98</v>
      </c>
      <c r="D2" t="s">
        <v>99</v>
      </c>
      <c r="E2" s="12" t="s">
        <v>97</v>
      </c>
      <c r="F2" t="s">
        <v>98</v>
      </c>
      <c r="G2" t="s">
        <v>99</v>
      </c>
      <c r="H2" s="12" t="s">
        <v>97</v>
      </c>
      <c r="I2" t="s">
        <v>98</v>
      </c>
      <c r="J2" t="s">
        <v>99</v>
      </c>
      <c r="K2" s="12" t="s">
        <v>97</v>
      </c>
      <c r="L2" t="s">
        <v>98</v>
      </c>
      <c r="M2" t="s">
        <v>99</v>
      </c>
    </row>
    <row r="3" spans="1:13" x14ac:dyDescent="0.25">
      <c r="A3" s="21" t="s">
        <v>288</v>
      </c>
      <c r="B3" t="s">
        <v>227</v>
      </c>
      <c r="C3" t="s">
        <v>228</v>
      </c>
      <c r="D3" t="s">
        <v>244</v>
      </c>
      <c r="E3" t="s">
        <v>229</v>
      </c>
      <c r="F3" t="s">
        <v>230</v>
      </c>
      <c r="G3" t="s">
        <v>245</v>
      </c>
      <c r="H3" t="s">
        <v>231</v>
      </c>
      <c r="I3" t="s">
        <v>232</v>
      </c>
      <c r="J3" t="s">
        <v>246</v>
      </c>
      <c r="K3" t="s">
        <v>233</v>
      </c>
      <c r="L3" t="s">
        <v>234</v>
      </c>
      <c r="M3" t="s">
        <v>247</v>
      </c>
    </row>
    <row r="4" spans="1:13" x14ac:dyDescent="0.25">
      <c r="A4" s="21" t="s">
        <v>289</v>
      </c>
      <c r="B4" t="s">
        <v>290</v>
      </c>
      <c r="C4" t="s">
        <v>291</v>
      </c>
      <c r="D4" t="s">
        <v>292</v>
      </c>
      <c r="E4" t="s">
        <v>293</v>
      </c>
      <c r="F4" t="s">
        <v>294</v>
      </c>
      <c r="G4" t="s">
        <v>295</v>
      </c>
      <c r="H4" t="s">
        <v>296</v>
      </c>
      <c r="I4" t="s">
        <v>297</v>
      </c>
      <c r="J4" t="s">
        <v>298</v>
      </c>
      <c r="K4" t="s">
        <v>299</v>
      </c>
      <c r="L4" t="s">
        <v>300</v>
      </c>
      <c r="M4" t="s">
        <v>301</v>
      </c>
    </row>
    <row r="5" spans="1:13" x14ac:dyDescent="0.25">
      <c r="A5" t="s">
        <v>1279</v>
      </c>
      <c r="B5" t="s">
        <v>476</v>
      </c>
      <c r="C5" t="s">
        <v>379</v>
      </c>
      <c r="D5" t="s">
        <v>530</v>
      </c>
      <c r="E5" t="s">
        <v>478</v>
      </c>
      <c r="F5" t="s">
        <v>381</v>
      </c>
      <c r="G5" t="s">
        <v>531</v>
      </c>
      <c r="H5" t="s">
        <v>480</v>
      </c>
      <c r="I5" t="s">
        <v>383</v>
      </c>
      <c r="J5" t="s">
        <v>532</v>
      </c>
      <c r="K5" t="s">
        <v>481</v>
      </c>
      <c r="L5" t="s">
        <v>384</v>
      </c>
      <c r="M5" t="s">
        <v>533</v>
      </c>
    </row>
    <row r="6" spans="1:13" x14ac:dyDescent="0.25">
      <c r="A6" s="21" t="s">
        <v>378</v>
      </c>
      <c r="B6" t="s">
        <v>290</v>
      </c>
      <c r="C6" t="s">
        <v>379</v>
      </c>
      <c r="D6" t="s">
        <v>380</v>
      </c>
      <c r="E6" t="s">
        <v>293</v>
      </c>
      <c r="F6" t="s">
        <v>381</v>
      </c>
      <c r="G6" t="s">
        <v>382</v>
      </c>
      <c r="H6" t="s">
        <v>296</v>
      </c>
      <c r="I6" t="s">
        <v>383</v>
      </c>
      <c r="J6" t="s">
        <v>326</v>
      </c>
      <c r="K6" t="s">
        <v>299</v>
      </c>
      <c r="L6" t="s">
        <v>384</v>
      </c>
      <c r="M6" t="s">
        <v>385</v>
      </c>
    </row>
    <row r="7" spans="1:13" x14ac:dyDescent="0.25">
      <c r="A7" s="21" t="s">
        <v>386</v>
      </c>
      <c r="B7" t="s">
        <v>227</v>
      </c>
      <c r="C7" t="s">
        <v>228</v>
      </c>
      <c r="D7" t="s">
        <v>380</v>
      </c>
      <c r="E7" t="s">
        <v>229</v>
      </c>
      <c r="F7" t="s">
        <v>230</v>
      </c>
      <c r="G7" t="s">
        <v>382</v>
      </c>
      <c r="H7" t="s">
        <v>231</v>
      </c>
      <c r="I7" t="s">
        <v>232</v>
      </c>
      <c r="J7" t="s">
        <v>326</v>
      </c>
      <c r="K7" t="s">
        <v>233</v>
      </c>
      <c r="L7" t="s">
        <v>234</v>
      </c>
      <c r="M7" t="s">
        <v>385</v>
      </c>
    </row>
    <row r="8" spans="1:13" x14ac:dyDescent="0.25">
      <c r="A8" s="21" t="s">
        <v>419</v>
      </c>
      <c r="B8" t="s">
        <v>227</v>
      </c>
      <c r="C8" t="s">
        <v>291</v>
      </c>
      <c r="D8" t="s">
        <v>420</v>
      </c>
      <c r="E8" t="s">
        <v>229</v>
      </c>
      <c r="F8" t="s">
        <v>294</v>
      </c>
      <c r="G8" t="s">
        <v>421</v>
      </c>
      <c r="H8" t="s">
        <v>231</v>
      </c>
      <c r="I8" t="s">
        <v>297</v>
      </c>
      <c r="J8" t="s">
        <v>317</v>
      </c>
      <c r="K8" t="s">
        <v>233</v>
      </c>
      <c r="L8" t="s">
        <v>300</v>
      </c>
      <c r="M8" t="s">
        <v>422</v>
      </c>
    </row>
    <row r="9" spans="1:13" x14ac:dyDescent="0.25">
      <c r="A9" s="21" t="s">
        <v>423</v>
      </c>
      <c r="B9" t="s">
        <v>249</v>
      </c>
      <c r="C9" t="s">
        <v>379</v>
      </c>
      <c r="D9" t="s">
        <v>424</v>
      </c>
      <c r="E9" t="s">
        <v>251</v>
      </c>
      <c r="F9" t="s">
        <v>381</v>
      </c>
      <c r="G9" t="s">
        <v>425</v>
      </c>
      <c r="H9" t="s">
        <v>252</v>
      </c>
      <c r="I9" t="s">
        <v>383</v>
      </c>
      <c r="J9" t="s">
        <v>426</v>
      </c>
      <c r="K9" t="s">
        <v>254</v>
      </c>
      <c r="L9" t="s">
        <v>384</v>
      </c>
      <c r="M9" t="s">
        <v>427</v>
      </c>
    </row>
    <row r="10" spans="1:13" x14ac:dyDescent="0.25">
      <c r="A10" t="s">
        <v>1281</v>
      </c>
      <c r="B10" t="s">
        <v>290</v>
      </c>
      <c r="C10" t="s">
        <v>379</v>
      </c>
      <c r="D10" t="s">
        <v>420</v>
      </c>
      <c r="E10" t="s">
        <v>293</v>
      </c>
      <c r="F10" t="s">
        <v>381</v>
      </c>
      <c r="G10" t="s">
        <v>421</v>
      </c>
      <c r="H10" t="s">
        <v>296</v>
      </c>
      <c r="I10" t="s">
        <v>383</v>
      </c>
      <c r="J10" t="s">
        <v>317</v>
      </c>
      <c r="K10" t="s">
        <v>299</v>
      </c>
      <c r="L10" t="s">
        <v>384</v>
      </c>
      <c r="M10" t="s">
        <v>422</v>
      </c>
    </row>
    <row r="11" spans="1:13" x14ac:dyDescent="0.25">
      <c r="A11" s="21" t="s">
        <v>444</v>
      </c>
      <c r="B11" t="s">
        <v>249</v>
      </c>
      <c r="C11" t="s">
        <v>445</v>
      </c>
      <c r="D11" t="s">
        <v>420</v>
      </c>
      <c r="E11" t="s">
        <v>251</v>
      </c>
      <c r="F11" t="s">
        <v>446</v>
      </c>
      <c r="G11" t="s">
        <v>421</v>
      </c>
      <c r="H11" t="s">
        <v>252</v>
      </c>
      <c r="I11" t="s">
        <v>447</v>
      </c>
      <c r="J11" t="s">
        <v>317</v>
      </c>
      <c r="K11" t="s">
        <v>254</v>
      </c>
      <c r="L11" t="s">
        <v>448</v>
      </c>
      <c r="M11" t="s">
        <v>422</v>
      </c>
    </row>
    <row r="12" spans="1:13" x14ac:dyDescent="0.25">
      <c r="A12" t="s">
        <v>1290</v>
      </c>
      <c r="B12" t="s">
        <v>227</v>
      </c>
      <c r="C12" t="s">
        <v>291</v>
      </c>
      <c r="D12" t="s">
        <v>292</v>
      </c>
      <c r="E12" t="s">
        <v>229</v>
      </c>
      <c r="F12" t="s">
        <v>294</v>
      </c>
      <c r="G12" t="s">
        <v>295</v>
      </c>
      <c r="H12" t="s">
        <v>231</v>
      </c>
      <c r="I12" t="s">
        <v>297</v>
      </c>
      <c r="J12" t="s">
        <v>298</v>
      </c>
      <c r="K12" t="s">
        <v>233</v>
      </c>
      <c r="L12" t="s">
        <v>300</v>
      </c>
      <c r="M12" t="s">
        <v>301</v>
      </c>
    </row>
    <row r="13" spans="1:13" x14ac:dyDescent="0.25">
      <c r="A13" t="s">
        <v>1291</v>
      </c>
      <c r="B13" t="s">
        <v>476</v>
      </c>
      <c r="C13" t="s">
        <v>445</v>
      </c>
      <c r="D13" t="s">
        <v>530</v>
      </c>
      <c r="E13" t="s">
        <v>478</v>
      </c>
      <c r="F13" t="s">
        <v>446</v>
      </c>
      <c r="G13" t="s">
        <v>531</v>
      </c>
      <c r="H13" t="s">
        <v>480</v>
      </c>
      <c r="I13" t="s">
        <v>447</v>
      </c>
      <c r="J13" t="s">
        <v>532</v>
      </c>
      <c r="K13" t="s">
        <v>481</v>
      </c>
      <c r="L13" t="s">
        <v>448</v>
      </c>
      <c r="M13" t="s">
        <v>533</v>
      </c>
    </row>
    <row r="14" spans="1:13" x14ac:dyDescent="0.25">
      <c r="A14" s="21" t="s">
        <v>470</v>
      </c>
      <c r="B14" t="s">
        <v>227</v>
      </c>
      <c r="C14" t="s">
        <v>291</v>
      </c>
      <c r="D14" t="s">
        <v>244</v>
      </c>
      <c r="E14" t="s">
        <v>229</v>
      </c>
      <c r="F14" t="s">
        <v>294</v>
      </c>
      <c r="G14" t="s">
        <v>245</v>
      </c>
      <c r="H14" t="s">
        <v>231</v>
      </c>
      <c r="I14" t="s">
        <v>297</v>
      </c>
      <c r="J14" t="s">
        <v>246</v>
      </c>
      <c r="K14" t="s">
        <v>233</v>
      </c>
      <c r="L14" t="s">
        <v>300</v>
      </c>
      <c r="M14" t="s">
        <v>247</v>
      </c>
    </row>
    <row r="15" spans="1:13" x14ac:dyDescent="0.25">
      <c r="A15" s="21" t="s">
        <v>471</v>
      </c>
      <c r="B15" t="s">
        <v>227</v>
      </c>
      <c r="C15" t="s">
        <v>228</v>
      </c>
      <c r="D15" t="s">
        <v>472</v>
      </c>
      <c r="E15" t="s">
        <v>229</v>
      </c>
      <c r="F15" t="s">
        <v>230</v>
      </c>
      <c r="G15" t="s">
        <v>473</v>
      </c>
      <c r="H15" t="s">
        <v>231</v>
      </c>
      <c r="I15" t="s">
        <v>232</v>
      </c>
      <c r="J15" t="s">
        <v>334</v>
      </c>
      <c r="K15" t="s">
        <v>233</v>
      </c>
      <c r="L15" t="s">
        <v>234</v>
      </c>
      <c r="M15" t="s">
        <v>474</v>
      </c>
    </row>
    <row r="16" spans="1:13" x14ac:dyDescent="0.25">
      <c r="A16" s="21" t="s">
        <v>475</v>
      </c>
      <c r="B16" t="s">
        <v>476</v>
      </c>
      <c r="C16" t="s">
        <v>379</v>
      </c>
      <c r="D16" t="s">
        <v>477</v>
      </c>
      <c r="E16" t="s">
        <v>478</v>
      </c>
      <c r="F16" t="s">
        <v>381</v>
      </c>
      <c r="G16" t="s">
        <v>479</v>
      </c>
      <c r="H16" t="s">
        <v>480</v>
      </c>
      <c r="I16" t="s">
        <v>383</v>
      </c>
      <c r="J16" t="s">
        <v>449</v>
      </c>
      <c r="K16" t="s">
        <v>481</v>
      </c>
      <c r="L16" t="s">
        <v>384</v>
      </c>
      <c r="M16" t="s">
        <v>482</v>
      </c>
    </row>
    <row r="17" spans="1:13" x14ac:dyDescent="0.25">
      <c r="A17" s="21" t="s">
        <v>483</v>
      </c>
      <c r="B17" t="s">
        <v>476</v>
      </c>
      <c r="C17" t="s">
        <v>445</v>
      </c>
      <c r="D17" t="s">
        <v>484</v>
      </c>
      <c r="E17" t="s">
        <v>478</v>
      </c>
      <c r="F17" t="s">
        <v>446</v>
      </c>
      <c r="G17" t="s">
        <v>485</v>
      </c>
      <c r="H17" t="s">
        <v>480</v>
      </c>
      <c r="I17" t="s">
        <v>447</v>
      </c>
      <c r="J17" t="s">
        <v>438</v>
      </c>
      <c r="K17" t="s">
        <v>481</v>
      </c>
      <c r="L17" t="s">
        <v>448</v>
      </c>
      <c r="M17" t="s">
        <v>486</v>
      </c>
    </row>
    <row r="18" spans="1:13" x14ac:dyDescent="0.25">
      <c r="A18" t="s">
        <v>1286</v>
      </c>
      <c r="B18" t="s">
        <v>290</v>
      </c>
      <c r="C18" t="s">
        <v>228</v>
      </c>
      <c r="D18" t="s">
        <v>420</v>
      </c>
      <c r="E18" t="s">
        <v>293</v>
      </c>
      <c r="F18" t="s">
        <v>230</v>
      </c>
      <c r="G18" t="s">
        <v>421</v>
      </c>
      <c r="H18" t="s">
        <v>296</v>
      </c>
      <c r="I18" t="s">
        <v>232</v>
      </c>
      <c r="J18" t="s">
        <v>317</v>
      </c>
      <c r="K18" t="s">
        <v>299</v>
      </c>
      <c r="L18" t="s">
        <v>234</v>
      </c>
      <c r="M18" t="s">
        <v>422</v>
      </c>
    </row>
    <row r="19" spans="1:13" x14ac:dyDescent="0.25">
      <c r="A19" s="21" t="s">
        <v>502</v>
      </c>
      <c r="B19" t="s">
        <v>476</v>
      </c>
      <c r="C19" t="s">
        <v>291</v>
      </c>
      <c r="D19" t="s">
        <v>424</v>
      </c>
      <c r="E19" t="s">
        <v>478</v>
      </c>
      <c r="F19" t="s">
        <v>294</v>
      </c>
      <c r="G19" t="s">
        <v>425</v>
      </c>
      <c r="H19" t="s">
        <v>480</v>
      </c>
      <c r="I19" t="s">
        <v>297</v>
      </c>
      <c r="J19" t="s">
        <v>426</v>
      </c>
      <c r="K19" t="s">
        <v>481</v>
      </c>
      <c r="L19" t="s">
        <v>300</v>
      </c>
      <c r="M19" t="s">
        <v>427</v>
      </c>
    </row>
    <row r="20" spans="1:13" x14ac:dyDescent="0.25">
      <c r="A20" s="21" t="s">
        <v>508</v>
      </c>
      <c r="B20" t="s">
        <v>290</v>
      </c>
      <c r="C20" t="s">
        <v>228</v>
      </c>
      <c r="D20" t="s">
        <v>424</v>
      </c>
      <c r="E20" t="s">
        <v>293</v>
      </c>
      <c r="F20" t="s">
        <v>230</v>
      </c>
      <c r="G20" t="s">
        <v>425</v>
      </c>
      <c r="H20" t="s">
        <v>296</v>
      </c>
      <c r="I20" t="s">
        <v>232</v>
      </c>
      <c r="J20" t="s">
        <v>426</v>
      </c>
      <c r="K20" t="s">
        <v>299</v>
      </c>
      <c r="L20" t="s">
        <v>234</v>
      </c>
      <c r="M20" t="s">
        <v>427</v>
      </c>
    </row>
    <row r="21" spans="1:13" x14ac:dyDescent="0.25">
      <c r="A21" s="21" t="s">
        <v>503</v>
      </c>
      <c r="B21" t="s">
        <v>249</v>
      </c>
      <c r="C21" t="s">
        <v>445</v>
      </c>
      <c r="D21" t="s">
        <v>504</v>
      </c>
      <c r="E21" t="s">
        <v>251</v>
      </c>
      <c r="F21" t="s">
        <v>446</v>
      </c>
      <c r="G21" t="s">
        <v>505</v>
      </c>
      <c r="H21" t="s">
        <v>252</v>
      </c>
      <c r="I21" t="s">
        <v>447</v>
      </c>
      <c r="J21" t="s">
        <v>506</v>
      </c>
      <c r="K21" t="s">
        <v>254</v>
      </c>
      <c r="L21" t="s">
        <v>448</v>
      </c>
      <c r="M21" t="s">
        <v>507</v>
      </c>
    </row>
    <row r="22" spans="1:13" x14ac:dyDescent="0.25">
      <c r="A22" s="21" t="s">
        <v>524</v>
      </c>
      <c r="B22" t="s">
        <v>290</v>
      </c>
      <c r="C22" t="s">
        <v>291</v>
      </c>
      <c r="D22" t="s">
        <v>525</v>
      </c>
      <c r="E22" t="s">
        <v>293</v>
      </c>
      <c r="F22" t="s">
        <v>294</v>
      </c>
      <c r="G22" t="s">
        <v>526</v>
      </c>
      <c r="H22" t="s">
        <v>296</v>
      </c>
      <c r="I22" t="s">
        <v>297</v>
      </c>
      <c r="J22" t="s">
        <v>527</v>
      </c>
      <c r="K22" t="s">
        <v>299</v>
      </c>
      <c r="L22" t="s">
        <v>300</v>
      </c>
      <c r="M22" t="s">
        <v>528</v>
      </c>
    </row>
    <row r="23" spans="1:13" x14ac:dyDescent="0.25">
      <c r="A23" s="21" t="s">
        <v>529</v>
      </c>
      <c r="B23" t="s">
        <v>249</v>
      </c>
      <c r="C23" t="s">
        <v>445</v>
      </c>
      <c r="D23" t="s">
        <v>530</v>
      </c>
      <c r="E23" t="s">
        <v>251</v>
      </c>
      <c r="F23" t="s">
        <v>446</v>
      </c>
      <c r="G23" t="s">
        <v>531</v>
      </c>
      <c r="H23" t="s">
        <v>252</v>
      </c>
      <c r="I23" t="s">
        <v>447</v>
      </c>
      <c r="J23" t="s">
        <v>532</v>
      </c>
      <c r="K23" t="s">
        <v>254</v>
      </c>
      <c r="L23" t="s">
        <v>448</v>
      </c>
      <c r="M23" t="s">
        <v>533</v>
      </c>
    </row>
    <row r="24" spans="1:13" x14ac:dyDescent="0.25">
      <c r="A24" s="21" t="s">
        <v>555</v>
      </c>
      <c r="B24" t="s">
        <v>227</v>
      </c>
      <c r="C24" t="s">
        <v>291</v>
      </c>
      <c r="D24" t="s">
        <v>472</v>
      </c>
      <c r="E24" t="s">
        <v>229</v>
      </c>
      <c r="F24" t="s">
        <v>294</v>
      </c>
      <c r="G24" t="s">
        <v>473</v>
      </c>
      <c r="H24" t="s">
        <v>231</v>
      </c>
      <c r="I24" t="s">
        <v>297</v>
      </c>
      <c r="J24" t="s">
        <v>334</v>
      </c>
      <c r="K24" t="s">
        <v>233</v>
      </c>
      <c r="L24" t="s">
        <v>300</v>
      </c>
      <c r="M24" t="s">
        <v>474</v>
      </c>
    </row>
    <row r="25" spans="1:13" x14ac:dyDescent="0.25">
      <c r="A25" s="21" t="s">
        <v>556</v>
      </c>
      <c r="B25" t="s">
        <v>249</v>
      </c>
      <c r="C25" t="s">
        <v>445</v>
      </c>
      <c r="D25" t="s">
        <v>557</v>
      </c>
      <c r="E25" t="s">
        <v>251</v>
      </c>
      <c r="F25" t="s">
        <v>446</v>
      </c>
      <c r="G25" t="s">
        <v>558</v>
      </c>
      <c r="H25" t="s">
        <v>252</v>
      </c>
      <c r="I25" t="s">
        <v>447</v>
      </c>
      <c r="J25" t="s">
        <v>343</v>
      </c>
      <c r="K25" t="s">
        <v>254</v>
      </c>
      <c r="L25" t="s">
        <v>448</v>
      </c>
      <c r="M25" t="s">
        <v>559</v>
      </c>
    </row>
    <row r="26" spans="1:13" x14ac:dyDescent="0.25">
      <c r="A26" t="s">
        <v>1283</v>
      </c>
      <c r="B26" t="s">
        <v>249</v>
      </c>
      <c r="C26" t="s">
        <v>445</v>
      </c>
      <c r="D26" t="s">
        <v>504</v>
      </c>
      <c r="E26" t="s">
        <v>251</v>
      </c>
      <c r="F26" t="s">
        <v>446</v>
      </c>
      <c r="G26" t="s">
        <v>505</v>
      </c>
      <c r="H26" t="s">
        <v>252</v>
      </c>
      <c r="I26" t="s">
        <v>447</v>
      </c>
      <c r="J26" t="s">
        <v>506</v>
      </c>
      <c r="K26" t="s">
        <v>254</v>
      </c>
      <c r="L26" t="s">
        <v>448</v>
      </c>
      <c r="M26" t="s">
        <v>507</v>
      </c>
    </row>
    <row r="27" spans="1:13" x14ac:dyDescent="0.25">
      <c r="A27" s="21" t="s">
        <v>568</v>
      </c>
      <c r="B27" t="s">
        <v>290</v>
      </c>
      <c r="C27" t="s">
        <v>379</v>
      </c>
      <c r="D27" t="s">
        <v>292</v>
      </c>
      <c r="E27" t="s">
        <v>293</v>
      </c>
      <c r="F27" t="s">
        <v>381</v>
      </c>
      <c r="G27" t="s">
        <v>295</v>
      </c>
      <c r="H27" t="s">
        <v>296</v>
      </c>
      <c r="I27" t="s">
        <v>383</v>
      </c>
      <c r="J27" t="s">
        <v>298</v>
      </c>
      <c r="K27" t="s">
        <v>299</v>
      </c>
      <c r="L27" t="s">
        <v>384</v>
      </c>
      <c r="M27" t="s">
        <v>301</v>
      </c>
    </row>
    <row r="28" spans="1:13" x14ac:dyDescent="0.25">
      <c r="A28" s="21" t="s">
        <v>569</v>
      </c>
      <c r="B28" t="s">
        <v>227</v>
      </c>
      <c r="C28" t="s">
        <v>291</v>
      </c>
      <c r="D28" t="s">
        <v>504</v>
      </c>
      <c r="E28" t="s">
        <v>229</v>
      </c>
      <c r="F28" t="s">
        <v>294</v>
      </c>
      <c r="G28" t="s">
        <v>505</v>
      </c>
      <c r="H28" t="s">
        <v>231</v>
      </c>
      <c r="I28" t="s">
        <v>297</v>
      </c>
      <c r="J28" t="s">
        <v>506</v>
      </c>
      <c r="K28" t="s">
        <v>233</v>
      </c>
      <c r="L28" t="s">
        <v>300</v>
      </c>
      <c r="M28" t="s">
        <v>507</v>
      </c>
    </row>
    <row r="29" spans="1:13" x14ac:dyDescent="0.25">
      <c r="A29" s="21" t="s">
        <v>575</v>
      </c>
      <c r="B29" t="s">
        <v>290</v>
      </c>
      <c r="C29" t="s">
        <v>228</v>
      </c>
      <c r="D29" t="s">
        <v>420</v>
      </c>
      <c r="E29" t="s">
        <v>293</v>
      </c>
      <c r="F29" t="s">
        <v>230</v>
      </c>
      <c r="G29" t="s">
        <v>421</v>
      </c>
      <c r="H29" t="s">
        <v>296</v>
      </c>
      <c r="I29" t="s">
        <v>232</v>
      </c>
      <c r="J29" t="s">
        <v>317</v>
      </c>
      <c r="K29" t="s">
        <v>299</v>
      </c>
      <c r="L29" t="s">
        <v>234</v>
      </c>
      <c r="M29" t="s">
        <v>422</v>
      </c>
    </row>
    <row r="30" spans="1:13" x14ac:dyDescent="0.25">
      <c r="A30" s="21" t="s">
        <v>580</v>
      </c>
      <c r="B30" t="s">
        <v>476</v>
      </c>
      <c r="C30" t="s">
        <v>445</v>
      </c>
      <c r="D30" t="s">
        <v>530</v>
      </c>
      <c r="E30" t="s">
        <v>478</v>
      </c>
      <c r="F30" t="s">
        <v>446</v>
      </c>
      <c r="G30" t="s">
        <v>531</v>
      </c>
      <c r="H30" t="s">
        <v>480</v>
      </c>
      <c r="I30" t="s">
        <v>447</v>
      </c>
      <c r="J30" t="s">
        <v>532</v>
      </c>
      <c r="K30" t="s">
        <v>481</v>
      </c>
      <c r="L30" t="s">
        <v>448</v>
      </c>
      <c r="M30" t="s">
        <v>533</v>
      </c>
    </row>
    <row r="31" spans="1:13" x14ac:dyDescent="0.25">
      <c r="A31" s="21" t="s">
        <v>581</v>
      </c>
      <c r="B31" t="s">
        <v>476</v>
      </c>
      <c r="C31" t="s">
        <v>291</v>
      </c>
      <c r="D31" t="s">
        <v>530</v>
      </c>
      <c r="E31" t="s">
        <v>478</v>
      </c>
      <c r="F31" t="s">
        <v>294</v>
      </c>
      <c r="G31" t="s">
        <v>531</v>
      </c>
      <c r="H31" t="s">
        <v>480</v>
      </c>
      <c r="I31" t="s">
        <v>297</v>
      </c>
      <c r="J31" t="s">
        <v>532</v>
      </c>
      <c r="K31" t="s">
        <v>481</v>
      </c>
      <c r="L31" t="s">
        <v>300</v>
      </c>
      <c r="M31" t="s">
        <v>533</v>
      </c>
    </row>
    <row r="32" spans="1:13" x14ac:dyDescent="0.25">
      <c r="A32" s="21" t="s">
        <v>626</v>
      </c>
      <c r="B32" t="s">
        <v>627</v>
      </c>
      <c r="D32" t="s">
        <v>628</v>
      </c>
      <c r="E32" t="s">
        <v>629</v>
      </c>
      <c r="G32" t="s">
        <v>630</v>
      </c>
      <c r="H32" t="s">
        <v>631</v>
      </c>
      <c r="J32" t="s">
        <v>632</v>
      </c>
      <c r="K32" t="s">
        <v>633</v>
      </c>
      <c r="M32" t="s">
        <v>634</v>
      </c>
    </row>
    <row r="33" spans="1:13" x14ac:dyDescent="0.25">
      <c r="A33" s="21" t="s">
        <v>635</v>
      </c>
      <c r="B33" t="s">
        <v>636</v>
      </c>
      <c r="D33" t="s">
        <v>637</v>
      </c>
      <c r="E33" t="s">
        <v>638</v>
      </c>
      <c r="G33" t="s">
        <v>639</v>
      </c>
      <c r="H33" t="s">
        <v>640</v>
      </c>
      <c r="J33" t="s">
        <v>641</v>
      </c>
      <c r="K33" t="s">
        <v>642</v>
      </c>
      <c r="M33" t="s">
        <v>643</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192B4-59C3-4A46-BD1B-0AB5745F0D20}">
  <sheetPr codeName="Sheet12"/>
  <dimension ref="A1:M57"/>
  <sheetViews>
    <sheetView topLeftCell="A31" zoomScale="115" zoomScaleNormal="115" workbookViewId="0">
      <selection activeCell="H43" sqref="H43"/>
    </sheetView>
  </sheetViews>
  <sheetFormatPr defaultRowHeight="13.8" x14ac:dyDescent="0.25"/>
  <cols>
    <col min="1" max="1" width="18.6640625" customWidth="1"/>
    <col min="2" max="13" width="14.109375" customWidth="1"/>
  </cols>
  <sheetData>
    <row r="1" spans="1:13" x14ac:dyDescent="0.25">
      <c r="A1" s="21" t="s">
        <v>1226</v>
      </c>
      <c r="B1">
        <v>0</v>
      </c>
      <c r="E1">
        <v>1</v>
      </c>
      <c r="H1">
        <v>2</v>
      </c>
      <c r="K1">
        <v>3</v>
      </c>
    </row>
    <row r="2" spans="1:13" x14ac:dyDescent="0.25">
      <c r="A2" s="21" t="s">
        <v>91</v>
      </c>
      <c r="B2" s="12" t="s">
        <v>97</v>
      </c>
      <c r="C2" t="s">
        <v>98</v>
      </c>
      <c r="D2" t="s">
        <v>99</v>
      </c>
      <c r="E2" s="12" t="s">
        <v>97</v>
      </c>
      <c r="F2" t="s">
        <v>98</v>
      </c>
      <c r="G2" t="s">
        <v>99</v>
      </c>
      <c r="H2" s="12" t="s">
        <v>97</v>
      </c>
      <c r="I2" t="s">
        <v>98</v>
      </c>
      <c r="J2" t="s">
        <v>99</v>
      </c>
      <c r="K2" s="12" t="s">
        <v>97</v>
      </c>
      <c r="L2" t="s">
        <v>98</v>
      </c>
      <c r="M2" t="s">
        <v>99</v>
      </c>
    </row>
    <row r="3" spans="1:13" x14ac:dyDescent="0.25">
      <c r="A3" s="21" t="s">
        <v>302</v>
      </c>
      <c r="B3" t="s">
        <v>303</v>
      </c>
      <c r="C3" t="s">
        <v>304</v>
      </c>
      <c r="D3" t="s">
        <v>305</v>
      </c>
      <c r="E3" t="s">
        <v>306</v>
      </c>
      <c r="F3" t="s">
        <v>307</v>
      </c>
      <c r="G3" t="s">
        <v>308</v>
      </c>
      <c r="H3" t="s">
        <v>309</v>
      </c>
      <c r="I3" t="s">
        <v>310</v>
      </c>
      <c r="J3" t="s">
        <v>311</v>
      </c>
      <c r="K3" t="s">
        <v>312</v>
      </c>
      <c r="L3" t="s">
        <v>313</v>
      </c>
      <c r="M3" t="s">
        <v>314</v>
      </c>
    </row>
    <row r="4" spans="1:13" x14ac:dyDescent="0.25">
      <c r="A4" t="s">
        <v>1278</v>
      </c>
      <c r="B4" t="s">
        <v>392</v>
      </c>
      <c r="C4" t="s">
        <v>325</v>
      </c>
      <c r="D4" t="s">
        <v>1436</v>
      </c>
      <c r="E4" t="s">
        <v>394</v>
      </c>
      <c r="F4" t="s">
        <v>327</v>
      </c>
      <c r="G4" t="s">
        <v>1437</v>
      </c>
      <c r="H4" t="s">
        <v>397</v>
      </c>
      <c r="I4" t="s">
        <v>329</v>
      </c>
      <c r="J4" t="s">
        <v>1438</v>
      </c>
      <c r="K4" t="s">
        <v>400</v>
      </c>
      <c r="L4" t="s">
        <v>331</v>
      </c>
      <c r="M4" t="s">
        <v>1439</v>
      </c>
    </row>
    <row r="5" spans="1:13" x14ac:dyDescent="0.25">
      <c r="A5" s="21" t="s">
        <v>315</v>
      </c>
      <c r="B5" t="s">
        <v>316</v>
      </c>
      <c r="C5" t="s">
        <v>304</v>
      </c>
      <c r="D5" t="s">
        <v>317</v>
      </c>
      <c r="E5" t="s">
        <v>318</v>
      </c>
      <c r="F5" t="s">
        <v>307</v>
      </c>
      <c r="G5" t="s">
        <v>319</v>
      </c>
      <c r="H5" t="s">
        <v>320</v>
      </c>
      <c r="I5" t="s">
        <v>310</v>
      </c>
      <c r="J5" t="s">
        <v>321</v>
      </c>
      <c r="K5" t="s">
        <v>322</v>
      </c>
      <c r="L5" t="s">
        <v>313</v>
      </c>
      <c r="M5" t="s">
        <v>323</v>
      </c>
    </row>
    <row r="6" spans="1:13" x14ac:dyDescent="0.25">
      <c r="A6" s="21" t="s">
        <v>324</v>
      </c>
      <c r="B6" t="s">
        <v>316</v>
      </c>
      <c r="C6" t="s">
        <v>325</v>
      </c>
      <c r="D6" t="s">
        <v>326</v>
      </c>
      <c r="E6" t="s">
        <v>318</v>
      </c>
      <c r="F6" t="s">
        <v>327</v>
      </c>
      <c r="G6" t="s">
        <v>328</v>
      </c>
      <c r="H6" t="s">
        <v>320</v>
      </c>
      <c r="I6" t="s">
        <v>329</v>
      </c>
      <c r="J6" t="s">
        <v>330</v>
      </c>
      <c r="K6" t="s">
        <v>322</v>
      </c>
      <c r="L6" t="s">
        <v>331</v>
      </c>
      <c r="M6" t="s">
        <v>332</v>
      </c>
    </row>
    <row r="7" spans="1:13" x14ac:dyDescent="0.25">
      <c r="A7" s="21" t="s">
        <v>333</v>
      </c>
      <c r="B7" t="s">
        <v>322</v>
      </c>
      <c r="D7" t="s">
        <v>334</v>
      </c>
      <c r="E7" t="s">
        <v>335</v>
      </c>
      <c r="G7" t="s">
        <v>336</v>
      </c>
      <c r="H7" t="s">
        <v>337</v>
      </c>
      <c r="J7" t="s">
        <v>338</v>
      </c>
      <c r="K7" t="s">
        <v>339</v>
      </c>
      <c r="M7" t="s">
        <v>340</v>
      </c>
    </row>
    <row r="8" spans="1:13" x14ac:dyDescent="0.25">
      <c r="A8" s="21" t="s">
        <v>341</v>
      </c>
      <c r="B8" t="s">
        <v>342</v>
      </c>
      <c r="D8" t="s">
        <v>343</v>
      </c>
      <c r="E8" t="s">
        <v>344</v>
      </c>
      <c r="G8" t="s">
        <v>345</v>
      </c>
      <c r="H8" t="s">
        <v>346</v>
      </c>
      <c r="J8" t="s">
        <v>347</v>
      </c>
      <c r="K8" t="s">
        <v>348</v>
      </c>
      <c r="M8" t="s">
        <v>349</v>
      </c>
    </row>
    <row r="9" spans="1:13" x14ac:dyDescent="0.25">
      <c r="A9" s="21" t="s">
        <v>387</v>
      </c>
      <c r="B9" t="s">
        <v>388</v>
      </c>
      <c r="C9" t="s">
        <v>325</v>
      </c>
      <c r="D9" t="s">
        <v>326</v>
      </c>
      <c r="E9" t="s">
        <v>389</v>
      </c>
      <c r="F9" t="s">
        <v>327</v>
      </c>
      <c r="G9" t="s">
        <v>328</v>
      </c>
      <c r="H9" t="s">
        <v>390</v>
      </c>
      <c r="I9" t="s">
        <v>329</v>
      </c>
      <c r="J9" t="s">
        <v>330</v>
      </c>
      <c r="K9" t="s">
        <v>342</v>
      </c>
      <c r="L9" t="s">
        <v>331</v>
      </c>
      <c r="M9" t="s">
        <v>332</v>
      </c>
    </row>
    <row r="10" spans="1:13" x14ac:dyDescent="0.25">
      <c r="A10" s="21" t="s">
        <v>391</v>
      </c>
      <c r="B10" t="s">
        <v>392</v>
      </c>
      <c r="C10" t="s">
        <v>393</v>
      </c>
      <c r="D10" t="s">
        <v>298</v>
      </c>
      <c r="E10" t="s">
        <v>394</v>
      </c>
      <c r="F10" t="s">
        <v>395</v>
      </c>
      <c r="G10" t="s">
        <v>396</v>
      </c>
      <c r="H10" t="s">
        <v>397</v>
      </c>
      <c r="I10" t="s">
        <v>398</v>
      </c>
      <c r="J10" t="s">
        <v>399</v>
      </c>
      <c r="K10" t="s">
        <v>400</v>
      </c>
      <c r="L10" t="s">
        <v>401</v>
      </c>
      <c r="M10" t="s">
        <v>402</v>
      </c>
    </row>
    <row r="11" spans="1:13" x14ac:dyDescent="0.25">
      <c r="A11" s="21" t="s">
        <v>403</v>
      </c>
      <c r="B11" t="s">
        <v>316</v>
      </c>
      <c r="C11" t="s">
        <v>404</v>
      </c>
      <c r="D11" t="s">
        <v>343</v>
      </c>
      <c r="E11" t="s">
        <v>318</v>
      </c>
      <c r="F11" t="s">
        <v>405</v>
      </c>
      <c r="G11" t="s">
        <v>345</v>
      </c>
      <c r="H11" t="s">
        <v>320</v>
      </c>
      <c r="I11" t="s">
        <v>406</v>
      </c>
      <c r="J11" t="s">
        <v>347</v>
      </c>
      <c r="K11" t="s">
        <v>322</v>
      </c>
      <c r="L11" t="s">
        <v>407</v>
      </c>
      <c r="M11" t="s">
        <v>349</v>
      </c>
    </row>
    <row r="12" spans="1:13" x14ac:dyDescent="0.25">
      <c r="A12" s="21" t="s">
        <v>408</v>
      </c>
      <c r="B12" t="s">
        <v>303</v>
      </c>
      <c r="C12" t="s">
        <v>393</v>
      </c>
      <c r="D12" t="s">
        <v>334</v>
      </c>
      <c r="E12" t="s">
        <v>306</v>
      </c>
      <c r="F12" t="s">
        <v>395</v>
      </c>
      <c r="G12" t="s">
        <v>336</v>
      </c>
      <c r="H12" t="s">
        <v>309</v>
      </c>
      <c r="I12" t="s">
        <v>398</v>
      </c>
      <c r="J12" t="s">
        <v>338</v>
      </c>
      <c r="K12" t="s">
        <v>312</v>
      </c>
      <c r="L12" t="s">
        <v>401</v>
      </c>
      <c r="M12" t="s">
        <v>340</v>
      </c>
    </row>
    <row r="13" spans="1:13" x14ac:dyDescent="0.25">
      <c r="A13" s="21" t="s">
        <v>409</v>
      </c>
      <c r="B13" t="s">
        <v>303</v>
      </c>
      <c r="C13" t="s">
        <v>304</v>
      </c>
      <c r="D13" t="s">
        <v>326</v>
      </c>
      <c r="E13" t="s">
        <v>306</v>
      </c>
      <c r="F13" t="s">
        <v>307</v>
      </c>
      <c r="G13" t="s">
        <v>328</v>
      </c>
      <c r="H13" t="s">
        <v>309</v>
      </c>
      <c r="I13" t="s">
        <v>310</v>
      </c>
      <c r="J13" t="s">
        <v>330</v>
      </c>
      <c r="K13" t="s">
        <v>312</v>
      </c>
      <c r="L13" t="s">
        <v>313</v>
      </c>
      <c r="M13" t="s">
        <v>332</v>
      </c>
    </row>
    <row r="14" spans="1:13" x14ac:dyDescent="0.25">
      <c r="A14" s="21" t="s">
        <v>428</v>
      </c>
      <c r="B14" t="s">
        <v>388</v>
      </c>
      <c r="C14" t="s">
        <v>325</v>
      </c>
      <c r="D14" t="s">
        <v>246</v>
      </c>
      <c r="E14" t="s">
        <v>389</v>
      </c>
      <c r="F14" t="s">
        <v>327</v>
      </c>
      <c r="G14" t="s">
        <v>429</v>
      </c>
      <c r="H14" t="s">
        <v>390</v>
      </c>
      <c r="I14" t="s">
        <v>329</v>
      </c>
      <c r="J14" t="s">
        <v>430</v>
      </c>
      <c r="K14" t="s">
        <v>342</v>
      </c>
      <c r="L14" t="s">
        <v>331</v>
      </c>
      <c r="M14" t="s">
        <v>431</v>
      </c>
    </row>
    <row r="15" spans="1:13" x14ac:dyDescent="0.25">
      <c r="A15" s="21" t="s">
        <v>442</v>
      </c>
      <c r="B15" t="s">
        <v>388</v>
      </c>
      <c r="C15" t="s">
        <v>304</v>
      </c>
      <c r="D15" t="s">
        <v>326</v>
      </c>
      <c r="E15" t="s">
        <v>389</v>
      </c>
      <c r="F15" t="s">
        <v>307</v>
      </c>
      <c r="G15" t="s">
        <v>328</v>
      </c>
      <c r="H15" t="s">
        <v>390</v>
      </c>
      <c r="I15" t="s">
        <v>310</v>
      </c>
      <c r="J15" t="s">
        <v>330</v>
      </c>
      <c r="K15" t="s">
        <v>342</v>
      </c>
      <c r="L15" t="s">
        <v>313</v>
      </c>
      <c r="M15" t="s">
        <v>332</v>
      </c>
    </row>
    <row r="16" spans="1:13" x14ac:dyDescent="0.25">
      <c r="A16" t="s">
        <v>1280</v>
      </c>
      <c r="B16" t="s">
        <v>388</v>
      </c>
      <c r="C16" t="s">
        <v>304</v>
      </c>
      <c r="D16" t="s">
        <v>246</v>
      </c>
      <c r="E16" t="s">
        <v>389</v>
      </c>
      <c r="F16" t="s">
        <v>307</v>
      </c>
      <c r="G16" t="s">
        <v>429</v>
      </c>
      <c r="H16" t="s">
        <v>390</v>
      </c>
      <c r="I16" t="s">
        <v>310</v>
      </c>
      <c r="J16" t="s">
        <v>430</v>
      </c>
      <c r="K16" t="s">
        <v>342</v>
      </c>
      <c r="L16" t="s">
        <v>313</v>
      </c>
      <c r="M16" t="s">
        <v>431</v>
      </c>
    </row>
    <row r="17" spans="1:13" x14ac:dyDescent="0.25">
      <c r="A17" s="21" t="s">
        <v>432</v>
      </c>
      <c r="B17" t="s">
        <v>303</v>
      </c>
      <c r="C17" t="s">
        <v>393</v>
      </c>
      <c r="D17" t="s">
        <v>433</v>
      </c>
      <c r="E17" t="s">
        <v>306</v>
      </c>
      <c r="F17" t="s">
        <v>395</v>
      </c>
      <c r="G17" t="s">
        <v>434</v>
      </c>
      <c r="H17" t="s">
        <v>309</v>
      </c>
      <c r="I17" t="s">
        <v>398</v>
      </c>
      <c r="J17" t="s">
        <v>435</v>
      </c>
      <c r="K17" t="s">
        <v>312</v>
      </c>
      <c r="L17" t="s">
        <v>401</v>
      </c>
      <c r="M17" t="s">
        <v>436</v>
      </c>
    </row>
    <row r="18" spans="1:13" x14ac:dyDescent="0.25">
      <c r="A18" s="21" t="s">
        <v>437</v>
      </c>
      <c r="B18" t="s">
        <v>303</v>
      </c>
      <c r="C18" t="s">
        <v>393</v>
      </c>
      <c r="D18" t="s">
        <v>438</v>
      </c>
      <c r="E18" t="s">
        <v>306</v>
      </c>
      <c r="F18" t="s">
        <v>395</v>
      </c>
      <c r="G18" t="s">
        <v>439</v>
      </c>
      <c r="H18" t="s">
        <v>309</v>
      </c>
      <c r="I18" t="s">
        <v>398</v>
      </c>
      <c r="J18" t="s">
        <v>440</v>
      </c>
      <c r="K18" t="s">
        <v>312</v>
      </c>
      <c r="L18" t="s">
        <v>401</v>
      </c>
      <c r="M18" t="s">
        <v>441</v>
      </c>
    </row>
    <row r="19" spans="1:13" x14ac:dyDescent="0.25">
      <c r="A19" s="21" t="s">
        <v>443</v>
      </c>
      <c r="B19" t="s">
        <v>303</v>
      </c>
      <c r="C19" t="s">
        <v>393</v>
      </c>
      <c r="D19" t="s">
        <v>246</v>
      </c>
      <c r="E19" t="s">
        <v>306</v>
      </c>
      <c r="F19" t="s">
        <v>395</v>
      </c>
      <c r="G19" t="s">
        <v>429</v>
      </c>
      <c r="H19" t="s">
        <v>309</v>
      </c>
      <c r="I19" t="s">
        <v>398</v>
      </c>
      <c r="J19" t="s">
        <v>430</v>
      </c>
      <c r="K19" t="s">
        <v>312</v>
      </c>
      <c r="L19" t="s">
        <v>401</v>
      </c>
      <c r="M19" t="s">
        <v>431</v>
      </c>
    </row>
    <row r="20" spans="1:13" x14ac:dyDescent="0.25">
      <c r="A20" s="21" t="s">
        <v>1071</v>
      </c>
      <c r="B20" t="s">
        <v>392</v>
      </c>
      <c r="C20" t="s">
        <v>393</v>
      </c>
      <c r="D20" t="s">
        <v>449</v>
      </c>
      <c r="E20" t="s">
        <v>394</v>
      </c>
      <c r="F20" t="s">
        <v>395</v>
      </c>
      <c r="G20" t="s">
        <v>450</v>
      </c>
      <c r="H20" t="s">
        <v>397</v>
      </c>
      <c r="I20" t="s">
        <v>398</v>
      </c>
      <c r="J20" t="s">
        <v>451</v>
      </c>
      <c r="K20" s="12" t="s">
        <v>400</v>
      </c>
      <c r="L20" t="s">
        <v>401</v>
      </c>
      <c r="M20" t="s">
        <v>452</v>
      </c>
    </row>
    <row r="21" spans="1:13" x14ac:dyDescent="0.25">
      <c r="A21" s="21" t="s">
        <v>1073</v>
      </c>
      <c r="B21" t="s">
        <v>316</v>
      </c>
      <c r="C21" t="s">
        <v>404</v>
      </c>
      <c r="D21" t="s">
        <v>317</v>
      </c>
      <c r="E21" t="s">
        <v>318</v>
      </c>
      <c r="F21" t="s">
        <v>405</v>
      </c>
      <c r="G21" t="s">
        <v>319</v>
      </c>
      <c r="H21" t="s">
        <v>320</v>
      </c>
      <c r="I21" t="s">
        <v>406</v>
      </c>
      <c r="J21" t="s">
        <v>321</v>
      </c>
      <c r="K21" t="s">
        <v>322</v>
      </c>
      <c r="L21" t="s">
        <v>407</v>
      </c>
      <c r="M21" t="s">
        <v>323</v>
      </c>
    </row>
    <row r="22" spans="1:13" x14ac:dyDescent="0.25">
      <c r="A22" t="s">
        <v>1292</v>
      </c>
      <c r="B22" t="s">
        <v>392</v>
      </c>
      <c r="C22" t="s">
        <v>404</v>
      </c>
      <c r="D22" t="s">
        <v>506</v>
      </c>
      <c r="E22" t="s">
        <v>394</v>
      </c>
      <c r="F22" t="s">
        <v>405</v>
      </c>
      <c r="G22" t="s">
        <v>510</v>
      </c>
      <c r="H22" t="s">
        <v>397</v>
      </c>
      <c r="I22" t="s">
        <v>406</v>
      </c>
      <c r="J22" t="s">
        <v>511</v>
      </c>
      <c r="K22" t="s">
        <v>400</v>
      </c>
      <c r="L22" t="s">
        <v>407</v>
      </c>
      <c r="M22" t="s">
        <v>512</v>
      </c>
    </row>
    <row r="23" spans="1:13" x14ac:dyDescent="0.25">
      <c r="A23" t="s">
        <v>1293</v>
      </c>
      <c r="B23" t="s">
        <v>303</v>
      </c>
      <c r="C23" t="s">
        <v>393</v>
      </c>
      <c r="D23" t="s">
        <v>246</v>
      </c>
      <c r="E23" t="s">
        <v>306</v>
      </c>
      <c r="F23" t="s">
        <v>395</v>
      </c>
      <c r="G23" t="s">
        <v>429</v>
      </c>
      <c r="H23" t="s">
        <v>309</v>
      </c>
      <c r="I23" t="s">
        <v>398</v>
      </c>
      <c r="J23" t="s">
        <v>430</v>
      </c>
      <c r="K23" t="s">
        <v>312</v>
      </c>
      <c r="L23" t="s">
        <v>401</v>
      </c>
      <c r="M23" t="s">
        <v>431</v>
      </c>
    </row>
    <row r="24" spans="1:13" x14ac:dyDescent="0.25">
      <c r="A24" t="s">
        <v>1294</v>
      </c>
      <c r="B24" t="s">
        <v>316</v>
      </c>
      <c r="C24" t="s">
        <v>325</v>
      </c>
      <c r="D24" t="s">
        <v>1440</v>
      </c>
      <c r="E24" t="s">
        <v>318</v>
      </c>
      <c r="F24" t="s">
        <v>327</v>
      </c>
      <c r="G24" t="s">
        <v>1441</v>
      </c>
      <c r="H24" t="s">
        <v>320</v>
      </c>
      <c r="I24" t="s">
        <v>329</v>
      </c>
      <c r="J24" t="s">
        <v>1442</v>
      </c>
      <c r="K24" t="s">
        <v>322</v>
      </c>
      <c r="L24" t="s">
        <v>331</v>
      </c>
      <c r="M24" t="s">
        <v>1443</v>
      </c>
    </row>
    <row r="25" spans="1:13" x14ac:dyDescent="0.25">
      <c r="A25" s="21" t="s">
        <v>487</v>
      </c>
      <c r="B25" t="s">
        <v>388</v>
      </c>
      <c r="C25" t="s">
        <v>304</v>
      </c>
      <c r="D25" t="s">
        <v>426</v>
      </c>
      <c r="E25" t="s">
        <v>389</v>
      </c>
      <c r="F25" t="s">
        <v>307</v>
      </c>
      <c r="G25" t="s">
        <v>488</v>
      </c>
      <c r="H25" t="s">
        <v>390</v>
      </c>
      <c r="I25" t="s">
        <v>310</v>
      </c>
      <c r="J25" t="s">
        <v>489</v>
      </c>
      <c r="K25" t="s">
        <v>342</v>
      </c>
      <c r="L25" t="s">
        <v>313</v>
      </c>
      <c r="M25" t="s">
        <v>490</v>
      </c>
    </row>
    <row r="26" spans="1:13" x14ac:dyDescent="0.25">
      <c r="A26" s="21" t="s">
        <v>491</v>
      </c>
      <c r="B26" t="s">
        <v>388</v>
      </c>
      <c r="C26" t="s">
        <v>325</v>
      </c>
      <c r="D26" t="s">
        <v>246</v>
      </c>
      <c r="E26" t="s">
        <v>389</v>
      </c>
      <c r="F26" t="s">
        <v>327</v>
      </c>
      <c r="G26" t="s">
        <v>429</v>
      </c>
      <c r="H26" t="s">
        <v>390</v>
      </c>
      <c r="I26" t="s">
        <v>329</v>
      </c>
      <c r="J26" t="s">
        <v>430</v>
      </c>
      <c r="K26" t="s">
        <v>342</v>
      </c>
      <c r="L26" t="s">
        <v>331</v>
      </c>
      <c r="M26" t="s">
        <v>431</v>
      </c>
    </row>
    <row r="27" spans="1:13" x14ac:dyDescent="0.25">
      <c r="A27" s="21" t="s">
        <v>492</v>
      </c>
      <c r="B27" t="s">
        <v>316</v>
      </c>
      <c r="C27" t="s">
        <v>404</v>
      </c>
      <c r="D27" t="s">
        <v>317</v>
      </c>
      <c r="E27" t="s">
        <v>318</v>
      </c>
      <c r="F27" t="s">
        <v>405</v>
      </c>
      <c r="G27" t="s">
        <v>319</v>
      </c>
      <c r="H27" t="s">
        <v>320</v>
      </c>
      <c r="I27" t="s">
        <v>406</v>
      </c>
      <c r="J27" t="s">
        <v>321</v>
      </c>
      <c r="K27" t="s">
        <v>322</v>
      </c>
      <c r="L27" t="s">
        <v>407</v>
      </c>
      <c r="M27" t="s">
        <v>323</v>
      </c>
    </row>
    <row r="28" spans="1:13" x14ac:dyDescent="0.25">
      <c r="A28" s="21" t="s">
        <v>493</v>
      </c>
      <c r="B28" t="s">
        <v>303</v>
      </c>
      <c r="C28" t="s">
        <v>393</v>
      </c>
      <c r="D28" t="s">
        <v>246</v>
      </c>
      <c r="E28" t="s">
        <v>306</v>
      </c>
      <c r="F28" t="s">
        <v>395</v>
      </c>
      <c r="G28" t="s">
        <v>429</v>
      </c>
      <c r="H28" t="s">
        <v>309</v>
      </c>
      <c r="I28" t="s">
        <v>398</v>
      </c>
      <c r="J28" t="s">
        <v>430</v>
      </c>
      <c r="K28" t="s">
        <v>312</v>
      </c>
      <c r="L28" t="s">
        <v>401</v>
      </c>
      <c r="M28" t="s">
        <v>431</v>
      </c>
    </row>
    <row r="29" spans="1:13" x14ac:dyDescent="0.25">
      <c r="A29" s="21" t="s">
        <v>494</v>
      </c>
      <c r="B29" t="s">
        <v>303</v>
      </c>
      <c r="C29" t="s">
        <v>304</v>
      </c>
      <c r="D29" t="s">
        <v>438</v>
      </c>
      <c r="E29" t="s">
        <v>306</v>
      </c>
      <c r="F29" t="s">
        <v>307</v>
      </c>
      <c r="G29" t="s">
        <v>439</v>
      </c>
      <c r="H29" t="s">
        <v>309</v>
      </c>
      <c r="I29" t="s">
        <v>310</v>
      </c>
      <c r="J29" t="s">
        <v>440</v>
      </c>
      <c r="K29" t="s">
        <v>312</v>
      </c>
      <c r="L29" t="s">
        <v>313</v>
      </c>
      <c r="M29" t="s">
        <v>441</v>
      </c>
    </row>
    <row r="30" spans="1:13" x14ac:dyDescent="0.25">
      <c r="A30" s="21" t="s">
        <v>495</v>
      </c>
      <c r="B30" t="s">
        <v>392</v>
      </c>
      <c r="C30" t="s">
        <v>325</v>
      </c>
      <c r="D30" t="s">
        <v>438</v>
      </c>
      <c r="E30" t="s">
        <v>394</v>
      </c>
      <c r="F30" t="s">
        <v>327</v>
      </c>
      <c r="G30" t="s">
        <v>439</v>
      </c>
      <c r="H30" t="s">
        <v>397</v>
      </c>
      <c r="I30" t="s">
        <v>329</v>
      </c>
      <c r="J30" t="s">
        <v>440</v>
      </c>
      <c r="K30" t="s">
        <v>400</v>
      </c>
      <c r="L30" t="s">
        <v>331</v>
      </c>
      <c r="M30" t="s">
        <v>441</v>
      </c>
    </row>
    <row r="31" spans="1:13" x14ac:dyDescent="0.25">
      <c r="A31" t="s">
        <v>1287</v>
      </c>
      <c r="B31" t="s">
        <v>388</v>
      </c>
      <c r="C31" t="s">
        <v>304</v>
      </c>
      <c r="D31" t="s">
        <v>246</v>
      </c>
      <c r="E31" t="s">
        <v>389</v>
      </c>
      <c r="F31" t="s">
        <v>307</v>
      </c>
      <c r="G31" t="s">
        <v>429</v>
      </c>
      <c r="H31" t="s">
        <v>390</v>
      </c>
      <c r="I31" t="s">
        <v>310</v>
      </c>
      <c r="J31" t="s">
        <v>430</v>
      </c>
      <c r="K31" t="s">
        <v>342</v>
      </c>
      <c r="L31" t="s">
        <v>313</v>
      </c>
      <c r="M31" t="s">
        <v>431</v>
      </c>
    </row>
    <row r="32" spans="1:13" x14ac:dyDescent="0.25">
      <c r="A32" s="21" t="s">
        <v>509</v>
      </c>
      <c r="B32" t="s">
        <v>316</v>
      </c>
      <c r="C32" t="s">
        <v>325</v>
      </c>
      <c r="D32" t="s">
        <v>506</v>
      </c>
      <c r="E32" t="s">
        <v>318</v>
      </c>
      <c r="F32" t="s">
        <v>327</v>
      </c>
      <c r="G32" t="s">
        <v>510</v>
      </c>
      <c r="H32" t="s">
        <v>320</v>
      </c>
      <c r="I32" t="s">
        <v>329</v>
      </c>
      <c r="J32" t="s">
        <v>511</v>
      </c>
      <c r="K32" t="s">
        <v>322</v>
      </c>
      <c r="L32" t="s">
        <v>331</v>
      </c>
      <c r="M32" t="s">
        <v>512</v>
      </c>
    </row>
    <row r="33" spans="1:13" x14ac:dyDescent="0.25">
      <c r="A33" s="21" t="s">
        <v>513</v>
      </c>
      <c r="B33" t="s">
        <v>400</v>
      </c>
      <c r="D33" t="s">
        <v>246</v>
      </c>
      <c r="E33" t="s">
        <v>514</v>
      </c>
      <c r="G33" t="s">
        <v>429</v>
      </c>
      <c r="H33" t="s">
        <v>515</v>
      </c>
      <c r="J33" t="s">
        <v>430</v>
      </c>
      <c r="K33" t="s">
        <v>516</v>
      </c>
      <c r="M33" t="s">
        <v>431</v>
      </c>
    </row>
    <row r="34" spans="1:13" x14ac:dyDescent="0.25">
      <c r="A34" s="21" t="s">
        <v>517</v>
      </c>
      <c r="B34" t="s">
        <v>388</v>
      </c>
      <c r="C34" t="s">
        <v>304</v>
      </c>
      <c r="D34" t="s">
        <v>506</v>
      </c>
      <c r="E34" t="s">
        <v>389</v>
      </c>
      <c r="F34" t="s">
        <v>307</v>
      </c>
      <c r="G34" t="s">
        <v>510</v>
      </c>
      <c r="H34" t="s">
        <v>390</v>
      </c>
      <c r="I34" t="s">
        <v>310</v>
      </c>
      <c r="J34" t="s">
        <v>511</v>
      </c>
      <c r="K34" t="s">
        <v>342</v>
      </c>
      <c r="L34" t="s">
        <v>313</v>
      </c>
      <c r="M34" t="s">
        <v>512</v>
      </c>
    </row>
    <row r="35" spans="1:13" x14ac:dyDescent="0.25">
      <c r="A35" s="21" t="s">
        <v>534</v>
      </c>
      <c r="B35" t="s">
        <v>316</v>
      </c>
      <c r="C35" t="s">
        <v>404</v>
      </c>
      <c r="D35" t="s">
        <v>535</v>
      </c>
      <c r="E35" t="s">
        <v>318</v>
      </c>
      <c r="F35" t="s">
        <v>405</v>
      </c>
      <c r="G35" t="s">
        <v>536</v>
      </c>
      <c r="H35" t="s">
        <v>320</v>
      </c>
      <c r="I35" t="s">
        <v>406</v>
      </c>
      <c r="J35" t="s">
        <v>537</v>
      </c>
      <c r="K35" t="s">
        <v>322</v>
      </c>
      <c r="L35" t="s">
        <v>407</v>
      </c>
      <c r="M35" t="s">
        <v>538</v>
      </c>
    </row>
    <row r="36" spans="1:13" x14ac:dyDescent="0.25">
      <c r="A36" s="21" t="s">
        <v>539</v>
      </c>
      <c r="B36" t="s">
        <v>342</v>
      </c>
      <c r="D36" t="s">
        <v>527</v>
      </c>
      <c r="E36" t="s">
        <v>344</v>
      </c>
      <c r="G36" t="s">
        <v>540</v>
      </c>
      <c r="H36" t="s">
        <v>346</v>
      </c>
      <c r="J36" t="s">
        <v>541</v>
      </c>
      <c r="K36" t="s">
        <v>348</v>
      </c>
      <c r="M36" t="s">
        <v>542</v>
      </c>
    </row>
    <row r="37" spans="1:13" x14ac:dyDescent="0.25">
      <c r="A37" s="21" t="s">
        <v>543</v>
      </c>
      <c r="B37" t="s">
        <v>388</v>
      </c>
      <c r="C37" t="s">
        <v>304</v>
      </c>
      <c r="D37" t="s">
        <v>544</v>
      </c>
      <c r="E37" t="s">
        <v>389</v>
      </c>
      <c r="F37" t="s">
        <v>307</v>
      </c>
      <c r="G37" t="s">
        <v>545</v>
      </c>
      <c r="H37" t="s">
        <v>390</v>
      </c>
      <c r="I37" t="s">
        <v>310</v>
      </c>
      <c r="J37" t="s">
        <v>546</v>
      </c>
      <c r="K37" t="s">
        <v>342</v>
      </c>
      <c r="L37" t="s">
        <v>313</v>
      </c>
      <c r="M37" t="s">
        <v>547</v>
      </c>
    </row>
    <row r="38" spans="1:13" x14ac:dyDescent="0.25">
      <c r="A38" s="21" t="s">
        <v>102</v>
      </c>
      <c r="B38" t="s">
        <v>316</v>
      </c>
      <c r="C38" t="s">
        <v>404</v>
      </c>
      <c r="D38" t="s">
        <v>548</v>
      </c>
      <c r="E38" t="s">
        <v>318</v>
      </c>
      <c r="F38" t="s">
        <v>405</v>
      </c>
      <c r="G38" t="s">
        <v>549</v>
      </c>
      <c r="H38" t="s">
        <v>320</v>
      </c>
      <c r="I38" t="s">
        <v>406</v>
      </c>
      <c r="J38" t="s">
        <v>550</v>
      </c>
      <c r="K38" t="s">
        <v>322</v>
      </c>
      <c r="L38" t="s">
        <v>407</v>
      </c>
      <c r="M38" t="s">
        <v>551</v>
      </c>
    </row>
    <row r="39" spans="1:13" x14ac:dyDescent="0.25">
      <c r="A39" s="21" t="s">
        <v>552</v>
      </c>
      <c r="B39" t="s">
        <v>322</v>
      </c>
      <c r="D39" t="s">
        <v>548</v>
      </c>
      <c r="E39" t="s">
        <v>335</v>
      </c>
      <c r="G39" t="s">
        <v>549</v>
      </c>
      <c r="H39" t="s">
        <v>337</v>
      </c>
      <c r="J39" t="s">
        <v>550</v>
      </c>
      <c r="K39" t="s">
        <v>339</v>
      </c>
      <c r="M39" t="s">
        <v>551</v>
      </c>
    </row>
    <row r="40" spans="1:13" x14ac:dyDescent="0.25">
      <c r="A40" s="21" t="s">
        <v>560</v>
      </c>
      <c r="B40" t="s">
        <v>322</v>
      </c>
      <c r="D40" t="s">
        <v>506</v>
      </c>
      <c r="E40" t="s">
        <v>335</v>
      </c>
      <c r="G40" t="s">
        <v>510</v>
      </c>
      <c r="H40" t="s">
        <v>337</v>
      </c>
      <c r="J40" t="s">
        <v>511</v>
      </c>
      <c r="K40" t="s">
        <v>339</v>
      </c>
      <c r="M40" t="s">
        <v>512</v>
      </c>
    </row>
    <row r="41" spans="1:13" x14ac:dyDescent="0.25">
      <c r="A41" s="21" t="s">
        <v>561</v>
      </c>
      <c r="B41" t="s">
        <v>316</v>
      </c>
      <c r="C41" t="s">
        <v>404</v>
      </c>
      <c r="D41" t="s">
        <v>343</v>
      </c>
      <c r="E41" t="s">
        <v>318</v>
      </c>
      <c r="F41" t="s">
        <v>405</v>
      </c>
      <c r="G41" t="s">
        <v>345</v>
      </c>
      <c r="H41" t="s">
        <v>320</v>
      </c>
      <c r="I41" t="s">
        <v>406</v>
      </c>
      <c r="J41" t="s">
        <v>347</v>
      </c>
      <c r="K41" t="s">
        <v>322</v>
      </c>
      <c r="L41" t="s">
        <v>407</v>
      </c>
      <c r="M41" t="s">
        <v>349</v>
      </c>
    </row>
    <row r="42" spans="1:13" x14ac:dyDescent="0.25">
      <c r="A42" s="21" t="s">
        <v>562</v>
      </c>
      <c r="B42" t="s">
        <v>303</v>
      </c>
      <c r="C42" t="s">
        <v>393</v>
      </c>
      <c r="D42" t="s">
        <v>343</v>
      </c>
      <c r="E42" t="s">
        <v>306</v>
      </c>
      <c r="F42" t="s">
        <v>395</v>
      </c>
      <c r="G42" t="s">
        <v>345</v>
      </c>
      <c r="H42" t="s">
        <v>309</v>
      </c>
      <c r="I42" t="s">
        <v>398</v>
      </c>
      <c r="J42" t="s">
        <v>347</v>
      </c>
      <c r="K42" t="s">
        <v>312</v>
      </c>
      <c r="L42" t="s">
        <v>401</v>
      </c>
      <c r="M42" t="s">
        <v>349</v>
      </c>
    </row>
    <row r="43" spans="1:13" x14ac:dyDescent="0.25">
      <c r="A43" t="s">
        <v>1282</v>
      </c>
      <c r="B43" t="s">
        <v>303</v>
      </c>
      <c r="C43" t="s">
        <v>393</v>
      </c>
      <c r="D43" t="s">
        <v>334</v>
      </c>
      <c r="E43" t="s">
        <v>306</v>
      </c>
      <c r="F43" t="s">
        <v>395</v>
      </c>
      <c r="G43" t="s">
        <v>336</v>
      </c>
      <c r="H43" t="s">
        <v>309</v>
      </c>
      <c r="I43" t="s">
        <v>398</v>
      </c>
      <c r="J43" t="s">
        <v>338</v>
      </c>
      <c r="K43" t="s">
        <v>312</v>
      </c>
      <c r="L43" t="s">
        <v>401</v>
      </c>
      <c r="M43" t="s">
        <v>340</v>
      </c>
    </row>
    <row r="44" spans="1:13" x14ac:dyDescent="0.25">
      <c r="A44" s="21" t="s">
        <v>570</v>
      </c>
      <c r="B44" t="s">
        <v>316</v>
      </c>
      <c r="C44" t="s">
        <v>325</v>
      </c>
      <c r="D44" t="s">
        <v>246</v>
      </c>
      <c r="E44" t="s">
        <v>318</v>
      </c>
      <c r="F44" t="s">
        <v>327</v>
      </c>
      <c r="G44" t="s">
        <v>429</v>
      </c>
      <c r="H44" t="s">
        <v>320</v>
      </c>
      <c r="I44" t="s">
        <v>329</v>
      </c>
      <c r="J44" t="s">
        <v>430</v>
      </c>
      <c r="K44" t="s">
        <v>322</v>
      </c>
      <c r="L44" t="s">
        <v>331</v>
      </c>
      <c r="M44" t="s">
        <v>431</v>
      </c>
    </row>
    <row r="45" spans="1:13" x14ac:dyDescent="0.25">
      <c r="A45" s="21" t="s">
        <v>571</v>
      </c>
      <c r="B45" t="s">
        <v>303</v>
      </c>
      <c r="C45" t="s">
        <v>393</v>
      </c>
      <c r="D45" t="s">
        <v>343</v>
      </c>
      <c r="E45" t="s">
        <v>306</v>
      </c>
      <c r="F45" t="s">
        <v>395</v>
      </c>
      <c r="G45" t="s">
        <v>345</v>
      </c>
      <c r="H45" t="s">
        <v>309</v>
      </c>
      <c r="I45" t="s">
        <v>398</v>
      </c>
      <c r="J45" t="s">
        <v>347</v>
      </c>
      <c r="K45" t="s">
        <v>312</v>
      </c>
      <c r="L45" t="s">
        <v>401</v>
      </c>
      <c r="M45" t="s">
        <v>349</v>
      </c>
    </row>
    <row r="46" spans="1:13" x14ac:dyDescent="0.25">
      <c r="A46" s="21" t="s">
        <v>572</v>
      </c>
      <c r="B46" t="s">
        <v>316</v>
      </c>
      <c r="C46" t="s">
        <v>404</v>
      </c>
      <c r="D46" t="s">
        <v>343</v>
      </c>
      <c r="E46" t="s">
        <v>318</v>
      </c>
      <c r="F46" t="s">
        <v>405</v>
      </c>
      <c r="G46" t="s">
        <v>345</v>
      </c>
      <c r="H46" t="s">
        <v>320</v>
      </c>
      <c r="I46" t="s">
        <v>406</v>
      </c>
      <c r="J46" t="s">
        <v>347</v>
      </c>
      <c r="K46" s="12" t="s">
        <v>322</v>
      </c>
      <c r="L46" t="s">
        <v>407</v>
      </c>
      <c r="M46" t="s">
        <v>349</v>
      </c>
    </row>
    <row r="47" spans="1:13" x14ac:dyDescent="0.25">
      <c r="A47" s="21" t="s">
        <v>573</v>
      </c>
      <c r="B47" t="s">
        <v>303</v>
      </c>
      <c r="C47" t="s">
        <v>393</v>
      </c>
      <c r="D47" t="s">
        <v>506</v>
      </c>
      <c r="E47" t="s">
        <v>306</v>
      </c>
      <c r="F47" t="s">
        <v>395</v>
      </c>
      <c r="G47" t="s">
        <v>510</v>
      </c>
      <c r="H47" t="s">
        <v>309</v>
      </c>
      <c r="I47" t="s">
        <v>398</v>
      </c>
      <c r="J47" t="s">
        <v>511</v>
      </c>
      <c r="K47" t="s">
        <v>312</v>
      </c>
      <c r="L47" t="s">
        <v>401</v>
      </c>
      <c r="M47" t="s">
        <v>512</v>
      </c>
    </row>
    <row r="48" spans="1:13" x14ac:dyDescent="0.25">
      <c r="A48" s="21" t="s">
        <v>576</v>
      </c>
      <c r="B48" t="s">
        <v>342</v>
      </c>
      <c r="D48" t="s">
        <v>334</v>
      </c>
      <c r="E48" t="s">
        <v>344</v>
      </c>
      <c r="G48" t="s">
        <v>336</v>
      </c>
      <c r="H48" t="s">
        <v>346</v>
      </c>
      <c r="J48" t="s">
        <v>338</v>
      </c>
      <c r="K48" t="s">
        <v>348</v>
      </c>
      <c r="M48" t="s">
        <v>340</v>
      </c>
    </row>
    <row r="49" spans="1:13" x14ac:dyDescent="0.25">
      <c r="A49" s="21" t="s">
        <v>577</v>
      </c>
      <c r="B49" t="s">
        <v>400</v>
      </c>
      <c r="D49" t="s">
        <v>506</v>
      </c>
      <c r="E49" t="s">
        <v>514</v>
      </c>
      <c r="G49" t="s">
        <v>510</v>
      </c>
      <c r="H49" t="s">
        <v>515</v>
      </c>
      <c r="J49" t="s">
        <v>511</v>
      </c>
      <c r="K49" t="s">
        <v>516</v>
      </c>
      <c r="M49" t="s">
        <v>512</v>
      </c>
    </row>
    <row r="50" spans="1:13" x14ac:dyDescent="0.25">
      <c r="A50" s="21" t="s">
        <v>578</v>
      </c>
      <c r="B50" t="s">
        <v>392</v>
      </c>
      <c r="C50" t="s">
        <v>325</v>
      </c>
      <c r="D50" t="s">
        <v>506</v>
      </c>
      <c r="E50" t="s">
        <v>394</v>
      </c>
      <c r="F50" t="s">
        <v>327</v>
      </c>
      <c r="G50" t="s">
        <v>510</v>
      </c>
      <c r="H50" t="s">
        <v>397</v>
      </c>
      <c r="I50" t="s">
        <v>329</v>
      </c>
      <c r="J50" t="s">
        <v>511</v>
      </c>
      <c r="K50" t="s">
        <v>400</v>
      </c>
      <c r="L50" t="s">
        <v>331</v>
      </c>
      <c r="M50" t="s">
        <v>512</v>
      </c>
    </row>
    <row r="51" spans="1:13" x14ac:dyDescent="0.25">
      <c r="A51" s="21" t="s">
        <v>582</v>
      </c>
      <c r="B51" t="s">
        <v>388</v>
      </c>
      <c r="C51" t="s">
        <v>304</v>
      </c>
      <c r="D51" t="s">
        <v>532</v>
      </c>
      <c r="E51" t="s">
        <v>389</v>
      </c>
      <c r="F51" t="s">
        <v>307</v>
      </c>
      <c r="G51" t="s">
        <v>583</v>
      </c>
      <c r="H51" t="s">
        <v>390</v>
      </c>
      <c r="I51" t="s">
        <v>310</v>
      </c>
      <c r="J51" t="s">
        <v>584</v>
      </c>
      <c r="K51" t="s">
        <v>342</v>
      </c>
      <c r="L51" t="s">
        <v>313</v>
      </c>
      <c r="M51" t="s">
        <v>585</v>
      </c>
    </row>
    <row r="52" spans="1:13" x14ac:dyDescent="0.25">
      <c r="A52" s="21" t="s">
        <v>586</v>
      </c>
      <c r="B52" t="s">
        <v>392</v>
      </c>
      <c r="C52" t="s">
        <v>404</v>
      </c>
      <c r="D52" t="s">
        <v>527</v>
      </c>
      <c r="E52" t="s">
        <v>394</v>
      </c>
      <c r="F52" t="s">
        <v>405</v>
      </c>
      <c r="G52" t="s">
        <v>540</v>
      </c>
      <c r="H52" t="s">
        <v>397</v>
      </c>
      <c r="I52" t="s">
        <v>406</v>
      </c>
      <c r="J52" t="s">
        <v>541</v>
      </c>
      <c r="K52" s="12" t="s">
        <v>400</v>
      </c>
      <c r="L52" t="s">
        <v>407</v>
      </c>
      <c r="M52" t="s">
        <v>542</v>
      </c>
    </row>
    <row r="53" spans="1:13" x14ac:dyDescent="0.25">
      <c r="A53" s="21" t="s">
        <v>587</v>
      </c>
      <c r="B53" t="s">
        <v>392</v>
      </c>
      <c r="C53" t="s">
        <v>393</v>
      </c>
      <c r="D53" t="s">
        <v>532</v>
      </c>
      <c r="E53" t="s">
        <v>394</v>
      </c>
      <c r="F53" t="s">
        <v>395</v>
      </c>
      <c r="G53" t="s">
        <v>583</v>
      </c>
      <c r="H53" t="s">
        <v>397</v>
      </c>
      <c r="I53" t="s">
        <v>398</v>
      </c>
      <c r="J53" t="s">
        <v>584</v>
      </c>
      <c r="K53" t="s">
        <v>400</v>
      </c>
      <c r="L53" t="s">
        <v>401</v>
      </c>
      <c r="M53" t="s">
        <v>585</v>
      </c>
    </row>
    <row r="54" spans="1:13" x14ac:dyDescent="0.25">
      <c r="A54" s="21" t="s">
        <v>588</v>
      </c>
      <c r="B54" t="s">
        <v>228</v>
      </c>
      <c r="D54" t="s">
        <v>589</v>
      </c>
      <c r="E54" t="s">
        <v>230</v>
      </c>
      <c r="G54" t="s">
        <v>590</v>
      </c>
      <c r="H54" t="s">
        <v>232</v>
      </c>
      <c r="J54" t="s">
        <v>591</v>
      </c>
      <c r="K54" t="s">
        <v>234</v>
      </c>
      <c r="M54" t="s">
        <v>592</v>
      </c>
    </row>
    <row r="55" spans="1:13" x14ac:dyDescent="0.25">
      <c r="A55" s="21" t="s">
        <v>593</v>
      </c>
      <c r="B55" t="s">
        <v>445</v>
      </c>
      <c r="D55" t="s">
        <v>594</v>
      </c>
      <c r="E55" t="s">
        <v>446</v>
      </c>
      <c r="G55" t="s">
        <v>595</v>
      </c>
      <c r="H55" t="s">
        <v>447</v>
      </c>
      <c r="J55" t="s">
        <v>596</v>
      </c>
      <c r="K55" t="s">
        <v>448</v>
      </c>
      <c r="M55" t="s">
        <v>597</v>
      </c>
    </row>
    <row r="56" spans="1:13" x14ac:dyDescent="0.25">
      <c r="A56" s="21" t="s">
        <v>598</v>
      </c>
      <c r="B56" t="s">
        <v>291</v>
      </c>
      <c r="D56" t="s">
        <v>599</v>
      </c>
      <c r="E56" t="s">
        <v>294</v>
      </c>
      <c r="G56" t="s">
        <v>600</v>
      </c>
      <c r="H56" t="s">
        <v>297</v>
      </c>
      <c r="J56" t="s">
        <v>601</v>
      </c>
      <c r="K56" t="s">
        <v>300</v>
      </c>
      <c r="M56" t="s">
        <v>602</v>
      </c>
    </row>
    <row r="57" spans="1:13" x14ac:dyDescent="0.25">
      <c r="A57" s="21" t="s">
        <v>603</v>
      </c>
      <c r="B57" t="s">
        <v>379</v>
      </c>
      <c r="D57" t="s">
        <v>604</v>
      </c>
      <c r="E57" t="s">
        <v>381</v>
      </c>
      <c r="G57" t="s">
        <v>605</v>
      </c>
      <c r="H57" t="s">
        <v>383</v>
      </c>
      <c r="J57" t="s">
        <v>606</v>
      </c>
      <c r="K57" t="s">
        <v>384</v>
      </c>
      <c r="M57" t="s">
        <v>607</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AB5FC-EE8D-4E2D-A021-A4703D76CEBA}">
  <sheetPr codeName="Sheet13"/>
  <dimension ref="A2:B14"/>
  <sheetViews>
    <sheetView zoomScale="160" zoomScaleNormal="160" workbookViewId="0">
      <selection activeCell="A13" sqref="A13"/>
    </sheetView>
  </sheetViews>
  <sheetFormatPr defaultRowHeight="13.8" x14ac:dyDescent="0.25"/>
  <sheetData>
    <row r="2" spans="1:2" x14ac:dyDescent="0.25">
      <c r="A2" s="21" t="s">
        <v>113</v>
      </c>
      <c r="B2" t="s">
        <v>1324</v>
      </c>
    </row>
    <row r="3" spans="1:2" x14ac:dyDescent="0.25">
      <c r="A3" s="21" t="s">
        <v>114</v>
      </c>
      <c r="B3" t="s">
        <v>1325</v>
      </c>
    </row>
    <row r="4" spans="1:2" x14ac:dyDescent="0.25">
      <c r="A4" s="21" t="s">
        <v>115</v>
      </c>
      <c r="B4" t="s">
        <v>1326</v>
      </c>
    </row>
    <row r="5" spans="1:2" x14ac:dyDescent="0.25">
      <c r="A5" s="21" t="s">
        <v>116</v>
      </c>
      <c r="B5" t="s">
        <v>1327</v>
      </c>
    </row>
    <row r="6" spans="1:2" x14ac:dyDescent="0.25">
      <c r="A6" s="21" t="s">
        <v>1296</v>
      </c>
      <c r="B6" t="s">
        <v>1328</v>
      </c>
    </row>
    <row r="7" spans="1:2" x14ac:dyDescent="0.25">
      <c r="A7" s="21" t="s">
        <v>117</v>
      </c>
      <c r="B7" t="s">
        <v>1329</v>
      </c>
    </row>
    <row r="8" spans="1:2" x14ac:dyDescent="0.25">
      <c r="A8" s="21" t="s">
        <v>1295</v>
      </c>
      <c r="B8" t="s">
        <v>1323</v>
      </c>
    </row>
    <row r="9" spans="1:2" x14ac:dyDescent="0.25">
      <c r="A9" s="21" t="s">
        <v>118</v>
      </c>
      <c r="B9" t="s">
        <v>1243</v>
      </c>
    </row>
    <row r="10" spans="1:2" x14ac:dyDescent="0.25">
      <c r="A10" s="21" t="s">
        <v>119</v>
      </c>
      <c r="B10" t="s">
        <v>1331</v>
      </c>
    </row>
    <row r="11" spans="1:2" x14ac:dyDescent="0.25">
      <c r="A11" s="21" t="s">
        <v>120</v>
      </c>
      <c r="B11" t="s">
        <v>1330</v>
      </c>
    </row>
    <row r="12" spans="1:2" x14ac:dyDescent="0.25">
      <c r="A12" s="21" t="s">
        <v>1333</v>
      </c>
      <c r="B12" t="s">
        <v>1332</v>
      </c>
    </row>
    <row r="13" spans="1:2" x14ac:dyDescent="0.25">
      <c r="A13" s="21" t="s">
        <v>121</v>
      </c>
      <c r="B13" t="s">
        <v>180</v>
      </c>
    </row>
    <row r="14" spans="1:2" x14ac:dyDescent="0.25">
      <c r="A14" s="21" t="s">
        <v>122</v>
      </c>
      <c r="B14" t="s">
        <v>181</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A9367-9996-4C93-B88F-EE9C836B5292}">
  <sheetPr codeName="Sheet16"/>
  <dimension ref="A2:AS138"/>
  <sheetViews>
    <sheetView topLeftCell="A55" workbookViewId="0">
      <selection activeCell="G15" sqref="G15"/>
    </sheetView>
  </sheetViews>
  <sheetFormatPr defaultRowHeight="13.8" x14ac:dyDescent="0.25"/>
  <cols>
    <col min="1" max="1" width="21.77734375" customWidth="1"/>
    <col min="2" max="2" width="20.88671875" customWidth="1"/>
    <col min="3" max="3" width="14.33203125" customWidth="1"/>
    <col min="4" max="4" width="13.77734375" customWidth="1"/>
    <col min="5" max="5" width="12.88671875" customWidth="1"/>
    <col min="6" max="6" width="13.33203125" customWidth="1"/>
    <col min="7" max="7" width="24.21875" customWidth="1"/>
    <col min="8" max="8" width="23.44140625" customWidth="1"/>
    <col min="9" max="9" width="19.33203125" customWidth="1"/>
    <col min="10" max="10" width="23.6640625" customWidth="1"/>
    <col min="11" max="11" width="18.6640625" customWidth="1"/>
    <col min="12" max="12" width="16.33203125" customWidth="1"/>
    <col min="13" max="13" width="9.77734375" customWidth="1"/>
    <col min="14" max="14" width="13.33203125" customWidth="1"/>
    <col min="15" max="15" width="20.109375" customWidth="1"/>
    <col min="16" max="16" width="19.77734375" customWidth="1"/>
    <col min="19" max="19" width="10.6640625" customWidth="1"/>
    <col min="20" max="20" width="17.6640625" customWidth="1"/>
    <col min="21" max="21" width="14" customWidth="1"/>
    <col min="26" max="26" width="10.88671875" customWidth="1"/>
    <col min="30" max="30" width="11.44140625" customWidth="1"/>
    <col min="31" max="31" width="10.5546875" customWidth="1"/>
    <col min="35" max="35" width="12.109375" customWidth="1"/>
    <col min="42" max="42" width="8.88671875" customWidth="1"/>
    <col min="43" max="43" width="10.88671875" customWidth="1"/>
    <col min="44" max="44" width="19.21875" customWidth="1"/>
    <col min="45" max="45" width="10.6640625" customWidth="1"/>
  </cols>
  <sheetData>
    <row r="2" spans="14:17" x14ac:dyDescent="0.25">
      <c r="N2" t="s">
        <v>797</v>
      </c>
      <c r="P2" t="s">
        <v>798</v>
      </c>
      <c r="Q2" t="s">
        <v>222</v>
      </c>
    </row>
    <row r="20" spans="1:45" x14ac:dyDescent="0.25">
      <c r="C20">
        <f>SUM(C27:C35)</f>
        <v>227228.52600280003</v>
      </c>
    </row>
    <row r="22" spans="1:45" x14ac:dyDescent="0.25">
      <c r="C22">
        <f>SUM(C32:C33)</f>
        <v>63101.732108800017</v>
      </c>
    </row>
    <row r="24" spans="1:45" ht="14.4" thickBot="1" x14ac:dyDescent="0.3">
      <c r="A24" t="s">
        <v>686</v>
      </c>
      <c r="B24" t="s">
        <v>808</v>
      </c>
      <c r="C24" t="s">
        <v>809</v>
      </c>
      <c r="D24" t="s">
        <v>810</v>
      </c>
      <c r="E24" t="s">
        <v>811</v>
      </c>
      <c r="F24" s="47" t="s">
        <v>784</v>
      </c>
      <c r="G24" s="47" t="s">
        <v>812</v>
      </c>
      <c r="H24" s="47" t="s">
        <v>813</v>
      </c>
      <c r="I24" s="47" t="s">
        <v>814</v>
      </c>
      <c r="J24" s="47" t="s">
        <v>815</v>
      </c>
      <c r="K24" s="47" t="s">
        <v>816</v>
      </c>
      <c r="L24" s="47" t="s">
        <v>817</v>
      </c>
      <c r="M24" s="47" t="s">
        <v>818</v>
      </c>
      <c r="N24" s="47" t="s">
        <v>819</v>
      </c>
      <c r="O24" s="47" t="s">
        <v>820</v>
      </c>
      <c r="P24" s="47" t="s">
        <v>821</v>
      </c>
      <c r="Q24" s="47" t="s">
        <v>822</v>
      </c>
      <c r="R24" s="47" t="s">
        <v>823</v>
      </c>
      <c r="S24" s="47" t="s">
        <v>824</v>
      </c>
      <c r="T24" s="47" t="s">
        <v>825</v>
      </c>
      <c r="U24" s="46" t="s">
        <v>755</v>
      </c>
      <c r="V24" s="46" t="s">
        <v>826</v>
      </c>
      <c r="W24" s="46" t="s">
        <v>827</v>
      </c>
      <c r="X24" s="46" t="s">
        <v>828</v>
      </c>
      <c r="Y24" s="46" t="s">
        <v>829</v>
      </c>
      <c r="Z24" s="53" t="s">
        <v>785</v>
      </c>
      <c r="AA24" s="53" t="s">
        <v>830</v>
      </c>
      <c r="AB24" s="53" t="s">
        <v>831</v>
      </c>
      <c r="AC24" s="53" t="s">
        <v>832</v>
      </c>
      <c r="AD24" s="54" t="s">
        <v>154</v>
      </c>
      <c r="AE24" s="54" t="s">
        <v>833</v>
      </c>
      <c r="AF24" s="54" t="s">
        <v>834</v>
      </c>
      <c r="AG24" s="54" t="s">
        <v>835</v>
      </c>
      <c r="AH24" s="54" t="s">
        <v>836</v>
      </c>
      <c r="AI24" s="54" t="s">
        <v>837</v>
      </c>
      <c r="AJ24" s="47" t="s">
        <v>161</v>
      </c>
      <c r="AK24" s="47" t="s">
        <v>838</v>
      </c>
      <c r="AL24" s="47" t="s">
        <v>839</v>
      </c>
      <c r="AM24" s="47" t="s">
        <v>840</v>
      </c>
      <c r="AN24" s="47" t="s">
        <v>841</v>
      </c>
      <c r="AO24" s="47" t="s">
        <v>842</v>
      </c>
      <c r="AP24" s="47" t="s">
        <v>843</v>
      </c>
      <c r="AQ24" s="57" t="s">
        <v>796</v>
      </c>
      <c r="AR24" s="57" t="s">
        <v>844</v>
      </c>
      <c r="AS24" s="57" t="s">
        <v>845</v>
      </c>
    </row>
    <row r="25" spans="1:45" x14ac:dyDescent="0.25">
      <c r="A25" t="s">
        <v>704</v>
      </c>
      <c r="B25" t="s">
        <v>793</v>
      </c>
      <c r="C25" t="s">
        <v>792</v>
      </c>
      <c r="D25" t="s">
        <v>794</v>
      </c>
      <c r="E25" s="36" t="s">
        <v>786</v>
      </c>
      <c r="F25" s="49" t="s">
        <v>197</v>
      </c>
      <c r="G25" s="49" t="s">
        <v>781</v>
      </c>
      <c r="H25" s="49" t="s">
        <v>782</v>
      </c>
      <c r="I25" s="49" t="s">
        <v>783</v>
      </c>
      <c r="J25" s="48" t="s">
        <v>770</v>
      </c>
      <c r="K25" s="39" t="s">
        <v>771</v>
      </c>
      <c r="L25" s="39" t="s">
        <v>772</v>
      </c>
      <c r="M25" s="39" t="s">
        <v>773</v>
      </c>
      <c r="N25" s="39" t="s">
        <v>774</v>
      </c>
      <c r="O25" s="39" t="s">
        <v>775</v>
      </c>
      <c r="P25" s="39" t="s">
        <v>776</v>
      </c>
      <c r="Q25" s="39" t="s">
        <v>777</v>
      </c>
      <c r="R25" s="39" t="s">
        <v>778</v>
      </c>
      <c r="S25" s="39" t="s">
        <v>779</v>
      </c>
      <c r="T25" s="39" t="s">
        <v>780</v>
      </c>
      <c r="U25" s="51" t="s">
        <v>92</v>
      </c>
      <c r="V25" s="51" t="s">
        <v>94</v>
      </c>
      <c r="W25" s="51" t="s">
        <v>95</v>
      </c>
      <c r="X25" s="51" t="s">
        <v>93</v>
      </c>
      <c r="Y25" s="51" t="s">
        <v>807</v>
      </c>
      <c r="Z25" s="44" t="s">
        <v>688</v>
      </c>
      <c r="AA25" s="44" t="s">
        <v>689</v>
      </c>
      <c r="AB25" s="44" t="s">
        <v>690</v>
      </c>
      <c r="AC25" s="44" t="s">
        <v>163</v>
      </c>
      <c r="AD25" s="50" t="s">
        <v>707</v>
      </c>
      <c r="AE25" s="44" t="s">
        <v>153</v>
      </c>
      <c r="AF25" s="44" t="s">
        <v>76</v>
      </c>
      <c r="AG25" s="44" t="s">
        <v>77</v>
      </c>
      <c r="AH25" s="44" t="s">
        <v>78</v>
      </c>
      <c r="AI25" s="44" t="s">
        <v>703</v>
      </c>
      <c r="AJ25" s="44" t="s">
        <v>83</v>
      </c>
      <c r="AK25" s="44" t="s">
        <v>80</v>
      </c>
      <c r="AL25" s="44" t="s">
        <v>79</v>
      </c>
      <c r="AM25" s="44" t="s">
        <v>691</v>
      </c>
      <c r="AN25" s="44" t="s">
        <v>694</v>
      </c>
      <c r="AO25" s="44" t="s">
        <v>693</v>
      </c>
      <c r="AP25" s="45" t="s">
        <v>692</v>
      </c>
      <c r="AQ25" s="55" t="s">
        <v>789</v>
      </c>
      <c r="AR25" s="56" t="s">
        <v>790</v>
      </c>
      <c r="AS25" s="56" t="s">
        <v>795</v>
      </c>
    </row>
    <row r="26" spans="1:45" x14ac:dyDescent="0.25">
      <c r="E26" s="36"/>
    </row>
    <row r="27" spans="1:45" x14ac:dyDescent="0.25">
      <c r="A27" t="s">
        <v>955</v>
      </c>
      <c r="B27">
        <f>PRODUCT(Y27:Z27,AC27,AI27:AS27)</f>
        <v>2986.9811999999997</v>
      </c>
      <c r="C27">
        <f>B27*(1+表2_5[[#This Row],[列24]]*(表2_5[[#This Row],[列25]]-1))</f>
        <v>3061.6557299999995</v>
      </c>
      <c r="D27">
        <f>PRODUCT(Y27:Z27,AB27:AC27,AI27:AS27)</f>
        <v>4480.4717999999993</v>
      </c>
      <c r="E27" s="36">
        <f>表2_5[[#This Row],[列3]]/$C$61</f>
        <v>1.114169457625931E-2</v>
      </c>
      <c r="F27" t="s">
        <v>791</v>
      </c>
      <c r="U27">
        <f xml:space="preserve"> IFERROR(VLOOKUP($A27,$A$86:$X$1000,MATCH(U$25,$A$87:$J$87,0), FALSE), 0) *
    (LEN($A27) &gt; 0)</f>
        <v>826</v>
      </c>
      <c r="V27" cm="1">
        <f t="array" ref="V27" xml:space="preserve"> IFERROR(VLOOKUP($A27,$A$86:$X$1000,MATCH(V$25,$A$87:$J$87,0), FALSE), 0) *
    (LEN($A27) &gt; 0)+SUMPRODUCT(
    IFERROR(VLOOKUP($G27:$T27, $B$87:$X$1000,MATCH(V$25,$B$87:$X$87,0), FALSE), 0) *
    (LEN($G27:$T27) &gt; 0)
)</f>
        <v>0</v>
      </c>
      <c r="W27">
        <f xml:space="preserve"> IFERROR(VLOOKUP($A27,$A$86:$X$1000,MATCH(W$25,$A$87:$J$87,0), FALSE), 0) *
    (LEN($A27) &gt; 0)</f>
        <v>0</v>
      </c>
      <c r="X27">
        <f xml:space="preserve"> IFERROR(VLOOKUP($A27,$A$86:$X$1000,MATCH(X$25,$A$87:$J$87,0), FALSE), 0) *
    (LEN($A27) &gt; 0)</f>
        <v>4.74</v>
      </c>
      <c r="Y27">
        <f>(U27*(1+V27)+W27)*(1+X27)</f>
        <v>4741.24</v>
      </c>
      <c r="Z27">
        <f xml:space="preserve"> IFERROR(VLOOKUP($A27,$A$86:$X$1000,MATCH(Z$25,$A$87:$J$87,0), FALSE), 0) *
    (LEN($A27) &gt; 0)</f>
        <v>1.26</v>
      </c>
      <c r="AA27" cm="1">
        <f t="array" ref="AA27" xml:space="preserve"> IFERROR(VLOOKUP($A27,$A$86:$X$1000,MATCH(AA$25,$A$87:$J$87,0), FALSE), 0) *
    (LEN($A27) &gt; 0)+SUMPRODUCT(
    IFERROR(VLOOKUP($G27:$T27, $B$87:$X$1000,MATCH(AA$25,$B$87:$X$87,0), FALSE), 0) *
    (LEN($G27:$T27) &gt; 0)
)</f>
        <v>0.05</v>
      </c>
      <c r="AB27" cm="1">
        <f t="array" ref="AB27">1+SUMPRODUCT(
    IFERROR(VLOOKUP($G27:$T27, $B$87:$X$1000,MATCH(AB$25,$B$87:$X$87,0), FALSE), 0) *
    (LEN($G27:$T27) &gt; 0)
)+IFERROR(VLOOKUP($A27,$A$87:$X$1000,MATCH(AB$25,$A$87:$J$87,0), FALSE), 0) *
    (LEN($A27) &gt; 0)</f>
        <v>1.5</v>
      </c>
      <c r="AC27" cm="1">
        <f t="array" ref="AC27">1+SUMPRODUCT(
    IFERROR(VLOOKUP($G27:$T27, $B$87:$X$1000,MATCH(AC$25,$B$87:$X$87,0), FALSE), 0) *
    (LEN($G27:$T27) &gt; 0)
)</f>
        <v>1</v>
      </c>
      <c r="AD27" cm="1">
        <f t="array" ref="AD27">SUMPRODUCT(
    IFERROR(VLOOKUP($G27:$T27, $B$87:$X$1000,MATCH(AD$25,$B$87:$X$87,0), FALSE), 0) *
    (LEN($G27:$T27) &gt; 0)
)+IFERROR(VLOOKUP($A27,$A$88:$X$1000,MATCH(AD$25,$A$87:$X$87,0), FALSE), 0) *
    (LEN($A27) &gt; 0)</f>
        <v>0</v>
      </c>
      <c r="AE27" cm="1">
        <f t="array" ref="AE27">SUMPRODUCT(
    IFERROR(VLOOKUP($G27:$T27, $B$87:$X$1000,MATCH(AE$25,$B$87:$X$87,0), FALSE), 0) *
    (LEN($G27:$T27) &gt; 0)
)+IFERROR(VLOOKUP($A27,$A$88:$X$1000,MATCH(AE$25,$A$87:$X$87,0), FALSE), 0) *
    (LEN($A27) &gt; 0)</f>
        <v>0</v>
      </c>
      <c r="AF27" cm="1">
        <f t="array" ref="AF27">SUMPRODUCT(
    IFERROR(VLOOKUP($G27:$T27, $B$87:$X$1000,MATCH(AF$25,$B$87:$X$87,0), FALSE), 0) *
    (LEN($G27:$T27) &gt; 0)
)+IFERROR(VLOOKUP($A27,$A$88:$X$1000,MATCH(AF$25,$A$87:$X$87,0), FALSE), 0) *
    (LEN($A27) &gt; 0)</f>
        <v>0</v>
      </c>
      <c r="AG27" cm="1">
        <f t="array" ref="AG27">SUMPRODUCT(
    IFERROR(VLOOKUP($G27:$T27, $B$87:$X$1000,MATCH(AG$25,$B$87:$X$87,0), FALSE), 0) *
    (LEN($G27:$T27) &gt; 0)
)+IFERROR(VLOOKUP($A27,$A$88:$X$1000,MATCH(AG$25,$A$87:$X$87,0), FALSE), 0) *
    (LEN($A27) &gt; 0)</f>
        <v>0</v>
      </c>
      <c r="AH27" cm="1">
        <f t="array" ref="AH27">SUMPRODUCT(
    IFERROR(VLOOKUP($G27:$T27, $B$87:$X$1000,MATCH(AH$25,$B$87:$X$87,0), FALSE), 0) *
    (LEN($G27:$T27) &gt; 0)
)+IFERROR(VLOOKUP($A27,$A$88:$X$1000,MATCH(AH$25,$A$87:$X$87,0), FALSE), 0) *
    (LEN($A27) &gt; 0)</f>
        <v>0</v>
      </c>
      <c r="AI27">
        <f t="shared" ref="AI27:AI36" si="0">1 + AD27 + IF(
    LEN($A27) &gt; 0,
    IFERROR(
        HLOOKUP(RIGHT($A27,2), $AE$25:$AH$80, ROW()-ROW($AE$25) + 1, FALSE),
        0
    ),
    0
)</f>
        <v>1</v>
      </c>
      <c r="AJ27" cm="1">
        <f t="array" ref="AJ27">1+SUMPRODUCT(
    IFERROR(VLOOKUP($G27:$T27, $B$87:$X$1000,MATCH(AJ$25,$B$87:$X$87,0), FALSE), 0) *
    (LEN($G27:$T27) &gt; 0)
)</f>
        <v>1</v>
      </c>
      <c r="AK27" cm="1">
        <f t="array" ref="AK27">1+SUMPRODUCT(
    IFERROR(VLOOKUP($G27:$T27, $B$87:$X$1000,MATCH(AK$25,$B$87:$X$87,0), FALSE), 0) *
    (LEN($G27:$T27) &gt; 0)
)</f>
        <v>1</v>
      </c>
      <c r="AL27" cm="1">
        <f t="array" ref="AL27">1+SUMPRODUCT(
    IFERROR(VLOOKUP($G27:$T27, $B$87:$X$1000,MATCH(AL$25,$B$87:$X$87,0), FALSE), 0) *
    (LEN($G27:$T27) &gt; 0)
)</f>
        <v>1</v>
      </c>
      <c r="AM27" cm="1">
        <f t="array" ref="AM27">1+SUMPRODUCT(
    IFERROR(VLOOKUP($G27:$T27, $B$87:$X$1000,MATCH(AM$25,$B$87:$X$87,0), FALSE), 0) *
    (LEN($G27:$T27) &gt; 0)
)</f>
        <v>1</v>
      </c>
      <c r="AN27" cm="1">
        <f t="array" ref="AN27">1+SUMPRODUCT(
    IFERROR(VLOOKUP($G27:$T27, $B$87:$X$1000,MATCH(AN$25,$B$87:$X$87,0), FALSE), 0) *
    (LEN($G27:$T27) &gt; 0)
)</f>
        <v>1</v>
      </c>
      <c r="AO27">
        <f>IF($F27="是",1.3,1)</f>
        <v>1</v>
      </c>
      <c r="AQ27">
        <f>0.5</f>
        <v>0.5</v>
      </c>
    </row>
    <row r="28" spans="1:45" x14ac:dyDescent="0.25">
      <c r="A28" t="s">
        <v>953</v>
      </c>
      <c r="B28">
        <f t="shared" ref="B28:B57" si="1">PRODUCT(Y28:Z28,AC28,AI28:AS28)</f>
        <v>9435.0676000000003</v>
      </c>
      <c r="C28">
        <f>B28*(1+表2_5[[#This Row],[列24]]*(表2_5[[#This Row],[列25]]-1))</f>
        <v>9670.9442899999995</v>
      </c>
      <c r="D28">
        <f t="shared" ref="D28:D57" si="2">PRODUCT(Y28:Z28,AB28:AC28,AI28:AS28)</f>
        <v>14152.6014</v>
      </c>
      <c r="E28" s="36">
        <f>表2_5[[#This Row],[列3]]/$C$61</f>
        <v>3.5193606677390521E-2</v>
      </c>
      <c r="F28" t="s">
        <v>791</v>
      </c>
      <c r="U28">
        <f t="shared" ref="U28:U57" si="3" xml:space="preserve"> IFERROR(VLOOKUP($A28,$A$86:$X$1000,MATCH(U$25,$A$87:$J$87,0), FALSE), 0) *
    (LEN($A28) &gt; 0)</f>
        <v>826</v>
      </c>
      <c r="V28" cm="1">
        <f t="array" ref="V28" xml:space="preserve"> IFERROR(VLOOKUP($A28,$A$86:$X$1000,MATCH(V$25,$A$87:$J$87,0), FALSE), 0) *
    (LEN($A28) &gt; 0)+SUMPRODUCT(
    IFERROR(VLOOKUP($G28:$T28, $B$87:$X$1000,MATCH(V$25,$B$87:$X$87,0), FALSE), 0) *
    (LEN($G28:$T28) &gt; 0)
)</f>
        <v>0</v>
      </c>
      <c r="W28">
        <f t="shared" ref="W28:X57" si="4" xml:space="preserve"> IFERROR(VLOOKUP($A28,$A$86:$X$1000,MATCH(W$25,$A$87:$J$87,0), FALSE), 0) *
    (LEN($A28) &gt; 0)</f>
        <v>0</v>
      </c>
      <c r="X28">
        <f t="shared" si="4"/>
        <v>4.74</v>
      </c>
      <c r="Y28">
        <f t="shared" ref="Y28:Y57" si="5">(U28*(1+V28)+W28)*(1+X28)</f>
        <v>4741.24</v>
      </c>
      <c r="Z28">
        <f t="shared" ref="Z28:Z57" si="6" xml:space="preserve"> IFERROR(VLOOKUP($A28,$A$86:$X$1000,MATCH(Z$25,$A$87:$J$87,0), FALSE), 0) *
    (LEN($A28) &gt; 0)</f>
        <v>3.9800000000000004</v>
      </c>
      <c r="AA28" cm="1">
        <f t="array" ref="AA28" xml:space="preserve"> IFERROR(VLOOKUP($A28,$A$86:$X$1000,MATCH(AA$25,$A$87:$J$87,0), FALSE), 0) *
    (LEN($A28) &gt; 0)+SUMPRODUCT(
    IFERROR(VLOOKUP($G28:$T28, $B$87:$X$1000,MATCH(AA$25,$B$87:$X$87,0), FALSE), 0) *
    (LEN($G28:$T28) &gt; 0)
)</f>
        <v>0.05</v>
      </c>
      <c r="AB28" cm="1">
        <f t="array" ref="AB28">1+SUMPRODUCT(
    IFERROR(VLOOKUP($G28:$T28, $B$87:$X$1000,MATCH(AB$25,$B$87:$X$87,0), FALSE), 0) *
    (LEN($G28:$T28) &gt; 0)
)+IFERROR(VLOOKUP($A28,$A$87:$X$1000,MATCH(AB$25,$A$87:$J$87,0), FALSE), 0) *
    (LEN($A28) &gt; 0)</f>
        <v>1.5</v>
      </c>
      <c r="AC28" cm="1">
        <f t="array" ref="AC28">1+SUMPRODUCT(
    IFERROR(VLOOKUP($G28:$T28, $B$87:$X$1000,MATCH(AC$25,$B$87:$X$87,0), FALSE), 0) *
    (LEN($G28:$T28) &gt; 0)
)</f>
        <v>1</v>
      </c>
      <c r="AD28" cm="1">
        <f t="array" ref="AD28">SUMPRODUCT(
    IFERROR(VLOOKUP($G28:$T28, $B$87:$X$1000,MATCH(AD$25,$B$87:$X$87,0), FALSE), 0) *
    (LEN($G28:$T28) &gt; 0)
)+IFERROR(VLOOKUP($A28,$A$88:$X$1000,MATCH(AD$25,$A$87:$X$87,0), FALSE), 0) *
    (LEN($A28) &gt; 0)</f>
        <v>0</v>
      </c>
      <c r="AE28" cm="1">
        <f t="array" ref="AE28">SUMPRODUCT(
    IFERROR(VLOOKUP($G28:$T28, $B$87:$X$1000,MATCH(AE$25,$B$87:$X$87,0), FALSE), 0) *
    (LEN($G28:$T28) &gt; 0)
)+IFERROR(VLOOKUP($A28,$A$88:$X$1000,MATCH(AE$25,$A$87:$X$87,0), FALSE), 0) *
    (LEN($A28) &gt; 0)</f>
        <v>0</v>
      </c>
      <c r="AF28" cm="1">
        <f t="array" ref="AF28">SUMPRODUCT(
    IFERROR(VLOOKUP($G28:$T28, $B$87:$X$1000,MATCH(AF$25,$B$87:$X$87,0), FALSE), 0) *
    (LEN($G28:$T28) &gt; 0)
)+IFERROR(VLOOKUP($A28,$A$88:$X$1000,MATCH(AF$25,$A$87:$X$87,0), FALSE), 0) *
    (LEN($A28) &gt; 0)</f>
        <v>0</v>
      </c>
      <c r="AG28" cm="1">
        <f t="array" ref="AG28">SUMPRODUCT(
    IFERROR(VLOOKUP($G28:$T28, $B$87:$X$1000,MATCH(AG$25,$B$87:$X$87,0), FALSE), 0) *
    (LEN($G28:$T28) &gt; 0)
)+IFERROR(VLOOKUP($A28,$A$88:$X$1000,MATCH(AG$25,$A$87:$X$87,0), FALSE), 0) *
    (LEN($A28) &gt; 0)</f>
        <v>0</v>
      </c>
      <c r="AH28" cm="1">
        <f t="array" ref="AH28">SUMPRODUCT(
    IFERROR(VLOOKUP($G28:$T28, $B$87:$X$1000,MATCH(AH$25,$B$87:$X$87,0), FALSE), 0) *
    (LEN($G28:$T28) &gt; 0)
)+IFERROR(VLOOKUP($A28,$A$88:$X$1000,MATCH(AH$25,$A$87:$X$87,0), FALSE), 0) *
    (LEN($A28) &gt; 0)</f>
        <v>0</v>
      </c>
      <c r="AI28">
        <f t="shared" si="0"/>
        <v>1</v>
      </c>
      <c r="AJ28" cm="1">
        <f t="array" ref="AJ28">1+SUMPRODUCT(
    IFERROR(VLOOKUP($G28:$T28, $B$87:$X$1000,MATCH(AJ$25,$B$87:$X$87,0), FALSE), 0) *
    (LEN($G28:$T28) &gt; 0)
)</f>
        <v>1</v>
      </c>
      <c r="AK28" cm="1">
        <f t="array" ref="AK28">1+SUMPRODUCT(
    IFERROR(VLOOKUP($G28:$T28, $B$87:$X$1000,MATCH(AK$25,$B$87:$X$87,0), FALSE), 0) *
    (LEN($G28:$T28) &gt; 0)
)</f>
        <v>1</v>
      </c>
      <c r="AL28" cm="1">
        <f t="array" ref="AL28">1+SUMPRODUCT(
    IFERROR(VLOOKUP($G28:$T28, $B$87:$X$1000,MATCH(AL$25,$B$87:$X$87,0), FALSE), 0) *
    (LEN($G28:$T28) &gt; 0)
)</f>
        <v>1</v>
      </c>
      <c r="AM28" cm="1">
        <f t="array" ref="AM28">1+SUMPRODUCT(
    IFERROR(VLOOKUP($G28:$T28, $B$87:$X$1000,MATCH(AM$25,$B$87:$X$87,0), FALSE), 0) *
    (LEN($G28:$T28) &gt; 0)
)</f>
        <v>1</v>
      </c>
      <c r="AN28" cm="1">
        <f t="array" ref="AN28">1+SUMPRODUCT(
    IFERROR(VLOOKUP($G28:$T28, $B$87:$X$1000,MATCH(AN$25,$B$87:$X$87,0), FALSE), 0) *
    (LEN($G28:$T28) &gt; 0)
)</f>
        <v>1</v>
      </c>
      <c r="AO28">
        <f t="shared" ref="AO28:AO57" si="7">IF($F28="是",1.3,1)</f>
        <v>1</v>
      </c>
      <c r="AQ28">
        <f t="shared" ref="AQ28:AQ57" si="8">0.5</f>
        <v>0.5</v>
      </c>
    </row>
    <row r="29" spans="1:45" x14ac:dyDescent="0.25">
      <c r="A29" t="s">
        <v>1008</v>
      </c>
      <c r="B29">
        <f t="shared" si="1"/>
        <v>5926.5499999999993</v>
      </c>
      <c r="C29">
        <f>B29*(1+表2_5[[#This Row],[列24]]*(表2_5[[#This Row],[列25]]-1))</f>
        <v>6074.713749999999</v>
      </c>
      <c r="D29">
        <f t="shared" si="2"/>
        <v>8889.8249999999989</v>
      </c>
      <c r="E29" s="36">
        <f>表2_5[[#This Row],[列3]]/$C$61</f>
        <v>2.2106536857657361E-2</v>
      </c>
      <c r="F29" t="s">
        <v>791</v>
      </c>
      <c r="U29">
        <f t="shared" si="3"/>
        <v>826</v>
      </c>
      <c r="V29" cm="1">
        <f t="array" ref="V29" xml:space="preserve"> IFERROR(VLOOKUP($A29,$A$86:$X$1000,MATCH(V$25,$A$87:$J$87,0), FALSE), 0) *
    (LEN($A29) &gt; 0)+SUMPRODUCT(
    IFERROR(VLOOKUP($G29:$T29, $B$87:$X$1000,MATCH(V$25,$B$87:$X$87,0), FALSE), 0) *
    (LEN($G29:$T29) &gt; 0)
)</f>
        <v>0</v>
      </c>
      <c r="W29">
        <f t="shared" si="4"/>
        <v>0</v>
      </c>
      <c r="X29">
        <f t="shared" si="4"/>
        <v>4.74</v>
      </c>
      <c r="Y29">
        <f t="shared" si="5"/>
        <v>4741.24</v>
      </c>
      <c r="Z29">
        <f t="shared" si="6"/>
        <v>2.5</v>
      </c>
      <c r="AA29" cm="1">
        <f t="array" ref="AA29" xml:space="preserve"> IFERROR(VLOOKUP($A29,$A$86:$X$1000,MATCH(AA$25,$A$87:$J$87,0), FALSE), 0) *
    (LEN($A29) &gt; 0)+SUMPRODUCT(
    IFERROR(VLOOKUP($G29:$T29, $B$87:$X$1000,MATCH(AA$25,$B$87:$X$87,0), FALSE), 0) *
    (LEN($G29:$T29) &gt; 0)
)</f>
        <v>0.05</v>
      </c>
      <c r="AB29" cm="1">
        <f t="array" ref="AB29">1+SUMPRODUCT(
    IFERROR(VLOOKUP($G29:$T29, $B$87:$X$1000,MATCH(AB$25,$B$87:$X$87,0), FALSE), 0) *
    (LEN($G29:$T29) &gt; 0)
)+IFERROR(VLOOKUP($A29,$A$87:$X$1000,MATCH(AB$25,$A$87:$J$87,0), FALSE), 0) *
    (LEN($A29) &gt; 0)</f>
        <v>1.5</v>
      </c>
      <c r="AC29" cm="1">
        <f t="array" ref="AC29">1+SUMPRODUCT(
    IFERROR(VLOOKUP($G29:$T29, $B$87:$X$1000,MATCH(AC$25,$B$87:$X$87,0), FALSE), 0) *
    (LEN($G29:$T29) &gt; 0)
)</f>
        <v>1</v>
      </c>
      <c r="AD29" cm="1">
        <f t="array" ref="AD29">SUMPRODUCT(
    IFERROR(VLOOKUP($G29:$T29, $B$87:$X$1000,MATCH(AD$25,$B$87:$X$87,0), FALSE), 0) *
    (LEN($G29:$T29) &gt; 0)
)+IFERROR(VLOOKUP($A29,$A$88:$X$1000,MATCH(AD$25,$A$87:$X$87,0), FALSE), 0) *
    (LEN($A29) &gt; 0)</f>
        <v>0</v>
      </c>
      <c r="AE29" cm="1">
        <f t="array" ref="AE29">SUMPRODUCT(
    IFERROR(VLOOKUP($G29:$T29, $B$87:$X$1000,MATCH(AE$25,$B$87:$X$87,0), FALSE), 0) *
    (LEN($G29:$T29) &gt; 0)
)+IFERROR(VLOOKUP($A29,$A$88:$X$1000,MATCH(AE$25,$A$87:$X$87,0), FALSE), 0) *
    (LEN($A29) &gt; 0)</f>
        <v>0</v>
      </c>
      <c r="AF29" cm="1">
        <f t="array" ref="AF29">SUMPRODUCT(
    IFERROR(VLOOKUP($G29:$T29, $B$87:$X$1000,MATCH(AF$25,$B$87:$X$87,0), FALSE), 0) *
    (LEN($G29:$T29) &gt; 0)
)+IFERROR(VLOOKUP($A29,$A$88:$X$1000,MATCH(AF$25,$A$87:$X$87,0), FALSE), 0) *
    (LEN($A29) &gt; 0)</f>
        <v>0</v>
      </c>
      <c r="AG29" cm="1">
        <f t="array" ref="AG29">SUMPRODUCT(
    IFERROR(VLOOKUP($G29:$T29, $B$87:$X$1000,MATCH(AG$25,$B$87:$X$87,0), FALSE), 0) *
    (LEN($G29:$T29) &gt; 0)
)+IFERROR(VLOOKUP($A29,$A$88:$X$1000,MATCH(AG$25,$A$87:$X$87,0), FALSE), 0) *
    (LEN($A29) &gt; 0)</f>
        <v>0</v>
      </c>
      <c r="AH29" cm="1">
        <f t="array" ref="AH29">SUMPRODUCT(
    IFERROR(VLOOKUP($G29:$T29, $B$87:$X$1000,MATCH(AH$25,$B$87:$X$87,0), FALSE), 0) *
    (LEN($G29:$T29) &gt; 0)
)+IFERROR(VLOOKUP($A29,$A$88:$X$1000,MATCH(AH$25,$A$87:$X$87,0), FALSE), 0) *
    (LEN($A29) &gt; 0)</f>
        <v>0</v>
      </c>
      <c r="AI29">
        <f t="shared" si="0"/>
        <v>1</v>
      </c>
      <c r="AJ29" cm="1">
        <f t="array" ref="AJ29">1+SUMPRODUCT(
    IFERROR(VLOOKUP($G29:$T29, $B$87:$X$1000,MATCH(AJ$25,$B$87:$X$87,0), FALSE), 0) *
    (LEN($G29:$T29) &gt; 0)
)</f>
        <v>1</v>
      </c>
      <c r="AK29" cm="1">
        <f t="array" ref="AK29">1+SUMPRODUCT(
    IFERROR(VLOOKUP($G29:$T29, $B$87:$X$1000,MATCH(AK$25,$B$87:$X$87,0), FALSE), 0) *
    (LEN($G29:$T29) &gt; 0)
)</f>
        <v>1</v>
      </c>
      <c r="AL29" cm="1">
        <f t="array" ref="AL29">1+SUMPRODUCT(
    IFERROR(VLOOKUP($G29:$T29, $B$87:$X$1000,MATCH(AL$25,$B$87:$X$87,0), FALSE), 0) *
    (LEN($G29:$T29) &gt; 0)
)</f>
        <v>1</v>
      </c>
      <c r="AM29" cm="1">
        <f t="array" ref="AM29">1+SUMPRODUCT(
    IFERROR(VLOOKUP($G29:$T29, $B$87:$X$1000,MATCH(AM$25,$B$87:$X$87,0), FALSE), 0) *
    (LEN($G29:$T29) &gt; 0)
)</f>
        <v>1</v>
      </c>
      <c r="AN29" cm="1">
        <f t="array" ref="AN29">1+SUMPRODUCT(
    IFERROR(VLOOKUP($G29:$T29, $B$87:$X$1000,MATCH(AN$25,$B$87:$X$87,0), FALSE), 0) *
    (LEN($G29:$T29) &gt; 0)
)</f>
        <v>1</v>
      </c>
      <c r="AO29">
        <f t="shared" si="7"/>
        <v>1</v>
      </c>
      <c r="AQ29">
        <f t="shared" si="8"/>
        <v>0.5</v>
      </c>
    </row>
    <row r="30" spans="1:45" x14ac:dyDescent="0.25">
      <c r="A30" t="s">
        <v>1006</v>
      </c>
      <c r="B30">
        <f t="shared" si="1"/>
        <v>14223.72</v>
      </c>
      <c r="C30">
        <f>B30*(1+表2_5[[#This Row],[列24]]*(表2_5[[#This Row],[列25]]-1))</f>
        <v>14721.550199999998</v>
      </c>
      <c r="D30">
        <f t="shared" si="2"/>
        <v>24180.323999999997</v>
      </c>
      <c r="E30" s="36">
        <f>表2_5[[#This Row],[列3]]/$C$61</f>
        <v>5.3573304931142325E-2</v>
      </c>
      <c r="F30" t="s">
        <v>791</v>
      </c>
      <c r="I30" t="s">
        <v>1016</v>
      </c>
      <c r="U30">
        <f t="shared" si="3"/>
        <v>826</v>
      </c>
      <c r="V30" cm="1">
        <f t="array" ref="V30" xml:space="preserve"> IFERROR(VLOOKUP($A30,$A$86:$X$1000,MATCH(V$25,$A$87:$J$87,0), FALSE), 0) *
    (LEN($A30) &gt; 0)+SUMPRODUCT(
    IFERROR(VLOOKUP($G30:$T30, $B$87:$X$1000,MATCH(V$25,$B$87:$X$87,0), FALSE), 0) *
    (LEN($G30:$T30) &gt; 0)
)</f>
        <v>0</v>
      </c>
      <c r="W30">
        <f t="shared" si="4"/>
        <v>0</v>
      </c>
      <c r="X30">
        <f t="shared" si="4"/>
        <v>4.74</v>
      </c>
      <c r="Y30">
        <f t="shared" si="5"/>
        <v>4741.24</v>
      </c>
      <c r="Z30">
        <f t="shared" si="6"/>
        <v>6</v>
      </c>
      <c r="AA30" cm="1">
        <f t="array" ref="AA30" xml:space="preserve"> IFERROR(VLOOKUP($A30,$A$86:$X$1000,MATCH(AA$25,$A$87:$J$87,0), FALSE), 0) *
    (LEN($A30) &gt; 0)+SUMPRODUCT(
    IFERROR(VLOOKUP($G30:$T30, $B$87:$X$1000,MATCH(AA$25,$B$87:$X$87,0), FALSE), 0) *
    (LEN($G30:$T30) &gt; 0)
)</f>
        <v>0.05</v>
      </c>
      <c r="AB30" cm="1">
        <f t="array" ref="AB30">1+SUMPRODUCT(
    IFERROR(VLOOKUP($G30:$T30, $B$87:$X$1000,MATCH(AB$25,$B$87:$X$87,0), FALSE), 0) *
    (LEN($G30:$T30) &gt; 0)
)+IFERROR(VLOOKUP($A30,$A$87:$X$1000,MATCH(AB$25,$A$87:$J$87,0), FALSE), 0) *
    (LEN($A30) &gt; 0)</f>
        <v>1.7</v>
      </c>
      <c r="AC30" cm="1">
        <f t="array" ref="AC30">1+SUMPRODUCT(
    IFERROR(VLOOKUP($G30:$T30, $B$87:$X$1000,MATCH(AC$25,$B$87:$X$87,0), FALSE), 0) *
    (LEN($G30:$T30) &gt; 0)
)</f>
        <v>1</v>
      </c>
      <c r="AD30" cm="1">
        <f t="array" ref="AD30">SUMPRODUCT(
    IFERROR(VLOOKUP($G30:$T30, $B$87:$X$1000,MATCH(AD$25,$B$87:$X$87,0), FALSE), 0) *
    (LEN($G30:$T30) &gt; 0)
)+IFERROR(VLOOKUP($A30,$A$88:$X$1000,MATCH(AD$25,$A$87:$X$87,0), FALSE), 0) *
    (LEN($A30) &gt; 0)</f>
        <v>0</v>
      </c>
      <c r="AE30" cm="1">
        <f t="array" ref="AE30">SUMPRODUCT(
    IFERROR(VLOOKUP($G30:$T30, $B$87:$X$1000,MATCH(AE$25,$B$87:$X$87,0), FALSE), 0) *
    (LEN($G30:$T30) &gt; 0)
)+IFERROR(VLOOKUP($A30,$A$88:$X$1000,MATCH(AE$25,$A$87:$X$87,0), FALSE), 0) *
    (LEN($A30) &gt; 0)</f>
        <v>0</v>
      </c>
      <c r="AF30" cm="1">
        <f t="array" ref="AF30">SUMPRODUCT(
    IFERROR(VLOOKUP($G30:$T30, $B$87:$X$1000,MATCH(AF$25,$B$87:$X$87,0), FALSE), 0) *
    (LEN($G30:$T30) &gt; 0)
)+IFERROR(VLOOKUP($A30,$A$88:$X$1000,MATCH(AF$25,$A$87:$X$87,0), FALSE), 0) *
    (LEN($A30) &gt; 0)</f>
        <v>0</v>
      </c>
      <c r="AG30" cm="1">
        <f t="array" ref="AG30">SUMPRODUCT(
    IFERROR(VLOOKUP($G30:$T30, $B$87:$X$1000,MATCH(AG$25,$B$87:$X$87,0), FALSE), 0) *
    (LEN($G30:$T30) &gt; 0)
)+IFERROR(VLOOKUP($A30,$A$88:$X$1000,MATCH(AG$25,$A$87:$X$87,0), FALSE), 0) *
    (LEN($A30) &gt; 0)</f>
        <v>0</v>
      </c>
      <c r="AH30" cm="1">
        <f t="array" ref="AH30">SUMPRODUCT(
    IFERROR(VLOOKUP($G30:$T30, $B$87:$X$1000,MATCH(AH$25,$B$87:$X$87,0), FALSE), 0) *
    (LEN($G30:$T30) &gt; 0)
)+IFERROR(VLOOKUP($A30,$A$88:$X$1000,MATCH(AH$25,$A$87:$X$87,0), FALSE), 0) *
    (LEN($A30) &gt; 0)</f>
        <v>0</v>
      </c>
      <c r="AI30">
        <f t="shared" si="0"/>
        <v>1</v>
      </c>
      <c r="AJ30" cm="1">
        <f t="array" ref="AJ30">1+SUMPRODUCT(
    IFERROR(VLOOKUP($G30:$T30, $B$87:$X$1000,MATCH(AJ$25,$B$87:$X$87,0), FALSE), 0) *
    (LEN($G30:$T30) &gt; 0)
)</f>
        <v>1</v>
      </c>
      <c r="AK30" cm="1">
        <f t="array" ref="AK30">1+SUMPRODUCT(
    IFERROR(VLOOKUP($G30:$T30, $B$87:$X$1000,MATCH(AK$25,$B$87:$X$87,0), FALSE), 0) *
    (LEN($G30:$T30) &gt; 0)
)</f>
        <v>1</v>
      </c>
      <c r="AL30" cm="1">
        <f t="array" ref="AL30">1+SUMPRODUCT(
    IFERROR(VLOOKUP($G30:$T30, $B$87:$X$1000,MATCH(AL$25,$B$87:$X$87,0), FALSE), 0) *
    (LEN($G30:$T30) &gt; 0)
)</f>
        <v>1</v>
      </c>
      <c r="AM30" cm="1">
        <f t="array" ref="AM30">1+SUMPRODUCT(
    IFERROR(VLOOKUP($G30:$T30, $B$87:$X$1000,MATCH(AM$25,$B$87:$X$87,0), FALSE), 0) *
    (LEN($G30:$T30) &gt; 0)
)</f>
        <v>1</v>
      </c>
      <c r="AN30" cm="1">
        <f t="array" ref="AN30">1+SUMPRODUCT(
    IFERROR(VLOOKUP($G30:$T30, $B$87:$X$1000,MATCH(AN$25,$B$87:$X$87,0), FALSE), 0) *
    (LEN($G30:$T30) &gt; 0)
)</f>
        <v>1</v>
      </c>
      <c r="AO30">
        <f t="shared" si="7"/>
        <v>1</v>
      </c>
      <c r="AQ30">
        <f t="shared" si="8"/>
        <v>0.5</v>
      </c>
    </row>
    <row r="31" spans="1:45" ht="14.4" customHeight="1" x14ac:dyDescent="0.25">
      <c r="A31" t="s">
        <v>1028</v>
      </c>
      <c r="B31">
        <f t="shared" si="1"/>
        <v>5215.3640000000005</v>
      </c>
      <c r="C31">
        <f>B31*(1+表2_5[[#This Row],[列24]]*(表2_5[[#This Row],[列25]]-1))</f>
        <v>5345.7480999999998</v>
      </c>
      <c r="D31">
        <f t="shared" si="2"/>
        <v>7823.0460000000003</v>
      </c>
      <c r="E31" s="36">
        <f>表2_5[[#This Row],[列3]]/$C$61</f>
        <v>1.9453752434738479E-2</v>
      </c>
      <c r="F31" t="s">
        <v>791</v>
      </c>
      <c r="U31">
        <f t="shared" si="3"/>
        <v>826</v>
      </c>
      <c r="V31" cm="1">
        <f t="array" ref="V31" xml:space="preserve"> IFERROR(VLOOKUP($A31,$A$86:$X$1000,MATCH(V$25,$A$87:$J$87,0), FALSE), 0) *
    (LEN($A31) &gt; 0)+SUMPRODUCT(
    IFERROR(VLOOKUP($G31:$T31, $B$87:$X$1000,MATCH(V$25,$B$87:$X$87,0), FALSE), 0) *
    (LEN($G31:$T31) &gt; 0)
)</f>
        <v>0</v>
      </c>
      <c r="W31">
        <f t="shared" si="4"/>
        <v>0</v>
      </c>
      <c r="X31">
        <f t="shared" si="4"/>
        <v>4.74</v>
      </c>
      <c r="Y31">
        <f t="shared" si="5"/>
        <v>4741.24</v>
      </c>
      <c r="Z31">
        <f t="shared" si="6"/>
        <v>2.2000000000000002</v>
      </c>
      <c r="AA31" cm="1">
        <f t="array" ref="AA31" xml:space="preserve"> IFERROR(VLOOKUP($A31,$A$86:$X$1000,MATCH(AA$25,$A$87:$J$87,0), FALSE), 0) *
    (LEN($A31) &gt; 0)+SUMPRODUCT(
    IFERROR(VLOOKUP($G31:$T31, $B$87:$X$1000,MATCH(AA$25,$B$87:$X$87,0), FALSE), 0) *
    (LEN($G31:$T31) &gt; 0)
)</f>
        <v>0.05</v>
      </c>
      <c r="AB31" cm="1">
        <f t="array" ref="AB31">1+SUMPRODUCT(
    IFERROR(VLOOKUP($G31:$T31, $B$87:$X$1000,MATCH(AB$25,$B$87:$X$87,0), FALSE), 0) *
    (LEN($G31:$T31) &gt; 0)
)+IFERROR(VLOOKUP($A31,$A$87:$X$1000,MATCH(AB$25,$A$87:$J$87,0), FALSE), 0) *
    (LEN($A31) &gt; 0)</f>
        <v>1.5</v>
      </c>
      <c r="AC31" cm="1">
        <f t="array" ref="AC31">1+SUMPRODUCT(
    IFERROR(VLOOKUP($G31:$T31, $B$87:$X$1000,MATCH(AC$25,$B$87:$X$87,0), FALSE), 0) *
    (LEN($G31:$T31) &gt; 0)
)</f>
        <v>1</v>
      </c>
      <c r="AD31" cm="1">
        <f t="array" ref="AD31">SUMPRODUCT(
    IFERROR(VLOOKUP($G31:$T31, $B$87:$X$1000,MATCH(AD$25,$B$87:$X$87,0), FALSE), 0) *
    (LEN($G31:$T31) &gt; 0)
)+IFERROR(VLOOKUP($A31,$A$88:$X$1000,MATCH(AD$25,$A$87:$X$87,0), FALSE), 0) *
    (LEN($A31) &gt; 0)</f>
        <v>0</v>
      </c>
      <c r="AE31" cm="1">
        <f t="array" ref="AE31">SUMPRODUCT(
    IFERROR(VLOOKUP($G31:$T31, $B$87:$X$1000,MATCH(AE$25,$B$87:$X$87,0), FALSE), 0) *
    (LEN($G31:$T31) &gt; 0)
)+IFERROR(VLOOKUP($A31,$A$88:$X$1000,MATCH(AE$25,$A$87:$X$87,0), FALSE), 0) *
    (LEN($A31) &gt; 0)</f>
        <v>0</v>
      </c>
      <c r="AF31" cm="1">
        <f t="array" ref="AF31">SUMPRODUCT(
    IFERROR(VLOOKUP($G31:$T31, $B$87:$X$1000,MATCH(AF$25,$B$87:$X$87,0), FALSE), 0) *
    (LEN($G31:$T31) &gt; 0)
)+IFERROR(VLOOKUP($A31,$A$88:$X$1000,MATCH(AF$25,$A$87:$X$87,0), FALSE), 0) *
    (LEN($A31) &gt; 0)</f>
        <v>0</v>
      </c>
      <c r="AG31" cm="1">
        <f t="array" ref="AG31">SUMPRODUCT(
    IFERROR(VLOOKUP($G31:$T31, $B$87:$X$1000,MATCH(AG$25,$B$87:$X$87,0), FALSE), 0) *
    (LEN($G31:$T31) &gt; 0)
)+IFERROR(VLOOKUP($A31,$A$88:$X$1000,MATCH(AG$25,$A$87:$X$87,0), FALSE), 0) *
    (LEN($A31) &gt; 0)</f>
        <v>0</v>
      </c>
      <c r="AH31" cm="1">
        <f t="array" ref="AH31">SUMPRODUCT(
    IFERROR(VLOOKUP($G31:$T31, $B$87:$X$1000,MATCH(AH$25,$B$87:$X$87,0), FALSE), 0) *
    (LEN($G31:$T31) &gt; 0)
)+IFERROR(VLOOKUP($A31,$A$88:$X$1000,MATCH(AH$25,$A$87:$X$87,0), FALSE), 0) *
    (LEN($A31) &gt; 0)</f>
        <v>0</v>
      </c>
      <c r="AI31">
        <f t="shared" si="0"/>
        <v>1</v>
      </c>
      <c r="AJ31" cm="1">
        <f t="array" ref="AJ31">1+SUMPRODUCT(
    IFERROR(VLOOKUP($G31:$T31, $B$87:$X$1000,MATCH(AJ$25,$B$87:$X$87,0), FALSE), 0) *
    (LEN($G31:$T31) &gt; 0)
)</f>
        <v>1</v>
      </c>
      <c r="AK31" cm="1">
        <f t="array" ref="AK31">1+SUMPRODUCT(
    IFERROR(VLOOKUP($G31:$T31, $B$87:$X$1000,MATCH(AK$25,$B$87:$X$87,0), FALSE), 0) *
    (LEN($G31:$T31) &gt; 0)
)</f>
        <v>1</v>
      </c>
      <c r="AL31" cm="1">
        <f t="array" ref="AL31">1+SUMPRODUCT(
    IFERROR(VLOOKUP($G31:$T31, $B$87:$X$1000,MATCH(AL$25,$B$87:$X$87,0), FALSE), 0) *
    (LEN($G31:$T31) &gt; 0)
)</f>
        <v>1</v>
      </c>
      <c r="AM31" cm="1">
        <f t="array" ref="AM31">1+SUMPRODUCT(
    IFERROR(VLOOKUP($G31:$T31, $B$87:$X$1000,MATCH(AM$25,$B$87:$X$87,0), FALSE), 0) *
    (LEN($G31:$T31) &gt; 0)
)</f>
        <v>1</v>
      </c>
      <c r="AN31" cm="1">
        <f t="array" ref="AN31">1+SUMPRODUCT(
    IFERROR(VLOOKUP($G31:$T31, $B$87:$X$1000,MATCH(AN$25,$B$87:$X$87,0), FALSE), 0) *
    (LEN($G31:$T31) &gt; 0)
)</f>
        <v>1</v>
      </c>
      <c r="AO31">
        <f t="shared" si="7"/>
        <v>1</v>
      </c>
      <c r="AQ31">
        <f t="shared" si="8"/>
        <v>0.5</v>
      </c>
    </row>
    <row r="32" spans="1:45" x14ac:dyDescent="0.25">
      <c r="A32" t="s">
        <v>958</v>
      </c>
      <c r="B32">
        <f t="shared" si="1"/>
        <v>31709.413120000008</v>
      </c>
      <c r="C32">
        <f>B32*(1+表2_5[[#This Row],[列24]]*(表2_5[[#This Row],[列25]]-1))</f>
        <v>45661.554892800013</v>
      </c>
      <c r="D32">
        <f t="shared" si="2"/>
        <v>66589.767552000019</v>
      </c>
      <c r="E32" s="36">
        <f>表2_5[[#This Row],[列3]]/$C$61</f>
        <v>0.16616731055280234</v>
      </c>
      <c r="F32" t="s">
        <v>791</v>
      </c>
      <c r="G32" t="s">
        <v>1013</v>
      </c>
      <c r="J32" t="s">
        <v>1023</v>
      </c>
      <c r="K32" t="s">
        <v>1025</v>
      </c>
      <c r="U32">
        <f t="shared" si="3"/>
        <v>826</v>
      </c>
      <c r="V32" cm="1">
        <f t="array" ref="V32" xml:space="preserve"> IFERROR(VLOOKUP($A32,$A$86:$X$1000,MATCH(V$25,$A$87:$J$87,0), FALSE), 0) *
    (LEN($A32) &gt; 0)+SUMPRODUCT(
    IFERROR(VLOOKUP($G32:$T32, $B$87:$X$1000,MATCH(V$25,$B$87:$X$87,0), FALSE), 0) *
    (LEN($G32:$T32) &gt; 0)
)</f>
        <v>0.25</v>
      </c>
      <c r="W32">
        <f t="shared" si="4"/>
        <v>0</v>
      </c>
      <c r="X32">
        <f t="shared" si="4"/>
        <v>4.74</v>
      </c>
      <c r="Y32">
        <f t="shared" si="5"/>
        <v>5926.55</v>
      </c>
      <c r="Z32">
        <f t="shared" si="6"/>
        <v>6.4</v>
      </c>
      <c r="AA32" cm="1">
        <f t="array" ref="AA32" xml:space="preserve"> IFERROR(VLOOKUP($A32,$A$86:$X$1000,MATCH(AA$25,$A$87:$J$87,0), FALSE), 0) *
    (LEN($A32) &gt; 0)+SUMPRODUCT(
    IFERROR(VLOOKUP($G32:$T32, $B$87:$X$1000,MATCH(AA$25,$B$87:$X$87,0), FALSE), 0) *
    (LEN($G32:$T32) &gt; 0)
)</f>
        <v>0.39999999999999997</v>
      </c>
      <c r="AB32" cm="1">
        <f t="array" ref="AB32">1+SUMPRODUCT(
    IFERROR(VLOOKUP($G32:$T32, $B$87:$X$1000,MATCH(AB$25,$B$87:$X$87,0), FALSE), 0) *
    (LEN($G32:$T32) &gt; 0)
)+IFERROR(VLOOKUP($A32,$A$87:$X$1000,MATCH(AB$25,$A$87:$J$87,0), FALSE), 0) *
    (LEN($A32) &gt; 0)</f>
        <v>2.1</v>
      </c>
      <c r="AC32" cm="1">
        <f t="array" ref="AC32">1+SUMPRODUCT(
    IFERROR(VLOOKUP($G32:$T32, $B$87:$X$1000,MATCH(AC$25,$B$87:$X$87,0), FALSE), 0) *
    (LEN($G32:$T32) &gt; 0)
)</f>
        <v>1</v>
      </c>
      <c r="AD32" cm="1">
        <f t="array" ref="AD32">SUMPRODUCT(
    IFERROR(VLOOKUP($G32:$T32, $B$87:$X$1000,MATCH(AD$25,$B$87:$X$87,0), FALSE), 0) *
    (LEN($G32:$T32) &gt; 0)
)+IFERROR(VLOOKUP($A32,$A$88:$X$1000,MATCH(AD$25,$A$87:$X$87,0), FALSE), 0) *
    (LEN($A32) &gt; 0)</f>
        <v>0.67200000000000004</v>
      </c>
      <c r="AE32" cm="1">
        <f t="array" ref="AE32">SUMPRODUCT(
    IFERROR(VLOOKUP($G32:$T32, $B$87:$X$1000,MATCH(AE$25,$B$87:$X$87,0), FALSE), 0) *
    (LEN($G32:$T32) &gt; 0)
)+IFERROR(VLOOKUP($A32,$A$88:$X$1000,MATCH(AE$25,$A$87:$X$87,0), FALSE), 0) *
    (LEN($A32) &gt; 0)</f>
        <v>0</v>
      </c>
      <c r="AF32" cm="1">
        <f t="array" ref="AF32">SUMPRODUCT(
    IFERROR(VLOOKUP($G32:$T32, $B$87:$X$1000,MATCH(AF$25,$B$87:$X$87,0), FALSE), 0) *
    (LEN($G32:$T32) &gt; 0)
)+IFERROR(VLOOKUP($A32,$A$88:$X$1000,MATCH(AF$25,$A$87:$X$87,0), FALSE), 0) *
    (LEN($A32) &gt; 0)</f>
        <v>0</v>
      </c>
      <c r="AG32" cm="1">
        <f t="array" ref="AG32">SUMPRODUCT(
    IFERROR(VLOOKUP($G32:$T32, $B$87:$X$1000,MATCH(AG$25,$B$87:$X$87,0), FALSE), 0) *
    (LEN($G32:$T32) &gt; 0)
)+IFERROR(VLOOKUP($A32,$A$88:$X$1000,MATCH(AG$25,$A$87:$X$87,0), FALSE), 0) *
    (LEN($A32) &gt; 0)</f>
        <v>0</v>
      </c>
      <c r="AH32" cm="1">
        <f t="array" ref="AH32">SUMPRODUCT(
    IFERROR(VLOOKUP($G32:$T32, $B$87:$X$1000,MATCH(AH$25,$B$87:$X$87,0), FALSE), 0) *
    (LEN($G32:$T32) &gt; 0)
)+IFERROR(VLOOKUP($A32,$A$88:$X$1000,MATCH(AH$25,$A$87:$X$87,0), FALSE), 0) *
    (LEN($A32) &gt; 0)</f>
        <v>0</v>
      </c>
      <c r="AI32">
        <f t="shared" si="0"/>
        <v>1.6720000000000002</v>
      </c>
      <c r="AJ32" cm="1">
        <f t="array" ref="AJ32">1+SUMPRODUCT(
    IFERROR(VLOOKUP($G32:$T32, $B$87:$X$1000,MATCH(AJ$25,$B$87:$X$87,0), FALSE), 0) *
    (LEN($G32:$T32) &gt; 0)
)</f>
        <v>1</v>
      </c>
      <c r="AK32" cm="1">
        <f t="array" ref="AK32">1+SUMPRODUCT(
    IFERROR(VLOOKUP($G32:$T32, $B$87:$X$1000,MATCH(AK$25,$B$87:$X$87,0), FALSE), 0) *
    (LEN($G32:$T32) &gt; 0)
)</f>
        <v>1</v>
      </c>
      <c r="AL32" cm="1">
        <f t="array" ref="AL32">1+SUMPRODUCT(
    IFERROR(VLOOKUP($G32:$T32, $B$87:$X$1000,MATCH(AL$25,$B$87:$X$87,0), FALSE), 0) *
    (LEN($G32:$T32) &gt; 0)
)</f>
        <v>1</v>
      </c>
      <c r="AM32" cm="1">
        <f t="array" ref="AM32">1+SUMPRODUCT(
    IFERROR(VLOOKUP($G32:$T32, $B$87:$X$1000,MATCH(AM$25,$B$87:$X$87,0), FALSE), 0) *
    (LEN($G32:$T32) &gt; 0)
)</f>
        <v>1</v>
      </c>
      <c r="AN32" cm="1">
        <f t="array" ref="AN32">1+SUMPRODUCT(
    IFERROR(VLOOKUP($G32:$T32, $B$87:$X$1000,MATCH(AN$25,$B$87:$X$87,0), FALSE), 0) *
    (LEN($G32:$T32) &gt; 0)
)</f>
        <v>1</v>
      </c>
      <c r="AO32">
        <f t="shared" si="7"/>
        <v>1</v>
      </c>
      <c r="AQ32">
        <f t="shared" si="8"/>
        <v>0.5</v>
      </c>
    </row>
    <row r="33" spans="1:43" x14ac:dyDescent="0.25">
      <c r="A33" t="s">
        <v>1029</v>
      </c>
      <c r="B33">
        <f t="shared" si="1"/>
        <v>10900.110760000003</v>
      </c>
      <c r="C33">
        <f>B33*(1+表2_5[[#This Row],[列24]]*(表2_5[[#This Row],[列25]]-1))</f>
        <v>17440.177216000007</v>
      </c>
      <c r="D33">
        <f t="shared" si="2"/>
        <v>27250.276900000008</v>
      </c>
      <c r="E33" s="36">
        <f>表2_5[[#This Row],[列3]]/$C$61</f>
        <v>6.3466681113917567E-2</v>
      </c>
      <c r="F33" t="s">
        <v>791</v>
      </c>
      <c r="G33" t="s">
        <v>1013</v>
      </c>
      <c r="H33" t="s">
        <v>1018</v>
      </c>
      <c r="J33" t="s">
        <v>1023</v>
      </c>
      <c r="K33" t="s">
        <v>1025</v>
      </c>
      <c r="U33">
        <f t="shared" si="3"/>
        <v>826</v>
      </c>
      <c r="V33" cm="1">
        <f t="array" ref="V33" xml:space="preserve"> IFERROR(VLOOKUP($A33,$A$86:$X$1000,MATCH(V$25,$A$87:$J$87,0), FALSE), 0) *
    (LEN($A33) &gt; 0)+SUMPRODUCT(
    IFERROR(VLOOKUP($G33:$T33, $B$87:$X$1000,MATCH(V$25,$B$87:$X$87,0), FALSE), 0) *
    (LEN($G33:$T33) &gt; 0)
)</f>
        <v>0.25</v>
      </c>
      <c r="W33">
        <f t="shared" si="4"/>
        <v>0</v>
      </c>
      <c r="X33">
        <f t="shared" si="4"/>
        <v>4.74</v>
      </c>
      <c r="Y33">
        <f t="shared" si="5"/>
        <v>5926.55</v>
      </c>
      <c r="Z33">
        <f t="shared" si="6"/>
        <v>2.2000000000000002</v>
      </c>
      <c r="AA33" cm="1">
        <f t="array" ref="AA33" xml:space="preserve"> IFERROR(VLOOKUP($A33,$A$86:$X$1000,MATCH(AA$25,$A$87:$J$87,0), FALSE), 0) *
    (LEN($A33) &gt; 0)+SUMPRODUCT(
    IFERROR(VLOOKUP($G33:$T33, $B$87:$X$1000,MATCH(AA$25,$B$87:$X$87,0), FALSE), 0) *
    (LEN($G33:$T33) &gt; 0)
)</f>
        <v>0.39999999999999997</v>
      </c>
      <c r="AB33" cm="1">
        <f t="array" ref="AB33">1+SUMPRODUCT(
    IFERROR(VLOOKUP($G33:$T33, $B$87:$X$1000,MATCH(AB$25,$B$87:$X$87,0), FALSE), 0) *
    (LEN($G33:$T33) &gt; 0)
)+IFERROR(VLOOKUP($A33,$A$87:$X$1000,MATCH(AB$25,$A$87:$J$87,0), FALSE), 0) *
    (LEN($A33) &gt; 0)</f>
        <v>2.5</v>
      </c>
      <c r="AC33" cm="1">
        <f t="array" ref="AC33">1+SUMPRODUCT(
    IFERROR(VLOOKUP($G33:$T33, $B$87:$X$1000,MATCH(AC$25,$B$87:$X$87,0), FALSE), 0) *
    (LEN($G33:$T33) &gt; 0)
)</f>
        <v>1</v>
      </c>
      <c r="AD33" cm="1">
        <f t="array" ref="AD33">SUMPRODUCT(
    IFERROR(VLOOKUP($G33:$T33, $B$87:$X$1000,MATCH(AD$25,$B$87:$X$87,0), FALSE), 0) *
    (LEN($G33:$T33) &gt; 0)
)+IFERROR(VLOOKUP($A33,$A$88:$X$1000,MATCH(AD$25,$A$87:$X$87,0), FALSE), 0) *
    (LEN($A33) &gt; 0)</f>
        <v>0.67200000000000004</v>
      </c>
      <c r="AE33" cm="1">
        <f t="array" ref="AE33">SUMPRODUCT(
    IFERROR(VLOOKUP($G33:$T33, $B$87:$X$1000,MATCH(AE$25,$B$87:$X$87,0), FALSE), 0) *
    (LEN($G33:$T33) &gt; 0)
)+IFERROR(VLOOKUP($A33,$A$88:$X$1000,MATCH(AE$25,$A$87:$X$87,0), FALSE), 0) *
    (LEN($A33) &gt; 0)</f>
        <v>0</v>
      </c>
      <c r="AF33" cm="1">
        <f t="array" ref="AF33">SUMPRODUCT(
    IFERROR(VLOOKUP($G33:$T33, $B$87:$X$1000,MATCH(AF$25,$B$87:$X$87,0), FALSE), 0) *
    (LEN($G33:$T33) &gt; 0)
)+IFERROR(VLOOKUP($A33,$A$88:$X$1000,MATCH(AF$25,$A$87:$X$87,0), FALSE), 0) *
    (LEN($A33) &gt; 0)</f>
        <v>0</v>
      </c>
      <c r="AG33" cm="1">
        <f t="array" ref="AG33">SUMPRODUCT(
    IFERROR(VLOOKUP($G33:$T33, $B$87:$X$1000,MATCH(AG$25,$B$87:$X$87,0), FALSE), 0) *
    (LEN($G33:$T33) &gt; 0)
)+IFERROR(VLOOKUP($A33,$A$88:$X$1000,MATCH(AG$25,$A$87:$X$87,0), FALSE), 0) *
    (LEN($A33) &gt; 0)</f>
        <v>0</v>
      </c>
      <c r="AH33" cm="1">
        <f t="array" ref="AH33">SUMPRODUCT(
    IFERROR(VLOOKUP($G33:$T33, $B$87:$X$1000,MATCH(AH$25,$B$87:$X$87,0), FALSE), 0) *
    (LEN($G33:$T33) &gt; 0)
)+IFERROR(VLOOKUP($A33,$A$88:$X$1000,MATCH(AH$25,$A$87:$X$87,0), FALSE), 0) *
    (LEN($A33) &gt; 0)</f>
        <v>0</v>
      </c>
      <c r="AI33">
        <f t="shared" si="0"/>
        <v>1.6720000000000002</v>
      </c>
      <c r="AJ33" cm="1">
        <f t="array" ref="AJ33">1+SUMPRODUCT(
    IFERROR(VLOOKUP($G33:$T33, $B$87:$X$1000,MATCH(AJ$25,$B$87:$X$87,0), FALSE), 0) *
    (LEN($G33:$T33) &gt; 0)
)</f>
        <v>1</v>
      </c>
      <c r="AK33" cm="1">
        <f t="array" ref="AK33">1+SUMPRODUCT(
    IFERROR(VLOOKUP($G33:$T33, $B$87:$X$1000,MATCH(AK$25,$B$87:$X$87,0), FALSE), 0) *
    (LEN($G33:$T33) &gt; 0)
)</f>
        <v>1</v>
      </c>
      <c r="AL33" cm="1">
        <f t="array" ref="AL33">1+SUMPRODUCT(
    IFERROR(VLOOKUP($G33:$T33, $B$87:$X$1000,MATCH(AL$25,$B$87:$X$87,0), FALSE), 0) *
    (LEN($G33:$T33) &gt; 0)
)</f>
        <v>1</v>
      </c>
      <c r="AM33" cm="1">
        <f t="array" ref="AM33">1+SUMPRODUCT(
    IFERROR(VLOOKUP($G33:$T33, $B$87:$X$1000,MATCH(AM$25,$B$87:$X$87,0), FALSE), 0) *
    (LEN($G33:$T33) &gt; 0)
)</f>
        <v>1</v>
      </c>
      <c r="AN33" cm="1">
        <f t="array" ref="AN33">1+SUMPRODUCT(
    IFERROR(VLOOKUP($G33:$T33, $B$87:$X$1000,MATCH(AN$25,$B$87:$X$87,0), FALSE), 0) *
    (LEN($G33:$T33) &gt; 0)
)</f>
        <v>1</v>
      </c>
      <c r="AO33">
        <f t="shared" si="7"/>
        <v>1</v>
      </c>
      <c r="AQ33">
        <f t="shared" si="8"/>
        <v>0.5</v>
      </c>
    </row>
    <row r="34" spans="1:43" x14ac:dyDescent="0.25">
      <c r="A34" t="s">
        <v>1027</v>
      </c>
      <c r="B34">
        <f t="shared" si="1"/>
        <v>63418.826240000017</v>
      </c>
      <c r="C34">
        <f>B34*(1+表2_5[[#This Row],[列24]]*(表2_5[[#This Row],[列25]]-1))</f>
        <v>101470.12198400003</v>
      </c>
      <c r="D34">
        <f t="shared" si="2"/>
        <v>158547.06560000003</v>
      </c>
      <c r="E34" s="36">
        <f>表2_5[[#This Row],[列3]]/$C$61</f>
        <v>0.36926069011733853</v>
      </c>
      <c r="F34" t="s">
        <v>791</v>
      </c>
      <c r="G34" t="s">
        <v>1013</v>
      </c>
      <c r="H34" t="s">
        <v>1018</v>
      </c>
      <c r="J34" t="s">
        <v>1023</v>
      </c>
      <c r="K34" t="s">
        <v>1025</v>
      </c>
      <c r="U34">
        <f t="shared" si="3"/>
        <v>826</v>
      </c>
      <c r="V34" cm="1">
        <f t="array" ref="V34" xml:space="preserve"> IFERROR(VLOOKUP($A34,$A$86:$X$1000,MATCH(V$25,$A$87:$J$87,0), FALSE), 0) *
    (LEN($A34) &gt; 0)+SUMPRODUCT(
    IFERROR(VLOOKUP($G34:$T34, $B$87:$X$1000,MATCH(V$25,$B$87:$X$87,0), FALSE), 0) *
    (LEN($G34:$T34) &gt; 0)
)</f>
        <v>0.25</v>
      </c>
      <c r="W34">
        <f t="shared" si="4"/>
        <v>0</v>
      </c>
      <c r="X34">
        <f t="shared" si="4"/>
        <v>4.74</v>
      </c>
      <c r="Y34">
        <f t="shared" si="5"/>
        <v>5926.55</v>
      </c>
      <c r="Z34">
        <f t="shared" si="6"/>
        <v>12.8</v>
      </c>
      <c r="AA34" cm="1">
        <f t="array" ref="AA34" xml:space="preserve"> IFERROR(VLOOKUP($A34,$A$86:$X$1000,MATCH(AA$25,$A$87:$J$87,0), FALSE), 0) *
    (LEN($A34) &gt; 0)+SUMPRODUCT(
    IFERROR(VLOOKUP($G34:$T34, $B$87:$X$1000,MATCH(AA$25,$B$87:$X$87,0), FALSE), 0) *
    (LEN($G34:$T34) &gt; 0)
)</f>
        <v>0.39999999999999997</v>
      </c>
      <c r="AB34" cm="1">
        <f t="array" ref="AB34">1+SUMPRODUCT(
    IFERROR(VLOOKUP($G34:$T34, $B$87:$X$1000,MATCH(AB$25,$B$87:$X$87,0), FALSE), 0) *
    (LEN($G34:$T34) &gt; 0)
)+IFERROR(VLOOKUP($A34,$A$87:$X$1000,MATCH(AB$25,$A$87:$J$87,0), FALSE), 0) *
    (LEN($A34) &gt; 0)</f>
        <v>2.5</v>
      </c>
      <c r="AC34" cm="1">
        <f t="array" ref="AC34">1+SUMPRODUCT(
    IFERROR(VLOOKUP($G34:$T34, $B$87:$X$1000,MATCH(AC$25,$B$87:$X$87,0), FALSE), 0) *
    (LEN($G34:$T34) &gt; 0)
)</f>
        <v>1</v>
      </c>
      <c r="AD34" cm="1">
        <f t="array" ref="AD34">SUMPRODUCT(
    IFERROR(VLOOKUP($G34:$T34, $B$87:$X$1000,MATCH(AD$25,$B$87:$X$87,0), FALSE), 0) *
    (LEN($G34:$T34) &gt; 0)
)+IFERROR(VLOOKUP($A34,$A$88:$X$1000,MATCH(AD$25,$A$87:$X$87,0), FALSE), 0) *
    (LEN($A34) &gt; 0)</f>
        <v>0.67200000000000004</v>
      </c>
      <c r="AE34" cm="1">
        <f t="array" ref="AE34">SUMPRODUCT(
    IFERROR(VLOOKUP($G34:$T34, $B$87:$X$1000,MATCH(AE$25,$B$87:$X$87,0), FALSE), 0) *
    (LEN($G34:$T34) &gt; 0)
)+IFERROR(VLOOKUP($A34,$A$88:$X$1000,MATCH(AE$25,$A$87:$X$87,0), FALSE), 0) *
    (LEN($A34) &gt; 0)</f>
        <v>0</v>
      </c>
      <c r="AF34" cm="1">
        <f t="array" ref="AF34">SUMPRODUCT(
    IFERROR(VLOOKUP($G34:$T34, $B$87:$X$1000,MATCH(AF$25,$B$87:$X$87,0), FALSE), 0) *
    (LEN($G34:$T34) &gt; 0)
)+IFERROR(VLOOKUP($A34,$A$88:$X$1000,MATCH(AF$25,$A$87:$X$87,0), FALSE), 0) *
    (LEN($A34) &gt; 0)</f>
        <v>0</v>
      </c>
      <c r="AG34" cm="1">
        <f t="array" ref="AG34">SUMPRODUCT(
    IFERROR(VLOOKUP($G34:$T34, $B$87:$X$1000,MATCH(AG$25,$B$87:$X$87,0), FALSE), 0) *
    (LEN($G34:$T34) &gt; 0)
)+IFERROR(VLOOKUP($A34,$A$88:$X$1000,MATCH(AG$25,$A$87:$X$87,0), FALSE), 0) *
    (LEN($A34) &gt; 0)</f>
        <v>0</v>
      </c>
      <c r="AH34" cm="1">
        <f t="array" ref="AH34">SUMPRODUCT(
    IFERROR(VLOOKUP($G34:$T34, $B$87:$X$1000,MATCH(AH$25,$B$87:$X$87,0), FALSE), 0) *
    (LEN($G34:$T34) &gt; 0)
)+IFERROR(VLOOKUP($A34,$A$88:$X$1000,MATCH(AH$25,$A$87:$X$87,0), FALSE), 0) *
    (LEN($A34) &gt; 0)</f>
        <v>0</v>
      </c>
      <c r="AI34">
        <f t="shared" si="0"/>
        <v>1.6720000000000002</v>
      </c>
      <c r="AJ34" cm="1">
        <f t="array" ref="AJ34">1+SUMPRODUCT(
    IFERROR(VLOOKUP($G34:$T34, $B$87:$X$1000,MATCH(AJ$25,$B$87:$X$87,0), FALSE), 0) *
    (LEN($G34:$T34) &gt; 0)
)</f>
        <v>1</v>
      </c>
      <c r="AK34" cm="1">
        <f t="array" ref="AK34">1+SUMPRODUCT(
    IFERROR(VLOOKUP($G34:$T34, $B$87:$X$1000,MATCH(AK$25,$B$87:$X$87,0), FALSE), 0) *
    (LEN($G34:$T34) &gt; 0)
)</f>
        <v>1</v>
      </c>
      <c r="AL34" cm="1">
        <f t="array" ref="AL34">1+SUMPRODUCT(
    IFERROR(VLOOKUP($G34:$T34, $B$87:$X$1000,MATCH(AL$25,$B$87:$X$87,0), FALSE), 0) *
    (LEN($G34:$T34) &gt; 0)
)</f>
        <v>1</v>
      </c>
      <c r="AM34" cm="1">
        <f t="array" ref="AM34">1+SUMPRODUCT(
    IFERROR(VLOOKUP($G34:$T34, $B$87:$X$1000,MATCH(AM$25,$B$87:$X$87,0), FALSE), 0) *
    (LEN($G34:$T34) &gt; 0)
)</f>
        <v>1</v>
      </c>
      <c r="AN34" cm="1">
        <f t="array" ref="AN34">1+SUMPRODUCT(
    IFERROR(VLOOKUP($G34:$T34, $B$87:$X$1000,MATCH(AN$25,$B$87:$X$87,0), FALSE), 0) *
    (LEN($G34:$T34) &gt; 0)
)</f>
        <v>1</v>
      </c>
      <c r="AO34">
        <f t="shared" si="7"/>
        <v>1</v>
      </c>
      <c r="AQ34">
        <f t="shared" si="8"/>
        <v>0.5</v>
      </c>
    </row>
    <row r="35" spans="1:43" x14ac:dyDescent="0.25">
      <c r="A35" t="s">
        <v>1030</v>
      </c>
      <c r="B35">
        <f t="shared" si="1"/>
        <v>14863.787400000003</v>
      </c>
      <c r="C35">
        <f>B35*(1+表2_5[[#This Row],[列24]]*(表2_5[[#This Row],[列25]]-1))</f>
        <v>23782.059840000005</v>
      </c>
      <c r="D35">
        <f t="shared" si="2"/>
        <v>37159.468500000003</v>
      </c>
      <c r="E35" s="36">
        <f>表2_5[[#This Row],[列3]]/$C$61</f>
        <v>8.6545474246251211E-2</v>
      </c>
      <c r="F35" t="s">
        <v>791</v>
      </c>
      <c r="G35" t="s">
        <v>1013</v>
      </c>
      <c r="H35" t="s">
        <v>1018</v>
      </c>
      <c r="J35" t="s">
        <v>1023</v>
      </c>
      <c r="K35" t="s">
        <v>1025</v>
      </c>
      <c r="U35">
        <f t="shared" si="3"/>
        <v>826</v>
      </c>
      <c r="V35" cm="1">
        <f t="array" ref="V35" xml:space="preserve"> IFERROR(VLOOKUP($A35,$A$86:$X$1000,MATCH(V$25,$A$87:$J$87,0), FALSE), 0) *
    (LEN($A35) &gt; 0)+SUMPRODUCT(
    IFERROR(VLOOKUP($G35:$T35, $B$87:$X$1000,MATCH(V$25,$B$87:$X$87,0), FALSE), 0) *
    (LEN($G35:$T35) &gt; 0)
)</f>
        <v>0.25</v>
      </c>
      <c r="W35">
        <f t="shared" si="4"/>
        <v>0</v>
      </c>
      <c r="X35">
        <f t="shared" si="4"/>
        <v>4.74</v>
      </c>
      <c r="Y35">
        <f t="shared" si="5"/>
        <v>5926.55</v>
      </c>
      <c r="Z35">
        <f t="shared" si="6"/>
        <v>3</v>
      </c>
      <c r="AA35" cm="1">
        <f t="array" ref="AA35" xml:space="preserve"> IFERROR(VLOOKUP($A35,$A$86:$X$1000,MATCH(AA$25,$A$87:$J$87,0), FALSE), 0) *
    (LEN($A35) &gt; 0)+SUMPRODUCT(
    IFERROR(VLOOKUP($G35:$T35, $B$87:$X$1000,MATCH(AA$25,$B$87:$X$87,0), FALSE), 0) *
    (LEN($G35:$T35) &gt; 0)
)</f>
        <v>0.39999999999999997</v>
      </c>
      <c r="AB35" cm="1">
        <f t="array" ref="AB35">1+SUMPRODUCT(
    IFERROR(VLOOKUP($G35:$T35, $B$87:$X$1000,MATCH(AB$25,$B$87:$X$87,0), FALSE), 0) *
    (LEN($G35:$T35) &gt; 0)
)+IFERROR(VLOOKUP($A35,$A$87:$X$1000,MATCH(AB$25,$A$87:$J$87,0), FALSE), 0) *
    (LEN($A35) &gt; 0)</f>
        <v>2.5</v>
      </c>
      <c r="AC35" cm="1">
        <f t="array" ref="AC35">1+SUMPRODUCT(
    IFERROR(VLOOKUP($G35:$T35, $B$87:$X$1000,MATCH(AC$25,$B$87:$X$87,0), FALSE), 0) *
    (LEN($G35:$T35) &gt; 0)
)</f>
        <v>1</v>
      </c>
      <c r="AD35" cm="1">
        <f t="array" ref="AD35">SUMPRODUCT(
    IFERROR(VLOOKUP($G35:$T35, $B$87:$X$1000,MATCH(AD$25,$B$87:$X$87,0), FALSE), 0) *
    (LEN($G35:$T35) &gt; 0)
)+IFERROR(VLOOKUP($A35,$A$88:$X$1000,MATCH(AD$25,$A$87:$X$87,0), FALSE), 0) *
    (LEN($A35) &gt; 0)</f>
        <v>0.67200000000000004</v>
      </c>
      <c r="AE35" cm="1">
        <f t="array" ref="AE35">SUMPRODUCT(
    IFERROR(VLOOKUP($G35:$T35, $B$87:$X$1000,MATCH(AE$25,$B$87:$X$87,0), FALSE), 0) *
    (LEN($G35:$T35) &gt; 0)
)+IFERROR(VLOOKUP($A35,$A$88:$X$1000,MATCH(AE$25,$A$87:$X$87,0), FALSE), 0) *
    (LEN($A35) &gt; 0)</f>
        <v>0</v>
      </c>
      <c r="AF35" cm="1">
        <f t="array" ref="AF35">SUMPRODUCT(
    IFERROR(VLOOKUP($G35:$T35, $B$87:$X$1000,MATCH(AF$25,$B$87:$X$87,0), FALSE), 0) *
    (LEN($G35:$T35) &gt; 0)
)+IFERROR(VLOOKUP($A35,$A$88:$X$1000,MATCH(AF$25,$A$87:$X$87,0), FALSE), 0) *
    (LEN($A35) &gt; 0)</f>
        <v>0</v>
      </c>
      <c r="AG35" cm="1">
        <f t="array" ref="AG35">SUMPRODUCT(
    IFERROR(VLOOKUP($G35:$T35, $B$87:$X$1000,MATCH(AG$25,$B$87:$X$87,0), FALSE), 0) *
    (LEN($G35:$T35) &gt; 0)
)+IFERROR(VLOOKUP($A35,$A$88:$X$1000,MATCH(AG$25,$A$87:$X$87,0), FALSE), 0) *
    (LEN($A35) &gt; 0)</f>
        <v>0</v>
      </c>
      <c r="AH35" cm="1">
        <f t="array" ref="AH35">SUMPRODUCT(
    IFERROR(VLOOKUP($G35:$T35, $B$87:$X$1000,MATCH(AH$25,$B$87:$X$87,0), FALSE), 0) *
    (LEN($G35:$T35) &gt; 0)
)+IFERROR(VLOOKUP($A35,$A$88:$X$1000,MATCH(AH$25,$A$87:$X$87,0), FALSE), 0) *
    (LEN($A35) &gt; 0)</f>
        <v>0</v>
      </c>
      <c r="AI35">
        <f t="shared" si="0"/>
        <v>1.6720000000000002</v>
      </c>
      <c r="AJ35" cm="1">
        <f t="array" ref="AJ35">1+SUMPRODUCT(
    IFERROR(VLOOKUP($G35:$T35, $B$87:$X$1000,MATCH(AJ$25,$B$87:$X$87,0), FALSE), 0) *
    (LEN($G35:$T35) &gt; 0)
)</f>
        <v>1</v>
      </c>
      <c r="AK35" cm="1">
        <f t="array" ref="AK35">1+SUMPRODUCT(
    IFERROR(VLOOKUP($G35:$T35, $B$87:$X$1000,MATCH(AK$25,$B$87:$X$87,0), FALSE), 0) *
    (LEN($G35:$T35) &gt; 0)
)</f>
        <v>1</v>
      </c>
      <c r="AL35" cm="1">
        <f t="array" ref="AL35">1+SUMPRODUCT(
    IFERROR(VLOOKUP($G35:$T35, $B$87:$X$1000,MATCH(AL$25,$B$87:$X$87,0), FALSE), 0) *
    (LEN($G35:$T35) &gt; 0)
)</f>
        <v>1</v>
      </c>
      <c r="AM35" cm="1">
        <f t="array" ref="AM35">1+SUMPRODUCT(
    IFERROR(VLOOKUP($G35:$T35, $B$87:$X$1000,MATCH(AM$25,$B$87:$X$87,0), FALSE), 0) *
    (LEN($G35:$T35) &gt; 0)
)</f>
        <v>1</v>
      </c>
      <c r="AN35" cm="1">
        <f t="array" ref="AN35">1+SUMPRODUCT(
    IFERROR(VLOOKUP($G35:$T35, $B$87:$X$1000,MATCH(AN$25,$B$87:$X$87,0), FALSE), 0) *
    (LEN($G35:$T35) &gt; 0)
)</f>
        <v>1</v>
      </c>
      <c r="AO35">
        <f t="shared" si="7"/>
        <v>1</v>
      </c>
      <c r="AQ35">
        <f t="shared" si="8"/>
        <v>0.5</v>
      </c>
    </row>
    <row r="36" spans="1:43" x14ac:dyDescent="0.25">
      <c r="A36" t="s">
        <v>1031</v>
      </c>
      <c r="B36">
        <f t="shared" si="1"/>
        <v>29727.574800000006</v>
      </c>
      <c r="C36">
        <f>B36*(1+表2_5[[#This Row],[列24]]*(表2_5[[#This Row],[列25]]-1))</f>
        <v>47564.119680000011</v>
      </c>
      <c r="D36">
        <f t="shared" si="2"/>
        <v>74318.937000000005</v>
      </c>
      <c r="E36" s="36">
        <f>表2_5[[#This Row],[列3]]/$C$61</f>
        <v>0.17309094849250242</v>
      </c>
      <c r="F36" t="s">
        <v>791</v>
      </c>
      <c r="G36" t="s">
        <v>1013</v>
      </c>
      <c r="H36" t="s">
        <v>1018</v>
      </c>
      <c r="J36" t="s">
        <v>1023</v>
      </c>
      <c r="K36" t="s">
        <v>1025</v>
      </c>
      <c r="U36">
        <f t="shared" si="3"/>
        <v>826</v>
      </c>
      <c r="V36" cm="1">
        <f t="array" ref="V36" xml:space="preserve"> IFERROR(VLOOKUP($A36,$A$86:$X$1000,MATCH(V$25,$A$87:$J$87,0), FALSE), 0) *
    (LEN($A36) &gt; 0)+SUMPRODUCT(
    IFERROR(VLOOKUP($G36:$T36, $B$87:$X$1000,MATCH(V$25,$B$87:$X$87,0), FALSE), 0) *
    (LEN($G36:$T36) &gt; 0)
)</f>
        <v>0.25</v>
      </c>
      <c r="W36">
        <f t="shared" si="4"/>
        <v>0</v>
      </c>
      <c r="X36">
        <f t="shared" si="4"/>
        <v>4.74</v>
      </c>
      <c r="Y36">
        <f t="shared" si="5"/>
        <v>5926.55</v>
      </c>
      <c r="Z36">
        <f t="shared" si="6"/>
        <v>6</v>
      </c>
      <c r="AA36" cm="1">
        <f t="array" ref="AA36" xml:space="preserve"> IFERROR(VLOOKUP($A36,$A$86:$X$1000,MATCH(AA$25,$A$87:$J$87,0), FALSE), 0) *
    (LEN($A36) &gt; 0)+SUMPRODUCT(
    IFERROR(VLOOKUP($G36:$T36, $B$87:$X$1000,MATCH(AA$25,$B$87:$X$87,0), FALSE), 0) *
    (LEN($G36:$T36) &gt; 0)
)</f>
        <v>0.39999999999999997</v>
      </c>
      <c r="AB36" cm="1">
        <f t="array" ref="AB36">1+SUMPRODUCT(
    IFERROR(VLOOKUP($G36:$T36, $B$87:$X$1000,MATCH(AB$25,$B$87:$X$87,0), FALSE), 0) *
    (LEN($G36:$T36) &gt; 0)
)+IFERROR(VLOOKUP($A36,$A$87:$X$1000,MATCH(AB$25,$A$87:$J$87,0), FALSE), 0) *
    (LEN($A36) &gt; 0)</f>
        <v>2.5</v>
      </c>
      <c r="AC36" cm="1">
        <f t="array" ref="AC36">1+SUMPRODUCT(
    IFERROR(VLOOKUP($G36:$T36, $B$87:$X$1000,MATCH(AC$25,$B$87:$X$87,0), FALSE), 0) *
    (LEN($G36:$T36) &gt; 0)
)</f>
        <v>1</v>
      </c>
      <c r="AD36" cm="1">
        <f t="array" ref="AD36">SUMPRODUCT(
    IFERROR(VLOOKUP($G36:$T36, $B$87:$X$1000,MATCH(AD$25,$B$87:$X$87,0), FALSE), 0) *
    (LEN($G36:$T36) &gt; 0)
)+IFERROR(VLOOKUP($A36,$A$88:$X$1000,MATCH(AD$25,$A$87:$X$87,0), FALSE), 0) *
    (LEN($A36) &gt; 0)</f>
        <v>0.67200000000000004</v>
      </c>
      <c r="AE36" cm="1">
        <f t="array" ref="AE36">SUMPRODUCT(
    IFERROR(VLOOKUP($G36:$T36, $B$87:$X$1000,MATCH(AE$25,$B$87:$X$87,0), FALSE), 0) *
    (LEN($G36:$T36) &gt; 0)
)+IFERROR(VLOOKUP($A36,$A$88:$X$1000,MATCH(AE$25,$A$87:$X$87,0), FALSE), 0) *
    (LEN($A36) &gt; 0)</f>
        <v>0</v>
      </c>
      <c r="AF36" cm="1">
        <f t="array" ref="AF36">SUMPRODUCT(
    IFERROR(VLOOKUP($G36:$T36, $B$87:$X$1000,MATCH(AF$25,$B$87:$X$87,0), FALSE), 0) *
    (LEN($G36:$T36) &gt; 0)
)+IFERROR(VLOOKUP($A36,$A$88:$X$1000,MATCH(AF$25,$A$87:$X$87,0), FALSE), 0) *
    (LEN($A36) &gt; 0)</f>
        <v>0</v>
      </c>
      <c r="AG36" cm="1">
        <f t="array" ref="AG36">SUMPRODUCT(
    IFERROR(VLOOKUP($G36:$T36, $B$87:$X$1000,MATCH(AG$25,$B$87:$X$87,0), FALSE), 0) *
    (LEN($G36:$T36) &gt; 0)
)+IFERROR(VLOOKUP($A36,$A$88:$X$1000,MATCH(AG$25,$A$87:$X$87,0), FALSE), 0) *
    (LEN($A36) &gt; 0)</f>
        <v>0</v>
      </c>
      <c r="AH36" cm="1">
        <f t="array" ref="AH36">SUMPRODUCT(
    IFERROR(VLOOKUP($G36:$T36, $B$87:$X$1000,MATCH(AH$25,$B$87:$X$87,0), FALSE), 0) *
    (LEN($G36:$T36) &gt; 0)
)+IFERROR(VLOOKUP($A36,$A$88:$X$1000,MATCH(AH$25,$A$87:$X$87,0), FALSE), 0) *
    (LEN($A36) &gt; 0)</f>
        <v>0</v>
      </c>
      <c r="AI36">
        <f t="shared" si="0"/>
        <v>1.6720000000000002</v>
      </c>
      <c r="AJ36" cm="1">
        <f t="array" ref="AJ36">1+SUMPRODUCT(
    IFERROR(VLOOKUP($G36:$T36, $B$87:$X$1000,MATCH(AJ$25,$B$87:$X$87,0), FALSE), 0) *
    (LEN($G36:$T36) &gt; 0)
)</f>
        <v>1</v>
      </c>
      <c r="AK36" cm="1">
        <f t="array" ref="AK36">1+SUMPRODUCT(
    IFERROR(VLOOKUP($G36:$T36, $B$87:$X$1000,MATCH(AK$25,$B$87:$X$87,0), FALSE), 0) *
    (LEN($G36:$T36) &gt; 0)
)</f>
        <v>1</v>
      </c>
      <c r="AL36" cm="1">
        <f t="array" ref="AL36">1+SUMPRODUCT(
    IFERROR(VLOOKUP($G36:$T36, $B$87:$X$1000,MATCH(AL$25,$B$87:$X$87,0), FALSE), 0) *
    (LEN($G36:$T36) &gt; 0)
)</f>
        <v>1</v>
      </c>
      <c r="AM36" cm="1">
        <f t="array" ref="AM36">1+SUMPRODUCT(
    IFERROR(VLOOKUP($G36:$T36, $B$87:$X$1000,MATCH(AM$25,$B$87:$X$87,0), FALSE), 0) *
    (LEN($G36:$T36) &gt; 0)
)</f>
        <v>1</v>
      </c>
      <c r="AN36" cm="1">
        <f t="array" ref="AN36">1+SUMPRODUCT(
    IFERROR(VLOOKUP($G36:$T36, $B$87:$X$1000,MATCH(AN$25,$B$87:$X$87,0), FALSE), 0) *
    (LEN($G36:$T36) &gt; 0)
)</f>
        <v>1</v>
      </c>
      <c r="AO36">
        <f t="shared" si="7"/>
        <v>1</v>
      </c>
      <c r="AQ36">
        <f t="shared" si="8"/>
        <v>0.5</v>
      </c>
    </row>
    <row r="37" spans="1:43" x14ac:dyDescent="0.25">
      <c r="B37">
        <f>PRODUCT(Y37:Z37,AC37,AI37:AS37)</f>
        <v>0</v>
      </c>
      <c r="C37">
        <f>B37+D37*AA37</f>
        <v>0</v>
      </c>
      <c r="D37">
        <f>PRODUCT(Y37:Z37,AB37:AC37,AI37:AS37)</f>
        <v>0</v>
      </c>
      <c r="E37" s="36">
        <f>表2_5[[#This Row],[列3]]/$C$61</f>
        <v>0</v>
      </c>
      <c r="F37" t="s">
        <v>791</v>
      </c>
      <c r="U37">
        <f t="shared" si="3"/>
        <v>0</v>
      </c>
      <c r="V37" cm="1">
        <f t="array" ref="V37" xml:space="preserve"> IFERROR(VLOOKUP($A37,$A$86:$X$1000,MATCH(V$25,$A$87:$J$87,0), FALSE), 0) *
    (LEN($A37) &gt; 0)+SUMPRODUCT(
    IFERROR(VLOOKUP($G37:$T37, $B$87:$X$1000,MATCH(V$25,$B$87:$X$87,0), FALSE), 0) *
    (LEN($G37:$T37) &gt; 0)
)</f>
        <v>0</v>
      </c>
      <c r="W37">
        <f t="shared" si="4"/>
        <v>0</v>
      </c>
      <c r="X37">
        <f t="shared" si="4"/>
        <v>0</v>
      </c>
      <c r="Y37">
        <f>(U37*(1+V37)+W37)*(1+X37)</f>
        <v>0</v>
      </c>
      <c r="Z37">
        <f t="shared" si="6"/>
        <v>0</v>
      </c>
      <c r="AA37" cm="1">
        <f t="array" ref="AA37" xml:space="preserve"> IFERROR(VLOOKUP($A37,$A$86:$X$1000,MATCH(AA$25,$A$87:$J$87,0), FALSE), 0) *
    (LEN($A37) &gt; 0)+SUMPRODUCT(
    IFERROR(VLOOKUP($G37:$T37, $B$87:$X$1000,MATCH(AA$25,$B$87:$X$87,0), FALSE), 0) *
    (LEN($G37:$T37) &gt; 0)
)</f>
        <v>0</v>
      </c>
      <c r="AB37" cm="1">
        <f t="array" ref="AB37">1+SUMPRODUCT(
    IFERROR(VLOOKUP($G37:$T37, $B$87:$X$1000,MATCH(AB$25,$B$87:$X$87,0), FALSE), 0) *
    (LEN($G37:$T37) &gt; 0)
)+IFERROR(VLOOKUP($A37,$A$87:$X$1000,MATCH(AB$25,$A$87:$J$87,0), FALSE), 0) *
    (LEN($A37) &gt; 0)</f>
        <v>1</v>
      </c>
      <c r="AC37" cm="1">
        <f t="array" ref="AC37">1+SUMPRODUCT(
    IFERROR(VLOOKUP($G37:$T37, $B$87:$X$1000,MATCH(AC$25,$B$87:$X$87,0), FALSE), 0) *
    (LEN($G37:$T37) &gt; 0)
)</f>
        <v>1</v>
      </c>
      <c r="AD37" cm="1">
        <f t="array" ref="AD37">SUMPRODUCT(
    IFERROR(VLOOKUP($G37:$T37, $B$87:$X$1000,MATCH(AD$25,$B$87:$X$87,0), FALSE), 0) *
    (LEN($G37:$T37) &gt; 0)
)+IFERROR(VLOOKUP($A37,$A$88:$X$1000,MATCH(AD$25,$A$87:$X$87,0), FALSE), 0) *
    (LEN($A37) &gt; 0)</f>
        <v>0</v>
      </c>
      <c r="AE37" cm="1">
        <f t="array" ref="AE37">SUMPRODUCT(
    IFERROR(VLOOKUP($G37:$T37, $B$87:$X$1000,MATCH(AE$25,$B$87:$X$87,0), FALSE), 0) *
    (LEN($G37:$T37) &gt; 0)
)+IFERROR(VLOOKUP($A37,$A$88:$X$1000,MATCH(AE$25,$A$87:$X$87,0), FALSE), 0) *
    (LEN($A37) &gt; 0)</f>
        <v>0</v>
      </c>
      <c r="AF37" cm="1">
        <f t="array" ref="AF37">SUMPRODUCT(
    IFERROR(VLOOKUP($G37:$T37, $B$87:$X$1000,MATCH(AF$25,$B$87:$X$87,0), FALSE), 0) *
    (LEN($G37:$T37) &gt; 0)
)+IFERROR(VLOOKUP($A37,$A$88:$X$1000,MATCH(AF$25,$A$87:$X$87,0), FALSE), 0) *
    (LEN($A37) &gt; 0)</f>
        <v>0</v>
      </c>
      <c r="AG37" cm="1">
        <f t="array" ref="AG37">SUMPRODUCT(
    IFERROR(VLOOKUP($G37:$T37, $B$87:$X$1000,MATCH(AG$25,$B$87:$X$87,0), FALSE), 0) *
    (LEN($G37:$T37) &gt; 0)
)+IFERROR(VLOOKUP($A37,$A$88:$X$1000,MATCH(AG$25,$A$87:$X$87,0), FALSE), 0) *
    (LEN($A37) &gt; 0)</f>
        <v>0</v>
      </c>
      <c r="AH37" cm="1">
        <f t="array" ref="AH37">SUMPRODUCT(
    IFERROR(VLOOKUP($G37:$T37, $B$87:$X$1000,MATCH(AH$25,$B$87:$X$87,0), FALSE), 0) *
    (LEN($G37:$T37) &gt; 0)
)+IFERROR(VLOOKUP($A37,$A$88:$X$1000,MATCH(AH$25,$A$87:$X$87,0), FALSE), 0) *
    (LEN($A37) &gt; 0)</f>
        <v>0</v>
      </c>
      <c r="AI37">
        <f>1+AD37+IFERROR(HLOOKUP(RIGHT($A37,2),$AE$25:$AH$80,ROW()-1, FALSE), 0) *
    (LEN($A37) &gt; 0)</f>
        <v>1</v>
      </c>
      <c r="AJ37" cm="1">
        <f t="array" ref="AJ37">1+SUMPRODUCT(
    IFERROR(VLOOKUP($G37:$T37, $B$87:$X$1000,MATCH(AJ$25,$B$87:$X$87,0), FALSE), 0) *
    (LEN($G37:$T37) &gt; 0)
)</f>
        <v>1</v>
      </c>
      <c r="AK37" cm="1">
        <f t="array" ref="AK37">1+SUMPRODUCT(
    IFERROR(VLOOKUP($G37:$T37, $B$87:$X$1000,MATCH(AK$25,$B$87:$X$87,0), FALSE), 0) *
    (LEN($G37:$T37) &gt; 0)
)</f>
        <v>1</v>
      </c>
      <c r="AL37" cm="1">
        <f t="array" ref="AL37">1+SUMPRODUCT(
    IFERROR(VLOOKUP($G37:$T37, $B$87:$X$1000,MATCH(AL$25,$B$87:$X$87,0), FALSE), 0) *
    (LEN($G37:$T37) &gt; 0)
)</f>
        <v>1</v>
      </c>
      <c r="AM37" cm="1">
        <f t="array" ref="AM37">1+SUMPRODUCT(
    IFERROR(VLOOKUP($G37:$T37, $B$87:$X$1000,MATCH(AM$25,$B$87:$X$87,0), FALSE), 0) *
    (LEN($G37:$T37) &gt; 0)
)</f>
        <v>1</v>
      </c>
      <c r="AN37" cm="1">
        <f t="array" ref="AN37">1+SUMPRODUCT(
    IFERROR(VLOOKUP($G37:$T37, $B$87:$X$1000,MATCH(AN$25,$B$87:$X$87,0), FALSE), 0) *
    (LEN($G37:$T37) &gt; 0)
)</f>
        <v>1</v>
      </c>
      <c r="AO37">
        <f>IF($F37="是",1.3,1)</f>
        <v>1</v>
      </c>
      <c r="AQ37">
        <f>0.5</f>
        <v>0.5</v>
      </c>
    </row>
    <row r="38" spans="1:43" ht="14.4" customHeight="1" x14ac:dyDescent="0.25">
      <c r="B38">
        <f t="shared" si="1"/>
        <v>0</v>
      </c>
      <c r="C38">
        <f>B38*(1+表2_5[[#This Row],[列24]]*(表2_5[[#This Row],[列25]]-1))</f>
        <v>0</v>
      </c>
      <c r="D38">
        <f t="shared" si="2"/>
        <v>0</v>
      </c>
      <c r="E38" s="36">
        <f>表2_5[[#This Row],[列3]]/$C$61</f>
        <v>0</v>
      </c>
      <c r="F38" t="s">
        <v>791</v>
      </c>
      <c r="U38">
        <f t="shared" si="3"/>
        <v>0</v>
      </c>
      <c r="V38" cm="1">
        <f t="array" ref="V38" xml:space="preserve"> IFERROR(VLOOKUP($A38,$A$86:$X$1000,MATCH(V$25,$A$87:$J$87,0), FALSE), 0) *
    (LEN($A38) &gt; 0)+SUMPRODUCT(
    IFERROR(VLOOKUP($G38:$T38, $B$87:$X$1000,MATCH(V$25,$B$87:$X$87,0), FALSE), 0) *
    (LEN($G38:$T38) &gt; 0)
)</f>
        <v>0</v>
      </c>
      <c r="W38">
        <f t="shared" si="4"/>
        <v>0</v>
      </c>
      <c r="X38">
        <f t="shared" si="4"/>
        <v>0</v>
      </c>
      <c r="Y38">
        <f t="shared" si="5"/>
        <v>0</v>
      </c>
      <c r="Z38">
        <f t="shared" si="6"/>
        <v>0</v>
      </c>
      <c r="AA38" cm="1">
        <f t="array" ref="AA38" xml:space="preserve"> IFERROR(VLOOKUP($A38,$A$86:$X$1000,MATCH(AA$25,$A$87:$J$87,0), FALSE), 0) *
    (LEN($A38) &gt; 0)+SUMPRODUCT(
    IFERROR(VLOOKUP($G38:$T38, $B$87:$X$1000,MATCH(AA$25,$B$87:$X$87,0), FALSE), 0) *
    (LEN($G38:$T38) &gt; 0)
)</f>
        <v>0</v>
      </c>
      <c r="AB38" cm="1">
        <f t="array" ref="AB38">1+SUMPRODUCT(
    IFERROR(VLOOKUP($G38:$T38, $B$87:$X$1000,MATCH(AB$25,$B$87:$X$87,0), FALSE), 0) *
    (LEN($G38:$T38) &gt; 0)
)+IFERROR(VLOOKUP($A38,$A$87:$X$1000,MATCH(AB$25,$A$87:$J$87,0), FALSE), 0) *
    (LEN($A38) &gt; 0)</f>
        <v>1</v>
      </c>
      <c r="AC38" cm="1">
        <f t="array" ref="AC38">1+SUMPRODUCT(
    IFERROR(VLOOKUP($G38:$T38, $B$87:$X$1000,MATCH(AC$25,$B$87:$X$87,0), FALSE), 0) *
    (LEN($G38:$T38) &gt; 0)
)</f>
        <v>1</v>
      </c>
      <c r="AD38" cm="1">
        <f t="array" ref="AD38">SUMPRODUCT(
    IFERROR(VLOOKUP($G38:$T38, $B$87:$X$1000,MATCH(AD$25,$B$87:$X$87,0), FALSE), 0) *
    (LEN($G38:$T38) &gt; 0)
)+IFERROR(VLOOKUP($A38,$A$88:$X$1000,MATCH(AD$25,$A$87:$X$87,0), FALSE), 0) *
    (LEN($A38) &gt; 0)</f>
        <v>0</v>
      </c>
      <c r="AE38" cm="1">
        <f t="array" ref="AE38">SUMPRODUCT(
    IFERROR(VLOOKUP($G38:$T38, $B$87:$X$1000,MATCH(AE$25,$B$87:$X$87,0), FALSE), 0) *
    (LEN($G38:$T38) &gt; 0)
)+IFERROR(VLOOKUP($A38,$A$88:$X$1000,MATCH(AE$25,$A$87:$X$87,0), FALSE), 0) *
    (LEN($A38) &gt; 0)</f>
        <v>0</v>
      </c>
      <c r="AF38" cm="1">
        <f t="array" ref="AF38">SUMPRODUCT(
    IFERROR(VLOOKUP($G38:$T38, $B$87:$X$1000,MATCH(AF$25,$B$87:$X$87,0), FALSE), 0) *
    (LEN($G38:$T38) &gt; 0)
)+IFERROR(VLOOKUP($A38,$A$88:$X$1000,MATCH(AF$25,$A$87:$X$87,0), FALSE), 0) *
    (LEN($A38) &gt; 0)</f>
        <v>0</v>
      </c>
      <c r="AG38" cm="1">
        <f t="array" ref="AG38">SUMPRODUCT(
    IFERROR(VLOOKUP($G38:$T38, $B$87:$X$1000,MATCH(AG$25,$B$87:$X$87,0), FALSE), 0) *
    (LEN($G38:$T38) &gt; 0)
)+IFERROR(VLOOKUP($A38,$A$88:$X$1000,MATCH(AG$25,$A$87:$X$87,0), FALSE), 0) *
    (LEN($A38) &gt; 0)</f>
        <v>0</v>
      </c>
      <c r="AH38" cm="1">
        <f t="array" ref="AH38">SUMPRODUCT(
    IFERROR(VLOOKUP($G38:$T38, $B$87:$X$1000,MATCH(AH$25,$B$87:$X$87,0), FALSE), 0) *
    (LEN($G38:$T38) &gt; 0)
)+IFERROR(VLOOKUP($A38,$A$88:$X$1000,MATCH(AH$25,$A$87:$X$87,0), FALSE), 0) *
    (LEN($A38) &gt; 0)</f>
        <v>0</v>
      </c>
      <c r="AI38">
        <f t="shared" ref="AI38:AI57" si="9">1 + AD38 + IF(
    LEN($A38) &gt; 0,
    IFERROR(
        HLOOKUP(RIGHT($A38,2), $AE$25:$AH$80, ROW()-ROW($AE$25) + 1, FALSE),
        0
    ),
    0
)</f>
        <v>1</v>
      </c>
      <c r="AJ38" cm="1">
        <f t="array" ref="AJ38">1+SUMPRODUCT(
    IFERROR(VLOOKUP($G38:$T38, $B$87:$X$1000,MATCH(AJ$25,$B$87:$X$87,0), FALSE), 0) *
    (LEN($G38:$T38) &gt; 0)
)</f>
        <v>1</v>
      </c>
      <c r="AK38" cm="1">
        <f t="array" ref="AK38">1+SUMPRODUCT(
    IFERROR(VLOOKUP($G38:$T38, $B$87:$X$1000,MATCH(AK$25,$B$87:$X$87,0), FALSE), 0) *
    (LEN($G38:$T38) &gt; 0)
)</f>
        <v>1</v>
      </c>
      <c r="AL38" cm="1">
        <f t="array" ref="AL38">1+SUMPRODUCT(
    IFERROR(VLOOKUP($G38:$T38, $B$87:$X$1000,MATCH(AL$25,$B$87:$X$87,0), FALSE), 0) *
    (LEN($G38:$T38) &gt; 0)
)</f>
        <v>1</v>
      </c>
      <c r="AM38" cm="1">
        <f t="array" ref="AM38">1+SUMPRODUCT(
    IFERROR(VLOOKUP($G38:$T38, $B$87:$X$1000,MATCH(AM$25,$B$87:$X$87,0), FALSE), 0) *
    (LEN($G38:$T38) &gt; 0)
)</f>
        <v>1</v>
      </c>
      <c r="AN38" cm="1">
        <f t="array" ref="AN38">1+SUMPRODUCT(
    IFERROR(VLOOKUP($G38:$T38, $B$87:$X$1000,MATCH(AN$25,$B$87:$X$87,0), FALSE), 0) *
    (LEN($G38:$T38) &gt; 0)
)</f>
        <v>1</v>
      </c>
      <c r="AO38">
        <f t="shared" si="7"/>
        <v>1</v>
      </c>
      <c r="AQ38">
        <f t="shared" si="8"/>
        <v>0.5</v>
      </c>
    </row>
    <row r="39" spans="1:43" x14ac:dyDescent="0.25">
      <c r="B39">
        <f t="shared" si="1"/>
        <v>0</v>
      </c>
      <c r="C39">
        <f>B39*(1+表2_5[[#This Row],[列24]]*(表2_5[[#This Row],[列25]]-1))</f>
        <v>0</v>
      </c>
      <c r="D39">
        <f t="shared" si="2"/>
        <v>0</v>
      </c>
      <c r="E39" s="36">
        <f>表2_5[[#This Row],[列3]]/$C$61</f>
        <v>0</v>
      </c>
      <c r="F39" t="s">
        <v>791</v>
      </c>
      <c r="U39">
        <f t="shared" si="3"/>
        <v>0</v>
      </c>
      <c r="V39" cm="1">
        <f t="array" ref="V39" xml:space="preserve"> IFERROR(VLOOKUP($A39,$A$86:$X$1000,MATCH(V$25,$A$87:$J$87,0), FALSE), 0) *
    (LEN($A39) &gt; 0)+SUMPRODUCT(
    IFERROR(VLOOKUP($G39:$T39, $B$87:$X$1000,MATCH(V$25,$B$87:$X$87,0), FALSE), 0) *
    (LEN($G39:$T39) &gt; 0)
)</f>
        <v>0</v>
      </c>
      <c r="W39">
        <f t="shared" si="4"/>
        <v>0</v>
      </c>
      <c r="X39">
        <f t="shared" si="4"/>
        <v>0</v>
      </c>
      <c r="Y39">
        <f t="shared" si="5"/>
        <v>0</v>
      </c>
      <c r="Z39">
        <f t="shared" si="6"/>
        <v>0</v>
      </c>
      <c r="AA39" cm="1">
        <f t="array" ref="AA39" xml:space="preserve"> IFERROR(VLOOKUP($A39,$A$86:$X$1000,MATCH(AA$25,$A$87:$J$87,0), FALSE), 0) *
    (LEN($A39) &gt; 0)+SUMPRODUCT(
    IFERROR(VLOOKUP($G39:$T39, $B$87:$X$1000,MATCH(AA$25,$B$87:$X$87,0), FALSE), 0) *
    (LEN($G39:$T39) &gt; 0)
)</f>
        <v>0</v>
      </c>
      <c r="AB39" cm="1">
        <f t="array" ref="AB39">1+SUMPRODUCT(
    IFERROR(VLOOKUP($G39:$T39, $B$87:$X$1000,MATCH(AB$25,$B$87:$X$87,0), FALSE), 0) *
    (LEN($G39:$T39) &gt; 0)
)+IFERROR(VLOOKUP($A39,$A$87:$X$1000,MATCH(AB$25,$A$87:$J$87,0), FALSE), 0) *
    (LEN($A39) &gt; 0)</f>
        <v>1</v>
      </c>
      <c r="AC39" cm="1">
        <f t="array" ref="AC39">1+SUMPRODUCT(
    IFERROR(VLOOKUP($G39:$T39, $B$87:$X$1000,MATCH(AC$25,$B$87:$X$87,0), FALSE), 0) *
    (LEN($G39:$T39) &gt; 0)
)</f>
        <v>1</v>
      </c>
      <c r="AD39" cm="1">
        <f t="array" ref="AD39">SUMPRODUCT(
    IFERROR(VLOOKUP($G39:$T39, $B$87:$X$1000,MATCH(AD$25,$B$87:$X$87,0), FALSE), 0) *
    (LEN($G39:$T39) &gt; 0)
)+IFERROR(VLOOKUP($A39,$A$88:$X$1000,MATCH(AD$25,$A$87:$X$87,0), FALSE), 0) *
    (LEN($A39) &gt; 0)</f>
        <v>0</v>
      </c>
      <c r="AE39" cm="1">
        <f t="array" ref="AE39">SUMPRODUCT(
    IFERROR(VLOOKUP($G39:$T39, $B$87:$X$1000,MATCH(AE$25,$B$87:$X$87,0), FALSE), 0) *
    (LEN($G39:$T39) &gt; 0)
)+IFERROR(VLOOKUP($A39,$A$88:$X$1000,MATCH(AE$25,$A$87:$X$87,0), FALSE), 0) *
    (LEN($A39) &gt; 0)</f>
        <v>0</v>
      </c>
      <c r="AF39" cm="1">
        <f t="array" ref="AF39">SUMPRODUCT(
    IFERROR(VLOOKUP($G39:$T39, $B$87:$X$1000,MATCH(AF$25,$B$87:$X$87,0), FALSE), 0) *
    (LEN($G39:$T39) &gt; 0)
)+IFERROR(VLOOKUP($A39,$A$88:$X$1000,MATCH(AF$25,$A$87:$X$87,0), FALSE), 0) *
    (LEN($A39) &gt; 0)</f>
        <v>0</v>
      </c>
      <c r="AG39" cm="1">
        <f t="array" ref="AG39">SUMPRODUCT(
    IFERROR(VLOOKUP($G39:$T39, $B$87:$X$1000,MATCH(AG$25,$B$87:$X$87,0), FALSE), 0) *
    (LEN($G39:$T39) &gt; 0)
)+IFERROR(VLOOKUP($A39,$A$88:$X$1000,MATCH(AG$25,$A$87:$X$87,0), FALSE), 0) *
    (LEN($A39) &gt; 0)</f>
        <v>0</v>
      </c>
      <c r="AH39" cm="1">
        <f t="array" ref="AH39">SUMPRODUCT(
    IFERROR(VLOOKUP($G39:$T39, $B$87:$X$1000,MATCH(AH$25,$B$87:$X$87,0), FALSE), 0) *
    (LEN($G39:$T39) &gt; 0)
)+IFERROR(VLOOKUP($A39,$A$88:$X$1000,MATCH(AH$25,$A$87:$X$87,0), FALSE), 0) *
    (LEN($A39) &gt; 0)</f>
        <v>0</v>
      </c>
      <c r="AI39">
        <f t="shared" si="9"/>
        <v>1</v>
      </c>
      <c r="AJ39" cm="1">
        <f t="array" ref="AJ39">1+SUMPRODUCT(
    IFERROR(VLOOKUP($G39:$T39, $B$87:$X$1000,MATCH(AJ$25,$B$87:$X$87,0), FALSE), 0) *
    (LEN($G39:$T39) &gt; 0)
)</f>
        <v>1</v>
      </c>
      <c r="AK39" cm="1">
        <f t="array" ref="AK39">1+SUMPRODUCT(
    IFERROR(VLOOKUP($G39:$T39, $B$87:$X$1000,MATCH(AK$25,$B$87:$X$87,0), FALSE), 0) *
    (LEN($G39:$T39) &gt; 0)
)</f>
        <v>1</v>
      </c>
      <c r="AL39" cm="1">
        <f t="array" ref="AL39">1+SUMPRODUCT(
    IFERROR(VLOOKUP($G39:$T39, $B$87:$X$1000,MATCH(AL$25,$B$87:$X$87,0), FALSE), 0) *
    (LEN($G39:$T39) &gt; 0)
)</f>
        <v>1</v>
      </c>
      <c r="AM39" cm="1">
        <f t="array" ref="AM39">1+SUMPRODUCT(
    IFERROR(VLOOKUP($G39:$T39, $B$87:$X$1000,MATCH(AM$25,$B$87:$X$87,0), FALSE), 0) *
    (LEN($G39:$T39) &gt; 0)
)</f>
        <v>1</v>
      </c>
      <c r="AN39" cm="1">
        <f t="array" ref="AN39">1+SUMPRODUCT(
    IFERROR(VLOOKUP($G39:$T39, $B$87:$X$1000,MATCH(AN$25,$B$87:$X$87,0), FALSE), 0) *
    (LEN($G39:$T39) &gt; 0)
)</f>
        <v>1</v>
      </c>
      <c r="AO39">
        <f t="shared" si="7"/>
        <v>1</v>
      </c>
      <c r="AQ39">
        <f t="shared" si="8"/>
        <v>0.5</v>
      </c>
    </row>
    <row r="40" spans="1:43" x14ac:dyDescent="0.25">
      <c r="B40">
        <f t="shared" si="1"/>
        <v>0</v>
      </c>
      <c r="C40">
        <f>B40*(1+表2_5[[#This Row],[列24]]*(表2_5[[#This Row],[列25]]-1))</f>
        <v>0</v>
      </c>
      <c r="D40">
        <f t="shared" si="2"/>
        <v>0</v>
      </c>
      <c r="E40" s="36">
        <f>表2_5[[#This Row],[列3]]/$C$61</f>
        <v>0</v>
      </c>
      <c r="F40" t="s">
        <v>791</v>
      </c>
      <c r="U40">
        <f t="shared" si="3"/>
        <v>0</v>
      </c>
      <c r="V40" cm="1">
        <f t="array" ref="V40" xml:space="preserve"> IFERROR(VLOOKUP($A40,$A$86:$X$1000,MATCH(V$25,$A$87:$J$87,0), FALSE), 0) *
    (LEN($A40) &gt; 0)+SUMPRODUCT(
    IFERROR(VLOOKUP($G40:$T40, $B$87:$X$1000,MATCH(V$25,$B$87:$X$87,0), FALSE), 0) *
    (LEN($G40:$T40) &gt; 0)
)</f>
        <v>0</v>
      </c>
      <c r="W40">
        <f t="shared" si="4"/>
        <v>0</v>
      </c>
      <c r="X40">
        <f t="shared" si="4"/>
        <v>0</v>
      </c>
      <c r="Y40">
        <f t="shared" si="5"/>
        <v>0</v>
      </c>
      <c r="Z40">
        <f t="shared" si="6"/>
        <v>0</v>
      </c>
      <c r="AA40" cm="1">
        <f t="array" ref="AA40" xml:space="preserve"> IFERROR(VLOOKUP($A40,$A$86:$X$1000,MATCH(AA$25,$A$87:$J$87,0), FALSE), 0) *
    (LEN($A40) &gt; 0)+SUMPRODUCT(
    IFERROR(VLOOKUP($G40:$T40, $B$87:$X$1000,MATCH(AA$25,$B$87:$X$87,0), FALSE), 0) *
    (LEN($G40:$T40) &gt; 0)
)</f>
        <v>0</v>
      </c>
      <c r="AB40" cm="1">
        <f t="array" ref="AB40">1+SUMPRODUCT(
    IFERROR(VLOOKUP($G40:$T40, $B$87:$X$1000,MATCH(AB$25,$B$87:$X$87,0), FALSE), 0) *
    (LEN($G40:$T40) &gt; 0)
)+IFERROR(VLOOKUP($A40,$A$87:$X$1000,MATCH(AB$25,$A$87:$J$87,0), FALSE), 0) *
    (LEN($A40) &gt; 0)</f>
        <v>1</v>
      </c>
      <c r="AC40" cm="1">
        <f t="array" ref="AC40">1+SUMPRODUCT(
    IFERROR(VLOOKUP($G40:$T40, $B$87:$X$1000,MATCH(AC$25,$B$87:$X$87,0), FALSE), 0) *
    (LEN($G40:$T40) &gt; 0)
)</f>
        <v>1</v>
      </c>
      <c r="AD40" cm="1">
        <f t="array" ref="AD40">SUMPRODUCT(
    IFERROR(VLOOKUP($G40:$T40, $B$87:$X$1000,MATCH(AD$25,$B$87:$X$87,0), FALSE), 0) *
    (LEN($G40:$T40) &gt; 0)
)+IFERROR(VLOOKUP($A40,$A$88:$X$1000,MATCH(AD$25,$A$87:$X$87,0), FALSE), 0) *
    (LEN($A40) &gt; 0)</f>
        <v>0</v>
      </c>
      <c r="AE40" cm="1">
        <f t="array" ref="AE40">SUMPRODUCT(
    IFERROR(VLOOKUP($G40:$T40, $B$87:$X$1000,MATCH(AE$25,$B$87:$X$87,0), FALSE), 0) *
    (LEN($G40:$T40) &gt; 0)
)+IFERROR(VLOOKUP($A40,$A$88:$X$1000,MATCH(AE$25,$A$87:$X$87,0), FALSE), 0) *
    (LEN($A40) &gt; 0)</f>
        <v>0</v>
      </c>
      <c r="AF40" cm="1">
        <f t="array" ref="AF40">SUMPRODUCT(
    IFERROR(VLOOKUP($G40:$T40, $B$87:$X$1000,MATCH(AF$25,$B$87:$X$87,0), FALSE), 0) *
    (LEN($G40:$T40) &gt; 0)
)+IFERROR(VLOOKUP($A40,$A$88:$X$1000,MATCH(AF$25,$A$87:$X$87,0), FALSE), 0) *
    (LEN($A40) &gt; 0)</f>
        <v>0</v>
      </c>
      <c r="AG40" cm="1">
        <f t="array" ref="AG40">SUMPRODUCT(
    IFERROR(VLOOKUP($G40:$T40, $B$87:$X$1000,MATCH(AG$25,$B$87:$X$87,0), FALSE), 0) *
    (LEN($G40:$T40) &gt; 0)
)+IFERROR(VLOOKUP($A40,$A$88:$X$1000,MATCH(AG$25,$A$87:$X$87,0), FALSE), 0) *
    (LEN($A40) &gt; 0)</f>
        <v>0</v>
      </c>
      <c r="AH40" cm="1">
        <f t="array" ref="AH40">SUMPRODUCT(
    IFERROR(VLOOKUP($G40:$T40, $B$87:$X$1000,MATCH(AH$25,$B$87:$X$87,0), FALSE), 0) *
    (LEN($G40:$T40) &gt; 0)
)+IFERROR(VLOOKUP($A40,$A$88:$X$1000,MATCH(AH$25,$A$87:$X$87,0), FALSE), 0) *
    (LEN($A40) &gt; 0)</f>
        <v>0</v>
      </c>
      <c r="AI40">
        <f t="shared" si="9"/>
        <v>1</v>
      </c>
      <c r="AJ40" cm="1">
        <f t="array" ref="AJ40">1+SUMPRODUCT(
    IFERROR(VLOOKUP($G40:$T40, $B$87:$X$1000,MATCH(AJ$25,$B$87:$X$87,0), FALSE), 0) *
    (LEN($G40:$T40) &gt; 0)
)</f>
        <v>1</v>
      </c>
      <c r="AK40" cm="1">
        <f t="array" ref="AK40">1+SUMPRODUCT(
    IFERROR(VLOOKUP($G40:$T40, $B$87:$X$1000,MATCH(AK$25,$B$87:$X$87,0), FALSE), 0) *
    (LEN($G40:$T40) &gt; 0)
)</f>
        <v>1</v>
      </c>
      <c r="AL40" cm="1">
        <f t="array" ref="AL40">1+SUMPRODUCT(
    IFERROR(VLOOKUP($G40:$T40, $B$87:$X$1000,MATCH(AL$25,$B$87:$X$87,0), FALSE), 0) *
    (LEN($G40:$T40) &gt; 0)
)</f>
        <v>1</v>
      </c>
      <c r="AM40" cm="1">
        <f t="array" ref="AM40">1+SUMPRODUCT(
    IFERROR(VLOOKUP($G40:$T40, $B$87:$X$1000,MATCH(AM$25,$B$87:$X$87,0), FALSE), 0) *
    (LEN($G40:$T40) &gt; 0)
)</f>
        <v>1</v>
      </c>
      <c r="AN40" cm="1">
        <f t="array" ref="AN40">1+SUMPRODUCT(
    IFERROR(VLOOKUP($G40:$T40, $B$87:$X$1000,MATCH(AN$25,$B$87:$X$87,0), FALSE), 0) *
    (LEN($G40:$T40) &gt; 0)
)</f>
        <v>1</v>
      </c>
      <c r="AO40">
        <f t="shared" si="7"/>
        <v>1</v>
      </c>
      <c r="AQ40">
        <f t="shared" si="8"/>
        <v>0.5</v>
      </c>
    </row>
    <row r="41" spans="1:43" x14ac:dyDescent="0.25">
      <c r="B41">
        <f t="shared" si="1"/>
        <v>0</v>
      </c>
      <c r="C41">
        <f>B41*(1+表2_5[[#This Row],[列24]]*(表2_5[[#This Row],[列25]]-1))</f>
        <v>0</v>
      </c>
      <c r="D41">
        <f t="shared" si="2"/>
        <v>0</v>
      </c>
      <c r="E41" s="36">
        <f>表2_5[[#This Row],[列3]]/$C$61</f>
        <v>0</v>
      </c>
      <c r="F41" t="s">
        <v>791</v>
      </c>
      <c r="U41">
        <f t="shared" si="3"/>
        <v>0</v>
      </c>
      <c r="V41" cm="1">
        <f t="array" ref="V41" xml:space="preserve"> IFERROR(VLOOKUP($A41,$A$86:$X$1000,MATCH(V$25,$A$87:$J$87,0), FALSE), 0) *
    (LEN($A41) &gt; 0)+SUMPRODUCT(
    IFERROR(VLOOKUP($G41:$T41, $B$87:$X$1000,MATCH(V$25,$B$87:$X$87,0), FALSE), 0) *
    (LEN($G41:$T41) &gt; 0)
)</f>
        <v>0</v>
      </c>
      <c r="W41">
        <f t="shared" si="4"/>
        <v>0</v>
      </c>
      <c r="X41">
        <f t="shared" si="4"/>
        <v>0</v>
      </c>
      <c r="Y41">
        <f t="shared" si="5"/>
        <v>0</v>
      </c>
      <c r="Z41">
        <f t="shared" si="6"/>
        <v>0</v>
      </c>
      <c r="AA41" cm="1">
        <f t="array" ref="AA41" xml:space="preserve"> IFERROR(VLOOKUP($A41,$A$86:$X$1000,MATCH(AA$25,$A$87:$J$87,0), FALSE), 0) *
    (LEN($A41) &gt; 0)+SUMPRODUCT(
    IFERROR(VLOOKUP($G41:$T41, $B$87:$X$1000,MATCH(AA$25,$B$87:$X$87,0), FALSE), 0) *
    (LEN($G41:$T41) &gt; 0)
)</f>
        <v>0</v>
      </c>
      <c r="AB41" cm="1">
        <f t="array" ref="AB41">1+SUMPRODUCT(
    IFERROR(VLOOKUP($G41:$T41, $B$87:$X$1000,MATCH(AB$25,$B$87:$X$87,0), FALSE), 0) *
    (LEN($G41:$T41) &gt; 0)
)+IFERROR(VLOOKUP($A41,$A$87:$X$1000,MATCH(AB$25,$A$87:$J$87,0), FALSE), 0) *
    (LEN($A41) &gt; 0)</f>
        <v>1</v>
      </c>
      <c r="AC41" cm="1">
        <f t="array" ref="AC41">1+SUMPRODUCT(
    IFERROR(VLOOKUP($G41:$T41, $B$87:$X$1000,MATCH(AC$25,$B$87:$X$87,0), FALSE), 0) *
    (LEN($G41:$T41) &gt; 0)
)</f>
        <v>1</v>
      </c>
      <c r="AD41" cm="1">
        <f t="array" ref="AD41">SUMPRODUCT(
    IFERROR(VLOOKUP($G41:$T41, $B$87:$X$1000,MATCH(AD$25,$B$87:$X$87,0), FALSE), 0) *
    (LEN($G41:$T41) &gt; 0)
)+IFERROR(VLOOKUP($A41,$A$88:$X$1000,MATCH(AD$25,$A$87:$X$87,0), FALSE), 0) *
    (LEN($A41) &gt; 0)</f>
        <v>0</v>
      </c>
      <c r="AE41" cm="1">
        <f t="array" ref="AE41">SUMPRODUCT(
    IFERROR(VLOOKUP($G41:$T41, $B$87:$X$1000,MATCH(AE$25,$B$87:$X$87,0), FALSE), 0) *
    (LEN($G41:$T41) &gt; 0)
)+IFERROR(VLOOKUP($A41,$A$88:$X$1000,MATCH(AE$25,$A$87:$X$87,0), FALSE), 0) *
    (LEN($A41) &gt; 0)</f>
        <v>0</v>
      </c>
      <c r="AF41" cm="1">
        <f t="array" ref="AF41">SUMPRODUCT(
    IFERROR(VLOOKUP($G41:$T41, $B$87:$X$1000,MATCH(AF$25,$B$87:$X$87,0), FALSE), 0) *
    (LEN($G41:$T41) &gt; 0)
)+IFERROR(VLOOKUP($A41,$A$88:$X$1000,MATCH(AF$25,$A$87:$X$87,0), FALSE), 0) *
    (LEN($A41) &gt; 0)</f>
        <v>0</v>
      </c>
      <c r="AG41" cm="1">
        <f t="array" ref="AG41">SUMPRODUCT(
    IFERROR(VLOOKUP($G41:$T41, $B$87:$X$1000,MATCH(AG$25,$B$87:$X$87,0), FALSE), 0) *
    (LEN($G41:$T41) &gt; 0)
)+IFERROR(VLOOKUP($A41,$A$88:$X$1000,MATCH(AG$25,$A$87:$X$87,0), FALSE), 0) *
    (LEN($A41) &gt; 0)</f>
        <v>0</v>
      </c>
      <c r="AH41" cm="1">
        <f t="array" ref="AH41">SUMPRODUCT(
    IFERROR(VLOOKUP($G41:$T41, $B$87:$X$1000,MATCH(AH$25,$B$87:$X$87,0), FALSE), 0) *
    (LEN($G41:$T41) &gt; 0)
)+IFERROR(VLOOKUP($A41,$A$88:$X$1000,MATCH(AH$25,$A$87:$X$87,0), FALSE), 0) *
    (LEN($A41) &gt; 0)</f>
        <v>0</v>
      </c>
      <c r="AI41">
        <f t="shared" si="9"/>
        <v>1</v>
      </c>
      <c r="AJ41" cm="1">
        <f t="array" ref="AJ41">1+SUMPRODUCT(
    IFERROR(VLOOKUP($G41:$T41, $B$87:$X$1000,MATCH(AJ$25,$B$87:$X$87,0), FALSE), 0) *
    (LEN($G41:$T41) &gt; 0)
)</f>
        <v>1</v>
      </c>
      <c r="AK41" cm="1">
        <f t="array" ref="AK41">1+SUMPRODUCT(
    IFERROR(VLOOKUP($G41:$T41, $B$87:$X$1000,MATCH(AK$25,$B$87:$X$87,0), FALSE), 0) *
    (LEN($G41:$T41) &gt; 0)
)</f>
        <v>1</v>
      </c>
      <c r="AL41" cm="1">
        <f t="array" ref="AL41">1+SUMPRODUCT(
    IFERROR(VLOOKUP($G41:$T41, $B$87:$X$1000,MATCH(AL$25,$B$87:$X$87,0), FALSE), 0) *
    (LEN($G41:$T41) &gt; 0)
)</f>
        <v>1</v>
      </c>
      <c r="AM41" cm="1">
        <f t="array" ref="AM41">1+SUMPRODUCT(
    IFERROR(VLOOKUP($G41:$T41, $B$87:$X$1000,MATCH(AM$25,$B$87:$X$87,0), FALSE), 0) *
    (LEN($G41:$T41) &gt; 0)
)</f>
        <v>1</v>
      </c>
      <c r="AN41" cm="1">
        <f t="array" ref="AN41">1+SUMPRODUCT(
    IFERROR(VLOOKUP($G41:$T41, $B$87:$X$1000,MATCH(AN$25,$B$87:$X$87,0), FALSE), 0) *
    (LEN($G41:$T41) &gt; 0)
)</f>
        <v>1</v>
      </c>
      <c r="AO41">
        <f t="shared" si="7"/>
        <v>1</v>
      </c>
      <c r="AQ41">
        <f t="shared" si="8"/>
        <v>0.5</v>
      </c>
    </row>
    <row r="42" spans="1:43" x14ac:dyDescent="0.25">
      <c r="B42">
        <f t="shared" si="1"/>
        <v>0</v>
      </c>
      <c r="C42">
        <f>B42*(1+表2_5[[#This Row],[列24]]*(表2_5[[#This Row],[列25]]-1))</f>
        <v>0</v>
      </c>
      <c r="D42">
        <f t="shared" si="2"/>
        <v>0</v>
      </c>
      <c r="E42" s="36">
        <f>表2_5[[#This Row],[列3]]/$C$61</f>
        <v>0</v>
      </c>
      <c r="F42" t="s">
        <v>791</v>
      </c>
      <c r="U42">
        <f t="shared" si="3"/>
        <v>0</v>
      </c>
      <c r="V42" cm="1">
        <f t="array" ref="V42" xml:space="preserve"> IFERROR(VLOOKUP($A42,$A$86:$X$1000,MATCH(V$25,$A$87:$J$87,0), FALSE), 0) *
    (LEN($A42) &gt; 0)+SUMPRODUCT(
    IFERROR(VLOOKUP($G42:$T42, $B$87:$X$1000,MATCH(V$25,$B$87:$X$87,0), FALSE), 0) *
    (LEN($G42:$T42) &gt; 0)
)</f>
        <v>0</v>
      </c>
      <c r="W42">
        <f t="shared" si="4"/>
        <v>0</v>
      </c>
      <c r="X42">
        <f t="shared" si="4"/>
        <v>0</v>
      </c>
      <c r="Y42">
        <f t="shared" si="5"/>
        <v>0</v>
      </c>
      <c r="Z42">
        <f t="shared" si="6"/>
        <v>0</v>
      </c>
      <c r="AA42" cm="1">
        <f t="array" ref="AA42" xml:space="preserve"> IFERROR(VLOOKUP($A42,$A$86:$X$1000,MATCH(AA$25,$A$87:$J$87,0), FALSE), 0) *
    (LEN($A42) &gt; 0)+SUMPRODUCT(
    IFERROR(VLOOKUP($G42:$T42, $B$87:$X$1000,MATCH(AA$25,$B$87:$X$87,0), FALSE), 0) *
    (LEN($G42:$T42) &gt; 0)
)</f>
        <v>0</v>
      </c>
      <c r="AB42" cm="1">
        <f t="array" ref="AB42">1+SUMPRODUCT(
    IFERROR(VLOOKUP($G42:$T42, $B$87:$X$1000,MATCH(AB$25,$B$87:$X$87,0), FALSE), 0) *
    (LEN($G42:$T42) &gt; 0)
)+IFERROR(VLOOKUP($A42,$A$87:$X$1000,MATCH(AB$25,$A$87:$J$87,0), FALSE), 0) *
    (LEN($A42) &gt; 0)</f>
        <v>1</v>
      </c>
      <c r="AC42" cm="1">
        <f t="array" ref="AC42">1+SUMPRODUCT(
    IFERROR(VLOOKUP($G42:$T42, $B$87:$X$1000,MATCH(AC$25,$B$87:$X$87,0), FALSE), 0) *
    (LEN($G42:$T42) &gt; 0)
)</f>
        <v>1</v>
      </c>
      <c r="AD42" cm="1">
        <f t="array" ref="AD42">SUMPRODUCT(
    IFERROR(VLOOKUP($G42:$T42, $B$87:$X$1000,MATCH(AD$25,$B$87:$X$87,0), FALSE), 0) *
    (LEN($G42:$T42) &gt; 0)
)+IFERROR(VLOOKUP($A42,$A$88:$X$1000,MATCH(AD$25,$A$87:$X$87,0), FALSE), 0) *
    (LEN($A42) &gt; 0)</f>
        <v>0</v>
      </c>
      <c r="AE42" cm="1">
        <f t="array" ref="AE42">SUMPRODUCT(
    IFERROR(VLOOKUP($G42:$T42, $B$87:$X$1000,MATCH(AE$25,$B$87:$X$87,0), FALSE), 0) *
    (LEN($G42:$T42) &gt; 0)
)+IFERROR(VLOOKUP($A42,$A$88:$X$1000,MATCH(AE$25,$A$87:$X$87,0), FALSE), 0) *
    (LEN($A42) &gt; 0)</f>
        <v>0</v>
      </c>
      <c r="AF42" cm="1">
        <f t="array" ref="AF42">SUMPRODUCT(
    IFERROR(VLOOKUP($G42:$T42, $B$87:$X$1000,MATCH(AF$25,$B$87:$X$87,0), FALSE), 0) *
    (LEN($G42:$T42) &gt; 0)
)+IFERROR(VLOOKUP($A42,$A$88:$X$1000,MATCH(AF$25,$A$87:$X$87,0), FALSE), 0) *
    (LEN($A42) &gt; 0)</f>
        <v>0</v>
      </c>
      <c r="AG42" cm="1">
        <f t="array" ref="AG42">SUMPRODUCT(
    IFERROR(VLOOKUP($G42:$T42, $B$87:$X$1000,MATCH(AG$25,$B$87:$X$87,0), FALSE), 0) *
    (LEN($G42:$T42) &gt; 0)
)+IFERROR(VLOOKUP($A42,$A$88:$X$1000,MATCH(AG$25,$A$87:$X$87,0), FALSE), 0) *
    (LEN($A42) &gt; 0)</f>
        <v>0</v>
      </c>
      <c r="AH42" cm="1">
        <f t="array" ref="AH42">SUMPRODUCT(
    IFERROR(VLOOKUP($G42:$T42, $B$87:$X$1000,MATCH(AH$25,$B$87:$X$87,0), FALSE), 0) *
    (LEN($G42:$T42) &gt; 0)
)+IFERROR(VLOOKUP($A42,$A$88:$X$1000,MATCH(AH$25,$A$87:$X$87,0), FALSE), 0) *
    (LEN($A42) &gt; 0)</f>
        <v>0</v>
      </c>
      <c r="AI42">
        <f t="shared" si="9"/>
        <v>1</v>
      </c>
      <c r="AJ42" cm="1">
        <f t="array" ref="AJ42">1+SUMPRODUCT(
    IFERROR(VLOOKUP($G42:$T42, $B$87:$X$1000,MATCH(AJ$25,$B$87:$X$87,0), FALSE), 0) *
    (LEN($G42:$T42) &gt; 0)
)</f>
        <v>1</v>
      </c>
      <c r="AK42" cm="1">
        <f t="array" ref="AK42">1+SUMPRODUCT(
    IFERROR(VLOOKUP($G42:$T42, $B$87:$X$1000,MATCH(AK$25,$B$87:$X$87,0), FALSE), 0) *
    (LEN($G42:$T42) &gt; 0)
)</f>
        <v>1</v>
      </c>
      <c r="AL42" cm="1">
        <f t="array" ref="AL42">1+SUMPRODUCT(
    IFERROR(VLOOKUP($G42:$T42, $B$87:$X$1000,MATCH(AL$25,$B$87:$X$87,0), FALSE), 0) *
    (LEN($G42:$T42) &gt; 0)
)</f>
        <v>1</v>
      </c>
      <c r="AM42" cm="1">
        <f t="array" ref="AM42">1+SUMPRODUCT(
    IFERROR(VLOOKUP($G42:$T42, $B$87:$X$1000,MATCH(AM$25,$B$87:$X$87,0), FALSE), 0) *
    (LEN($G42:$T42) &gt; 0)
)</f>
        <v>1</v>
      </c>
      <c r="AN42" cm="1">
        <f t="array" ref="AN42">1+SUMPRODUCT(
    IFERROR(VLOOKUP($G42:$T42, $B$87:$X$1000,MATCH(AN$25,$B$87:$X$87,0), FALSE), 0) *
    (LEN($G42:$T42) &gt; 0)
)</f>
        <v>1</v>
      </c>
      <c r="AO42">
        <f t="shared" si="7"/>
        <v>1</v>
      </c>
      <c r="AQ42">
        <f t="shared" si="8"/>
        <v>0.5</v>
      </c>
    </row>
    <row r="43" spans="1:43" x14ac:dyDescent="0.25">
      <c r="B43">
        <f t="shared" si="1"/>
        <v>0</v>
      </c>
      <c r="C43">
        <f>B43*(1+表2_5[[#This Row],[列24]]*(表2_5[[#This Row],[列25]]-1))</f>
        <v>0</v>
      </c>
      <c r="D43">
        <f t="shared" si="2"/>
        <v>0</v>
      </c>
      <c r="E43" s="36">
        <f>表2_5[[#This Row],[列3]]/$C$61</f>
        <v>0</v>
      </c>
      <c r="F43" t="s">
        <v>791</v>
      </c>
      <c r="U43">
        <f t="shared" si="3"/>
        <v>0</v>
      </c>
      <c r="V43" cm="1">
        <f t="array" ref="V43" xml:space="preserve"> IFERROR(VLOOKUP($A43,$A$86:$X$1000,MATCH(V$25,$A$87:$J$87,0), FALSE), 0) *
    (LEN($A43) &gt; 0)+SUMPRODUCT(
    IFERROR(VLOOKUP($G43:$T43, $B$87:$X$1000,MATCH(V$25,$B$87:$X$87,0), FALSE), 0) *
    (LEN($G43:$T43) &gt; 0)
)</f>
        <v>0</v>
      </c>
      <c r="W43">
        <f t="shared" si="4"/>
        <v>0</v>
      </c>
      <c r="X43">
        <f t="shared" si="4"/>
        <v>0</v>
      </c>
      <c r="Y43">
        <f t="shared" si="5"/>
        <v>0</v>
      </c>
      <c r="Z43">
        <f t="shared" si="6"/>
        <v>0</v>
      </c>
      <c r="AA43" cm="1">
        <f t="array" ref="AA43" xml:space="preserve"> IFERROR(VLOOKUP($A43,$A$86:$X$1000,MATCH(AA$25,$A$87:$J$87,0), FALSE), 0) *
    (LEN($A43) &gt; 0)+SUMPRODUCT(
    IFERROR(VLOOKUP($G43:$T43, $B$87:$X$1000,MATCH(AA$25,$B$87:$X$87,0), FALSE), 0) *
    (LEN($G43:$T43) &gt; 0)
)</f>
        <v>0</v>
      </c>
      <c r="AB43" cm="1">
        <f t="array" ref="AB43">1+SUMPRODUCT(
    IFERROR(VLOOKUP($G43:$T43, $B$87:$X$1000,MATCH(AB$25,$B$87:$X$87,0), FALSE), 0) *
    (LEN($G43:$T43) &gt; 0)
)+IFERROR(VLOOKUP($A43,$A$87:$X$1000,MATCH(AB$25,$A$87:$J$87,0), FALSE), 0) *
    (LEN($A43) &gt; 0)</f>
        <v>1</v>
      </c>
      <c r="AC43" cm="1">
        <f t="array" ref="AC43">1+SUMPRODUCT(
    IFERROR(VLOOKUP($G43:$T43, $B$87:$X$1000,MATCH(AC$25,$B$87:$X$87,0), FALSE), 0) *
    (LEN($G43:$T43) &gt; 0)
)</f>
        <v>1</v>
      </c>
      <c r="AD43" cm="1">
        <f t="array" ref="AD43">SUMPRODUCT(
    IFERROR(VLOOKUP($G43:$T43, $B$87:$X$1000,MATCH(AD$25,$B$87:$X$87,0), FALSE), 0) *
    (LEN($G43:$T43) &gt; 0)
)+IFERROR(VLOOKUP($A43,$A$88:$X$1000,MATCH(AD$25,$A$87:$X$87,0), FALSE), 0) *
    (LEN($A43) &gt; 0)</f>
        <v>0</v>
      </c>
      <c r="AE43" cm="1">
        <f t="array" ref="AE43">SUMPRODUCT(
    IFERROR(VLOOKUP($G43:$T43, $B$87:$X$1000,MATCH(AE$25,$B$87:$X$87,0), FALSE), 0) *
    (LEN($G43:$T43) &gt; 0)
)+IFERROR(VLOOKUP($A43,$A$88:$X$1000,MATCH(AE$25,$A$87:$X$87,0), FALSE), 0) *
    (LEN($A43) &gt; 0)</f>
        <v>0</v>
      </c>
      <c r="AF43" cm="1">
        <f t="array" ref="AF43">SUMPRODUCT(
    IFERROR(VLOOKUP($G43:$T43, $B$87:$X$1000,MATCH(AF$25,$B$87:$X$87,0), FALSE), 0) *
    (LEN($G43:$T43) &gt; 0)
)+IFERROR(VLOOKUP($A43,$A$88:$X$1000,MATCH(AF$25,$A$87:$X$87,0), FALSE), 0) *
    (LEN($A43) &gt; 0)</f>
        <v>0</v>
      </c>
      <c r="AG43" cm="1">
        <f t="array" ref="AG43">SUMPRODUCT(
    IFERROR(VLOOKUP($G43:$T43, $B$87:$X$1000,MATCH(AG$25,$B$87:$X$87,0), FALSE), 0) *
    (LEN($G43:$T43) &gt; 0)
)+IFERROR(VLOOKUP($A43,$A$88:$X$1000,MATCH(AG$25,$A$87:$X$87,0), FALSE), 0) *
    (LEN($A43) &gt; 0)</f>
        <v>0</v>
      </c>
      <c r="AH43" cm="1">
        <f t="array" ref="AH43">SUMPRODUCT(
    IFERROR(VLOOKUP($G43:$T43, $B$87:$X$1000,MATCH(AH$25,$B$87:$X$87,0), FALSE), 0) *
    (LEN($G43:$T43) &gt; 0)
)+IFERROR(VLOOKUP($A43,$A$88:$X$1000,MATCH(AH$25,$A$87:$X$87,0), FALSE), 0) *
    (LEN($A43) &gt; 0)</f>
        <v>0</v>
      </c>
      <c r="AI43">
        <f t="shared" si="9"/>
        <v>1</v>
      </c>
      <c r="AJ43" cm="1">
        <f t="array" ref="AJ43">1+SUMPRODUCT(
    IFERROR(VLOOKUP($G43:$T43, $B$87:$X$1000,MATCH(AJ$25,$B$87:$X$87,0), FALSE), 0) *
    (LEN($G43:$T43) &gt; 0)
)</f>
        <v>1</v>
      </c>
      <c r="AK43" cm="1">
        <f t="array" ref="AK43">1+SUMPRODUCT(
    IFERROR(VLOOKUP($G43:$T43, $B$87:$X$1000,MATCH(AK$25,$B$87:$X$87,0), FALSE), 0) *
    (LEN($G43:$T43) &gt; 0)
)</f>
        <v>1</v>
      </c>
      <c r="AL43" cm="1">
        <f t="array" ref="AL43">1+SUMPRODUCT(
    IFERROR(VLOOKUP($G43:$T43, $B$87:$X$1000,MATCH(AL$25,$B$87:$X$87,0), FALSE), 0) *
    (LEN($G43:$T43) &gt; 0)
)</f>
        <v>1</v>
      </c>
      <c r="AM43" cm="1">
        <f t="array" ref="AM43">1+SUMPRODUCT(
    IFERROR(VLOOKUP($G43:$T43, $B$87:$X$1000,MATCH(AM$25,$B$87:$X$87,0), FALSE), 0) *
    (LEN($G43:$T43) &gt; 0)
)</f>
        <v>1</v>
      </c>
      <c r="AN43" cm="1">
        <f t="array" ref="AN43">1+SUMPRODUCT(
    IFERROR(VLOOKUP($G43:$T43, $B$87:$X$1000,MATCH(AN$25,$B$87:$X$87,0), FALSE), 0) *
    (LEN($G43:$T43) &gt; 0)
)</f>
        <v>1</v>
      </c>
      <c r="AO43">
        <f t="shared" si="7"/>
        <v>1</v>
      </c>
      <c r="AQ43">
        <f t="shared" si="8"/>
        <v>0.5</v>
      </c>
    </row>
    <row r="44" spans="1:43" x14ac:dyDescent="0.25">
      <c r="B44">
        <f t="shared" si="1"/>
        <v>0</v>
      </c>
      <c r="C44">
        <f>B44*(1+表2_5[[#This Row],[列24]]*(表2_5[[#This Row],[列25]]-1))</f>
        <v>0</v>
      </c>
      <c r="D44">
        <f t="shared" si="2"/>
        <v>0</v>
      </c>
      <c r="E44" s="36">
        <f>表2_5[[#This Row],[列3]]/$C$61</f>
        <v>0</v>
      </c>
      <c r="F44" t="s">
        <v>791</v>
      </c>
      <c r="U44">
        <f t="shared" si="3"/>
        <v>0</v>
      </c>
      <c r="V44" cm="1">
        <f t="array" ref="V44" xml:space="preserve"> IFERROR(VLOOKUP($A44,$A$86:$X$1000,MATCH(V$25,$A$87:$J$87,0), FALSE), 0) *
    (LEN($A44) &gt; 0)+SUMPRODUCT(
    IFERROR(VLOOKUP($G44:$T44, $B$87:$X$1000,MATCH(V$25,$B$87:$X$87,0), FALSE), 0) *
    (LEN($G44:$T44) &gt; 0)
)</f>
        <v>0</v>
      </c>
      <c r="W44">
        <f t="shared" si="4"/>
        <v>0</v>
      </c>
      <c r="X44">
        <f t="shared" si="4"/>
        <v>0</v>
      </c>
      <c r="Y44">
        <f t="shared" si="5"/>
        <v>0</v>
      </c>
      <c r="Z44">
        <f t="shared" si="6"/>
        <v>0</v>
      </c>
      <c r="AA44" cm="1">
        <f t="array" ref="AA44" xml:space="preserve"> IFERROR(VLOOKUP($A44,$A$86:$X$1000,MATCH(AA$25,$A$87:$J$87,0), FALSE), 0) *
    (LEN($A44) &gt; 0)+SUMPRODUCT(
    IFERROR(VLOOKUP($G44:$T44, $B$87:$X$1000,MATCH(AA$25,$B$87:$X$87,0), FALSE), 0) *
    (LEN($G44:$T44) &gt; 0)
)</f>
        <v>0</v>
      </c>
      <c r="AB44" cm="1">
        <f t="array" ref="AB44">1+SUMPRODUCT(
    IFERROR(VLOOKUP($G44:$T44, $B$87:$X$1000,MATCH(AB$25,$B$87:$X$87,0), FALSE), 0) *
    (LEN($G44:$T44) &gt; 0)
)+IFERROR(VLOOKUP($A44,$A$87:$X$1000,MATCH(AB$25,$A$87:$J$87,0), FALSE), 0) *
    (LEN($A44) &gt; 0)</f>
        <v>1</v>
      </c>
      <c r="AC44" cm="1">
        <f t="array" ref="AC44">1+SUMPRODUCT(
    IFERROR(VLOOKUP($G44:$T44, $B$87:$X$1000,MATCH(AC$25,$B$87:$X$87,0), FALSE), 0) *
    (LEN($G44:$T44) &gt; 0)
)</f>
        <v>1</v>
      </c>
      <c r="AD44" cm="1">
        <f t="array" ref="AD44">SUMPRODUCT(
    IFERROR(VLOOKUP($G44:$T44, $B$87:$X$1000,MATCH(AD$25,$B$87:$X$87,0), FALSE), 0) *
    (LEN($G44:$T44) &gt; 0)
)+IFERROR(VLOOKUP($A44,$A$88:$X$1000,MATCH(AD$25,$A$87:$X$87,0), FALSE), 0) *
    (LEN($A44) &gt; 0)</f>
        <v>0</v>
      </c>
      <c r="AE44" cm="1">
        <f t="array" ref="AE44">SUMPRODUCT(
    IFERROR(VLOOKUP($G44:$T44, $B$87:$X$1000,MATCH(AE$25,$B$87:$X$87,0), FALSE), 0) *
    (LEN($G44:$T44) &gt; 0)
)+IFERROR(VLOOKUP($A44,$A$88:$X$1000,MATCH(AE$25,$A$87:$X$87,0), FALSE), 0) *
    (LEN($A44) &gt; 0)</f>
        <v>0</v>
      </c>
      <c r="AF44" cm="1">
        <f t="array" ref="AF44">SUMPRODUCT(
    IFERROR(VLOOKUP($G44:$T44, $B$87:$X$1000,MATCH(AF$25,$B$87:$X$87,0), FALSE), 0) *
    (LEN($G44:$T44) &gt; 0)
)+IFERROR(VLOOKUP($A44,$A$88:$X$1000,MATCH(AF$25,$A$87:$X$87,0), FALSE), 0) *
    (LEN($A44) &gt; 0)</f>
        <v>0</v>
      </c>
      <c r="AG44" cm="1">
        <f t="array" ref="AG44">SUMPRODUCT(
    IFERROR(VLOOKUP($G44:$T44, $B$87:$X$1000,MATCH(AG$25,$B$87:$X$87,0), FALSE), 0) *
    (LEN($G44:$T44) &gt; 0)
)+IFERROR(VLOOKUP($A44,$A$88:$X$1000,MATCH(AG$25,$A$87:$X$87,0), FALSE), 0) *
    (LEN($A44) &gt; 0)</f>
        <v>0</v>
      </c>
      <c r="AH44" cm="1">
        <f t="array" ref="AH44">SUMPRODUCT(
    IFERROR(VLOOKUP($G44:$T44, $B$87:$X$1000,MATCH(AH$25,$B$87:$X$87,0), FALSE), 0) *
    (LEN($G44:$T44) &gt; 0)
)+IFERROR(VLOOKUP($A44,$A$88:$X$1000,MATCH(AH$25,$A$87:$X$87,0), FALSE), 0) *
    (LEN($A44) &gt; 0)</f>
        <v>0</v>
      </c>
      <c r="AI44">
        <f t="shared" si="9"/>
        <v>1</v>
      </c>
      <c r="AJ44" cm="1">
        <f t="array" ref="AJ44">1+SUMPRODUCT(
    IFERROR(VLOOKUP($G44:$T44, $B$87:$X$1000,MATCH(AJ$25,$B$87:$X$87,0), FALSE), 0) *
    (LEN($G44:$T44) &gt; 0)
)</f>
        <v>1</v>
      </c>
      <c r="AK44" cm="1">
        <f t="array" ref="AK44">1+SUMPRODUCT(
    IFERROR(VLOOKUP($G44:$T44, $B$87:$X$1000,MATCH(AK$25,$B$87:$X$87,0), FALSE), 0) *
    (LEN($G44:$T44) &gt; 0)
)</f>
        <v>1</v>
      </c>
      <c r="AL44" cm="1">
        <f t="array" ref="AL44">1+SUMPRODUCT(
    IFERROR(VLOOKUP($G44:$T44, $B$87:$X$1000,MATCH(AL$25,$B$87:$X$87,0), FALSE), 0) *
    (LEN($G44:$T44) &gt; 0)
)</f>
        <v>1</v>
      </c>
      <c r="AM44" cm="1">
        <f t="array" ref="AM44">1+SUMPRODUCT(
    IFERROR(VLOOKUP($G44:$T44, $B$87:$X$1000,MATCH(AM$25,$B$87:$X$87,0), FALSE), 0) *
    (LEN($G44:$T44) &gt; 0)
)</f>
        <v>1</v>
      </c>
      <c r="AN44" cm="1">
        <f t="array" ref="AN44">1+SUMPRODUCT(
    IFERROR(VLOOKUP($G44:$T44, $B$87:$X$1000,MATCH(AN$25,$B$87:$X$87,0), FALSE), 0) *
    (LEN($G44:$T44) &gt; 0)
)</f>
        <v>1</v>
      </c>
      <c r="AO44">
        <f t="shared" si="7"/>
        <v>1</v>
      </c>
      <c r="AQ44">
        <f t="shared" si="8"/>
        <v>0.5</v>
      </c>
    </row>
    <row r="45" spans="1:43" x14ac:dyDescent="0.25">
      <c r="B45">
        <f t="shared" si="1"/>
        <v>0</v>
      </c>
      <c r="C45">
        <f>B45*(1+表2_5[[#This Row],[列24]]*(表2_5[[#This Row],[列25]]-1))</f>
        <v>0</v>
      </c>
      <c r="D45">
        <f t="shared" si="2"/>
        <v>0</v>
      </c>
      <c r="E45" s="36">
        <f>表2_5[[#This Row],[列3]]/$C$61</f>
        <v>0</v>
      </c>
      <c r="F45" t="s">
        <v>791</v>
      </c>
      <c r="U45">
        <f t="shared" si="3"/>
        <v>0</v>
      </c>
      <c r="V45" cm="1">
        <f t="array" ref="V45" xml:space="preserve"> IFERROR(VLOOKUP($A45,$A$86:$X$1000,MATCH(V$25,$A$87:$J$87,0), FALSE), 0) *
    (LEN($A45) &gt; 0)+SUMPRODUCT(
    IFERROR(VLOOKUP($G45:$T45, $B$87:$X$1000,MATCH(V$25,$B$87:$X$87,0), FALSE), 0) *
    (LEN($G45:$T45) &gt; 0)
)</f>
        <v>0</v>
      </c>
      <c r="W45">
        <f t="shared" si="4"/>
        <v>0</v>
      </c>
      <c r="X45">
        <f t="shared" si="4"/>
        <v>0</v>
      </c>
      <c r="Y45">
        <f t="shared" si="5"/>
        <v>0</v>
      </c>
      <c r="Z45">
        <f t="shared" si="6"/>
        <v>0</v>
      </c>
      <c r="AA45" cm="1">
        <f t="array" ref="AA45" xml:space="preserve"> IFERROR(VLOOKUP($A45,$A$86:$X$1000,MATCH(AA$25,$A$87:$J$87,0), FALSE), 0) *
    (LEN($A45) &gt; 0)+SUMPRODUCT(
    IFERROR(VLOOKUP($G45:$T45, $B$87:$X$1000,MATCH(AA$25,$B$87:$X$87,0), FALSE), 0) *
    (LEN($G45:$T45) &gt; 0)
)</f>
        <v>0</v>
      </c>
      <c r="AB45" cm="1">
        <f t="array" ref="AB45">1+SUMPRODUCT(
    IFERROR(VLOOKUP($G45:$T45, $B$87:$X$1000,MATCH(AB$25,$B$87:$X$87,0), FALSE), 0) *
    (LEN($G45:$T45) &gt; 0)
)+IFERROR(VLOOKUP($A45,$A$87:$X$1000,MATCH(AB$25,$A$87:$J$87,0), FALSE), 0) *
    (LEN($A45) &gt; 0)</f>
        <v>1</v>
      </c>
      <c r="AC45" cm="1">
        <f t="array" ref="AC45">1+SUMPRODUCT(
    IFERROR(VLOOKUP($G45:$T45, $B$87:$X$1000,MATCH(AC$25,$B$87:$X$87,0), FALSE), 0) *
    (LEN($G45:$T45) &gt; 0)
)</f>
        <v>1</v>
      </c>
      <c r="AD45" cm="1">
        <f t="array" ref="AD45">SUMPRODUCT(
    IFERROR(VLOOKUP($G45:$T45, $B$87:$X$1000,MATCH(AD$25,$B$87:$X$87,0), FALSE), 0) *
    (LEN($G45:$T45) &gt; 0)
)+IFERROR(VLOOKUP($A45,$A$88:$X$1000,MATCH(AD$25,$A$87:$X$87,0), FALSE), 0) *
    (LEN($A45) &gt; 0)</f>
        <v>0</v>
      </c>
      <c r="AE45" cm="1">
        <f t="array" ref="AE45">SUMPRODUCT(
    IFERROR(VLOOKUP($G45:$T45, $B$87:$X$1000,MATCH(AE$25,$B$87:$X$87,0), FALSE), 0) *
    (LEN($G45:$T45) &gt; 0)
)+IFERROR(VLOOKUP($A45,$A$88:$X$1000,MATCH(AE$25,$A$87:$X$87,0), FALSE), 0) *
    (LEN($A45) &gt; 0)</f>
        <v>0</v>
      </c>
      <c r="AF45" cm="1">
        <f t="array" ref="AF45">SUMPRODUCT(
    IFERROR(VLOOKUP($G45:$T45, $B$87:$X$1000,MATCH(AF$25,$B$87:$X$87,0), FALSE), 0) *
    (LEN($G45:$T45) &gt; 0)
)+IFERROR(VLOOKUP($A45,$A$88:$X$1000,MATCH(AF$25,$A$87:$X$87,0), FALSE), 0) *
    (LEN($A45) &gt; 0)</f>
        <v>0</v>
      </c>
      <c r="AG45" cm="1">
        <f t="array" ref="AG45">SUMPRODUCT(
    IFERROR(VLOOKUP($G45:$T45, $B$87:$X$1000,MATCH(AG$25,$B$87:$X$87,0), FALSE), 0) *
    (LEN($G45:$T45) &gt; 0)
)+IFERROR(VLOOKUP($A45,$A$88:$X$1000,MATCH(AG$25,$A$87:$X$87,0), FALSE), 0) *
    (LEN($A45) &gt; 0)</f>
        <v>0</v>
      </c>
      <c r="AH45" cm="1">
        <f t="array" ref="AH45">SUMPRODUCT(
    IFERROR(VLOOKUP($G45:$T45, $B$87:$X$1000,MATCH(AH$25,$B$87:$X$87,0), FALSE), 0) *
    (LEN($G45:$T45) &gt; 0)
)+IFERROR(VLOOKUP($A45,$A$88:$X$1000,MATCH(AH$25,$A$87:$X$87,0), FALSE), 0) *
    (LEN($A45) &gt; 0)</f>
        <v>0</v>
      </c>
      <c r="AI45">
        <f t="shared" si="9"/>
        <v>1</v>
      </c>
      <c r="AJ45" cm="1">
        <f t="array" ref="AJ45">1+SUMPRODUCT(
    IFERROR(VLOOKUP($G45:$T45, $B$87:$X$1000,MATCH(AJ$25,$B$87:$X$87,0), FALSE), 0) *
    (LEN($G45:$T45) &gt; 0)
)</f>
        <v>1</v>
      </c>
      <c r="AK45" cm="1">
        <f t="array" ref="AK45">1+SUMPRODUCT(
    IFERROR(VLOOKUP($G45:$T45, $B$87:$X$1000,MATCH(AK$25,$B$87:$X$87,0), FALSE), 0) *
    (LEN($G45:$T45) &gt; 0)
)</f>
        <v>1</v>
      </c>
      <c r="AL45" cm="1">
        <f t="array" ref="AL45">1+SUMPRODUCT(
    IFERROR(VLOOKUP($G45:$T45, $B$87:$X$1000,MATCH(AL$25,$B$87:$X$87,0), FALSE), 0) *
    (LEN($G45:$T45) &gt; 0)
)</f>
        <v>1</v>
      </c>
      <c r="AM45" cm="1">
        <f t="array" ref="AM45">1+SUMPRODUCT(
    IFERROR(VLOOKUP($G45:$T45, $B$87:$X$1000,MATCH(AM$25,$B$87:$X$87,0), FALSE), 0) *
    (LEN($G45:$T45) &gt; 0)
)</f>
        <v>1</v>
      </c>
      <c r="AN45" cm="1">
        <f t="array" ref="AN45">1+SUMPRODUCT(
    IFERROR(VLOOKUP($G45:$T45, $B$87:$X$1000,MATCH(AN$25,$B$87:$X$87,0), FALSE), 0) *
    (LEN($G45:$T45) &gt; 0)
)</f>
        <v>1</v>
      </c>
      <c r="AO45">
        <f t="shared" si="7"/>
        <v>1</v>
      </c>
      <c r="AQ45">
        <f t="shared" si="8"/>
        <v>0.5</v>
      </c>
    </row>
    <row r="46" spans="1:43" x14ac:dyDescent="0.25">
      <c r="B46">
        <f t="shared" si="1"/>
        <v>0</v>
      </c>
      <c r="C46">
        <f>B46*(1+表2_5[[#This Row],[列24]]*(表2_5[[#This Row],[列25]]-1))</f>
        <v>0</v>
      </c>
      <c r="D46">
        <f t="shared" si="2"/>
        <v>0</v>
      </c>
      <c r="E46" s="36"/>
      <c r="F46" t="s">
        <v>791</v>
      </c>
      <c r="U46">
        <f t="shared" si="3"/>
        <v>0</v>
      </c>
      <c r="V46" cm="1">
        <f t="array" ref="V46" xml:space="preserve"> IFERROR(VLOOKUP($A46,$A$86:$X$1000,MATCH(V$25,$A$87:$J$87,0), FALSE), 0) *
    (LEN($A46) &gt; 0)+SUMPRODUCT(
    IFERROR(VLOOKUP($G46:$T46, $B$87:$X$1000,MATCH(V$25,$B$87:$X$87,0), FALSE), 0) *
    (LEN($G46:$T46) &gt; 0)
)</f>
        <v>0</v>
      </c>
      <c r="W46">
        <f t="shared" si="4"/>
        <v>0</v>
      </c>
      <c r="X46">
        <f t="shared" si="4"/>
        <v>0</v>
      </c>
      <c r="Y46">
        <f t="shared" si="5"/>
        <v>0</v>
      </c>
      <c r="Z46">
        <f t="shared" si="6"/>
        <v>0</v>
      </c>
      <c r="AA46" cm="1">
        <f t="array" ref="AA46" xml:space="preserve"> IFERROR(VLOOKUP($A46,$A$86:$X$1000,MATCH(AA$25,$A$87:$J$87,0), FALSE), 0) *
    (LEN($A46) &gt; 0)+SUMPRODUCT(
    IFERROR(VLOOKUP($G46:$T46, $B$87:$X$1000,MATCH(AA$25,$B$87:$X$87,0), FALSE), 0) *
    (LEN($G46:$T46) &gt; 0)
)</f>
        <v>0</v>
      </c>
      <c r="AB46" cm="1">
        <f t="array" ref="AB46">1+SUMPRODUCT(
    IFERROR(VLOOKUP($G46:$T46, $B$87:$X$1000,MATCH(AB$25,$B$87:$X$87,0), FALSE), 0) *
    (LEN($G46:$T46) &gt; 0)
)+IFERROR(VLOOKUP($A46,$A$87:$X$1000,MATCH(AB$25,$A$87:$J$87,0), FALSE), 0) *
    (LEN($A46) &gt; 0)</f>
        <v>1</v>
      </c>
      <c r="AC46" cm="1">
        <f t="array" ref="AC46">1+SUMPRODUCT(
    IFERROR(VLOOKUP($G46:$T46, $B$87:$X$1000,MATCH(AC$25,$B$87:$X$87,0), FALSE), 0) *
    (LEN($G46:$T46) &gt; 0)
)</f>
        <v>1</v>
      </c>
      <c r="AD46" cm="1">
        <f t="array" ref="AD46">SUMPRODUCT(
    IFERROR(VLOOKUP($G46:$T46, $B$87:$X$1000,MATCH(AD$25,$B$87:$X$87,0), FALSE), 0) *
    (LEN($G46:$T46) &gt; 0)
)+IFERROR(VLOOKUP($A46,$A$88:$X$1000,MATCH(AD$25,$A$87:$X$87,0), FALSE), 0) *
    (LEN($A46) &gt; 0)</f>
        <v>0</v>
      </c>
      <c r="AE46" cm="1">
        <f t="array" ref="AE46">SUMPRODUCT(
    IFERROR(VLOOKUP($G46:$T46, $B$87:$X$1000,MATCH(AE$25,$B$87:$X$87,0), FALSE), 0) *
    (LEN($G46:$T46) &gt; 0)
)+IFERROR(VLOOKUP($A46,$A$88:$X$1000,MATCH(AE$25,$A$87:$X$87,0), FALSE), 0) *
    (LEN($A46) &gt; 0)</f>
        <v>0</v>
      </c>
      <c r="AF46" cm="1">
        <f t="array" ref="AF46">SUMPRODUCT(
    IFERROR(VLOOKUP($G46:$T46, $B$87:$X$1000,MATCH(AF$25,$B$87:$X$87,0), FALSE), 0) *
    (LEN($G46:$T46) &gt; 0)
)+IFERROR(VLOOKUP($A46,$A$88:$X$1000,MATCH(AF$25,$A$87:$X$87,0), FALSE), 0) *
    (LEN($A46) &gt; 0)</f>
        <v>0</v>
      </c>
      <c r="AG46" cm="1">
        <f t="array" ref="AG46">SUMPRODUCT(
    IFERROR(VLOOKUP($G46:$T46, $B$87:$X$1000,MATCH(AG$25,$B$87:$X$87,0), FALSE), 0) *
    (LEN($G46:$T46) &gt; 0)
)+IFERROR(VLOOKUP($A46,$A$88:$X$1000,MATCH(AG$25,$A$87:$X$87,0), FALSE), 0) *
    (LEN($A46) &gt; 0)</f>
        <v>0</v>
      </c>
      <c r="AH46" cm="1">
        <f t="array" ref="AH46">SUMPRODUCT(
    IFERROR(VLOOKUP($G46:$T46, $B$87:$X$1000,MATCH(AH$25,$B$87:$X$87,0), FALSE), 0) *
    (LEN($G46:$T46) &gt; 0)
)+IFERROR(VLOOKUP($A46,$A$88:$X$1000,MATCH(AH$25,$A$87:$X$87,0), FALSE), 0) *
    (LEN($A46) &gt; 0)</f>
        <v>0</v>
      </c>
      <c r="AI46">
        <f t="shared" si="9"/>
        <v>1</v>
      </c>
      <c r="AJ46" cm="1">
        <f t="array" ref="AJ46">1+SUMPRODUCT(
    IFERROR(VLOOKUP($G46:$T46, $B$87:$X$1000,MATCH(AJ$25,$B$87:$X$87,0), FALSE), 0) *
    (LEN($G46:$T46) &gt; 0)
)</f>
        <v>1</v>
      </c>
      <c r="AK46" cm="1">
        <f t="array" ref="AK46">1+SUMPRODUCT(
    IFERROR(VLOOKUP($G46:$T46, $B$87:$X$1000,MATCH(AK$25,$B$87:$X$87,0), FALSE), 0) *
    (LEN($G46:$T46) &gt; 0)
)</f>
        <v>1</v>
      </c>
      <c r="AL46" cm="1">
        <f t="array" ref="AL46">1+SUMPRODUCT(
    IFERROR(VLOOKUP($G46:$T46, $B$87:$X$1000,MATCH(AL$25,$B$87:$X$87,0), FALSE), 0) *
    (LEN($G46:$T46) &gt; 0)
)</f>
        <v>1</v>
      </c>
      <c r="AM46" cm="1">
        <f t="array" ref="AM46">1+SUMPRODUCT(
    IFERROR(VLOOKUP($G46:$T46, $B$87:$X$1000,MATCH(AM$25,$B$87:$X$87,0), FALSE), 0) *
    (LEN($G46:$T46) &gt; 0)
)</f>
        <v>1</v>
      </c>
      <c r="AN46" cm="1">
        <f t="array" ref="AN46">1+SUMPRODUCT(
    IFERROR(VLOOKUP($G46:$T46, $B$87:$X$1000,MATCH(AN$25,$B$87:$X$87,0), FALSE), 0) *
    (LEN($G46:$T46) &gt; 0)
)</f>
        <v>1</v>
      </c>
      <c r="AO46">
        <f t="shared" si="7"/>
        <v>1</v>
      </c>
      <c r="AQ46">
        <f t="shared" si="8"/>
        <v>0.5</v>
      </c>
    </row>
    <row r="47" spans="1:43" x14ac:dyDescent="0.25">
      <c r="B47">
        <f t="shared" si="1"/>
        <v>0</v>
      </c>
      <c r="C47">
        <f>B47*(1+表2_5[[#This Row],[列24]]*(表2_5[[#This Row],[列25]]-1))</f>
        <v>0</v>
      </c>
      <c r="D47">
        <f t="shared" si="2"/>
        <v>0</v>
      </c>
      <c r="E47" s="36"/>
      <c r="U47">
        <f t="shared" si="3"/>
        <v>0</v>
      </c>
      <c r="V47" cm="1">
        <f t="array" ref="V47" xml:space="preserve"> IFERROR(VLOOKUP($A47,$A$86:$X$1000,MATCH(V$25,$A$87:$J$87,0), FALSE), 0) *
    (LEN($A47) &gt; 0)+SUMPRODUCT(
    IFERROR(VLOOKUP($G47:$T47, $B$87:$X$1000,MATCH(V$25,$B$87:$X$87,0), FALSE), 0) *
    (LEN($G47:$T47) &gt; 0)
)</f>
        <v>0</v>
      </c>
      <c r="W47">
        <f t="shared" si="4"/>
        <v>0</v>
      </c>
      <c r="X47">
        <f t="shared" si="4"/>
        <v>0</v>
      </c>
      <c r="Y47">
        <f t="shared" si="5"/>
        <v>0</v>
      </c>
      <c r="Z47">
        <f t="shared" si="6"/>
        <v>0</v>
      </c>
      <c r="AA47" cm="1">
        <f t="array" ref="AA47" xml:space="preserve"> IFERROR(VLOOKUP($A47,$A$86:$X$1000,MATCH(AA$25,$A$87:$J$87,0), FALSE), 0) *
    (LEN($A47) &gt; 0)+SUMPRODUCT(
    IFERROR(VLOOKUP($G47:$T47, $B$87:$X$1000,MATCH(AA$25,$B$87:$X$87,0), FALSE), 0) *
    (LEN($G47:$T47) &gt; 0)
)</f>
        <v>0</v>
      </c>
      <c r="AB47" cm="1">
        <f t="array" ref="AB47">1+SUMPRODUCT(
    IFERROR(VLOOKUP($G47:$T47, $B$87:$X$1000,MATCH(AB$25,$B$87:$X$87,0), FALSE), 0) *
    (LEN($G47:$T47) &gt; 0)
)+IFERROR(VLOOKUP($A47,$A$87:$X$1000,MATCH(AB$25,$A$87:$J$87,0), FALSE), 0) *
    (LEN($A47) &gt; 0)</f>
        <v>1</v>
      </c>
      <c r="AC47" cm="1">
        <f t="array" ref="AC47">1+SUMPRODUCT(
    IFERROR(VLOOKUP($G47:$T47, $B$87:$X$1000,MATCH(AC$25,$B$87:$X$87,0), FALSE), 0) *
    (LEN($G47:$T47) &gt; 0)
)</f>
        <v>1</v>
      </c>
      <c r="AD47" cm="1">
        <f t="array" ref="AD47">SUMPRODUCT(
    IFERROR(VLOOKUP($G47:$T47, $B$87:$X$1000,MATCH(AD$25,$B$87:$X$87,0), FALSE), 0) *
    (LEN($G47:$T47) &gt; 0)
)+IFERROR(VLOOKUP($A47,$A$88:$X$1000,MATCH(AD$25,$A$87:$X$87,0), FALSE), 0) *
    (LEN($A47) &gt; 0)</f>
        <v>0</v>
      </c>
      <c r="AE47" cm="1">
        <f t="array" ref="AE47">SUMPRODUCT(
    IFERROR(VLOOKUP($G47:$T47, $B$87:$X$1000,MATCH(AE$25,$B$87:$X$87,0), FALSE), 0) *
    (LEN($G47:$T47) &gt; 0)
)+IFERROR(VLOOKUP($A47,$A$88:$X$1000,MATCH(AE$25,$A$87:$X$87,0), FALSE), 0) *
    (LEN($A47) &gt; 0)</f>
        <v>0</v>
      </c>
      <c r="AF47" cm="1">
        <f t="array" ref="AF47">SUMPRODUCT(
    IFERROR(VLOOKUP($G47:$T47, $B$87:$X$1000,MATCH(AF$25,$B$87:$X$87,0), FALSE), 0) *
    (LEN($G47:$T47) &gt; 0)
)+IFERROR(VLOOKUP($A47,$A$88:$X$1000,MATCH(AF$25,$A$87:$X$87,0), FALSE), 0) *
    (LEN($A47) &gt; 0)</f>
        <v>0</v>
      </c>
      <c r="AG47" cm="1">
        <f t="array" ref="AG47">SUMPRODUCT(
    IFERROR(VLOOKUP($G47:$T47, $B$87:$X$1000,MATCH(AG$25,$B$87:$X$87,0), FALSE), 0) *
    (LEN($G47:$T47) &gt; 0)
)+IFERROR(VLOOKUP($A47,$A$88:$X$1000,MATCH(AG$25,$A$87:$X$87,0), FALSE), 0) *
    (LEN($A47) &gt; 0)</f>
        <v>0</v>
      </c>
      <c r="AH47" cm="1">
        <f t="array" ref="AH47">SUMPRODUCT(
    IFERROR(VLOOKUP($G47:$T47, $B$87:$X$1000,MATCH(AH$25,$B$87:$X$87,0), FALSE), 0) *
    (LEN($G47:$T47) &gt; 0)
)+IFERROR(VLOOKUP($A47,$A$88:$X$1000,MATCH(AH$25,$A$87:$X$87,0), FALSE), 0) *
    (LEN($A47) &gt; 0)</f>
        <v>0</v>
      </c>
      <c r="AI47">
        <f t="shared" si="9"/>
        <v>1</v>
      </c>
      <c r="AJ47" cm="1">
        <f t="array" ref="AJ47">1+SUMPRODUCT(
    IFERROR(VLOOKUP($G47:$T47, $B$87:$X$1000,MATCH(AJ$25,$B$87:$X$87,0), FALSE), 0) *
    (LEN($G47:$T47) &gt; 0)
)</f>
        <v>1</v>
      </c>
      <c r="AK47" cm="1">
        <f t="array" ref="AK47">1+SUMPRODUCT(
    IFERROR(VLOOKUP($G47:$T47, $B$87:$X$1000,MATCH(AK$25,$B$87:$X$87,0), FALSE), 0) *
    (LEN($G47:$T47) &gt; 0)
)</f>
        <v>1</v>
      </c>
      <c r="AL47" cm="1">
        <f t="array" ref="AL47">1+SUMPRODUCT(
    IFERROR(VLOOKUP($G47:$T47, $B$87:$X$1000,MATCH(AL$25,$B$87:$X$87,0), FALSE), 0) *
    (LEN($G47:$T47) &gt; 0)
)</f>
        <v>1</v>
      </c>
      <c r="AM47" cm="1">
        <f t="array" ref="AM47">1+SUMPRODUCT(
    IFERROR(VLOOKUP($G47:$T47, $B$87:$X$1000,MATCH(AM$25,$B$87:$X$87,0), FALSE), 0) *
    (LEN($G47:$T47) &gt; 0)
)</f>
        <v>1</v>
      </c>
      <c r="AN47" cm="1">
        <f t="array" ref="AN47">1+SUMPRODUCT(
    IFERROR(VLOOKUP($G47:$T47, $B$87:$X$1000,MATCH(AN$25,$B$87:$X$87,0), FALSE), 0) *
    (LEN($G47:$T47) &gt; 0)
)</f>
        <v>1</v>
      </c>
      <c r="AO47">
        <f t="shared" si="7"/>
        <v>1</v>
      </c>
      <c r="AQ47">
        <f t="shared" si="8"/>
        <v>0.5</v>
      </c>
    </row>
    <row r="48" spans="1:43" x14ac:dyDescent="0.25">
      <c r="B48">
        <f t="shared" si="1"/>
        <v>0</v>
      </c>
      <c r="C48">
        <f>B48*(1+表2_5[[#This Row],[列24]]*(表2_5[[#This Row],[列25]]-1))</f>
        <v>0</v>
      </c>
      <c r="D48">
        <f t="shared" si="2"/>
        <v>0</v>
      </c>
      <c r="E48" s="36"/>
      <c r="F48" t="s">
        <v>791</v>
      </c>
      <c r="U48">
        <f t="shared" si="3"/>
        <v>0</v>
      </c>
      <c r="V48" cm="1">
        <f t="array" ref="V48" xml:space="preserve"> IFERROR(VLOOKUP($A48,$A$86:$X$1000,MATCH(V$25,$A$87:$J$87,0), FALSE), 0) *
    (LEN($A48) &gt; 0)+SUMPRODUCT(
    IFERROR(VLOOKUP($G48:$T48, $B$87:$X$1000,MATCH(V$25,$B$87:$X$87,0), FALSE), 0) *
    (LEN($G48:$T48) &gt; 0)
)</f>
        <v>0</v>
      </c>
      <c r="W48">
        <f t="shared" si="4"/>
        <v>0</v>
      </c>
      <c r="X48">
        <f t="shared" si="4"/>
        <v>0</v>
      </c>
      <c r="Y48">
        <f t="shared" si="5"/>
        <v>0</v>
      </c>
      <c r="Z48">
        <f t="shared" si="6"/>
        <v>0</v>
      </c>
      <c r="AA48" cm="1">
        <f t="array" ref="AA48" xml:space="preserve"> IFERROR(VLOOKUP($A48,$A$86:$X$1000,MATCH(AA$25,$A$87:$J$87,0), FALSE), 0) *
    (LEN($A48) &gt; 0)+SUMPRODUCT(
    IFERROR(VLOOKUP($G48:$T48, $B$87:$X$1000,MATCH(AA$25,$B$87:$X$87,0), FALSE), 0) *
    (LEN($G48:$T48) &gt; 0)
)</f>
        <v>0</v>
      </c>
      <c r="AB48" cm="1">
        <f t="array" ref="AB48">1+SUMPRODUCT(
    IFERROR(VLOOKUP($G48:$T48, $B$87:$X$1000,MATCH(AB$25,$B$87:$X$87,0), FALSE), 0) *
    (LEN($G48:$T48) &gt; 0)
)+IFERROR(VLOOKUP($A48,$A$87:$X$1000,MATCH(AB$25,$A$87:$J$87,0), FALSE), 0) *
    (LEN($A48) &gt; 0)</f>
        <v>1</v>
      </c>
      <c r="AC48" cm="1">
        <f t="array" ref="AC48">1+SUMPRODUCT(
    IFERROR(VLOOKUP($G48:$T48, $B$87:$X$1000,MATCH(AC$25,$B$87:$X$87,0), FALSE), 0) *
    (LEN($G48:$T48) &gt; 0)
)</f>
        <v>1</v>
      </c>
      <c r="AD48" cm="1">
        <f t="array" ref="AD48">SUMPRODUCT(
    IFERROR(VLOOKUP($G48:$T48, $B$87:$X$1000,MATCH(AD$25,$B$87:$X$87,0), FALSE), 0) *
    (LEN($G48:$T48) &gt; 0)
)+IFERROR(VLOOKUP($A48,$A$88:$X$1000,MATCH(AD$25,$A$87:$X$87,0), FALSE), 0) *
    (LEN($A48) &gt; 0)</f>
        <v>0</v>
      </c>
      <c r="AE48" cm="1">
        <f t="array" ref="AE48">SUMPRODUCT(
    IFERROR(VLOOKUP($G48:$T48, $B$87:$X$1000,MATCH(AE$25,$B$87:$X$87,0), FALSE), 0) *
    (LEN($G48:$T48) &gt; 0)
)+IFERROR(VLOOKUP($A48,$A$88:$X$1000,MATCH(AE$25,$A$87:$X$87,0), FALSE), 0) *
    (LEN($A48) &gt; 0)</f>
        <v>0</v>
      </c>
      <c r="AF48" cm="1">
        <f t="array" ref="AF48">SUMPRODUCT(
    IFERROR(VLOOKUP($G48:$T48, $B$87:$X$1000,MATCH(AF$25,$B$87:$X$87,0), FALSE), 0) *
    (LEN($G48:$T48) &gt; 0)
)+IFERROR(VLOOKUP($A48,$A$88:$X$1000,MATCH(AF$25,$A$87:$X$87,0), FALSE), 0) *
    (LEN($A48) &gt; 0)</f>
        <v>0</v>
      </c>
      <c r="AG48" cm="1">
        <f t="array" ref="AG48">SUMPRODUCT(
    IFERROR(VLOOKUP($G48:$T48, $B$87:$X$1000,MATCH(AG$25,$B$87:$X$87,0), FALSE), 0) *
    (LEN($G48:$T48) &gt; 0)
)+IFERROR(VLOOKUP($A48,$A$88:$X$1000,MATCH(AG$25,$A$87:$X$87,0), FALSE), 0) *
    (LEN($A48) &gt; 0)</f>
        <v>0</v>
      </c>
      <c r="AH48" cm="1">
        <f t="array" ref="AH48">SUMPRODUCT(
    IFERROR(VLOOKUP($G48:$T48, $B$87:$X$1000,MATCH(AH$25,$B$87:$X$87,0), FALSE), 0) *
    (LEN($G48:$T48) &gt; 0)
)+IFERROR(VLOOKUP($A48,$A$88:$X$1000,MATCH(AH$25,$A$87:$X$87,0), FALSE), 0) *
    (LEN($A48) &gt; 0)</f>
        <v>0</v>
      </c>
      <c r="AI48">
        <f t="shared" si="9"/>
        <v>1</v>
      </c>
      <c r="AJ48" cm="1">
        <f t="array" ref="AJ48">1+SUMPRODUCT(
    IFERROR(VLOOKUP($G48:$T48, $B$87:$X$1000,MATCH(AJ$25,$B$87:$X$87,0), FALSE), 0) *
    (LEN($G48:$T48) &gt; 0)
)</f>
        <v>1</v>
      </c>
      <c r="AK48" cm="1">
        <f t="array" ref="AK48">1+SUMPRODUCT(
    IFERROR(VLOOKUP($G48:$T48, $B$87:$X$1000,MATCH(AK$25,$B$87:$X$87,0), FALSE), 0) *
    (LEN($G48:$T48) &gt; 0)
)</f>
        <v>1</v>
      </c>
      <c r="AL48" cm="1">
        <f t="array" ref="AL48">1+SUMPRODUCT(
    IFERROR(VLOOKUP($G48:$T48, $B$87:$X$1000,MATCH(AL$25,$B$87:$X$87,0), FALSE), 0) *
    (LEN($G48:$T48) &gt; 0)
)</f>
        <v>1</v>
      </c>
      <c r="AM48" cm="1">
        <f t="array" ref="AM48">1+SUMPRODUCT(
    IFERROR(VLOOKUP($G48:$T48, $B$87:$X$1000,MATCH(AM$25,$B$87:$X$87,0), FALSE), 0) *
    (LEN($G48:$T48) &gt; 0)
)</f>
        <v>1</v>
      </c>
      <c r="AN48" cm="1">
        <f t="array" ref="AN48">1+SUMPRODUCT(
    IFERROR(VLOOKUP($G48:$T48, $B$87:$X$1000,MATCH(AN$25,$B$87:$X$87,0), FALSE), 0) *
    (LEN($G48:$T48) &gt; 0)
)</f>
        <v>1</v>
      </c>
      <c r="AO48">
        <f t="shared" si="7"/>
        <v>1</v>
      </c>
      <c r="AQ48">
        <f t="shared" si="8"/>
        <v>0.5</v>
      </c>
    </row>
    <row r="49" spans="2:43" x14ac:dyDescent="0.25">
      <c r="B49">
        <f t="shared" si="1"/>
        <v>0</v>
      </c>
      <c r="C49">
        <f>B49*(1+表2_5[[#This Row],[列24]]*(表2_5[[#This Row],[列25]]-1))</f>
        <v>0</v>
      </c>
      <c r="D49">
        <f t="shared" si="2"/>
        <v>0</v>
      </c>
      <c r="E49" s="36"/>
      <c r="U49">
        <f t="shared" si="3"/>
        <v>0</v>
      </c>
      <c r="V49" cm="1">
        <f t="array" ref="V49" xml:space="preserve"> IFERROR(VLOOKUP($A49,$A$86:$X$1000,MATCH(V$25,$A$87:$J$87,0), FALSE), 0) *
    (LEN($A49) &gt; 0)+SUMPRODUCT(
    IFERROR(VLOOKUP($G49:$T49, $B$87:$X$1000,MATCH(V$25,$B$87:$X$87,0), FALSE), 0) *
    (LEN($G49:$T49) &gt; 0)
)</f>
        <v>0</v>
      </c>
      <c r="W49">
        <f t="shared" si="4"/>
        <v>0</v>
      </c>
      <c r="X49">
        <f t="shared" si="4"/>
        <v>0</v>
      </c>
      <c r="Y49">
        <f t="shared" si="5"/>
        <v>0</v>
      </c>
      <c r="Z49">
        <f t="shared" si="6"/>
        <v>0</v>
      </c>
      <c r="AA49" cm="1">
        <f t="array" ref="AA49" xml:space="preserve"> IFERROR(VLOOKUP($A49,$A$86:$X$1000,MATCH(AA$25,$A$87:$J$87,0), FALSE), 0) *
    (LEN($A49) &gt; 0)+SUMPRODUCT(
    IFERROR(VLOOKUP($G49:$T49, $B$87:$X$1000,MATCH(AA$25,$B$87:$X$87,0), FALSE), 0) *
    (LEN($G49:$T49) &gt; 0)
)</f>
        <v>0</v>
      </c>
      <c r="AB49" cm="1">
        <f t="array" ref="AB49">1+SUMPRODUCT(
    IFERROR(VLOOKUP($G49:$T49, $B$87:$X$1000,MATCH(AB$25,$B$87:$X$87,0), FALSE), 0) *
    (LEN($G49:$T49) &gt; 0)
)+IFERROR(VLOOKUP($A49,$A$87:$X$1000,MATCH(AB$25,$A$87:$J$87,0), FALSE), 0) *
    (LEN($A49) &gt; 0)</f>
        <v>1</v>
      </c>
      <c r="AC49" cm="1">
        <f t="array" ref="AC49">1+SUMPRODUCT(
    IFERROR(VLOOKUP($G49:$T49, $B$87:$X$1000,MATCH(AC$25,$B$87:$X$87,0), FALSE), 0) *
    (LEN($G49:$T49) &gt; 0)
)</f>
        <v>1</v>
      </c>
      <c r="AD49" cm="1">
        <f t="array" ref="AD49">SUMPRODUCT(
    IFERROR(VLOOKUP($G49:$T49, $B$87:$X$1000,MATCH(AD$25,$B$87:$X$87,0), FALSE), 0) *
    (LEN($G49:$T49) &gt; 0)
)+IFERROR(VLOOKUP($A49,$A$88:$X$1000,MATCH(AD$25,$A$87:$X$87,0), FALSE), 0) *
    (LEN($A49) &gt; 0)</f>
        <v>0</v>
      </c>
      <c r="AE49" cm="1">
        <f t="array" ref="AE49">SUMPRODUCT(
    IFERROR(VLOOKUP($G49:$T49, $B$87:$X$1000,MATCH(AE$25,$B$87:$X$87,0), FALSE), 0) *
    (LEN($G49:$T49) &gt; 0)
)+IFERROR(VLOOKUP($A49,$A$88:$X$1000,MATCH(AE$25,$A$87:$X$87,0), FALSE), 0) *
    (LEN($A49) &gt; 0)</f>
        <v>0</v>
      </c>
      <c r="AF49" cm="1">
        <f t="array" ref="AF49">SUMPRODUCT(
    IFERROR(VLOOKUP($G49:$T49, $B$87:$X$1000,MATCH(AF$25,$B$87:$X$87,0), FALSE), 0) *
    (LEN($G49:$T49) &gt; 0)
)+IFERROR(VLOOKUP($A49,$A$88:$X$1000,MATCH(AF$25,$A$87:$X$87,0), FALSE), 0) *
    (LEN($A49) &gt; 0)</f>
        <v>0</v>
      </c>
      <c r="AG49" cm="1">
        <f t="array" ref="AG49">SUMPRODUCT(
    IFERROR(VLOOKUP($G49:$T49, $B$87:$X$1000,MATCH(AG$25,$B$87:$X$87,0), FALSE), 0) *
    (LEN($G49:$T49) &gt; 0)
)+IFERROR(VLOOKUP($A49,$A$88:$X$1000,MATCH(AG$25,$A$87:$X$87,0), FALSE), 0) *
    (LEN($A49) &gt; 0)</f>
        <v>0</v>
      </c>
      <c r="AH49" cm="1">
        <f t="array" ref="AH49">SUMPRODUCT(
    IFERROR(VLOOKUP($G49:$T49, $B$87:$X$1000,MATCH(AH$25,$B$87:$X$87,0), FALSE), 0) *
    (LEN($G49:$T49) &gt; 0)
)+IFERROR(VLOOKUP($A49,$A$88:$X$1000,MATCH(AH$25,$A$87:$X$87,0), FALSE), 0) *
    (LEN($A49) &gt; 0)</f>
        <v>0</v>
      </c>
      <c r="AI49">
        <f t="shared" si="9"/>
        <v>1</v>
      </c>
      <c r="AJ49" cm="1">
        <f t="array" ref="AJ49">1+SUMPRODUCT(
    IFERROR(VLOOKUP($G49:$T49, $B$87:$X$1000,MATCH(AJ$25,$B$87:$X$87,0), FALSE), 0) *
    (LEN($G49:$T49) &gt; 0)
)</f>
        <v>1</v>
      </c>
      <c r="AK49" cm="1">
        <f t="array" ref="AK49">1+SUMPRODUCT(
    IFERROR(VLOOKUP($G49:$T49, $B$87:$X$1000,MATCH(AK$25,$B$87:$X$87,0), FALSE), 0) *
    (LEN($G49:$T49) &gt; 0)
)</f>
        <v>1</v>
      </c>
      <c r="AL49" cm="1">
        <f t="array" ref="AL49">1+SUMPRODUCT(
    IFERROR(VLOOKUP($G49:$T49, $B$87:$X$1000,MATCH(AL$25,$B$87:$X$87,0), FALSE), 0) *
    (LEN($G49:$T49) &gt; 0)
)</f>
        <v>1</v>
      </c>
      <c r="AM49" cm="1">
        <f t="array" ref="AM49">1+SUMPRODUCT(
    IFERROR(VLOOKUP($G49:$T49, $B$87:$X$1000,MATCH(AM$25,$B$87:$X$87,0), FALSE), 0) *
    (LEN($G49:$T49) &gt; 0)
)</f>
        <v>1</v>
      </c>
      <c r="AN49" cm="1">
        <f t="array" ref="AN49">1+SUMPRODUCT(
    IFERROR(VLOOKUP($G49:$T49, $B$87:$X$1000,MATCH(AN$25,$B$87:$X$87,0), FALSE), 0) *
    (LEN($G49:$T49) &gt; 0)
)</f>
        <v>1</v>
      </c>
      <c r="AO49">
        <f t="shared" si="7"/>
        <v>1</v>
      </c>
      <c r="AQ49">
        <f t="shared" si="8"/>
        <v>0.5</v>
      </c>
    </row>
    <row r="50" spans="2:43" x14ac:dyDescent="0.25">
      <c r="B50">
        <f t="shared" si="1"/>
        <v>0</v>
      </c>
      <c r="C50">
        <f>B50*(1+表2_5[[#This Row],[列24]]*(表2_5[[#This Row],[列25]]-1))</f>
        <v>0</v>
      </c>
      <c r="D50">
        <f t="shared" si="2"/>
        <v>0</v>
      </c>
      <c r="E50" s="36"/>
      <c r="U50">
        <f t="shared" si="3"/>
        <v>0</v>
      </c>
      <c r="V50" cm="1">
        <f t="array" ref="V50" xml:space="preserve"> IFERROR(VLOOKUP($A50,$A$86:$X$1000,MATCH(V$25,$A$87:$J$87,0), FALSE), 0) *
    (LEN($A50) &gt; 0)+SUMPRODUCT(
    IFERROR(VLOOKUP($G50:$T50, $B$87:$X$1000,MATCH(V$25,$B$87:$X$87,0), FALSE), 0) *
    (LEN($G50:$T50) &gt; 0)
)</f>
        <v>0</v>
      </c>
      <c r="W50">
        <f t="shared" si="4"/>
        <v>0</v>
      </c>
      <c r="X50">
        <f t="shared" si="4"/>
        <v>0</v>
      </c>
      <c r="Y50">
        <f t="shared" si="5"/>
        <v>0</v>
      </c>
      <c r="Z50">
        <f t="shared" si="6"/>
        <v>0</v>
      </c>
      <c r="AA50" cm="1">
        <f t="array" ref="AA50" xml:space="preserve"> IFERROR(VLOOKUP($A50,$A$86:$X$1000,MATCH(AA$25,$A$87:$J$87,0), FALSE), 0) *
    (LEN($A50) &gt; 0)+SUMPRODUCT(
    IFERROR(VLOOKUP($G50:$T50, $B$87:$X$1000,MATCH(AA$25,$B$87:$X$87,0), FALSE), 0) *
    (LEN($G50:$T50) &gt; 0)
)</f>
        <v>0</v>
      </c>
      <c r="AB50" cm="1">
        <f t="array" ref="AB50">1+SUMPRODUCT(
    IFERROR(VLOOKUP($G50:$T50, $B$87:$X$1000,MATCH(AB$25,$B$87:$X$87,0), FALSE), 0) *
    (LEN($G50:$T50) &gt; 0)
)+IFERROR(VLOOKUP($A50,$A$87:$X$1000,MATCH(AB$25,$A$87:$J$87,0), FALSE), 0) *
    (LEN($A50) &gt; 0)</f>
        <v>1</v>
      </c>
      <c r="AC50" cm="1">
        <f t="array" ref="AC50">1+SUMPRODUCT(
    IFERROR(VLOOKUP($G50:$T50, $B$87:$X$1000,MATCH(AC$25,$B$87:$X$87,0), FALSE), 0) *
    (LEN($G50:$T50) &gt; 0)
)</f>
        <v>1</v>
      </c>
      <c r="AD50" cm="1">
        <f t="array" ref="AD50">SUMPRODUCT(
    IFERROR(VLOOKUP($G50:$T50, $B$87:$X$1000,MATCH(AD$25,$B$87:$X$87,0), FALSE), 0) *
    (LEN($G50:$T50) &gt; 0)
)+IFERROR(VLOOKUP($A50,$A$88:$X$1000,MATCH(AD$25,$A$87:$X$87,0), FALSE), 0) *
    (LEN($A50) &gt; 0)</f>
        <v>0</v>
      </c>
      <c r="AE50" cm="1">
        <f t="array" ref="AE50">SUMPRODUCT(
    IFERROR(VLOOKUP($G50:$T50, $B$87:$X$1000,MATCH(AE$25,$B$87:$X$87,0), FALSE), 0) *
    (LEN($G50:$T50) &gt; 0)
)+IFERROR(VLOOKUP($A50,$A$88:$X$1000,MATCH(AE$25,$A$87:$X$87,0), FALSE), 0) *
    (LEN($A50) &gt; 0)</f>
        <v>0</v>
      </c>
      <c r="AF50" cm="1">
        <f t="array" ref="AF50">SUMPRODUCT(
    IFERROR(VLOOKUP($G50:$T50, $B$87:$X$1000,MATCH(AF$25,$B$87:$X$87,0), FALSE), 0) *
    (LEN($G50:$T50) &gt; 0)
)+IFERROR(VLOOKUP($A50,$A$88:$X$1000,MATCH(AF$25,$A$87:$X$87,0), FALSE), 0) *
    (LEN($A50) &gt; 0)</f>
        <v>0</v>
      </c>
      <c r="AG50" cm="1">
        <f t="array" ref="AG50">SUMPRODUCT(
    IFERROR(VLOOKUP($G50:$T50, $B$87:$X$1000,MATCH(AG$25,$B$87:$X$87,0), FALSE), 0) *
    (LEN($G50:$T50) &gt; 0)
)+IFERROR(VLOOKUP($A50,$A$88:$X$1000,MATCH(AG$25,$A$87:$X$87,0), FALSE), 0) *
    (LEN($A50) &gt; 0)</f>
        <v>0</v>
      </c>
      <c r="AH50" cm="1">
        <f t="array" ref="AH50">SUMPRODUCT(
    IFERROR(VLOOKUP($G50:$T50, $B$87:$X$1000,MATCH(AH$25,$B$87:$X$87,0), FALSE), 0) *
    (LEN($G50:$T50) &gt; 0)
)+IFERROR(VLOOKUP($A50,$A$88:$X$1000,MATCH(AH$25,$A$87:$X$87,0), FALSE), 0) *
    (LEN($A50) &gt; 0)</f>
        <v>0</v>
      </c>
      <c r="AI50">
        <f t="shared" si="9"/>
        <v>1</v>
      </c>
      <c r="AJ50" cm="1">
        <f t="array" ref="AJ50">1+SUMPRODUCT(
    IFERROR(VLOOKUP($G50:$T50, $B$87:$X$1000,MATCH(AJ$25,$B$87:$X$87,0), FALSE), 0) *
    (LEN($G50:$T50) &gt; 0)
)</f>
        <v>1</v>
      </c>
      <c r="AK50" cm="1">
        <f t="array" ref="AK50">1+SUMPRODUCT(
    IFERROR(VLOOKUP($G50:$T50, $B$87:$X$1000,MATCH(AK$25,$B$87:$X$87,0), FALSE), 0) *
    (LEN($G50:$T50) &gt; 0)
)</f>
        <v>1</v>
      </c>
      <c r="AL50" cm="1">
        <f t="array" ref="AL50">1+SUMPRODUCT(
    IFERROR(VLOOKUP($G50:$T50, $B$87:$X$1000,MATCH(AL$25,$B$87:$X$87,0), FALSE), 0) *
    (LEN($G50:$T50) &gt; 0)
)</f>
        <v>1</v>
      </c>
      <c r="AM50" cm="1">
        <f t="array" ref="AM50">1+SUMPRODUCT(
    IFERROR(VLOOKUP($G50:$T50, $B$87:$X$1000,MATCH(AM$25,$B$87:$X$87,0), FALSE), 0) *
    (LEN($G50:$T50) &gt; 0)
)</f>
        <v>1</v>
      </c>
      <c r="AN50" cm="1">
        <f t="array" ref="AN50">1+SUMPRODUCT(
    IFERROR(VLOOKUP($G50:$T50, $B$87:$X$1000,MATCH(AN$25,$B$87:$X$87,0), FALSE), 0) *
    (LEN($G50:$T50) &gt; 0)
)</f>
        <v>1</v>
      </c>
      <c r="AO50">
        <f t="shared" si="7"/>
        <v>1</v>
      </c>
      <c r="AQ50">
        <f t="shared" si="8"/>
        <v>0.5</v>
      </c>
    </row>
    <row r="51" spans="2:43" x14ac:dyDescent="0.25">
      <c r="B51">
        <f t="shared" si="1"/>
        <v>0</v>
      </c>
      <c r="C51">
        <f>B51*(1+表2_5[[#This Row],[列24]]*(表2_5[[#This Row],[列25]]-1))</f>
        <v>0</v>
      </c>
      <c r="D51">
        <f t="shared" si="2"/>
        <v>0</v>
      </c>
      <c r="E51" s="36"/>
      <c r="U51">
        <f t="shared" si="3"/>
        <v>0</v>
      </c>
      <c r="V51" cm="1">
        <f t="array" ref="V51" xml:space="preserve"> IFERROR(VLOOKUP($A51,$A$86:$X$1000,MATCH(V$25,$A$87:$J$87,0), FALSE), 0) *
    (LEN($A51) &gt; 0)+SUMPRODUCT(
    IFERROR(VLOOKUP($G51:$T51, $B$87:$X$1000,MATCH(V$25,$B$87:$X$87,0), FALSE), 0) *
    (LEN($G51:$T51) &gt; 0)
)</f>
        <v>0</v>
      </c>
      <c r="W51">
        <f t="shared" si="4"/>
        <v>0</v>
      </c>
      <c r="X51">
        <f t="shared" si="4"/>
        <v>0</v>
      </c>
      <c r="Y51">
        <f t="shared" si="5"/>
        <v>0</v>
      </c>
      <c r="Z51">
        <f t="shared" si="6"/>
        <v>0</v>
      </c>
      <c r="AA51" cm="1">
        <f t="array" ref="AA51" xml:space="preserve"> IFERROR(VLOOKUP($A51,$A$86:$X$1000,MATCH(AA$25,$A$87:$J$87,0), FALSE), 0) *
    (LEN($A51) &gt; 0)+SUMPRODUCT(
    IFERROR(VLOOKUP($G51:$T51, $B$87:$X$1000,MATCH(AA$25,$B$87:$X$87,0), FALSE), 0) *
    (LEN($G51:$T51) &gt; 0)
)</f>
        <v>0</v>
      </c>
      <c r="AB51" cm="1">
        <f t="array" ref="AB51">1+SUMPRODUCT(
    IFERROR(VLOOKUP($G51:$T51, $B$87:$X$1000,MATCH(AB$25,$B$87:$X$87,0), FALSE), 0) *
    (LEN($G51:$T51) &gt; 0)
)+IFERROR(VLOOKUP($A51,$A$87:$X$1000,MATCH(AB$25,$A$87:$J$87,0), FALSE), 0) *
    (LEN($A51) &gt; 0)</f>
        <v>1</v>
      </c>
      <c r="AC51" cm="1">
        <f t="array" ref="AC51">1+SUMPRODUCT(
    IFERROR(VLOOKUP($G51:$T51, $B$87:$X$1000,MATCH(AC$25,$B$87:$X$87,0), FALSE), 0) *
    (LEN($G51:$T51) &gt; 0)
)</f>
        <v>1</v>
      </c>
      <c r="AD51" cm="1">
        <f t="array" ref="AD51">SUMPRODUCT(
    IFERROR(VLOOKUP($G51:$T51, $B$87:$X$1000,MATCH(AD$25,$B$87:$X$87,0), FALSE), 0) *
    (LEN($G51:$T51) &gt; 0)
)+IFERROR(VLOOKUP($A51,$A$88:$X$1000,MATCH(AD$25,$A$87:$X$87,0), FALSE), 0) *
    (LEN($A51) &gt; 0)</f>
        <v>0</v>
      </c>
      <c r="AE51" cm="1">
        <f t="array" ref="AE51">SUMPRODUCT(
    IFERROR(VLOOKUP($G51:$T51, $B$87:$X$1000,MATCH(AE$25,$B$87:$X$87,0), FALSE), 0) *
    (LEN($G51:$T51) &gt; 0)
)+IFERROR(VLOOKUP($A51,$A$88:$X$1000,MATCH(AE$25,$A$87:$X$87,0), FALSE), 0) *
    (LEN($A51) &gt; 0)</f>
        <v>0</v>
      </c>
      <c r="AF51" cm="1">
        <f t="array" ref="AF51">SUMPRODUCT(
    IFERROR(VLOOKUP($G51:$T51, $B$87:$X$1000,MATCH(AF$25,$B$87:$X$87,0), FALSE), 0) *
    (LEN($G51:$T51) &gt; 0)
)+IFERROR(VLOOKUP($A51,$A$88:$X$1000,MATCH(AF$25,$A$87:$X$87,0), FALSE), 0) *
    (LEN($A51) &gt; 0)</f>
        <v>0</v>
      </c>
      <c r="AG51" cm="1">
        <f t="array" ref="AG51">SUMPRODUCT(
    IFERROR(VLOOKUP($G51:$T51, $B$87:$X$1000,MATCH(AG$25,$B$87:$X$87,0), FALSE), 0) *
    (LEN($G51:$T51) &gt; 0)
)+IFERROR(VLOOKUP($A51,$A$88:$X$1000,MATCH(AG$25,$A$87:$X$87,0), FALSE), 0) *
    (LEN($A51) &gt; 0)</f>
        <v>0</v>
      </c>
      <c r="AH51" cm="1">
        <f t="array" ref="AH51">SUMPRODUCT(
    IFERROR(VLOOKUP($G51:$T51, $B$87:$X$1000,MATCH(AH$25,$B$87:$X$87,0), FALSE), 0) *
    (LEN($G51:$T51) &gt; 0)
)+IFERROR(VLOOKUP($A51,$A$88:$X$1000,MATCH(AH$25,$A$87:$X$87,0), FALSE), 0) *
    (LEN($A51) &gt; 0)</f>
        <v>0</v>
      </c>
      <c r="AI51">
        <f t="shared" si="9"/>
        <v>1</v>
      </c>
      <c r="AJ51" cm="1">
        <f t="array" ref="AJ51">1+SUMPRODUCT(
    IFERROR(VLOOKUP($G51:$T51, $B$87:$X$1000,MATCH(AJ$25,$B$87:$X$87,0), FALSE), 0) *
    (LEN($G51:$T51) &gt; 0)
)</f>
        <v>1</v>
      </c>
      <c r="AK51" cm="1">
        <f t="array" ref="AK51">1+SUMPRODUCT(
    IFERROR(VLOOKUP($G51:$T51, $B$87:$X$1000,MATCH(AK$25,$B$87:$X$87,0), FALSE), 0) *
    (LEN($G51:$T51) &gt; 0)
)</f>
        <v>1</v>
      </c>
      <c r="AL51" cm="1">
        <f t="array" ref="AL51">1+SUMPRODUCT(
    IFERROR(VLOOKUP($G51:$T51, $B$87:$X$1000,MATCH(AL$25,$B$87:$X$87,0), FALSE), 0) *
    (LEN($G51:$T51) &gt; 0)
)</f>
        <v>1</v>
      </c>
      <c r="AM51" cm="1">
        <f t="array" ref="AM51">1+SUMPRODUCT(
    IFERROR(VLOOKUP($G51:$T51, $B$87:$X$1000,MATCH(AM$25,$B$87:$X$87,0), FALSE), 0) *
    (LEN($G51:$T51) &gt; 0)
)</f>
        <v>1</v>
      </c>
      <c r="AN51" cm="1">
        <f t="array" ref="AN51">1+SUMPRODUCT(
    IFERROR(VLOOKUP($G51:$T51, $B$87:$X$1000,MATCH(AN$25,$B$87:$X$87,0), FALSE), 0) *
    (LEN($G51:$T51) &gt; 0)
)</f>
        <v>1</v>
      </c>
      <c r="AO51">
        <f t="shared" si="7"/>
        <v>1</v>
      </c>
      <c r="AQ51">
        <f t="shared" si="8"/>
        <v>0.5</v>
      </c>
    </row>
    <row r="52" spans="2:43" x14ac:dyDescent="0.25">
      <c r="B52">
        <f t="shared" si="1"/>
        <v>0</v>
      </c>
      <c r="C52">
        <f>B52*(1+表2_5[[#This Row],[列24]]*(表2_5[[#This Row],[列25]]-1))</f>
        <v>0</v>
      </c>
      <c r="D52">
        <f t="shared" si="2"/>
        <v>0</v>
      </c>
      <c r="E52" s="36"/>
      <c r="U52">
        <f t="shared" si="3"/>
        <v>0</v>
      </c>
      <c r="V52" cm="1">
        <f t="array" ref="V52" xml:space="preserve"> IFERROR(VLOOKUP($A52,$A$86:$X$1000,MATCH(V$25,$A$87:$J$87,0), FALSE), 0) *
    (LEN($A52) &gt; 0)+SUMPRODUCT(
    IFERROR(VLOOKUP($G52:$T52, $B$87:$X$1000,MATCH(V$25,$B$87:$X$87,0), FALSE), 0) *
    (LEN($G52:$T52) &gt; 0)
)</f>
        <v>0</v>
      </c>
      <c r="W52">
        <f t="shared" si="4"/>
        <v>0</v>
      </c>
      <c r="X52">
        <f t="shared" si="4"/>
        <v>0</v>
      </c>
      <c r="Y52">
        <f t="shared" si="5"/>
        <v>0</v>
      </c>
      <c r="Z52">
        <f t="shared" si="6"/>
        <v>0</v>
      </c>
      <c r="AA52" cm="1">
        <f t="array" ref="AA52" xml:space="preserve"> IFERROR(VLOOKUP($A52,$A$86:$X$1000,MATCH(AA$25,$A$87:$J$87,0), FALSE), 0) *
    (LEN($A52) &gt; 0)+SUMPRODUCT(
    IFERROR(VLOOKUP($G52:$T52, $B$87:$X$1000,MATCH(AA$25,$B$87:$X$87,0), FALSE), 0) *
    (LEN($G52:$T52) &gt; 0)
)</f>
        <v>0</v>
      </c>
      <c r="AB52" cm="1">
        <f t="array" ref="AB52">1+SUMPRODUCT(
    IFERROR(VLOOKUP($G52:$T52, $B$87:$X$1000,MATCH(AB$25,$B$87:$X$87,0), FALSE), 0) *
    (LEN($G52:$T52) &gt; 0)
)+IFERROR(VLOOKUP($A52,$A$87:$X$1000,MATCH(AB$25,$A$87:$J$87,0), FALSE), 0) *
    (LEN($A52) &gt; 0)</f>
        <v>1</v>
      </c>
      <c r="AC52" cm="1">
        <f t="array" ref="AC52">1+SUMPRODUCT(
    IFERROR(VLOOKUP($G52:$T52, $B$87:$X$1000,MATCH(AC$25,$B$87:$X$87,0), FALSE), 0) *
    (LEN($G52:$T52) &gt; 0)
)</f>
        <v>1</v>
      </c>
      <c r="AD52" cm="1">
        <f t="array" ref="AD52">SUMPRODUCT(
    IFERROR(VLOOKUP($G52:$T52, $B$87:$X$1000,MATCH(AD$25,$B$87:$X$87,0), FALSE), 0) *
    (LEN($G52:$T52) &gt; 0)
)+IFERROR(VLOOKUP($A52,$A$88:$X$1000,MATCH(AD$25,$A$87:$X$87,0), FALSE), 0) *
    (LEN($A52) &gt; 0)</f>
        <v>0</v>
      </c>
      <c r="AE52" cm="1">
        <f t="array" ref="AE52">SUMPRODUCT(
    IFERROR(VLOOKUP($G52:$T52, $B$87:$X$1000,MATCH(AE$25,$B$87:$X$87,0), FALSE), 0) *
    (LEN($G52:$T52) &gt; 0)
)+IFERROR(VLOOKUP($A52,$A$88:$X$1000,MATCH(AE$25,$A$87:$X$87,0), FALSE), 0) *
    (LEN($A52) &gt; 0)</f>
        <v>0</v>
      </c>
      <c r="AF52" cm="1">
        <f t="array" ref="AF52">SUMPRODUCT(
    IFERROR(VLOOKUP($G52:$T52, $B$87:$X$1000,MATCH(AF$25,$B$87:$X$87,0), FALSE), 0) *
    (LEN($G52:$T52) &gt; 0)
)+IFERROR(VLOOKUP($A52,$A$88:$X$1000,MATCH(AF$25,$A$87:$X$87,0), FALSE), 0) *
    (LEN($A52) &gt; 0)</f>
        <v>0</v>
      </c>
      <c r="AG52" cm="1">
        <f t="array" ref="AG52">SUMPRODUCT(
    IFERROR(VLOOKUP($G52:$T52, $B$87:$X$1000,MATCH(AG$25,$B$87:$X$87,0), FALSE), 0) *
    (LEN($G52:$T52) &gt; 0)
)+IFERROR(VLOOKUP($A52,$A$88:$X$1000,MATCH(AG$25,$A$87:$X$87,0), FALSE), 0) *
    (LEN($A52) &gt; 0)</f>
        <v>0</v>
      </c>
      <c r="AH52" cm="1">
        <f t="array" ref="AH52">SUMPRODUCT(
    IFERROR(VLOOKUP($G52:$T52, $B$87:$X$1000,MATCH(AH$25,$B$87:$X$87,0), FALSE), 0) *
    (LEN($G52:$T52) &gt; 0)
)+IFERROR(VLOOKUP($A52,$A$88:$X$1000,MATCH(AH$25,$A$87:$X$87,0), FALSE), 0) *
    (LEN($A52) &gt; 0)</f>
        <v>0</v>
      </c>
      <c r="AI52">
        <f t="shared" si="9"/>
        <v>1</v>
      </c>
      <c r="AJ52" cm="1">
        <f t="array" ref="AJ52">1+SUMPRODUCT(
    IFERROR(VLOOKUP($G52:$T52, $B$87:$X$1000,MATCH(AJ$25,$B$87:$X$87,0), FALSE), 0) *
    (LEN($G52:$T52) &gt; 0)
)</f>
        <v>1</v>
      </c>
      <c r="AK52" cm="1">
        <f t="array" ref="AK52">1+SUMPRODUCT(
    IFERROR(VLOOKUP($G52:$T52, $B$87:$X$1000,MATCH(AK$25,$B$87:$X$87,0), FALSE), 0) *
    (LEN($G52:$T52) &gt; 0)
)</f>
        <v>1</v>
      </c>
      <c r="AL52" cm="1">
        <f t="array" ref="AL52">1+SUMPRODUCT(
    IFERROR(VLOOKUP($G52:$T52, $B$87:$X$1000,MATCH(AL$25,$B$87:$X$87,0), FALSE), 0) *
    (LEN($G52:$T52) &gt; 0)
)</f>
        <v>1</v>
      </c>
      <c r="AM52" cm="1">
        <f t="array" ref="AM52">1+SUMPRODUCT(
    IFERROR(VLOOKUP($G52:$T52, $B$87:$X$1000,MATCH(AM$25,$B$87:$X$87,0), FALSE), 0) *
    (LEN($G52:$T52) &gt; 0)
)</f>
        <v>1</v>
      </c>
      <c r="AN52" cm="1">
        <f t="array" ref="AN52">1+SUMPRODUCT(
    IFERROR(VLOOKUP($G52:$T52, $B$87:$X$1000,MATCH(AN$25,$B$87:$X$87,0), FALSE), 0) *
    (LEN($G52:$T52) &gt; 0)
)</f>
        <v>1</v>
      </c>
      <c r="AO52">
        <f t="shared" si="7"/>
        <v>1</v>
      </c>
      <c r="AQ52">
        <f t="shared" si="8"/>
        <v>0.5</v>
      </c>
    </row>
    <row r="53" spans="2:43" x14ac:dyDescent="0.25">
      <c r="B53">
        <f t="shared" si="1"/>
        <v>0</v>
      </c>
      <c r="C53">
        <f>B53*(1+表2_5[[#This Row],[列24]]*(表2_5[[#This Row],[列25]]-1))</f>
        <v>0</v>
      </c>
      <c r="D53">
        <f t="shared" si="2"/>
        <v>0</v>
      </c>
      <c r="E53" s="36"/>
      <c r="U53">
        <f t="shared" si="3"/>
        <v>0</v>
      </c>
      <c r="V53" cm="1">
        <f t="array" ref="V53" xml:space="preserve"> IFERROR(VLOOKUP($A53,$A$86:$X$1000,MATCH(V$25,$A$87:$J$87,0), FALSE), 0) *
    (LEN($A53) &gt; 0)+SUMPRODUCT(
    IFERROR(VLOOKUP($G53:$T53, $B$87:$X$1000,MATCH(V$25,$B$87:$X$87,0), FALSE), 0) *
    (LEN($G53:$T53) &gt; 0)
)</f>
        <v>0</v>
      </c>
      <c r="W53">
        <f t="shared" si="4"/>
        <v>0</v>
      </c>
      <c r="X53">
        <f t="shared" si="4"/>
        <v>0</v>
      </c>
      <c r="Y53">
        <f t="shared" si="5"/>
        <v>0</v>
      </c>
      <c r="Z53">
        <f t="shared" si="6"/>
        <v>0</v>
      </c>
      <c r="AA53" cm="1">
        <f t="array" ref="AA53" xml:space="preserve"> IFERROR(VLOOKUP($A53,$A$86:$X$1000,MATCH(AA$25,$A$87:$J$87,0), FALSE), 0) *
    (LEN($A53) &gt; 0)+SUMPRODUCT(
    IFERROR(VLOOKUP($G53:$T53, $B$87:$X$1000,MATCH(AA$25,$B$87:$X$87,0), FALSE), 0) *
    (LEN($G53:$T53) &gt; 0)
)</f>
        <v>0</v>
      </c>
      <c r="AB53" cm="1">
        <f t="array" ref="AB53">1+SUMPRODUCT(
    IFERROR(VLOOKUP($G53:$T53, $B$87:$X$1000,MATCH(AB$25,$B$87:$X$87,0), FALSE), 0) *
    (LEN($G53:$T53) &gt; 0)
)+IFERROR(VLOOKUP($A53,$A$87:$X$1000,MATCH(AB$25,$A$87:$J$87,0), FALSE), 0) *
    (LEN($A53) &gt; 0)</f>
        <v>1</v>
      </c>
      <c r="AC53" cm="1">
        <f t="array" ref="AC53">1+SUMPRODUCT(
    IFERROR(VLOOKUP($G53:$T53, $B$87:$X$1000,MATCH(AC$25,$B$87:$X$87,0), FALSE), 0) *
    (LEN($G53:$T53) &gt; 0)
)</f>
        <v>1</v>
      </c>
      <c r="AD53" cm="1">
        <f t="array" ref="AD53">SUMPRODUCT(
    IFERROR(VLOOKUP($G53:$T53, $B$87:$X$1000,MATCH(AD$25,$B$87:$X$87,0), FALSE), 0) *
    (LEN($G53:$T53) &gt; 0)
)+IFERROR(VLOOKUP($A53,$A$88:$X$1000,MATCH(AD$25,$A$87:$X$87,0), FALSE), 0) *
    (LEN($A53) &gt; 0)</f>
        <v>0</v>
      </c>
      <c r="AE53" cm="1">
        <f t="array" ref="AE53">SUMPRODUCT(
    IFERROR(VLOOKUP($G53:$T53, $B$87:$X$1000,MATCH(AE$25,$B$87:$X$87,0), FALSE), 0) *
    (LEN($G53:$T53) &gt; 0)
)+IFERROR(VLOOKUP($A53,$A$88:$X$1000,MATCH(AE$25,$A$87:$X$87,0), FALSE), 0) *
    (LEN($A53) &gt; 0)</f>
        <v>0</v>
      </c>
      <c r="AF53" cm="1">
        <f t="array" ref="AF53">SUMPRODUCT(
    IFERROR(VLOOKUP($G53:$T53, $B$87:$X$1000,MATCH(AF$25,$B$87:$X$87,0), FALSE), 0) *
    (LEN($G53:$T53) &gt; 0)
)+IFERROR(VLOOKUP($A53,$A$88:$X$1000,MATCH(AF$25,$A$87:$X$87,0), FALSE), 0) *
    (LEN($A53) &gt; 0)</f>
        <v>0</v>
      </c>
      <c r="AG53" cm="1">
        <f t="array" ref="AG53">SUMPRODUCT(
    IFERROR(VLOOKUP($G53:$T53, $B$87:$X$1000,MATCH(AG$25,$B$87:$X$87,0), FALSE), 0) *
    (LEN($G53:$T53) &gt; 0)
)+IFERROR(VLOOKUP($A53,$A$88:$X$1000,MATCH(AG$25,$A$87:$X$87,0), FALSE), 0) *
    (LEN($A53) &gt; 0)</f>
        <v>0</v>
      </c>
      <c r="AH53" cm="1">
        <f t="array" ref="AH53">SUMPRODUCT(
    IFERROR(VLOOKUP($G53:$T53, $B$87:$X$1000,MATCH(AH$25,$B$87:$X$87,0), FALSE), 0) *
    (LEN($G53:$T53) &gt; 0)
)+IFERROR(VLOOKUP($A53,$A$88:$X$1000,MATCH(AH$25,$A$87:$X$87,0), FALSE), 0) *
    (LEN($A53) &gt; 0)</f>
        <v>0</v>
      </c>
      <c r="AI53">
        <f t="shared" si="9"/>
        <v>1</v>
      </c>
      <c r="AJ53" cm="1">
        <f t="array" ref="AJ53">1+SUMPRODUCT(
    IFERROR(VLOOKUP($G53:$T53, $B$87:$X$1000,MATCH(AJ$25,$B$87:$X$87,0), FALSE), 0) *
    (LEN($G53:$T53) &gt; 0)
)</f>
        <v>1</v>
      </c>
      <c r="AK53" cm="1">
        <f t="array" ref="AK53">1+SUMPRODUCT(
    IFERROR(VLOOKUP($G53:$T53, $B$87:$X$1000,MATCH(AK$25,$B$87:$X$87,0), FALSE), 0) *
    (LEN($G53:$T53) &gt; 0)
)</f>
        <v>1</v>
      </c>
      <c r="AL53" cm="1">
        <f t="array" ref="AL53">1+SUMPRODUCT(
    IFERROR(VLOOKUP($G53:$T53, $B$87:$X$1000,MATCH(AL$25,$B$87:$X$87,0), FALSE), 0) *
    (LEN($G53:$T53) &gt; 0)
)</f>
        <v>1</v>
      </c>
      <c r="AM53" cm="1">
        <f t="array" ref="AM53">1+SUMPRODUCT(
    IFERROR(VLOOKUP($G53:$T53, $B$87:$X$1000,MATCH(AM$25,$B$87:$X$87,0), FALSE), 0) *
    (LEN($G53:$T53) &gt; 0)
)</f>
        <v>1</v>
      </c>
      <c r="AN53" cm="1">
        <f t="array" ref="AN53">1+SUMPRODUCT(
    IFERROR(VLOOKUP($G53:$T53, $B$87:$X$1000,MATCH(AN$25,$B$87:$X$87,0), FALSE), 0) *
    (LEN($G53:$T53) &gt; 0)
)</f>
        <v>1</v>
      </c>
      <c r="AO53">
        <f t="shared" si="7"/>
        <v>1</v>
      </c>
      <c r="AQ53">
        <f t="shared" si="8"/>
        <v>0.5</v>
      </c>
    </row>
    <row r="54" spans="2:43" x14ac:dyDescent="0.25">
      <c r="B54">
        <f t="shared" si="1"/>
        <v>0</v>
      </c>
      <c r="C54">
        <f>B54*(1+表2_5[[#This Row],[列24]]*(表2_5[[#This Row],[列25]]-1))</f>
        <v>0</v>
      </c>
      <c r="D54">
        <f t="shared" si="2"/>
        <v>0</v>
      </c>
      <c r="E54" s="36"/>
      <c r="U54">
        <f t="shared" si="3"/>
        <v>0</v>
      </c>
      <c r="V54" cm="1">
        <f t="array" ref="V54" xml:space="preserve"> IFERROR(VLOOKUP($A54,$A$86:$X$1000,MATCH(V$25,$A$87:$J$87,0), FALSE), 0) *
    (LEN($A54) &gt; 0)+SUMPRODUCT(
    IFERROR(VLOOKUP($G54:$T54, $B$87:$X$1000,MATCH(V$25,$B$87:$X$87,0), FALSE), 0) *
    (LEN($G54:$T54) &gt; 0)
)</f>
        <v>0</v>
      </c>
      <c r="W54">
        <f t="shared" si="4"/>
        <v>0</v>
      </c>
      <c r="X54">
        <f t="shared" si="4"/>
        <v>0</v>
      </c>
      <c r="Y54">
        <f t="shared" si="5"/>
        <v>0</v>
      </c>
      <c r="Z54">
        <f t="shared" si="6"/>
        <v>0</v>
      </c>
      <c r="AA54" cm="1">
        <f t="array" ref="AA54" xml:space="preserve"> IFERROR(VLOOKUP($A54,$A$86:$X$1000,MATCH(AA$25,$A$87:$J$87,0), FALSE), 0) *
    (LEN($A54) &gt; 0)+SUMPRODUCT(
    IFERROR(VLOOKUP($G54:$T54, $B$87:$X$1000,MATCH(AA$25,$B$87:$X$87,0), FALSE), 0) *
    (LEN($G54:$T54) &gt; 0)
)</f>
        <v>0</v>
      </c>
      <c r="AB54" cm="1">
        <f t="array" ref="AB54">1+SUMPRODUCT(
    IFERROR(VLOOKUP($G54:$T54, $B$87:$X$1000,MATCH(AB$25,$B$87:$X$87,0), FALSE), 0) *
    (LEN($G54:$T54) &gt; 0)
)+IFERROR(VLOOKUP($A54,$A$87:$X$1000,MATCH(AB$25,$A$87:$J$87,0), FALSE), 0) *
    (LEN($A54) &gt; 0)</f>
        <v>1</v>
      </c>
      <c r="AC54" cm="1">
        <f t="array" ref="AC54">1+SUMPRODUCT(
    IFERROR(VLOOKUP($G54:$T54, $B$87:$X$1000,MATCH(AC$25,$B$87:$X$87,0), FALSE), 0) *
    (LEN($G54:$T54) &gt; 0)
)</f>
        <v>1</v>
      </c>
      <c r="AD54" cm="1">
        <f t="array" ref="AD54">SUMPRODUCT(
    IFERROR(VLOOKUP($G54:$T54, $B$87:$X$1000,MATCH(AD$25,$B$87:$X$87,0), FALSE), 0) *
    (LEN($G54:$T54) &gt; 0)
)+IFERROR(VLOOKUP($A54,$A$88:$X$1000,MATCH(AD$25,$A$87:$X$87,0), FALSE), 0) *
    (LEN($A54) &gt; 0)</f>
        <v>0</v>
      </c>
      <c r="AE54" cm="1">
        <f t="array" ref="AE54">SUMPRODUCT(
    IFERROR(VLOOKUP($G54:$T54, $B$87:$X$1000,MATCH(AE$25,$B$87:$X$87,0), FALSE), 0) *
    (LEN($G54:$T54) &gt; 0)
)+IFERROR(VLOOKUP($A54,$A$88:$X$1000,MATCH(AE$25,$A$87:$X$87,0), FALSE), 0) *
    (LEN($A54) &gt; 0)</f>
        <v>0</v>
      </c>
      <c r="AF54" cm="1">
        <f t="array" ref="AF54">SUMPRODUCT(
    IFERROR(VLOOKUP($G54:$T54, $B$87:$X$1000,MATCH(AF$25,$B$87:$X$87,0), FALSE), 0) *
    (LEN($G54:$T54) &gt; 0)
)+IFERROR(VLOOKUP($A54,$A$88:$X$1000,MATCH(AF$25,$A$87:$X$87,0), FALSE), 0) *
    (LEN($A54) &gt; 0)</f>
        <v>0</v>
      </c>
      <c r="AG54" cm="1">
        <f t="array" ref="AG54">SUMPRODUCT(
    IFERROR(VLOOKUP($G54:$T54, $B$87:$X$1000,MATCH(AG$25,$B$87:$X$87,0), FALSE), 0) *
    (LEN($G54:$T54) &gt; 0)
)+IFERROR(VLOOKUP($A54,$A$88:$X$1000,MATCH(AG$25,$A$87:$X$87,0), FALSE), 0) *
    (LEN($A54) &gt; 0)</f>
        <v>0</v>
      </c>
      <c r="AH54" cm="1">
        <f t="array" ref="AH54">SUMPRODUCT(
    IFERROR(VLOOKUP($G54:$T54, $B$87:$X$1000,MATCH(AH$25,$B$87:$X$87,0), FALSE), 0) *
    (LEN($G54:$T54) &gt; 0)
)+IFERROR(VLOOKUP($A54,$A$88:$X$1000,MATCH(AH$25,$A$87:$X$87,0), FALSE), 0) *
    (LEN($A54) &gt; 0)</f>
        <v>0</v>
      </c>
      <c r="AI54">
        <f t="shared" si="9"/>
        <v>1</v>
      </c>
      <c r="AJ54" cm="1">
        <f t="array" ref="AJ54">1+SUMPRODUCT(
    IFERROR(VLOOKUP($G54:$T54, $B$87:$X$1000,MATCH(AJ$25,$B$87:$X$87,0), FALSE), 0) *
    (LEN($G54:$T54) &gt; 0)
)</f>
        <v>1</v>
      </c>
      <c r="AK54" cm="1">
        <f t="array" ref="AK54">1+SUMPRODUCT(
    IFERROR(VLOOKUP($G54:$T54, $B$87:$X$1000,MATCH(AK$25,$B$87:$X$87,0), FALSE), 0) *
    (LEN($G54:$T54) &gt; 0)
)</f>
        <v>1</v>
      </c>
      <c r="AL54" cm="1">
        <f t="array" ref="AL54">1+SUMPRODUCT(
    IFERROR(VLOOKUP($G54:$T54, $B$87:$X$1000,MATCH(AL$25,$B$87:$X$87,0), FALSE), 0) *
    (LEN($G54:$T54) &gt; 0)
)</f>
        <v>1</v>
      </c>
      <c r="AM54" cm="1">
        <f t="array" ref="AM54">1+SUMPRODUCT(
    IFERROR(VLOOKUP($G54:$T54, $B$87:$X$1000,MATCH(AM$25,$B$87:$X$87,0), FALSE), 0) *
    (LEN($G54:$T54) &gt; 0)
)</f>
        <v>1</v>
      </c>
      <c r="AN54" cm="1">
        <f t="array" ref="AN54">1+SUMPRODUCT(
    IFERROR(VLOOKUP($G54:$T54, $B$87:$X$1000,MATCH(AN$25,$B$87:$X$87,0), FALSE), 0) *
    (LEN($G54:$T54) &gt; 0)
)</f>
        <v>1</v>
      </c>
      <c r="AO54">
        <f t="shared" si="7"/>
        <v>1</v>
      </c>
      <c r="AQ54">
        <f t="shared" si="8"/>
        <v>0.5</v>
      </c>
    </row>
    <row r="55" spans="2:43" x14ac:dyDescent="0.25">
      <c r="B55">
        <f t="shared" si="1"/>
        <v>0</v>
      </c>
      <c r="C55">
        <f>B55*(1+表2_5[[#This Row],[列24]]*(表2_5[[#This Row],[列25]]-1))</f>
        <v>0</v>
      </c>
      <c r="D55">
        <f t="shared" si="2"/>
        <v>0</v>
      </c>
      <c r="E55" s="36"/>
      <c r="U55">
        <f t="shared" si="3"/>
        <v>0</v>
      </c>
      <c r="V55" cm="1">
        <f t="array" ref="V55" xml:space="preserve"> IFERROR(VLOOKUP($A55,$A$86:$X$1000,MATCH(V$25,$A$87:$J$87,0), FALSE), 0) *
    (LEN($A55) &gt; 0)+SUMPRODUCT(
    IFERROR(VLOOKUP($G55:$T55, $B$87:$X$1000,MATCH(V$25,$B$87:$X$87,0), FALSE), 0) *
    (LEN($G55:$T55) &gt; 0)
)</f>
        <v>0</v>
      </c>
      <c r="W55">
        <f t="shared" si="4"/>
        <v>0</v>
      </c>
      <c r="X55">
        <f t="shared" si="4"/>
        <v>0</v>
      </c>
      <c r="Y55">
        <f t="shared" si="5"/>
        <v>0</v>
      </c>
      <c r="Z55">
        <f t="shared" si="6"/>
        <v>0</v>
      </c>
      <c r="AA55" cm="1">
        <f t="array" ref="AA55" xml:space="preserve"> IFERROR(VLOOKUP($A55,$A$86:$X$1000,MATCH(AA$25,$A$87:$J$87,0), FALSE), 0) *
    (LEN($A55) &gt; 0)+SUMPRODUCT(
    IFERROR(VLOOKUP($G55:$T55, $B$87:$X$1000,MATCH(AA$25,$B$87:$X$87,0), FALSE), 0) *
    (LEN($G55:$T55) &gt; 0)
)</f>
        <v>0</v>
      </c>
      <c r="AB55" cm="1">
        <f t="array" ref="AB55">1+SUMPRODUCT(
    IFERROR(VLOOKUP($G55:$T55, $B$87:$X$1000,MATCH(AB$25,$B$87:$X$87,0), FALSE), 0) *
    (LEN($G55:$T55) &gt; 0)
)+IFERROR(VLOOKUP($A55,$A$87:$X$1000,MATCH(AB$25,$A$87:$J$87,0), FALSE), 0) *
    (LEN($A55) &gt; 0)</f>
        <v>1</v>
      </c>
      <c r="AC55" cm="1">
        <f t="array" ref="AC55">1+SUMPRODUCT(
    IFERROR(VLOOKUP($G55:$T55, $B$87:$X$1000,MATCH(AC$25,$B$87:$X$87,0), FALSE), 0) *
    (LEN($G55:$T55) &gt; 0)
)</f>
        <v>1</v>
      </c>
      <c r="AD55" cm="1">
        <f t="array" ref="AD55">SUMPRODUCT(
    IFERROR(VLOOKUP($G55:$T55, $B$87:$X$1000,MATCH(AD$25,$B$87:$X$87,0), FALSE), 0) *
    (LEN($G55:$T55) &gt; 0)
)+IFERROR(VLOOKUP($A55,$A$88:$X$1000,MATCH(AD$25,$A$87:$X$87,0), FALSE), 0) *
    (LEN($A55) &gt; 0)</f>
        <v>0</v>
      </c>
      <c r="AE55" cm="1">
        <f t="array" ref="AE55">SUMPRODUCT(
    IFERROR(VLOOKUP($G55:$T55, $B$87:$X$1000,MATCH(AE$25,$B$87:$X$87,0), FALSE), 0) *
    (LEN($G55:$T55) &gt; 0)
)+IFERROR(VLOOKUP($A55,$A$88:$X$1000,MATCH(AE$25,$A$87:$X$87,0), FALSE), 0) *
    (LEN($A55) &gt; 0)</f>
        <v>0</v>
      </c>
      <c r="AF55" cm="1">
        <f t="array" ref="AF55">SUMPRODUCT(
    IFERROR(VLOOKUP($G55:$T55, $B$87:$X$1000,MATCH(AF$25,$B$87:$X$87,0), FALSE), 0) *
    (LEN($G55:$T55) &gt; 0)
)+IFERROR(VLOOKUP($A55,$A$88:$X$1000,MATCH(AF$25,$A$87:$X$87,0), FALSE), 0) *
    (LEN($A55) &gt; 0)</f>
        <v>0</v>
      </c>
      <c r="AG55" cm="1">
        <f t="array" ref="AG55">SUMPRODUCT(
    IFERROR(VLOOKUP($G55:$T55, $B$87:$X$1000,MATCH(AG$25,$B$87:$X$87,0), FALSE), 0) *
    (LEN($G55:$T55) &gt; 0)
)+IFERROR(VLOOKUP($A55,$A$88:$X$1000,MATCH(AG$25,$A$87:$X$87,0), FALSE), 0) *
    (LEN($A55) &gt; 0)</f>
        <v>0</v>
      </c>
      <c r="AH55" cm="1">
        <f t="array" ref="AH55">SUMPRODUCT(
    IFERROR(VLOOKUP($G55:$T55, $B$87:$X$1000,MATCH(AH$25,$B$87:$X$87,0), FALSE), 0) *
    (LEN($G55:$T55) &gt; 0)
)+IFERROR(VLOOKUP($A55,$A$88:$X$1000,MATCH(AH$25,$A$87:$X$87,0), FALSE), 0) *
    (LEN($A55) &gt; 0)</f>
        <v>0</v>
      </c>
      <c r="AI55">
        <f t="shared" si="9"/>
        <v>1</v>
      </c>
      <c r="AJ55" cm="1">
        <f t="array" ref="AJ55">1+SUMPRODUCT(
    IFERROR(VLOOKUP($G55:$T55, $B$87:$X$1000,MATCH(AJ$25,$B$87:$X$87,0), FALSE), 0) *
    (LEN($G55:$T55) &gt; 0)
)</f>
        <v>1</v>
      </c>
      <c r="AK55" cm="1">
        <f t="array" ref="AK55">1+SUMPRODUCT(
    IFERROR(VLOOKUP($G55:$T55, $B$87:$X$1000,MATCH(AK$25,$B$87:$X$87,0), FALSE), 0) *
    (LEN($G55:$T55) &gt; 0)
)</f>
        <v>1</v>
      </c>
      <c r="AL55" cm="1">
        <f t="array" ref="AL55">1+SUMPRODUCT(
    IFERROR(VLOOKUP($G55:$T55, $B$87:$X$1000,MATCH(AL$25,$B$87:$X$87,0), FALSE), 0) *
    (LEN($G55:$T55) &gt; 0)
)</f>
        <v>1</v>
      </c>
      <c r="AM55" cm="1">
        <f t="array" ref="AM55">1+SUMPRODUCT(
    IFERROR(VLOOKUP($G55:$T55, $B$87:$X$1000,MATCH(AM$25,$B$87:$X$87,0), FALSE), 0) *
    (LEN($G55:$T55) &gt; 0)
)</f>
        <v>1</v>
      </c>
      <c r="AN55" cm="1">
        <f t="array" ref="AN55">1+SUMPRODUCT(
    IFERROR(VLOOKUP($G55:$T55, $B$87:$X$1000,MATCH(AN$25,$B$87:$X$87,0), FALSE), 0) *
    (LEN($G55:$T55) &gt; 0)
)</f>
        <v>1</v>
      </c>
      <c r="AO55">
        <f t="shared" si="7"/>
        <v>1</v>
      </c>
      <c r="AQ55">
        <f t="shared" si="8"/>
        <v>0.5</v>
      </c>
    </row>
    <row r="56" spans="2:43" x14ac:dyDescent="0.25">
      <c r="B56">
        <f t="shared" si="1"/>
        <v>0</v>
      </c>
      <c r="C56">
        <f>B56*(1+表2_5[[#This Row],[列24]]*(表2_5[[#This Row],[列25]]-1))</f>
        <v>0</v>
      </c>
      <c r="D56">
        <f t="shared" si="2"/>
        <v>0</v>
      </c>
      <c r="E56" s="36"/>
      <c r="U56">
        <f t="shared" si="3"/>
        <v>0</v>
      </c>
      <c r="V56" cm="1">
        <f t="array" ref="V56" xml:space="preserve"> IFERROR(VLOOKUP($A56,$A$86:$X$1000,MATCH(V$25,$A$87:$J$87,0), FALSE), 0) *
    (LEN($A56) &gt; 0)+SUMPRODUCT(
    IFERROR(VLOOKUP($G56:$T56, $B$87:$X$1000,MATCH(V$25,$B$87:$X$87,0), FALSE), 0) *
    (LEN($G56:$T56) &gt; 0)
)</f>
        <v>0</v>
      </c>
      <c r="W56">
        <f t="shared" si="4"/>
        <v>0</v>
      </c>
      <c r="X56">
        <f t="shared" si="4"/>
        <v>0</v>
      </c>
      <c r="Y56">
        <f t="shared" si="5"/>
        <v>0</v>
      </c>
      <c r="Z56">
        <f t="shared" si="6"/>
        <v>0</v>
      </c>
      <c r="AA56" cm="1">
        <f t="array" ref="AA56" xml:space="preserve"> IFERROR(VLOOKUP($A56,$A$86:$X$1000,MATCH(AA$25,$A$87:$J$87,0), FALSE), 0) *
    (LEN($A56) &gt; 0)+SUMPRODUCT(
    IFERROR(VLOOKUP($G56:$T56, $B$87:$X$1000,MATCH(AA$25,$B$87:$X$87,0), FALSE), 0) *
    (LEN($G56:$T56) &gt; 0)
)</f>
        <v>0</v>
      </c>
      <c r="AB56" cm="1">
        <f t="array" ref="AB56">1+SUMPRODUCT(
    IFERROR(VLOOKUP($G56:$T56, $B$87:$X$1000,MATCH(AB$25,$B$87:$X$87,0), FALSE), 0) *
    (LEN($G56:$T56) &gt; 0)
)+IFERROR(VLOOKUP($A56,$A$87:$X$1000,MATCH(AB$25,$A$87:$J$87,0), FALSE), 0) *
    (LEN($A56) &gt; 0)</f>
        <v>1</v>
      </c>
      <c r="AC56" cm="1">
        <f t="array" ref="AC56">1+SUMPRODUCT(
    IFERROR(VLOOKUP($G56:$T56, $B$87:$X$1000,MATCH(AC$25,$B$87:$X$87,0), FALSE), 0) *
    (LEN($G56:$T56) &gt; 0)
)</f>
        <v>1</v>
      </c>
      <c r="AD56" cm="1">
        <f t="array" ref="AD56">SUMPRODUCT(
    IFERROR(VLOOKUP($G56:$T56, $B$87:$X$1000,MATCH(AD$25,$B$87:$X$87,0), FALSE), 0) *
    (LEN($G56:$T56) &gt; 0)
)+IFERROR(VLOOKUP($A56,$A$88:$X$1000,MATCH(AD$25,$A$87:$X$87,0), FALSE), 0) *
    (LEN($A56) &gt; 0)</f>
        <v>0</v>
      </c>
      <c r="AE56" cm="1">
        <f t="array" ref="AE56">SUMPRODUCT(
    IFERROR(VLOOKUP($G56:$T56, $B$87:$X$1000,MATCH(AE$25,$B$87:$X$87,0), FALSE), 0) *
    (LEN($G56:$T56) &gt; 0)
)+IFERROR(VLOOKUP($A56,$A$88:$X$1000,MATCH(AE$25,$A$87:$X$87,0), FALSE), 0) *
    (LEN($A56) &gt; 0)</f>
        <v>0</v>
      </c>
      <c r="AF56" cm="1">
        <f t="array" ref="AF56">SUMPRODUCT(
    IFERROR(VLOOKUP($G56:$T56, $B$87:$X$1000,MATCH(AF$25,$B$87:$X$87,0), FALSE), 0) *
    (LEN($G56:$T56) &gt; 0)
)+IFERROR(VLOOKUP($A56,$A$88:$X$1000,MATCH(AF$25,$A$87:$X$87,0), FALSE), 0) *
    (LEN($A56) &gt; 0)</f>
        <v>0</v>
      </c>
      <c r="AG56" cm="1">
        <f t="array" ref="AG56">SUMPRODUCT(
    IFERROR(VLOOKUP($G56:$T56, $B$87:$X$1000,MATCH(AG$25,$B$87:$X$87,0), FALSE), 0) *
    (LEN($G56:$T56) &gt; 0)
)+IFERROR(VLOOKUP($A56,$A$88:$X$1000,MATCH(AG$25,$A$87:$X$87,0), FALSE), 0) *
    (LEN($A56) &gt; 0)</f>
        <v>0</v>
      </c>
      <c r="AH56" cm="1">
        <f t="array" ref="AH56">SUMPRODUCT(
    IFERROR(VLOOKUP($G56:$T56, $B$87:$X$1000,MATCH(AH$25,$B$87:$X$87,0), FALSE), 0) *
    (LEN($G56:$T56) &gt; 0)
)+IFERROR(VLOOKUP($A56,$A$88:$X$1000,MATCH(AH$25,$A$87:$X$87,0), FALSE), 0) *
    (LEN($A56) &gt; 0)</f>
        <v>0</v>
      </c>
      <c r="AI56">
        <f t="shared" si="9"/>
        <v>1</v>
      </c>
      <c r="AJ56" cm="1">
        <f t="array" ref="AJ56">1+SUMPRODUCT(
    IFERROR(VLOOKUP($G56:$T56, $B$87:$X$1000,MATCH(AJ$25,$B$87:$X$87,0), FALSE), 0) *
    (LEN($G56:$T56) &gt; 0)
)</f>
        <v>1</v>
      </c>
      <c r="AK56" cm="1">
        <f t="array" ref="AK56">1+SUMPRODUCT(
    IFERROR(VLOOKUP($G56:$T56, $B$87:$X$1000,MATCH(AK$25,$B$87:$X$87,0), FALSE), 0) *
    (LEN($G56:$T56) &gt; 0)
)</f>
        <v>1</v>
      </c>
      <c r="AL56" cm="1">
        <f t="array" ref="AL56">1+SUMPRODUCT(
    IFERROR(VLOOKUP($G56:$T56, $B$87:$X$1000,MATCH(AL$25,$B$87:$X$87,0), FALSE), 0) *
    (LEN($G56:$T56) &gt; 0)
)</f>
        <v>1</v>
      </c>
      <c r="AM56" cm="1">
        <f t="array" ref="AM56">1+SUMPRODUCT(
    IFERROR(VLOOKUP($G56:$T56, $B$87:$X$1000,MATCH(AM$25,$B$87:$X$87,0), FALSE), 0) *
    (LEN($G56:$T56) &gt; 0)
)</f>
        <v>1</v>
      </c>
      <c r="AN56" cm="1">
        <f t="array" ref="AN56">1+SUMPRODUCT(
    IFERROR(VLOOKUP($G56:$T56, $B$87:$X$1000,MATCH(AN$25,$B$87:$X$87,0), FALSE), 0) *
    (LEN($G56:$T56) &gt; 0)
)</f>
        <v>1</v>
      </c>
      <c r="AO56">
        <f t="shared" si="7"/>
        <v>1</v>
      </c>
      <c r="AQ56">
        <f t="shared" si="8"/>
        <v>0.5</v>
      </c>
    </row>
    <row r="57" spans="2:43" x14ac:dyDescent="0.25">
      <c r="B57">
        <f t="shared" si="1"/>
        <v>0</v>
      </c>
      <c r="C57">
        <f>B57*(1+表2_5[[#This Row],[列24]]*(表2_5[[#This Row],[列25]]-1))</f>
        <v>0</v>
      </c>
      <c r="D57">
        <f t="shared" si="2"/>
        <v>0</v>
      </c>
      <c r="E57" s="36"/>
      <c r="U57">
        <f t="shared" si="3"/>
        <v>0</v>
      </c>
      <c r="V57" cm="1">
        <f t="array" ref="V57" xml:space="preserve"> IFERROR(VLOOKUP($A57,$A$86:$X$1000,MATCH(V$25,$A$87:$J$87,0), FALSE), 0) *
    (LEN($A57) &gt; 0)+SUMPRODUCT(
    IFERROR(VLOOKUP($G57:$T57, $B$87:$X$1000,MATCH(V$25,$B$87:$X$87,0), FALSE), 0) *
    (LEN($G57:$T57) &gt; 0)
)</f>
        <v>0</v>
      </c>
      <c r="W57">
        <f t="shared" si="4"/>
        <v>0</v>
      </c>
      <c r="X57">
        <f t="shared" si="4"/>
        <v>0</v>
      </c>
      <c r="Y57">
        <f t="shared" si="5"/>
        <v>0</v>
      </c>
      <c r="Z57">
        <f t="shared" si="6"/>
        <v>0</v>
      </c>
      <c r="AA57" cm="1">
        <f t="array" ref="AA57" xml:space="preserve"> IFERROR(VLOOKUP($A57,$A$86:$X$1000,MATCH(AA$25,$A$87:$J$87,0), FALSE), 0) *
    (LEN($A57) &gt; 0)+SUMPRODUCT(
    IFERROR(VLOOKUP($G57:$T57, $B$87:$X$1000,MATCH(AA$25,$B$87:$X$87,0), FALSE), 0) *
    (LEN($G57:$T57) &gt; 0)
)</f>
        <v>0</v>
      </c>
      <c r="AB57" cm="1">
        <f t="array" ref="AB57">1+SUMPRODUCT(
    IFERROR(VLOOKUP($G57:$T57, $B$87:$X$1000,MATCH(AB$25,$B$87:$X$87,0), FALSE), 0) *
    (LEN($G57:$T57) &gt; 0)
)+IFERROR(VLOOKUP($A57,$A$87:$X$1000,MATCH(AB$25,$A$87:$J$87,0), FALSE), 0) *
    (LEN($A57) &gt; 0)</f>
        <v>1</v>
      </c>
      <c r="AC57" cm="1">
        <f t="array" ref="AC57">1+SUMPRODUCT(
    IFERROR(VLOOKUP($G57:$T57, $B$87:$X$1000,MATCH(AC$25,$B$87:$X$87,0), FALSE), 0) *
    (LEN($G57:$T57) &gt; 0)
)</f>
        <v>1</v>
      </c>
      <c r="AD57" cm="1">
        <f t="array" ref="AD57">SUMPRODUCT(
    IFERROR(VLOOKUP($G57:$T57, $B$87:$X$1000,MATCH(AD$25,$B$87:$X$87,0), FALSE), 0) *
    (LEN($G57:$T57) &gt; 0)
)+IFERROR(VLOOKUP($A57,$A$88:$X$1000,MATCH(AD$25,$A$87:$X$87,0), FALSE), 0) *
    (LEN($A57) &gt; 0)</f>
        <v>0</v>
      </c>
      <c r="AE57" cm="1">
        <f t="array" ref="AE57">SUMPRODUCT(
    IFERROR(VLOOKUP($G57:$T57, $B$87:$X$1000,MATCH(AE$25,$B$87:$X$87,0), FALSE), 0) *
    (LEN($G57:$T57) &gt; 0)
)+IFERROR(VLOOKUP($A57,$A$88:$X$1000,MATCH(AE$25,$A$87:$X$87,0), FALSE), 0) *
    (LEN($A57) &gt; 0)</f>
        <v>0</v>
      </c>
      <c r="AF57" cm="1">
        <f t="array" ref="AF57">SUMPRODUCT(
    IFERROR(VLOOKUP($G57:$T57, $B$87:$X$1000,MATCH(AF$25,$B$87:$X$87,0), FALSE), 0) *
    (LEN($G57:$T57) &gt; 0)
)+IFERROR(VLOOKUP($A57,$A$88:$X$1000,MATCH(AF$25,$A$87:$X$87,0), FALSE), 0) *
    (LEN($A57) &gt; 0)</f>
        <v>0</v>
      </c>
      <c r="AG57" cm="1">
        <f t="array" ref="AG57">SUMPRODUCT(
    IFERROR(VLOOKUP($G57:$T57, $B$87:$X$1000,MATCH(AG$25,$B$87:$X$87,0), FALSE), 0) *
    (LEN($G57:$T57) &gt; 0)
)+IFERROR(VLOOKUP($A57,$A$88:$X$1000,MATCH(AG$25,$A$87:$X$87,0), FALSE), 0) *
    (LEN($A57) &gt; 0)</f>
        <v>0</v>
      </c>
      <c r="AH57" cm="1">
        <f t="array" ref="AH57">SUMPRODUCT(
    IFERROR(VLOOKUP($G57:$T57, $B$87:$X$1000,MATCH(AH$25,$B$87:$X$87,0), FALSE), 0) *
    (LEN($G57:$T57) &gt; 0)
)+IFERROR(VLOOKUP($A57,$A$88:$X$1000,MATCH(AH$25,$A$87:$X$87,0), FALSE), 0) *
    (LEN($A57) &gt; 0)</f>
        <v>0</v>
      </c>
      <c r="AI57">
        <f t="shared" si="9"/>
        <v>1</v>
      </c>
      <c r="AJ57" cm="1">
        <f t="array" ref="AJ57">1+SUMPRODUCT(
    IFERROR(VLOOKUP($G57:$T57, $B$87:$X$1000,MATCH(AJ$25,$B$87:$X$87,0), FALSE), 0) *
    (LEN($G57:$T57) &gt; 0)
)</f>
        <v>1</v>
      </c>
      <c r="AK57" cm="1">
        <f t="array" ref="AK57">1+SUMPRODUCT(
    IFERROR(VLOOKUP($G57:$T57, $B$87:$X$1000,MATCH(AK$25,$B$87:$X$87,0), FALSE), 0) *
    (LEN($G57:$T57) &gt; 0)
)</f>
        <v>1</v>
      </c>
      <c r="AL57" cm="1">
        <f t="array" ref="AL57">1+SUMPRODUCT(
    IFERROR(VLOOKUP($G57:$T57, $B$87:$X$1000,MATCH(AL$25,$B$87:$X$87,0), FALSE), 0) *
    (LEN($G57:$T57) &gt; 0)
)</f>
        <v>1</v>
      </c>
      <c r="AM57" cm="1">
        <f t="array" ref="AM57">1+SUMPRODUCT(
    IFERROR(VLOOKUP($G57:$T57, $B$87:$X$1000,MATCH(AM$25,$B$87:$X$87,0), FALSE), 0) *
    (LEN($G57:$T57) &gt; 0)
)</f>
        <v>1</v>
      </c>
      <c r="AN57" cm="1">
        <f t="array" ref="AN57">1+SUMPRODUCT(
    IFERROR(VLOOKUP($G57:$T57, $B$87:$X$1000,MATCH(AN$25,$B$87:$X$87,0), FALSE), 0) *
    (LEN($G57:$T57) &gt; 0)
)</f>
        <v>1</v>
      </c>
      <c r="AO57">
        <f t="shared" si="7"/>
        <v>1</v>
      </c>
      <c r="AQ57">
        <f t="shared" si="8"/>
        <v>0.5</v>
      </c>
    </row>
    <row r="61" spans="2:43" x14ac:dyDescent="0.25">
      <c r="C61">
        <f>SUM(C27:C45)</f>
        <v>274792.64568280004</v>
      </c>
    </row>
    <row r="62" spans="2:43" x14ac:dyDescent="0.25">
      <c r="E62" s="36"/>
    </row>
    <row r="86" spans="1:24" s="92" customFormat="1" x14ac:dyDescent="0.25">
      <c r="A86" s="92" t="str">
        <f>主c角色库!C200</f>
        <v>数值栏</v>
      </c>
      <c r="B86" s="92">
        <f>主c角色库!D200</f>
        <v>0</v>
      </c>
      <c r="C86" s="93" t="str">
        <f>主c角色库!E200</f>
        <v>攻击计算器</v>
      </c>
      <c r="D86" s="93">
        <f>主c角色库!F200</f>
        <v>0</v>
      </c>
      <c r="E86" s="93">
        <f>主c角色库!G200</f>
        <v>0</v>
      </c>
      <c r="F86" s="93">
        <f>主c角色库!H200</f>
        <v>0</v>
      </c>
      <c r="G86" s="93">
        <f>主c角色库!I200</f>
        <v>0</v>
      </c>
      <c r="H86" s="94" t="str">
        <f>主c角色库!J200</f>
        <v>面板乘区</v>
      </c>
      <c r="I86" s="94">
        <f>主c角色库!K200</f>
        <v>0</v>
      </c>
      <c r="J86" s="94">
        <f>主c角色库!L200</f>
        <v>0</v>
      </c>
      <c r="K86" s="94">
        <f>主c角色库!M200</f>
        <v>0</v>
      </c>
      <c r="L86" s="95" t="str">
        <f>主c角色库!N200</f>
        <v>伤害加成</v>
      </c>
      <c r="M86" s="95">
        <f>主c角色库!O200</f>
        <v>0</v>
      </c>
      <c r="N86" s="95">
        <f>主c角色库!P200</f>
        <v>0</v>
      </c>
      <c r="O86" s="95">
        <f>主c角色库!Q200</f>
        <v>0</v>
      </c>
      <c r="P86" s="95">
        <f>主c角色库!R200</f>
        <v>0</v>
      </c>
      <c r="Q86" s="95">
        <f>主c角色库!S200</f>
        <v>0</v>
      </c>
      <c r="R86" s="94" t="str">
        <f>主c角色库!T200</f>
        <v>拐</v>
      </c>
      <c r="S86" s="94">
        <f>主c角色库!U200</f>
        <v>0</v>
      </c>
      <c r="T86" s="94">
        <f>主c角色库!V200</f>
        <v>0</v>
      </c>
      <c r="U86" s="94">
        <f>主c角色库!W200</f>
        <v>0</v>
      </c>
      <c r="V86" s="94">
        <f>主c角色库!X200</f>
        <v>0</v>
      </c>
      <c r="W86" s="94">
        <f>主c角色库!Y200</f>
        <v>0</v>
      </c>
      <c r="X86" s="94">
        <f>主c角色库!Z200</f>
        <v>0</v>
      </c>
    </row>
    <row r="87" spans="1:24" x14ac:dyDescent="0.25">
      <c r="A87" t="str">
        <f>主c角色库!C201</f>
        <v>技能名称</v>
      </c>
      <c r="B87" t="str">
        <f>主c角色库!D201</f>
        <v>buff名称</v>
      </c>
      <c r="C87" s="91" t="str">
        <f>主c角色库!E201</f>
        <v>基础攻击力</v>
      </c>
      <c r="D87" s="91" t="str">
        <f>主c角色库!F201</f>
        <v>百分比</v>
      </c>
      <c r="E87" s="91" t="str">
        <f>主c角色库!G201</f>
        <v>固定数值</v>
      </c>
      <c r="F87" s="91" t="str">
        <f>主c角色库!H201</f>
        <v>能力值加成</v>
      </c>
      <c r="G87" s="91" t="str">
        <f>主c角色库!I201</f>
        <v>总攻击力</v>
      </c>
      <c r="H87" s="56" t="str">
        <f>主c角色库!J201</f>
        <v>倍率</v>
      </c>
      <c r="I87" s="56" t="str">
        <f>主c角色库!K201</f>
        <v>暴击率</v>
      </c>
      <c r="J87" s="56" t="str">
        <f>主c角色库!L201</f>
        <v>暴击伤害</v>
      </c>
      <c r="K87" s="56" t="str">
        <f>主c角色库!M201</f>
        <v>源石技艺</v>
      </c>
      <c r="L87" s="56" t="str">
        <f>主c角色库!N201</f>
        <v>基础伤害加成</v>
      </c>
      <c r="M87" s="56" t="str">
        <f>主c角色库!O201</f>
        <v>普攻</v>
      </c>
      <c r="N87" s="56" t="str">
        <f>主c角色库!P201</f>
        <v>战技</v>
      </c>
      <c r="O87" s="56" t="str">
        <f>主c角色库!Q201</f>
        <v>连携</v>
      </c>
      <c r="P87" s="56" t="str">
        <f>主c角色库!R201</f>
        <v>大招</v>
      </c>
      <c r="Q87" s="56" t="str">
        <f>主c角色库!S201</f>
        <v>总伤害加成</v>
      </c>
      <c r="R87" s="56" t="str">
        <f>主c角色库!T201</f>
        <v>脆弱</v>
      </c>
      <c r="S87" s="56" t="str">
        <f>主c角色库!U201</f>
        <v>增幅</v>
      </c>
      <c r="T87" s="56" t="str">
        <f>主c角色库!V201</f>
        <v>易伤</v>
      </c>
      <c r="U87" s="56" t="str">
        <f>主c角色库!W201</f>
        <v>抗性</v>
      </c>
      <c r="V87" s="56" t="str">
        <f>主c角色库!X201</f>
        <v>连击</v>
      </c>
      <c r="W87" s="56" t="str">
        <f>主c角色库!Y201</f>
        <v>失衡易伤</v>
      </c>
      <c r="X87" s="56" t="str">
        <f>主c角色库!Z201</f>
        <v>特殊加成</v>
      </c>
    </row>
    <row r="88" spans="1:24" x14ac:dyDescent="0.25">
      <c r="A88">
        <f>主c角色库!C202</f>
        <v>0</v>
      </c>
      <c r="B88">
        <f>主c角色库!D202</f>
        <v>0</v>
      </c>
      <c r="C88">
        <f>主c角色库!E202</f>
        <v>826</v>
      </c>
      <c r="D88">
        <f>主c角色库!F202</f>
        <v>0</v>
      </c>
      <c r="E88">
        <f>主c角色库!G202</f>
        <v>0</v>
      </c>
      <c r="F88">
        <f>主c角色库!H202</f>
        <v>4.74</v>
      </c>
      <c r="G88">
        <f>主c角色库!I202</f>
        <v>4741.24</v>
      </c>
      <c r="H88">
        <f>主c角色库!J202</f>
        <v>0</v>
      </c>
      <c r="I88">
        <f>主c角色库!K202</f>
        <v>0.05</v>
      </c>
      <c r="J88">
        <f>主c角色库!L202</f>
        <v>0.5</v>
      </c>
      <c r="K88">
        <f>主c角色库!M202</f>
        <v>0</v>
      </c>
      <c r="L88">
        <f>主c角色库!N202</f>
        <v>0</v>
      </c>
      <c r="M88">
        <f>主c角色库!O202</f>
        <v>0</v>
      </c>
      <c r="N88">
        <f>主c角色库!P202</f>
        <v>0</v>
      </c>
      <c r="O88">
        <f>主c角色库!Q202</f>
        <v>0</v>
      </c>
      <c r="P88">
        <f>主c角色库!R202</f>
        <v>0</v>
      </c>
      <c r="Q88">
        <f>主c角色库!S202</f>
        <v>0</v>
      </c>
      <c r="R88">
        <f>主c角色库!T202</f>
        <v>0</v>
      </c>
      <c r="S88">
        <f>主c角色库!U202</f>
        <v>0</v>
      </c>
      <c r="T88">
        <f>主c角色库!V202</f>
        <v>0</v>
      </c>
      <c r="U88">
        <f>主c角色库!W202</f>
        <v>0</v>
      </c>
      <c r="V88">
        <f>主c角色库!X202</f>
        <v>0</v>
      </c>
      <c r="W88">
        <f>主c角色库!Y202</f>
        <v>0</v>
      </c>
      <c r="X88">
        <f>主c角色库!Z202</f>
        <v>0</v>
      </c>
    </row>
    <row r="89" spans="1:24" x14ac:dyDescent="0.25">
      <c r="A89" t="str">
        <f>主c角色库!C203</f>
        <v>伊冯普攻</v>
      </c>
      <c r="B89" t="str">
        <f>主c角色库!D203</f>
        <v>N/a</v>
      </c>
      <c r="C89">
        <f>主c角色库!E203</f>
        <v>826</v>
      </c>
      <c r="D89">
        <f>主c角色库!F203</f>
        <v>0</v>
      </c>
      <c r="E89">
        <f>主c角色库!G203</f>
        <v>0</v>
      </c>
      <c r="F89">
        <f>主c角色库!H203</f>
        <v>4.74</v>
      </c>
      <c r="G89">
        <f>主c角色库!I203</f>
        <v>4741.24</v>
      </c>
      <c r="H89">
        <f>主c角色库!J203</f>
        <v>3.9800000000000004</v>
      </c>
      <c r="I89">
        <f>主c角色库!K203</f>
        <v>0.05</v>
      </c>
      <c r="J89">
        <f>主c角色库!L203</f>
        <v>0.5</v>
      </c>
      <c r="K89">
        <f>主c角色库!M203</f>
        <v>0</v>
      </c>
      <c r="L89">
        <f>主c角色库!N203</f>
        <v>0</v>
      </c>
      <c r="M89">
        <f>主c角色库!O203</f>
        <v>0</v>
      </c>
      <c r="N89">
        <f>主c角色库!P203</f>
        <v>0</v>
      </c>
      <c r="O89">
        <f>主c角色库!Q203</f>
        <v>0</v>
      </c>
      <c r="P89">
        <f>主c角色库!R203</f>
        <v>0</v>
      </c>
      <c r="Q89">
        <f>主c角色库!S203</f>
        <v>0</v>
      </c>
      <c r="R89">
        <f>主c角色库!T203</f>
        <v>0</v>
      </c>
      <c r="S89">
        <f>主c角色库!U203</f>
        <v>0</v>
      </c>
      <c r="T89">
        <f>主c角色库!V203</f>
        <v>0</v>
      </c>
      <c r="U89">
        <f>主c角色库!W203</f>
        <v>0</v>
      </c>
      <c r="V89">
        <f>主c角色库!X203</f>
        <v>0</v>
      </c>
      <c r="W89">
        <f>主c角色库!Y203</f>
        <v>0</v>
      </c>
      <c r="X89">
        <f>主c角色库!Z203</f>
        <v>0</v>
      </c>
    </row>
    <row r="90" spans="1:24" x14ac:dyDescent="0.25">
      <c r="A90" t="str">
        <f>主c角色库!C204</f>
        <v>伊冯前段普攻</v>
      </c>
      <c r="B90" t="str">
        <f>主c角色库!D204</f>
        <v>N/a</v>
      </c>
      <c r="C90">
        <f>主c角色库!E204</f>
        <v>826</v>
      </c>
      <c r="D90">
        <f>主c角色库!F204</f>
        <v>0</v>
      </c>
      <c r="E90">
        <f>主c角色库!G204</f>
        <v>0</v>
      </c>
      <c r="F90">
        <f>主c角色库!H204</f>
        <v>4.74</v>
      </c>
      <c r="G90">
        <f>主c角色库!I204</f>
        <v>4741.24</v>
      </c>
      <c r="H90">
        <f>主c角色库!J204</f>
        <v>2.72</v>
      </c>
      <c r="I90">
        <f>主c角色库!K204</f>
        <v>0.05</v>
      </c>
      <c r="J90">
        <f>主c角色库!L204</f>
        <v>0.5</v>
      </c>
      <c r="K90">
        <f>主c角色库!M204</f>
        <v>0</v>
      </c>
      <c r="L90">
        <f>主c角色库!N204</f>
        <v>0</v>
      </c>
      <c r="M90">
        <f>主c角色库!O204</f>
        <v>0</v>
      </c>
      <c r="N90">
        <f>主c角色库!P204</f>
        <v>0</v>
      </c>
      <c r="O90">
        <f>主c角色库!Q204</f>
        <v>0</v>
      </c>
      <c r="P90">
        <f>主c角色库!R204</f>
        <v>0</v>
      </c>
      <c r="Q90">
        <f>主c角色库!S204</f>
        <v>0</v>
      </c>
      <c r="R90">
        <f>主c角色库!T204</f>
        <v>0</v>
      </c>
      <c r="S90">
        <f>主c角色库!U204</f>
        <v>0</v>
      </c>
      <c r="T90">
        <f>主c角色库!V204</f>
        <v>0</v>
      </c>
      <c r="U90">
        <f>主c角色库!W204</f>
        <v>0</v>
      </c>
      <c r="V90">
        <f>主c角色库!X204</f>
        <v>0</v>
      </c>
      <c r="W90">
        <f>主c角色库!Y204</f>
        <v>0</v>
      </c>
      <c r="X90">
        <f>主c角色库!Z204</f>
        <v>0</v>
      </c>
    </row>
    <row r="91" spans="1:24" x14ac:dyDescent="0.25">
      <c r="A91" t="str">
        <f>主c角色库!C205</f>
        <v>伊冯重击普攻</v>
      </c>
      <c r="B91" t="str">
        <f>主c角色库!D205</f>
        <v>N/a</v>
      </c>
      <c r="C91">
        <f>主c角色库!E205</f>
        <v>826</v>
      </c>
      <c r="D91">
        <f>主c角色库!F205</f>
        <v>0</v>
      </c>
      <c r="E91">
        <f>主c角色库!G205</f>
        <v>0</v>
      </c>
      <c r="F91">
        <f>主c角色库!H205</f>
        <v>4.74</v>
      </c>
      <c r="G91">
        <f>主c角色库!I205</f>
        <v>4741.24</v>
      </c>
      <c r="H91">
        <f>主c角色库!J205</f>
        <v>1.26</v>
      </c>
      <c r="I91">
        <f>主c角色库!K205</f>
        <v>0.05</v>
      </c>
      <c r="J91">
        <f>主c角色库!L205</f>
        <v>0.5</v>
      </c>
      <c r="K91">
        <f>主c角色库!M205</f>
        <v>0</v>
      </c>
      <c r="L91">
        <f>主c角色库!N205</f>
        <v>0</v>
      </c>
      <c r="M91">
        <f>主c角色库!O205</f>
        <v>0</v>
      </c>
      <c r="N91">
        <f>主c角色库!P205</f>
        <v>0</v>
      </c>
      <c r="O91">
        <f>主c角色库!Q205</f>
        <v>0</v>
      </c>
      <c r="P91">
        <f>主c角色库!R205</f>
        <v>0</v>
      </c>
      <c r="Q91">
        <f>主c角色库!S205</f>
        <v>0</v>
      </c>
      <c r="R91">
        <f>主c角色库!T205</f>
        <v>0</v>
      </c>
      <c r="S91">
        <f>主c角色库!U205</f>
        <v>0</v>
      </c>
      <c r="T91">
        <f>主c角色库!V205</f>
        <v>0</v>
      </c>
      <c r="U91">
        <f>主c角色库!W205</f>
        <v>0</v>
      </c>
      <c r="V91">
        <f>主c角色库!X205</f>
        <v>0</v>
      </c>
      <c r="W91">
        <f>主c角色库!Y205</f>
        <v>0</v>
      </c>
      <c r="X91">
        <f>主c角色库!Z205</f>
        <v>0</v>
      </c>
    </row>
    <row r="92" spans="1:24" x14ac:dyDescent="0.25">
      <c r="A92" t="str">
        <f>主c角色库!C206</f>
        <v>伊冯处决普攻</v>
      </c>
      <c r="B92" t="str">
        <f>主c角色库!D206</f>
        <v>N/a</v>
      </c>
      <c r="C92">
        <f>主c角色库!E206</f>
        <v>826</v>
      </c>
      <c r="D92">
        <f>主c角色库!F206</f>
        <v>0</v>
      </c>
      <c r="E92">
        <f>主c角色库!G206</f>
        <v>0</v>
      </c>
      <c r="F92">
        <f>主c角色库!H206</f>
        <v>4.74</v>
      </c>
      <c r="G92">
        <f>主c角色库!I206</f>
        <v>4741.24</v>
      </c>
      <c r="H92">
        <f>主c角色库!J206</f>
        <v>9</v>
      </c>
      <c r="I92">
        <f>主c角色库!K206</f>
        <v>0.05</v>
      </c>
      <c r="J92">
        <f>主c角色库!L206</f>
        <v>0.5</v>
      </c>
      <c r="K92">
        <f>主c角色库!M206</f>
        <v>0</v>
      </c>
      <c r="L92">
        <f>主c角色库!N206</f>
        <v>0</v>
      </c>
      <c r="M92">
        <f>主c角色库!O206</f>
        <v>0</v>
      </c>
      <c r="N92">
        <f>主c角色库!P206</f>
        <v>0</v>
      </c>
      <c r="O92">
        <f>主c角色库!Q206</f>
        <v>0</v>
      </c>
      <c r="P92">
        <f>主c角色库!R206</f>
        <v>0</v>
      </c>
      <c r="Q92">
        <f>主c角色库!S206</f>
        <v>0</v>
      </c>
      <c r="R92">
        <f>主c角色库!T206</f>
        <v>0</v>
      </c>
      <c r="S92">
        <f>主c角色库!U206</f>
        <v>0</v>
      </c>
      <c r="T92">
        <f>主c角色库!V206</f>
        <v>0</v>
      </c>
      <c r="U92">
        <f>主c角色库!W206</f>
        <v>0</v>
      </c>
      <c r="V92">
        <f>主c角色库!X206</f>
        <v>0</v>
      </c>
      <c r="W92">
        <f>主c角色库!Y206</f>
        <v>0</v>
      </c>
      <c r="X92">
        <f>主c角色库!Z206</f>
        <v>0</v>
      </c>
    </row>
    <row r="93" spans="1:24" x14ac:dyDescent="0.25">
      <c r="A93" t="str">
        <f>主c角色库!C207</f>
        <v>伊冯下落普攻</v>
      </c>
      <c r="B93" t="str">
        <f>主c角色库!D207</f>
        <v>N/a</v>
      </c>
      <c r="C93">
        <f>主c角色库!E207</f>
        <v>826</v>
      </c>
      <c r="D93">
        <f>主c角色库!F207</f>
        <v>0</v>
      </c>
      <c r="E93">
        <f>主c角色库!G207</f>
        <v>0</v>
      </c>
      <c r="F93">
        <f>主c角色库!H207</f>
        <v>4.74</v>
      </c>
      <c r="G93">
        <f>主c角色库!I207</f>
        <v>4741.24</v>
      </c>
      <c r="H93">
        <f>主c角色库!J207</f>
        <v>1.8</v>
      </c>
      <c r="I93">
        <f>主c角色库!K207</f>
        <v>0.05</v>
      </c>
      <c r="J93">
        <f>主c角色库!L207</f>
        <v>0.5</v>
      </c>
      <c r="K93">
        <f>主c角色库!M207</f>
        <v>0</v>
      </c>
      <c r="L93">
        <f>主c角色库!N207</f>
        <v>0</v>
      </c>
      <c r="M93">
        <f>主c角色库!O207</f>
        <v>0</v>
      </c>
      <c r="N93">
        <f>主c角色库!P207</f>
        <v>0</v>
      </c>
      <c r="O93">
        <f>主c角色库!Q207</f>
        <v>0</v>
      </c>
      <c r="P93">
        <f>主c角色库!R207</f>
        <v>0</v>
      </c>
      <c r="Q93">
        <f>主c角色库!S207</f>
        <v>0</v>
      </c>
      <c r="R93">
        <f>主c角色库!T207</f>
        <v>0</v>
      </c>
      <c r="S93">
        <f>主c角色库!U207</f>
        <v>0</v>
      </c>
      <c r="T93">
        <f>主c角色库!V207</f>
        <v>0</v>
      </c>
      <c r="U93">
        <f>主c角色库!W207</f>
        <v>0</v>
      </c>
      <c r="V93">
        <f>主c角色库!X207</f>
        <v>0</v>
      </c>
      <c r="W93">
        <f>主c角色库!Y207</f>
        <v>0</v>
      </c>
      <c r="X93">
        <f>主c角色库!Z207</f>
        <v>0</v>
      </c>
    </row>
    <row r="94" spans="1:24" x14ac:dyDescent="0.25">
      <c r="A94" t="str">
        <f>主c角色库!C208</f>
        <v>伊冯战技零冰</v>
      </c>
      <c r="B94" t="str">
        <f>主c角色库!D208</f>
        <v>N/a</v>
      </c>
      <c r="C94">
        <f>主c角色库!E208</f>
        <v>826</v>
      </c>
      <c r="D94">
        <f>主c角色库!F208</f>
        <v>0</v>
      </c>
      <c r="E94">
        <f>主c角色库!G208</f>
        <v>0</v>
      </c>
      <c r="F94">
        <f>主c角色库!H208</f>
        <v>4.74</v>
      </c>
      <c r="G94">
        <f>主c角色库!I208</f>
        <v>4741.24</v>
      </c>
      <c r="H94">
        <f>主c角色库!J208</f>
        <v>2.5</v>
      </c>
      <c r="I94">
        <f>主c角色库!K208</f>
        <v>0.05</v>
      </c>
      <c r="J94">
        <f>主c角色库!L208</f>
        <v>0.5</v>
      </c>
      <c r="K94">
        <f>主c角色库!M208</f>
        <v>0</v>
      </c>
      <c r="L94">
        <f>主c角色库!N208</f>
        <v>0</v>
      </c>
      <c r="M94">
        <f>主c角色库!O208</f>
        <v>0</v>
      </c>
      <c r="N94">
        <f>主c角色库!P208</f>
        <v>0</v>
      </c>
      <c r="O94">
        <f>主c角色库!Q208</f>
        <v>0</v>
      </c>
      <c r="P94">
        <f>主c角色库!R208</f>
        <v>0</v>
      </c>
      <c r="Q94">
        <f>主c角色库!S208</f>
        <v>0</v>
      </c>
      <c r="R94">
        <f>主c角色库!T208</f>
        <v>0</v>
      </c>
      <c r="S94">
        <f>主c角色库!U208</f>
        <v>0</v>
      </c>
      <c r="T94">
        <f>主c角色库!V208</f>
        <v>0</v>
      </c>
      <c r="U94">
        <f>主c角色库!W208</f>
        <v>0</v>
      </c>
      <c r="V94">
        <f>主c角色库!X208</f>
        <v>0</v>
      </c>
      <c r="W94">
        <f>主c角色库!Y208</f>
        <v>0</v>
      </c>
      <c r="X94">
        <f>主c角色库!Z208</f>
        <v>0</v>
      </c>
    </row>
    <row r="95" spans="1:24" x14ac:dyDescent="0.25">
      <c r="A95" t="str">
        <f>主c角色库!C209</f>
        <v>伊冯战技一冰</v>
      </c>
      <c r="B95" t="str">
        <f>主c角色库!D209</f>
        <v>N/a</v>
      </c>
      <c r="C95">
        <f>主c角色库!E209</f>
        <v>826</v>
      </c>
      <c r="D95">
        <f>主c角色库!F209</f>
        <v>0</v>
      </c>
      <c r="E95">
        <f>主c角色库!G209</f>
        <v>0</v>
      </c>
      <c r="F95">
        <f>主c角色库!H209</f>
        <v>4.74</v>
      </c>
      <c r="G95">
        <f>主c角色库!I209</f>
        <v>4741.24</v>
      </c>
      <c r="H95">
        <f>主c角色库!J209</f>
        <v>6</v>
      </c>
      <c r="I95">
        <f>主c角色库!K209</f>
        <v>0.05</v>
      </c>
      <c r="J95">
        <f>主c角色库!L209</f>
        <v>0.5</v>
      </c>
      <c r="K95">
        <f>主c角色库!M209</f>
        <v>0</v>
      </c>
      <c r="L95">
        <f>主c角色库!N209</f>
        <v>0</v>
      </c>
      <c r="M95">
        <f>主c角色库!O209</f>
        <v>0</v>
      </c>
      <c r="N95">
        <f>主c角色库!P209</f>
        <v>0</v>
      </c>
      <c r="O95">
        <f>主c角色库!Q209</f>
        <v>0</v>
      </c>
      <c r="P95">
        <f>主c角色库!R209</f>
        <v>0</v>
      </c>
      <c r="Q95">
        <f>主c角色库!S209</f>
        <v>0</v>
      </c>
      <c r="R95">
        <f>主c角色库!T209</f>
        <v>0</v>
      </c>
      <c r="S95">
        <f>主c角色库!U209</f>
        <v>0</v>
      </c>
      <c r="T95">
        <f>主c角色库!V209</f>
        <v>0</v>
      </c>
      <c r="U95">
        <f>主c角色库!W209</f>
        <v>0</v>
      </c>
      <c r="V95">
        <f>主c角色库!X209</f>
        <v>0</v>
      </c>
      <c r="W95">
        <f>主c角色库!Y209</f>
        <v>0</v>
      </c>
      <c r="X95">
        <f>主c角色库!Z209</f>
        <v>0</v>
      </c>
    </row>
    <row r="96" spans="1:24" x14ac:dyDescent="0.25">
      <c r="A96" t="str">
        <f>主c角色库!C210</f>
        <v>伊冯战技二冰</v>
      </c>
      <c r="B96" s="22" t="str">
        <f>主c角色库!D210</f>
        <v>N/a</v>
      </c>
      <c r="C96">
        <f>主c角色库!E210</f>
        <v>826</v>
      </c>
      <c r="D96">
        <f>主c角色库!F210</f>
        <v>0</v>
      </c>
      <c r="E96">
        <f>主c角色库!G210</f>
        <v>0</v>
      </c>
      <c r="F96">
        <f>主c角色库!H210</f>
        <v>4.74</v>
      </c>
      <c r="G96">
        <f>主c角色库!I210</f>
        <v>4741.24</v>
      </c>
      <c r="H96">
        <f>主c角色库!J210</f>
        <v>8</v>
      </c>
      <c r="I96">
        <f>主c角色库!K210</f>
        <v>0.05</v>
      </c>
      <c r="J96">
        <f>主c角色库!L210</f>
        <v>0.5</v>
      </c>
      <c r="K96">
        <f>主c角色库!M210</f>
        <v>0</v>
      </c>
      <c r="L96">
        <f>主c角色库!N210</f>
        <v>0</v>
      </c>
      <c r="M96">
        <f>主c角色库!O210</f>
        <v>0</v>
      </c>
      <c r="N96">
        <f>主c角色库!P210</f>
        <v>0</v>
      </c>
      <c r="O96">
        <f>主c角色库!Q210</f>
        <v>0</v>
      </c>
      <c r="P96">
        <f>主c角色库!R210</f>
        <v>0</v>
      </c>
      <c r="Q96">
        <f>主c角色库!S210</f>
        <v>0</v>
      </c>
      <c r="R96">
        <f>主c角色库!T210</f>
        <v>0</v>
      </c>
      <c r="S96">
        <f>主c角色库!U210</f>
        <v>0</v>
      </c>
      <c r="T96">
        <f>主c角色库!V210</f>
        <v>0</v>
      </c>
      <c r="U96">
        <f>主c角色库!W210</f>
        <v>0</v>
      </c>
      <c r="V96">
        <f>主c角色库!X210</f>
        <v>0</v>
      </c>
      <c r="W96">
        <f>主c角色库!Y210</f>
        <v>0</v>
      </c>
      <c r="X96">
        <f>主c角色库!Z210</f>
        <v>0</v>
      </c>
    </row>
    <row r="97" spans="1:24" x14ac:dyDescent="0.25">
      <c r="A97" s="22" t="str">
        <f>主c角色库!C211</f>
        <v>伊冯战技三冰</v>
      </c>
      <c r="B97" t="str">
        <f>主c角色库!D211</f>
        <v>N/a</v>
      </c>
      <c r="C97">
        <f>主c角色库!E211</f>
        <v>826</v>
      </c>
      <c r="D97">
        <f>主c角色库!F211</f>
        <v>0</v>
      </c>
      <c r="E97">
        <f>主c角色库!G211</f>
        <v>0</v>
      </c>
      <c r="F97">
        <f>主c角色库!H211</f>
        <v>4.74</v>
      </c>
      <c r="G97">
        <f>主c角色库!I211</f>
        <v>4741.24</v>
      </c>
      <c r="H97">
        <f>主c角色库!J211</f>
        <v>10</v>
      </c>
      <c r="I97">
        <f>主c角色库!K211</f>
        <v>0.05</v>
      </c>
      <c r="J97">
        <f>主c角色库!L211</f>
        <v>0.5</v>
      </c>
      <c r="K97">
        <f>主c角色库!M211</f>
        <v>0</v>
      </c>
      <c r="L97">
        <f>主c角色库!N211</f>
        <v>0</v>
      </c>
      <c r="M97">
        <f>主c角色库!O211</f>
        <v>0</v>
      </c>
      <c r="N97">
        <f>主c角色库!P211</f>
        <v>0</v>
      </c>
      <c r="O97">
        <f>主c角色库!Q211</f>
        <v>0</v>
      </c>
      <c r="P97">
        <f>主c角色库!R211</f>
        <v>0</v>
      </c>
      <c r="Q97">
        <f>主c角色库!S211</f>
        <v>0</v>
      </c>
      <c r="R97">
        <f>主c角色库!T211</f>
        <v>0</v>
      </c>
      <c r="S97">
        <f>主c角色库!U211</f>
        <v>0</v>
      </c>
      <c r="T97">
        <f>主c角色库!V211</f>
        <v>0</v>
      </c>
      <c r="U97">
        <f>主c角色库!W211</f>
        <v>0</v>
      </c>
      <c r="V97">
        <f>主c角色库!X211</f>
        <v>0</v>
      </c>
      <c r="W97">
        <f>主c角色库!Y211</f>
        <v>0</v>
      </c>
      <c r="X97">
        <f>主c角色库!Z211</f>
        <v>0</v>
      </c>
    </row>
    <row r="98" spans="1:24" x14ac:dyDescent="0.25">
      <c r="A98" s="22" t="str">
        <f>主c角色库!C212</f>
        <v>伊冯战技四冰</v>
      </c>
      <c r="B98" t="str">
        <f>主c角色库!D212</f>
        <v>N/a</v>
      </c>
      <c r="C98">
        <f>主c角色库!E212</f>
        <v>826</v>
      </c>
      <c r="D98">
        <f>主c角色库!F212</f>
        <v>0</v>
      </c>
      <c r="E98">
        <f>主c角色库!G212</f>
        <v>0</v>
      </c>
      <c r="F98">
        <f>主c角色库!H212</f>
        <v>4.74</v>
      </c>
      <c r="G98">
        <f>主c角色库!I212</f>
        <v>4741.24</v>
      </c>
      <c r="H98">
        <f>主c角色库!J212</f>
        <v>12</v>
      </c>
      <c r="I98">
        <f>主c角色库!K212</f>
        <v>0.05</v>
      </c>
      <c r="J98">
        <f>主c角色库!L212</f>
        <v>0.5</v>
      </c>
      <c r="K98">
        <f>主c角色库!M212</f>
        <v>0</v>
      </c>
      <c r="L98">
        <f>主c角色库!N212</f>
        <v>0</v>
      </c>
      <c r="M98">
        <f>主c角色库!O212</f>
        <v>0</v>
      </c>
      <c r="N98">
        <f>主c角色库!P212</f>
        <v>0</v>
      </c>
      <c r="O98">
        <f>主c角色库!Q212</f>
        <v>0</v>
      </c>
      <c r="P98">
        <f>主c角色库!R212</f>
        <v>0</v>
      </c>
      <c r="Q98">
        <f>主c角色库!S212</f>
        <v>0</v>
      </c>
      <c r="R98">
        <f>主c角色库!T212</f>
        <v>0</v>
      </c>
      <c r="S98">
        <f>主c角色库!U212</f>
        <v>0</v>
      </c>
      <c r="T98">
        <f>主c角色库!V212</f>
        <v>0</v>
      </c>
      <c r="U98">
        <f>主c角色库!W212</f>
        <v>0</v>
      </c>
      <c r="V98">
        <f>主c角色库!X212</f>
        <v>0</v>
      </c>
      <c r="W98">
        <f>主c角色库!Y212</f>
        <v>0</v>
      </c>
      <c r="X98">
        <f>主c角色库!Z212</f>
        <v>0</v>
      </c>
    </row>
    <row r="99" spans="1:24" x14ac:dyDescent="0.25">
      <c r="A99" s="22" t="str">
        <f>主c角色库!C213</f>
        <v>伊冯连携</v>
      </c>
      <c r="B99" t="str">
        <f>主c角色库!D213</f>
        <v>N/a</v>
      </c>
      <c r="C99">
        <f>主c角色库!E213</f>
        <v>826</v>
      </c>
      <c r="D99">
        <f>主c角色库!F213</f>
        <v>0</v>
      </c>
      <c r="E99">
        <f>主c角色库!G213</f>
        <v>0</v>
      </c>
      <c r="F99">
        <f>主c角色库!H213</f>
        <v>4.74</v>
      </c>
      <c r="G99">
        <f>主c角色库!I213</f>
        <v>4741.24</v>
      </c>
      <c r="H99">
        <f>主c角色库!J213</f>
        <v>6.4</v>
      </c>
      <c r="I99">
        <f>主c角色库!K213</f>
        <v>0.05</v>
      </c>
      <c r="J99">
        <f>主c角色库!L213</f>
        <v>0.5</v>
      </c>
      <c r="K99">
        <f>主c角色库!M213</f>
        <v>0</v>
      </c>
      <c r="L99">
        <f>主c角色库!N213</f>
        <v>0</v>
      </c>
      <c r="M99">
        <f>主c角色库!O213</f>
        <v>0</v>
      </c>
      <c r="N99">
        <f>主c角色库!P213</f>
        <v>0</v>
      </c>
      <c r="O99">
        <f>主c角色库!Q213</f>
        <v>0</v>
      </c>
      <c r="P99">
        <f>主c角色库!R213</f>
        <v>0</v>
      </c>
      <c r="Q99">
        <f>主c角色库!S213</f>
        <v>0</v>
      </c>
      <c r="R99">
        <f>主c角色库!T213</f>
        <v>0</v>
      </c>
      <c r="S99">
        <f>主c角色库!U213</f>
        <v>0</v>
      </c>
      <c r="T99">
        <f>主c角色库!V213</f>
        <v>0</v>
      </c>
      <c r="U99">
        <f>主c角色库!W213</f>
        <v>0</v>
      </c>
      <c r="V99">
        <f>主c角色库!X213</f>
        <v>0</v>
      </c>
      <c r="W99">
        <f>主c角色库!Y213</f>
        <v>0</v>
      </c>
      <c r="X99">
        <f>主c角色库!Z213</f>
        <v>0</v>
      </c>
    </row>
    <row r="100" spans="1:24" x14ac:dyDescent="0.25">
      <c r="A100" s="22" t="str">
        <f>主c角色库!C214</f>
        <v>伊冯大招转身前普攻</v>
      </c>
      <c r="B100" t="str">
        <f>主c角色库!D214</f>
        <v>N/a</v>
      </c>
      <c r="C100">
        <f>主c角色库!E214</f>
        <v>826</v>
      </c>
      <c r="D100">
        <f>主c角色库!F214</f>
        <v>0</v>
      </c>
      <c r="E100">
        <f>主c角色库!G214</f>
        <v>0</v>
      </c>
      <c r="F100">
        <f>主c角色库!H214</f>
        <v>4.74</v>
      </c>
      <c r="G100">
        <f>主c角色库!I214</f>
        <v>4741.24</v>
      </c>
      <c r="H100">
        <f>主c角色库!J214</f>
        <v>2.2000000000000002</v>
      </c>
      <c r="I100">
        <f>主c角色库!K214</f>
        <v>0.05</v>
      </c>
      <c r="J100">
        <f>主c角色库!L214</f>
        <v>0.5</v>
      </c>
      <c r="K100">
        <f>主c角色库!M214</f>
        <v>0</v>
      </c>
      <c r="L100">
        <f>主c角色库!N214</f>
        <v>0</v>
      </c>
      <c r="M100">
        <f>主c角色库!O214</f>
        <v>0</v>
      </c>
      <c r="N100">
        <f>主c角色库!P214</f>
        <v>0</v>
      </c>
      <c r="O100">
        <f>主c角色库!Q214</f>
        <v>0</v>
      </c>
      <c r="P100">
        <f>主c角色库!R214</f>
        <v>0</v>
      </c>
      <c r="Q100">
        <f>主c角色库!S214</f>
        <v>0</v>
      </c>
      <c r="R100">
        <f>主c角色库!T214</f>
        <v>0</v>
      </c>
      <c r="S100">
        <f>主c角色库!U214</f>
        <v>0</v>
      </c>
      <c r="T100">
        <f>主c角色库!V214</f>
        <v>0</v>
      </c>
      <c r="U100">
        <f>主c角色库!W214</f>
        <v>0</v>
      </c>
      <c r="V100">
        <f>主c角色库!X214</f>
        <v>0</v>
      </c>
      <c r="W100">
        <f>主c角色库!Y214</f>
        <v>0</v>
      </c>
      <c r="X100">
        <f>主c角色库!Z214</f>
        <v>0</v>
      </c>
    </row>
    <row r="101" spans="1:24" x14ac:dyDescent="0.25">
      <c r="A101" s="22" t="str">
        <f>主c角色库!C215</f>
        <v>伊冯大招转身后普攻</v>
      </c>
      <c r="B101" t="str">
        <f>主c角色库!D215</f>
        <v>N/a</v>
      </c>
      <c r="C101">
        <f>主c角色库!E215</f>
        <v>826</v>
      </c>
      <c r="D101">
        <f>主c角色库!F215</f>
        <v>0</v>
      </c>
      <c r="E101">
        <f>主c角色库!G215</f>
        <v>0</v>
      </c>
      <c r="F101">
        <f>主c角色库!H215</f>
        <v>4.74</v>
      </c>
      <c r="G101">
        <f>主c角色库!I215</f>
        <v>4741.24</v>
      </c>
      <c r="H101">
        <f>主c角色库!J215</f>
        <v>12.8</v>
      </c>
      <c r="I101">
        <f>主c角色库!K215</f>
        <v>0.05</v>
      </c>
      <c r="J101">
        <f>主c角色库!L215</f>
        <v>0.5</v>
      </c>
      <c r="K101">
        <f>主c角色库!M215</f>
        <v>0</v>
      </c>
      <c r="L101">
        <f>主c角色库!N215</f>
        <v>0</v>
      </c>
      <c r="M101">
        <f>主c角色库!O215</f>
        <v>0</v>
      </c>
      <c r="N101">
        <f>主c角色库!P215</f>
        <v>0</v>
      </c>
      <c r="O101">
        <f>主c角色库!Q215</f>
        <v>0</v>
      </c>
      <c r="P101">
        <f>主c角色库!R215</f>
        <v>0</v>
      </c>
      <c r="Q101">
        <f>主c角色库!S215</f>
        <v>0</v>
      </c>
      <c r="R101">
        <f>主c角色库!T215</f>
        <v>0</v>
      </c>
      <c r="S101">
        <f>主c角色库!U215</f>
        <v>0</v>
      </c>
      <c r="T101">
        <f>主c角色库!V215</f>
        <v>0</v>
      </c>
      <c r="U101">
        <f>主c角色库!W215</f>
        <v>0</v>
      </c>
      <c r="V101">
        <f>主c角色库!X215</f>
        <v>0</v>
      </c>
      <c r="W101">
        <f>主c角色库!Y215</f>
        <v>0</v>
      </c>
      <c r="X101">
        <f>主c角色库!Z215</f>
        <v>0</v>
      </c>
    </row>
    <row r="102" spans="1:24" x14ac:dyDescent="0.25">
      <c r="A102" s="22" t="str">
        <f>主c角色库!C216</f>
        <v>伊冯大招强化击普攻</v>
      </c>
      <c r="B102" t="str">
        <f>主c角色库!D216</f>
        <v>N/a</v>
      </c>
      <c r="C102">
        <f>主c角色库!E216</f>
        <v>826</v>
      </c>
      <c r="D102">
        <f>主c角色库!F216</f>
        <v>0</v>
      </c>
      <c r="E102">
        <f>主c角色库!G216</f>
        <v>0</v>
      </c>
      <c r="F102">
        <f>主c角色库!H216</f>
        <v>4.74</v>
      </c>
      <c r="G102">
        <f>主c角色库!I216</f>
        <v>4741.24</v>
      </c>
      <c r="H102">
        <f>主c角色库!J216</f>
        <v>3</v>
      </c>
      <c r="I102">
        <f>主c角色库!K216</f>
        <v>0.05</v>
      </c>
      <c r="J102">
        <f>主c角色库!L216</f>
        <v>0.5</v>
      </c>
      <c r="K102">
        <f>主c角色库!M216</f>
        <v>0</v>
      </c>
      <c r="L102">
        <f>主c角色库!N216</f>
        <v>0</v>
      </c>
      <c r="M102">
        <f>主c角色库!O216</f>
        <v>0</v>
      </c>
      <c r="N102">
        <f>主c角色库!P216</f>
        <v>0</v>
      </c>
      <c r="O102">
        <f>主c角色库!Q216</f>
        <v>0</v>
      </c>
      <c r="P102">
        <f>主c角色库!R216</f>
        <v>0</v>
      </c>
      <c r="Q102">
        <f>主c角色库!S216</f>
        <v>0</v>
      </c>
      <c r="R102">
        <f>主c角色库!T216</f>
        <v>0</v>
      </c>
      <c r="S102">
        <f>主c角色库!U216</f>
        <v>0</v>
      </c>
      <c r="T102">
        <f>主c角色库!V216</f>
        <v>0</v>
      </c>
      <c r="U102">
        <f>主c角色库!W216</f>
        <v>0</v>
      </c>
      <c r="V102">
        <f>主c角色库!X216</f>
        <v>0</v>
      </c>
      <c r="W102">
        <f>主c角色库!Y216</f>
        <v>0</v>
      </c>
      <c r="X102">
        <f>主c角色库!Z216</f>
        <v>0</v>
      </c>
    </row>
    <row r="103" spans="1:24" x14ac:dyDescent="0.25">
      <c r="A103" s="22" t="str">
        <f>主c角色库!C217</f>
        <v>伊冯大招强化击爆冰冻普攻</v>
      </c>
      <c r="B103" t="str">
        <f>主c角色库!D217</f>
        <v>N/a</v>
      </c>
      <c r="C103">
        <f>主c角色库!E217</f>
        <v>826</v>
      </c>
      <c r="D103">
        <f>主c角色库!F217</f>
        <v>0</v>
      </c>
      <c r="E103">
        <f>主c角色库!G217</f>
        <v>0</v>
      </c>
      <c r="F103">
        <f>主c角色库!H217</f>
        <v>4.74</v>
      </c>
      <c r="G103">
        <f>主c角色库!I217</f>
        <v>4741.24</v>
      </c>
      <c r="H103">
        <f>主c角色库!J217</f>
        <v>6</v>
      </c>
      <c r="I103">
        <f>主c角色库!K217</f>
        <v>0.05</v>
      </c>
      <c r="J103">
        <f>主c角色库!L217</f>
        <v>0.5</v>
      </c>
      <c r="K103">
        <f>主c角色库!M217</f>
        <v>0</v>
      </c>
      <c r="L103">
        <f>主c角色库!N217</f>
        <v>0</v>
      </c>
      <c r="M103">
        <f>主c角色库!O217</f>
        <v>0</v>
      </c>
      <c r="N103">
        <f>主c角色库!P217</f>
        <v>0</v>
      </c>
      <c r="O103">
        <f>主c角色库!Q217</f>
        <v>0</v>
      </c>
      <c r="P103">
        <f>主c角色库!R217</f>
        <v>0</v>
      </c>
      <c r="Q103">
        <f>主c角色库!S217</f>
        <v>0</v>
      </c>
      <c r="R103">
        <f>主c角色库!T217</f>
        <v>0</v>
      </c>
      <c r="S103">
        <f>主c角色库!U217</f>
        <v>0</v>
      </c>
      <c r="T103">
        <f>主c角色库!V217</f>
        <v>0</v>
      </c>
      <c r="U103">
        <f>主c角色库!W217</f>
        <v>0</v>
      </c>
      <c r="V103">
        <f>主c角色库!X217</f>
        <v>0</v>
      </c>
      <c r="W103">
        <f>主c角色库!Y217</f>
        <v>0</v>
      </c>
      <c r="X103">
        <f>主c角色库!Z217</f>
        <v>0</v>
      </c>
    </row>
    <row r="104" spans="1:24" x14ac:dyDescent="0.25">
      <c r="A104" s="22" t="str">
        <f>主c角色库!C218</f>
        <v>伊冯战技上冰冻后重击</v>
      </c>
      <c r="B104" t="str">
        <f>主c角色库!D218</f>
        <v>N/a</v>
      </c>
      <c r="C104">
        <f>主c角色库!E218</f>
        <v>826</v>
      </c>
      <c r="D104">
        <f>主c角色库!F218</f>
        <v>0</v>
      </c>
      <c r="E104">
        <f>主c角色库!G218</f>
        <v>0</v>
      </c>
      <c r="F104">
        <f>主c角色库!H218</f>
        <v>4.74</v>
      </c>
      <c r="G104">
        <f>主c角色库!I218</f>
        <v>4741.24</v>
      </c>
      <c r="H104">
        <f>主c角色库!J218</f>
        <v>1.26</v>
      </c>
      <c r="I104">
        <f>主c角色库!K218</f>
        <v>0.05</v>
      </c>
      <c r="J104">
        <f>主c角色库!L218</f>
        <v>0.5</v>
      </c>
      <c r="K104">
        <f>主c角色库!M218</f>
        <v>0</v>
      </c>
      <c r="L104">
        <f>主c角色库!N218</f>
        <v>0.5</v>
      </c>
      <c r="M104">
        <f>主c角色库!O218</f>
        <v>0</v>
      </c>
      <c r="N104">
        <f>主c角色库!P218</f>
        <v>0</v>
      </c>
      <c r="O104">
        <f>主c角色库!Q218</f>
        <v>0</v>
      </c>
      <c r="P104">
        <f>主c角色库!R218</f>
        <v>0</v>
      </c>
      <c r="Q104">
        <f>主c角色库!S218</f>
        <v>0</v>
      </c>
      <c r="R104">
        <f>主c角色库!T218</f>
        <v>0</v>
      </c>
      <c r="S104">
        <f>主c角色库!U218</f>
        <v>0</v>
      </c>
      <c r="T104">
        <f>主c角色库!V218</f>
        <v>0</v>
      </c>
      <c r="U104">
        <f>主c角色库!W218</f>
        <v>0</v>
      </c>
      <c r="V104">
        <f>主c角色库!X218</f>
        <v>0</v>
      </c>
      <c r="W104">
        <f>主c角色库!Y218</f>
        <v>0</v>
      </c>
      <c r="X104">
        <f>主c角色库!Z218</f>
        <v>0</v>
      </c>
    </row>
    <row r="105" spans="1:24" x14ac:dyDescent="0.25">
      <c r="A105" s="22">
        <f>主c角色库!C219</f>
        <v>0</v>
      </c>
      <c r="B105">
        <f>主c角色库!D219</f>
        <v>0</v>
      </c>
      <c r="C105">
        <f>主c角色库!E219</f>
        <v>0</v>
      </c>
      <c r="D105">
        <f>主c角色库!F219</f>
        <v>0</v>
      </c>
      <c r="E105">
        <f>主c角色库!G219</f>
        <v>0</v>
      </c>
      <c r="F105">
        <f>主c角色库!H219</f>
        <v>0</v>
      </c>
      <c r="G105">
        <f>主c角色库!I219</f>
        <v>0</v>
      </c>
      <c r="H105">
        <f>主c角色库!J219</f>
        <v>0</v>
      </c>
      <c r="I105">
        <f>主c角色库!K219</f>
        <v>0</v>
      </c>
      <c r="J105">
        <f>主c角色库!L219</f>
        <v>0</v>
      </c>
      <c r="K105">
        <f>主c角色库!M219</f>
        <v>0</v>
      </c>
      <c r="L105">
        <f>主c角色库!N219</f>
        <v>0</v>
      </c>
      <c r="M105">
        <f>主c角色库!O219</f>
        <v>0</v>
      </c>
      <c r="N105">
        <f>主c角色库!P219</f>
        <v>0</v>
      </c>
      <c r="O105">
        <f>主c角色库!Q219</f>
        <v>0</v>
      </c>
      <c r="P105">
        <f>主c角色库!R219</f>
        <v>0</v>
      </c>
      <c r="Q105">
        <f>主c角色库!S219</f>
        <v>0</v>
      </c>
      <c r="R105">
        <f>主c角色库!T219</f>
        <v>0</v>
      </c>
      <c r="S105">
        <f>主c角色库!U219</f>
        <v>0</v>
      </c>
      <c r="T105">
        <f>主c角色库!V219</f>
        <v>0</v>
      </c>
      <c r="U105">
        <f>主c角色库!W219</f>
        <v>0</v>
      </c>
      <c r="V105">
        <f>主c角色库!X219</f>
        <v>0</v>
      </c>
      <c r="W105">
        <f>主c角色库!Y219</f>
        <v>0</v>
      </c>
      <c r="X105">
        <f>主c角色库!Z219</f>
        <v>0</v>
      </c>
    </row>
    <row r="106" spans="1:24" x14ac:dyDescent="0.25">
      <c r="A106" s="22" t="str">
        <f>主c角色库!C220</f>
        <v>N/a</v>
      </c>
      <c r="B106" t="str">
        <f>主c角色库!D220</f>
        <v>伊冯大招叠满十次暴击</v>
      </c>
      <c r="C106">
        <f>主c角色库!E220</f>
        <v>0</v>
      </c>
      <c r="D106">
        <f>主c角色库!F220</f>
        <v>0</v>
      </c>
      <c r="E106">
        <f>主c角色库!G220</f>
        <v>0</v>
      </c>
      <c r="F106">
        <f>主c角色库!H220</f>
        <v>0</v>
      </c>
      <c r="G106">
        <f>主c角色库!I220</f>
        <v>0</v>
      </c>
      <c r="H106">
        <f>主c角色库!J220</f>
        <v>0</v>
      </c>
      <c r="I106">
        <f>主c角色库!K220</f>
        <v>0.3</v>
      </c>
      <c r="J106">
        <f>主c角色库!L220</f>
        <v>0.6</v>
      </c>
      <c r="K106">
        <f>主c角色库!M220</f>
        <v>0</v>
      </c>
      <c r="L106">
        <f>主c角色库!N220</f>
        <v>0</v>
      </c>
      <c r="M106">
        <f>主c角色库!O220</f>
        <v>0</v>
      </c>
      <c r="N106">
        <f>主c角色库!P220</f>
        <v>0</v>
      </c>
      <c r="O106">
        <f>主c角色库!Q220</f>
        <v>0</v>
      </c>
      <c r="P106">
        <f>主c角色库!R220</f>
        <v>0</v>
      </c>
      <c r="Q106">
        <f>主c角色库!S220</f>
        <v>0</v>
      </c>
      <c r="R106">
        <f>主c角色库!T220</f>
        <v>0</v>
      </c>
      <c r="S106">
        <f>主c角色库!U220</f>
        <v>0</v>
      </c>
      <c r="T106">
        <f>主c角色库!V220</f>
        <v>0</v>
      </c>
      <c r="U106">
        <f>主c角色库!W220</f>
        <v>0</v>
      </c>
      <c r="V106">
        <f>主c角色库!X220</f>
        <v>0</v>
      </c>
      <c r="W106">
        <f>主c角色库!Y220</f>
        <v>0</v>
      </c>
      <c r="X106">
        <f>主c角色库!Z220</f>
        <v>0</v>
      </c>
    </row>
    <row r="107" spans="1:24" x14ac:dyDescent="0.25">
      <c r="A107" s="22" t="str">
        <f>主c角色库!C221</f>
        <v>N/a</v>
      </c>
      <c r="B107" t="str">
        <f>主c角色库!D221</f>
        <v>伊冯对寒冷敌人爆伤</v>
      </c>
      <c r="C107">
        <f>主c角色库!E221</f>
        <v>0</v>
      </c>
      <c r="D107">
        <f>主c角色库!F221</f>
        <v>0</v>
      </c>
      <c r="E107">
        <f>主c角色库!G221</f>
        <v>0</v>
      </c>
      <c r="F107">
        <f>主c角色库!H221</f>
        <v>0</v>
      </c>
      <c r="G107">
        <f>主c角色库!I221</f>
        <v>0</v>
      </c>
      <c r="H107">
        <f>主c角色库!J221</f>
        <v>0</v>
      </c>
      <c r="I107">
        <f>主c角色库!K221</f>
        <v>0</v>
      </c>
      <c r="J107">
        <f>主c角色库!L221</f>
        <v>0.2</v>
      </c>
      <c r="K107">
        <f>主c角色库!M221</f>
        <v>0</v>
      </c>
      <c r="L107">
        <f>主c角色库!N221</f>
        <v>0</v>
      </c>
      <c r="M107">
        <f>主c角色库!O221</f>
        <v>0</v>
      </c>
      <c r="N107">
        <f>主c角色库!P221</f>
        <v>0</v>
      </c>
      <c r="O107">
        <f>主c角色库!Q221</f>
        <v>0</v>
      </c>
      <c r="P107">
        <f>主c角色库!R221</f>
        <v>0</v>
      </c>
      <c r="Q107">
        <f>主c角色库!S221</f>
        <v>0</v>
      </c>
      <c r="R107">
        <f>主c角色库!T221</f>
        <v>0</v>
      </c>
      <c r="S107">
        <f>主c角色库!U221</f>
        <v>0</v>
      </c>
      <c r="T107">
        <f>主c角色库!V221</f>
        <v>0</v>
      </c>
      <c r="U107">
        <f>主c角色库!W221</f>
        <v>0</v>
      </c>
      <c r="V107">
        <f>主c角色库!X221</f>
        <v>0</v>
      </c>
      <c r="W107">
        <f>主c角色库!Y221</f>
        <v>0</v>
      </c>
      <c r="X107">
        <f>主c角色库!Z221</f>
        <v>0</v>
      </c>
    </row>
    <row r="108" spans="1:24" x14ac:dyDescent="0.25">
      <c r="A108" t="str">
        <f>主c角色库!C222</f>
        <v>N/a</v>
      </c>
      <c r="B108" t="str">
        <f>主c角色库!D222</f>
        <v>伊冯对冰冻敌人爆伤</v>
      </c>
      <c r="C108">
        <f>主c角色库!E222</f>
        <v>0</v>
      </c>
      <c r="D108">
        <f>主c角色库!F222</f>
        <v>0</v>
      </c>
      <c r="E108">
        <f>主c角色库!G222</f>
        <v>0</v>
      </c>
      <c r="F108">
        <f>主c角色库!H222</f>
        <v>0</v>
      </c>
      <c r="G108">
        <f>主c角色库!I222</f>
        <v>0</v>
      </c>
      <c r="H108">
        <f>主c角色库!J222</f>
        <v>0</v>
      </c>
      <c r="I108">
        <f>主c角色库!K222</f>
        <v>0</v>
      </c>
      <c r="J108">
        <f>主c角色库!L222</f>
        <v>0.4</v>
      </c>
      <c r="K108">
        <f>主c角色库!M222</f>
        <v>0</v>
      </c>
      <c r="L108">
        <f>主c角色库!N222</f>
        <v>0</v>
      </c>
      <c r="M108">
        <f>主c角色库!O222</f>
        <v>0</v>
      </c>
      <c r="N108">
        <f>主c角色库!P222</f>
        <v>0</v>
      </c>
      <c r="O108">
        <f>主c角色库!Q222</f>
        <v>0</v>
      </c>
      <c r="P108">
        <f>主c角色库!R222</f>
        <v>0</v>
      </c>
      <c r="Q108">
        <f>主c角色库!S222</f>
        <v>0</v>
      </c>
      <c r="R108">
        <f>主c角色库!T222</f>
        <v>0</v>
      </c>
      <c r="S108">
        <f>主c角色库!U222</f>
        <v>0</v>
      </c>
      <c r="T108">
        <f>主c角色库!V222</f>
        <v>0</v>
      </c>
      <c r="U108">
        <f>主c角色库!W222</f>
        <v>0</v>
      </c>
      <c r="V108">
        <f>主c角色库!X222</f>
        <v>0</v>
      </c>
      <c r="W108">
        <f>主c角色库!Y222</f>
        <v>0</v>
      </c>
      <c r="X108">
        <f>主c角色库!Z222</f>
        <v>0</v>
      </c>
    </row>
    <row r="109" spans="1:24" x14ac:dyDescent="0.25">
      <c r="A109" t="str">
        <f>主c角色库!C223</f>
        <v>N/a</v>
      </c>
      <c r="B109" s="22" t="str">
        <f>主c角色库!D223</f>
        <v>伊冯潜能五大招攻击爆伤加</v>
      </c>
      <c r="C109">
        <f>主c角色库!E223</f>
        <v>0</v>
      </c>
      <c r="D109">
        <f>主c角色库!F223</f>
        <v>0</v>
      </c>
      <c r="E109">
        <f>主c角色库!G223</f>
        <v>0</v>
      </c>
      <c r="F109">
        <f>主c角色库!H223</f>
        <v>0</v>
      </c>
      <c r="G109">
        <f>主c角色库!I223</f>
        <v>0</v>
      </c>
      <c r="H109">
        <f>主c角色库!J223</f>
        <v>0</v>
      </c>
      <c r="I109">
        <f>主c角色库!K223</f>
        <v>0</v>
      </c>
      <c r="J109">
        <f>主c角色库!L223</f>
        <v>0</v>
      </c>
      <c r="K109">
        <f>主c角色库!M223</f>
        <v>0</v>
      </c>
      <c r="L109">
        <f>主c角色库!N223</f>
        <v>0</v>
      </c>
      <c r="M109">
        <f>主c角色库!O223</f>
        <v>0</v>
      </c>
      <c r="N109">
        <f>主c角色库!P223</f>
        <v>0</v>
      </c>
      <c r="O109">
        <f>主c角色库!Q223</f>
        <v>0</v>
      </c>
      <c r="P109">
        <f>主c角色库!R223</f>
        <v>0</v>
      </c>
      <c r="Q109">
        <f>主c角色库!S223</f>
        <v>0</v>
      </c>
      <c r="R109">
        <f>主c角色库!T223</f>
        <v>0</v>
      </c>
      <c r="S109">
        <f>主c角色库!U223</f>
        <v>0</v>
      </c>
      <c r="T109">
        <f>主c角色库!V223</f>
        <v>0</v>
      </c>
      <c r="U109">
        <f>主c角色库!W223</f>
        <v>0</v>
      </c>
      <c r="V109">
        <f>主c角色库!X223</f>
        <v>0</v>
      </c>
      <c r="W109">
        <f>主c角色库!Y223</f>
        <v>0</v>
      </c>
      <c r="X109">
        <f>主c角色库!Z223</f>
        <v>0</v>
      </c>
    </row>
    <row r="110" spans="1:24" x14ac:dyDescent="0.25">
      <c r="A110" s="17" t="str">
        <f>主c角色库!C225</f>
        <v>N/a</v>
      </c>
      <c r="B110" s="17" t="str">
        <f>主c角色库!D225</f>
        <v>伊冯专武触发一次</v>
      </c>
      <c r="C110" s="17">
        <f>主c角色库!E225</f>
        <v>0</v>
      </c>
      <c r="D110" s="17">
        <f>主c角色库!F225</f>
        <v>0</v>
      </c>
      <c r="E110" s="17">
        <f>主c角色库!G225</f>
        <v>0</v>
      </c>
      <c r="F110" s="17">
        <f>主c角色库!H225</f>
        <v>0</v>
      </c>
      <c r="G110" s="17">
        <f>主c角色库!I225</f>
        <v>0</v>
      </c>
      <c r="H110" s="17">
        <f>主c角色库!J225</f>
        <v>0</v>
      </c>
      <c r="I110" s="17">
        <f>主c角色库!K225</f>
        <v>0</v>
      </c>
      <c r="J110" s="17">
        <f>主c角色库!L225</f>
        <v>0</v>
      </c>
      <c r="K110" s="17">
        <f>主c角色库!M225</f>
        <v>0</v>
      </c>
      <c r="L110" s="17">
        <f>主c角色库!N225</f>
        <v>0.224</v>
      </c>
      <c r="M110" s="17">
        <f>主c角色库!O225</f>
        <v>0</v>
      </c>
      <c r="N110" s="17">
        <f>主c角色库!P225</f>
        <v>0</v>
      </c>
      <c r="O110" s="17">
        <f>主c角色库!Q225</f>
        <v>0</v>
      </c>
      <c r="P110" s="17">
        <f>主c角色库!R225</f>
        <v>0</v>
      </c>
      <c r="Q110" s="17">
        <f>主c角色库!S224</f>
        <v>0</v>
      </c>
      <c r="R110" s="17">
        <f>主c角色库!T224</f>
        <v>0</v>
      </c>
      <c r="S110" s="17">
        <f>主c角色库!U224</f>
        <v>0</v>
      </c>
      <c r="T110" s="17">
        <f>主c角色库!V224</f>
        <v>0</v>
      </c>
      <c r="U110" s="17">
        <f>主c角色库!W224</f>
        <v>0</v>
      </c>
      <c r="V110" s="17">
        <f>主c角色库!X224</f>
        <v>0</v>
      </c>
      <c r="W110" s="17">
        <f>主c角色库!Y224</f>
        <v>0</v>
      </c>
      <c r="X110" s="17">
        <f>主c角色库!Z224</f>
        <v>0</v>
      </c>
    </row>
    <row r="111" spans="1:24" x14ac:dyDescent="0.25">
      <c r="A111" t="str">
        <f>主c角色库!C226</f>
        <v>N/a</v>
      </c>
      <c r="B111" t="str">
        <f>主c角色库!D226</f>
        <v>伊冯专武触发二次</v>
      </c>
      <c r="C111">
        <f>主c角色库!E226</f>
        <v>0</v>
      </c>
      <c r="D111">
        <f>主c角色库!F226</f>
        <v>0</v>
      </c>
      <c r="E111">
        <f>主c角色库!G226</f>
        <v>0</v>
      </c>
      <c r="F111">
        <f>主c角色库!H226</f>
        <v>0</v>
      </c>
      <c r="G111">
        <f>主c角色库!I226</f>
        <v>0</v>
      </c>
      <c r="H111">
        <f>主c角色库!J226</f>
        <v>0</v>
      </c>
      <c r="I111">
        <f>主c角色库!K226</f>
        <v>0</v>
      </c>
      <c r="J111">
        <f>主c角色库!L226</f>
        <v>0</v>
      </c>
      <c r="K111">
        <f>主c角色库!M226</f>
        <v>0</v>
      </c>
      <c r="L111">
        <f>主c角色库!N226</f>
        <v>0.44800000000000001</v>
      </c>
      <c r="M111">
        <f>主c角色库!O226</f>
        <v>0</v>
      </c>
      <c r="N111">
        <f>主c角色库!P226</f>
        <v>0</v>
      </c>
      <c r="O111">
        <f>主c角色库!Q226</f>
        <v>0</v>
      </c>
      <c r="P111">
        <f>主c角色库!R226</f>
        <v>0</v>
      </c>
      <c r="Q111">
        <f>主c角色库!S225</f>
        <v>0</v>
      </c>
      <c r="R111">
        <f>主c角色库!T225</f>
        <v>0</v>
      </c>
      <c r="S111">
        <f>主c角色库!U225</f>
        <v>0</v>
      </c>
      <c r="T111">
        <f>主c角色库!V225</f>
        <v>0</v>
      </c>
      <c r="U111">
        <f>主c角色库!W225</f>
        <v>0</v>
      </c>
      <c r="V111">
        <f>主c角色库!X225</f>
        <v>0</v>
      </c>
      <c r="W111">
        <f>主c角色库!Y225</f>
        <v>0</v>
      </c>
      <c r="X111">
        <f>主c角色库!Z225</f>
        <v>0</v>
      </c>
    </row>
    <row r="112" spans="1:24" x14ac:dyDescent="0.25">
      <c r="A112" t="str">
        <f>主c角色库!C227</f>
        <v>N/a</v>
      </c>
      <c r="B112" t="str">
        <f>主c角色库!D227</f>
        <v>伊冯专武触发三次</v>
      </c>
      <c r="C112">
        <f>主c角色库!E227</f>
        <v>0</v>
      </c>
      <c r="D112">
        <f>主c角色库!F227</f>
        <v>0</v>
      </c>
      <c r="E112">
        <f>主c角色库!G227</f>
        <v>0</v>
      </c>
      <c r="F112">
        <f>主c角色库!H227</f>
        <v>0</v>
      </c>
      <c r="G112">
        <f>主c角色库!I227</f>
        <v>0</v>
      </c>
      <c r="H112">
        <f>主c角色库!J227</f>
        <v>0</v>
      </c>
      <c r="I112">
        <f>主c角色库!K227</f>
        <v>0</v>
      </c>
      <c r="J112">
        <f>主c角色库!L227</f>
        <v>0</v>
      </c>
      <c r="K112">
        <f>主c角色库!M227</f>
        <v>0</v>
      </c>
      <c r="L112">
        <f>主c角色库!N227</f>
        <v>0.67200000000000004</v>
      </c>
      <c r="M112">
        <f>主c角色库!O227</f>
        <v>0</v>
      </c>
      <c r="N112">
        <f>主c角色库!P227</f>
        <v>0</v>
      </c>
      <c r="O112">
        <f>主c角色库!Q227</f>
        <v>0</v>
      </c>
      <c r="P112">
        <f>主c角色库!R227</f>
        <v>0</v>
      </c>
      <c r="Q112">
        <f>主c角色库!S226</f>
        <v>0</v>
      </c>
      <c r="R112">
        <f>主c角色库!T226</f>
        <v>0</v>
      </c>
      <c r="S112">
        <f>主c角色库!U226</f>
        <v>0</v>
      </c>
      <c r="T112">
        <f>主c角色库!V226</f>
        <v>0</v>
      </c>
      <c r="U112">
        <f>主c角色库!W226</f>
        <v>0</v>
      </c>
      <c r="V112">
        <f>主c角色库!X226</f>
        <v>0</v>
      </c>
      <c r="W112">
        <f>主c角色库!Y226</f>
        <v>0</v>
      </c>
      <c r="X112">
        <f>主c角色库!Z226</f>
        <v>0</v>
      </c>
    </row>
    <row r="113" spans="1:24" x14ac:dyDescent="0.25">
      <c r="A113" t="str">
        <f>主c角色库!C228</f>
        <v>N/a</v>
      </c>
      <c r="B113">
        <f>主c角色库!D228</f>
        <v>0</v>
      </c>
      <c r="C113">
        <f>主c角色库!E228</f>
        <v>0</v>
      </c>
      <c r="D113">
        <f>主c角色库!F228</f>
        <v>0</v>
      </c>
      <c r="E113">
        <f>主c角色库!G228</f>
        <v>0</v>
      </c>
      <c r="F113">
        <f>主c角色库!H228</f>
        <v>0</v>
      </c>
      <c r="G113">
        <f>主c角色库!I228</f>
        <v>0</v>
      </c>
      <c r="H113">
        <f>主c角色库!J228</f>
        <v>0</v>
      </c>
      <c r="I113">
        <f>主c角色库!K228</f>
        <v>0</v>
      </c>
      <c r="J113">
        <f>主c角色库!L228</f>
        <v>0</v>
      </c>
      <c r="K113">
        <f>主c角色库!M228</f>
        <v>0</v>
      </c>
      <c r="L113">
        <f>主c角色库!N228</f>
        <v>0</v>
      </c>
      <c r="M113">
        <f>主c角色库!O228</f>
        <v>0</v>
      </c>
      <c r="N113">
        <f>主c角色库!P228</f>
        <v>0</v>
      </c>
      <c r="O113">
        <f>主c角色库!Q228</f>
        <v>0</v>
      </c>
      <c r="P113">
        <f>主c角色库!R228</f>
        <v>0</v>
      </c>
      <c r="Q113">
        <f>主c角色库!S227</f>
        <v>0</v>
      </c>
      <c r="R113">
        <f>主c角色库!T227</f>
        <v>0</v>
      </c>
      <c r="S113">
        <f>主c角色库!U227</f>
        <v>0</v>
      </c>
      <c r="T113">
        <f>主c角色库!V227</f>
        <v>0</v>
      </c>
      <c r="U113">
        <f>主c角色库!W227</f>
        <v>0</v>
      </c>
      <c r="V113">
        <f>主c角色库!X227</f>
        <v>0</v>
      </c>
      <c r="W113">
        <f>主c角色库!Y227</f>
        <v>0</v>
      </c>
      <c r="X113">
        <f>主c角色库!Z227</f>
        <v>0</v>
      </c>
    </row>
    <row r="114" spans="1:24" x14ac:dyDescent="0.25">
      <c r="A114" t="s">
        <v>805</v>
      </c>
      <c r="B114" t="s">
        <v>1026</v>
      </c>
      <c r="D114">
        <v>0.25</v>
      </c>
      <c r="I114">
        <f>0.05</f>
        <v>0.05</v>
      </c>
    </row>
    <row r="129" spans="2:24" s="17" customFormat="1" x14ac:dyDescent="0.25"/>
    <row r="131" spans="2:24" x14ac:dyDescent="0.25">
      <c r="B131" s="22"/>
    </row>
    <row r="132" spans="2:24" x14ac:dyDescent="0.25">
      <c r="B132" s="22"/>
      <c r="X132" s="29"/>
    </row>
    <row r="133" spans="2:24" x14ac:dyDescent="0.25">
      <c r="B133" s="22"/>
      <c r="X133" s="29"/>
    </row>
    <row r="134" spans="2:24" x14ac:dyDescent="0.25">
      <c r="B134" s="22"/>
      <c r="X134" s="29"/>
    </row>
    <row r="135" spans="2:24" x14ac:dyDescent="0.25">
      <c r="B135" s="22"/>
      <c r="X135" s="29"/>
    </row>
    <row r="136" spans="2:24" s="17" customFormat="1" x14ac:dyDescent="0.25"/>
    <row r="137" spans="2:24" x14ac:dyDescent="0.25">
      <c r="B137" s="22"/>
      <c r="X137" s="29"/>
    </row>
    <row r="138" spans="2:24" x14ac:dyDescent="0.25">
      <c r="B138" s="22"/>
      <c r="X138" s="29"/>
    </row>
  </sheetData>
  <phoneticPr fontId="1" type="noConversion"/>
  <dataValidations disablePrompts="1" count="5">
    <dataValidation type="list" allowBlank="1" showInputMessage="1" showErrorMessage="1" sqref="G27:T57" xr:uid="{11CD7AB7-734E-48C3-91B4-FCCEBDFF2D8F}">
      <formula1>$B$88:$B$154</formula1>
    </dataValidation>
    <dataValidation type="list" allowBlank="1" showInputMessage="1" showErrorMessage="1" sqref="A27:A57" xr:uid="{CD32946D-FEA7-4A14-83DD-8ED7A741BB77}">
      <formula1>$A$88:$A$153</formula1>
    </dataValidation>
    <dataValidation type="list" allowBlank="1" showInputMessage="1" showErrorMessage="1" sqref="F27:F61" xr:uid="{2837C80C-5279-4790-A442-1D4900F61E24}">
      <formula1>"是,否"</formula1>
    </dataValidation>
    <dataValidation type="list" allowBlank="1" showInputMessage="1" showErrorMessage="1" sqref="G58:T81" xr:uid="{0782A799-F543-4C1D-A141-EC9C8B19EF6B}">
      <formula1>$B$87:$B$153</formula1>
    </dataValidation>
    <dataValidation type="list" allowBlank="1" showInputMessage="1" showErrorMessage="1" sqref="A58:A76" xr:uid="{B1023668-9C95-4AE0-B72A-1C95ACF50D13}">
      <formula1>$A$89:$A$122</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60654-C237-4BB4-A730-BBF01384F751}">
  <sheetPr codeName="Sheet4"/>
  <dimension ref="A2:AT167"/>
  <sheetViews>
    <sheetView topLeftCell="M19" workbookViewId="0">
      <selection activeCell="G30" sqref="G30"/>
    </sheetView>
  </sheetViews>
  <sheetFormatPr defaultRowHeight="13.8" x14ac:dyDescent="0.25"/>
  <cols>
    <col min="1" max="1" width="22.5546875" customWidth="1"/>
    <col min="2" max="2" width="23.44140625" customWidth="1"/>
    <col min="3" max="3" width="14.33203125" customWidth="1"/>
    <col min="4" max="4" width="13.77734375" customWidth="1"/>
    <col min="5" max="5" width="12.88671875" customWidth="1"/>
    <col min="6" max="6" width="13.33203125" customWidth="1"/>
    <col min="7" max="7" width="24.21875" customWidth="1"/>
    <col min="8" max="8" width="23.44140625" customWidth="1"/>
    <col min="9" max="9" width="19.33203125" customWidth="1"/>
    <col min="10" max="10" width="23.6640625" customWidth="1"/>
    <col min="11" max="11" width="18.6640625" customWidth="1"/>
    <col min="12" max="12" width="16.33203125" customWidth="1"/>
    <col min="13" max="13" width="15.109375" customWidth="1"/>
    <col min="14" max="14" width="13.33203125" customWidth="1"/>
    <col min="15" max="15" width="20.109375" customWidth="1"/>
    <col min="16" max="16" width="19.77734375" customWidth="1"/>
    <col min="17" max="18" width="8.88671875" customWidth="1"/>
    <col min="19" max="19" width="19.6640625" customWidth="1"/>
    <col min="20" max="20" width="17.6640625" customWidth="1"/>
    <col min="21" max="21" width="14.88671875" customWidth="1"/>
    <col min="25" max="25" width="14.33203125" customWidth="1"/>
    <col min="26" max="26" width="10.88671875" customWidth="1"/>
    <col min="28" max="28" width="9.77734375" customWidth="1"/>
    <col min="29" max="29" width="10.44140625" customWidth="1"/>
    <col min="30" max="30" width="19.5546875" customWidth="1"/>
    <col min="31" max="31" width="19.6640625" customWidth="1"/>
    <col min="32" max="32" width="13.33203125" customWidth="1"/>
    <col min="35" max="35" width="13.88671875" customWidth="1"/>
    <col min="36" max="36" width="14.109375" customWidth="1"/>
    <col min="38" max="38" width="13.33203125" customWidth="1"/>
    <col min="39" max="39" width="8.88671875" customWidth="1"/>
    <col min="40" max="40" width="13.77734375" customWidth="1"/>
    <col min="41" max="41" width="8.88671875" customWidth="1"/>
    <col min="42" max="42" width="17.21875" customWidth="1"/>
    <col min="43" max="43" width="10.88671875" customWidth="1"/>
    <col min="44" max="44" width="19.21875" customWidth="1"/>
    <col min="45" max="45" width="10.6640625" customWidth="1"/>
  </cols>
  <sheetData>
    <row r="2" spans="13:46" x14ac:dyDescent="0.25">
      <c r="AD2" t="s">
        <v>1263</v>
      </c>
      <c r="AJ2" s="11" t="s">
        <v>1271</v>
      </c>
      <c r="AK2" s="9"/>
      <c r="AL2" s="9"/>
    </row>
    <row r="3" spans="13:46" x14ac:dyDescent="0.25">
      <c r="AD3" s="140" t="s">
        <v>1053</v>
      </c>
      <c r="AE3" s="140" t="s">
        <v>1251</v>
      </c>
      <c r="AF3" s="140" t="s">
        <v>797</v>
      </c>
      <c r="AG3" s="140" t="s">
        <v>1045</v>
      </c>
      <c r="AH3" s="140" t="s">
        <v>222</v>
      </c>
      <c r="AI3" s="140" t="s">
        <v>1252</v>
      </c>
      <c r="AJ3" s="140" t="s">
        <v>1253</v>
      </c>
      <c r="AK3" s="142" t="s">
        <v>1254</v>
      </c>
      <c r="AN3" s="140" t="s">
        <v>1053</v>
      </c>
      <c r="AO3" s="140" t="s">
        <v>1251</v>
      </c>
      <c r="AP3" s="140" t="s">
        <v>1262</v>
      </c>
      <c r="AQ3" s="140" t="s">
        <v>222</v>
      </c>
      <c r="AR3" s="140" t="s">
        <v>1252</v>
      </c>
      <c r="AS3" s="140" t="s">
        <v>1253</v>
      </c>
      <c r="AT3" s="140" t="s">
        <v>1254</v>
      </c>
    </row>
    <row r="4" spans="13:46" x14ac:dyDescent="0.25">
      <c r="N4" s="158" t="s">
        <v>1052</v>
      </c>
      <c r="O4" s="158"/>
      <c r="P4" s="158"/>
      <c r="Q4" s="158"/>
      <c r="R4" s="158"/>
      <c r="S4" s="158"/>
      <c r="T4" s="158"/>
      <c r="U4" s="158"/>
      <c r="AD4" s="140" t="s">
        <v>1272</v>
      </c>
      <c r="AE4" s="140">
        <v>0</v>
      </c>
      <c r="AF4" s="140">
        <v>1</v>
      </c>
      <c r="AG4" s="140">
        <v>1</v>
      </c>
      <c r="AH4" s="140">
        <v>1</v>
      </c>
      <c r="AI4" s="140">
        <v>110</v>
      </c>
      <c r="AJ4" s="140">
        <f>SUM(AG$13:AH$13)+SUM(AG5:AH5)*10</f>
        <v>105.5</v>
      </c>
      <c r="AK4" s="142">
        <f>AI4/AJ4-1</f>
        <v>4.2654028436019065E-2</v>
      </c>
      <c r="AN4" s="140" t="s">
        <v>1246</v>
      </c>
      <c r="AO4" s="140"/>
      <c r="AP4" s="140"/>
      <c r="AQ4" s="140"/>
      <c r="AR4" s="140"/>
      <c r="AS4" s="140">
        <f>SUM(AP$13:AQ$13)+SUM(AP5:AQ5)*10</f>
        <v>0</v>
      </c>
      <c r="AT4" s="142" t="e">
        <f>AR4/AS4-1</f>
        <v>#DIV/0!</v>
      </c>
    </row>
    <row r="5" spans="13:46" x14ac:dyDescent="0.25">
      <c r="N5" t="s">
        <v>1053</v>
      </c>
      <c r="O5" t="s">
        <v>1046</v>
      </c>
      <c r="P5" t="s">
        <v>797</v>
      </c>
      <c r="Q5" t="s">
        <v>1045</v>
      </c>
      <c r="R5" t="s">
        <v>222</v>
      </c>
      <c r="S5" t="s">
        <v>1049</v>
      </c>
      <c r="T5" t="s">
        <v>1050</v>
      </c>
      <c r="U5" t="s">
        <v>1051</v>
      </c>
      <c r="AD5" s="140" t="s">
        <v>1247</v>
      </c>
      <c r="AE5" s="143"/>
      <c r="AF5" s="143">
        <v>3</v>
      </c>
      <c r="AG5" s="143">
        <v>3</v>
      </c>
      <c r="AH5" s="143">
        <v>3</v>
      </c>
      <c r="AI5" s="143"/>
      <c r="AJ5" s="143"/>
      <c r="AK5" s="144"/>
      <c r="AN5" s="140" t="s">
        <v>1247</v>
      </c>
      <c r="AO5" s="140"/>
      <c r="AP5" s="140"/>
      <c r="AQ5" s="140"/>
      <c r="AR5" s="140"/>
      <c r="AS5" s="140"/>
      <c r="AT5" s="142"/>
    </row>
    <row r="6" spans="13:46" x14ac:dyDescent="0.25">
      <c r="M6" t="s">
        <v>1039</v>
      </c>
      <c r="N6" t="s">
        <v>1041</v>
      </c>
      <c r="O6">
        <f>0</f>
        <v>0</v>
      </c>
      <c r="S6">
        <v>90</v>
      </c>
      <c r="T6">
        <f>SUM($Q$15:$R$15)+SUM(Q7:R7)*10</f>
        <v>0</v>
      </c>
      <c r="U6" s="36" t="e">
        <f>S6/T6-1</f>
        <v>#DIV/0!</v>
      </c>
      <c r="AD6" s="140" t="s">
        <v>1273</v>
      </c>
      <c r="AE6" s="143"/>
      <c r="AF6" s="143">
        <v>1</v>
      </c>
      <c r="AG6" s="143">
        <v>1</v>
      </c>
      <c r="AH6" s="143">
        <v>1</v>
      </c>
      <c r="AI6" s="143">
        <v>80</v>
      </c>
      <c r="AJ6" s="143">
        <f t="shared" ref="AJ6:AJ10" si="0">SUM(AG$13:AH$13)+SUM(AG7:AH7)*10</f>
        <v>65.5</v>
      </c>
      <c r="AK6" s="144">
        <f t="shared" ref="AK6:AK10" si="1">AI6/AJ6-1</f>
        <v>0.22137404580152675</v>
      </c>
      <c r="AN6" s="140" t="s">
        <v>1248</v>
      </c>
      <c r="AO6" s="140"/>
      <c r="AP6" s="140"/>
      <c r="AQ6" s="140"/>
      <c r="AR6" s="140"/>
      <c r="AS6" s="140">
        <f t="shared" ref="AS6" si="2">SUM(AP$13:AQ$13)+SUM(AP7:AQ7)*10</f>
        <v>0</v>
      </c>
      <c r="AT6" s="142" t="e">
        <f t="shared" ref="AT6" si="3">AR6/AS6-1</f>
        <v>#DIV/0!</v>
      </c>
    </row>
    <row r="7" spans="13:46" x14ac:dyDescent="0.25">
      <c r="M7" t="s">
        <v>1040</v>
      </c>
      <c r="N7" t="s">
        <v>77</v>
      </c>
      <c r="U7" s="36"/>
      <c r="AD7" s="140" t="s">
        <v>1247</v>
      </c>
      <c r="AE7" s="143"/>
      <c r="AF7" s="143">
        <v>1</v>
      </c>
      <c r="AG7" s="143">
        <v>1</v>
      </c>
      <c r="AH7" s="143">
        <v>1</v>
      </c>
      <c r="AI7" s="143"/>
      <c r="AJ7" s="143"/>
      <c r="AK7" s="144"/>
      <c r="AN7" s="140" t="s">
        <v>1247</v>
      </c>
      <c r="AO7" s="140"/>
      <c r="AP7" s="140"/>
      <c r="AQ7" s="140"/>
      <c r="AR7" s="140"/>
      <c r="AS7" s="140"/>
      <c r="AT7" s="142"/>
    </row>
    <row r="8" spans="13:46" x14ac:dyDescent="0.25">
      <c r="N8" t="s">
        <v>1042</v>
      </c>
      <c r="O8">
        <f>0</f>
        <v>0</v>
      </c>
      <c r="T8">
        <f>SUM($Q$15:$R$15)+SUM(Q9:R9)*10</f>
        <v>0</v>
      </c>
      <c r="U8" s="36" t="e">
        <f t="shared" ref="U8:U12" si="4">S8/T8-1</f>
        <v>#DIV/0!</v>
      </c>
      <c r="AD8" s="140" t="s">
        <v>1274</v>
      </c>
      <c r="AE8" s="143"/>
      <c r="AF8" s="143">
        <v>1</v>
      </c>
      <c r="AG8" s="143">
        <v>0</v>
      </c>
      <c r="AH8" s="143">
        <v>1</v>
      </c>
      <c r="AI8" s="143">
        <v>90</v>
      </c>
      <c r="AJ8" s="143">
        <f t="shared" si="0"/>
        <v>65.5</v>
      </c>
      <c r="AK8" s="144">
        <f t="shared" si="1"/>
        <v>0.37404580152671763</v>
      </c>
      <c r="AN8" s="140" t="s">
        <v>1249</v>
      </c>
      <c r="AO8" s="140"/>
      <c r="AP8" s="140"/>
      <c r="AQ8" s="140"/>
      <c r="AR8" s="140"/>
      <c r="AS8" s="140">
        <f t="shared" ref="AS8" si="5">SUM(AP$13:AQ$13)+SUM(AP9:AQ9)*10</f>
        <v>0</v>
      </c>
      <c r="AT8" s="142" t="e">
        <f t="shared" ref="AT8" si="6">AR8/AS8-1</f>
        <v>#DIV/0!</v>
      </c>
    </row>
    <row r="9" spans="13:46" x14ac:dyDescent="0.25">
      <c r="N9" t="s">
        <v>77</v>
      </c>
      <c r="U9" s="36"/>
      <c r="AD9" s="140" t="s">
        <v>1247</v>
      </c>
      <c r="AE9" s="143"/>
      <c r="AF9" s="143">
        <v>1</v>
      </c>
      <c r="AG9" s="143">
        <v>1</v>
      </c>
      <c r="AH9" s="143">
        <v>1</v>
      </c>
      <c r="AI9" s="143"/>
      <c r="AJ9" s="143"/>
      <c r="AK9" s="144"/>
      <c r="AN9" s="140" t="s">
        <v>1247</v>
      </c>
      <c r="AO9" s="140"/>
      <c r="AP9" s="140"/>
      <c r="AQ9" s="140"/>
      <c r="AR9" s="140"/>
      <c r="AS9" s="140"/>
      <c r="AT9" s="142"/>
    </row>
    <row r="10" spans="13:46" x14ac:dyDescent="0.25">
      <c r="N10" t="s">
        <v>1043</v>
      </c>
      <c r="O10">
        <f>0</f>
        <v>0</v>
      </c>
      <c r="T10">
        <f>SUM($Q$15:$R$15)+SUM(Q11:R11)*10</f>
        <v>0</v>
      </c>
      <c r="U10" s="36" t="e">
        <f t="shared" si="4"/>
        <v>#DIV/0!</v>
      </c>
      <c r="AD10" s="140" t="s">
        <v>1275</v>
      </c>
      <c r="AE10" s="140"/>
      <c r="AF10" s="140">
        <v>1</v>
      </c>
      <c r="AG10" s="140">
        <v>1</v>
      </c>
      <c r="AH10" s="140">
        <v>1</v>
      </c>
      <c r="AI10" s="140">
        <v>90</v>
      </c>
      <c r="AJ10" s="140">
        <f t="shared" si="0"/>
        <v>65.5</v>
      </c>
      <c r="AK10" s="142">
        <f t="shared" si="1"/>
        <v>0.37404580152671763</v>
      </c>
      <c r="AN10" s="140" t="s">
        <v>1250</v>
      </c>
      <c r="AO10" s="140"/>
      <c r="AP10" s="140"/>
      <c r="AQ10" s="140"/>
      <c r="AR10" s="140"/>
      <c r="AS10" s="140">
        <f t="shared" ref="AS10" si="7">SUM(AP$13:AQ$13)+SUM(AP11:AQ11)*10</f>
        <v>0</v>
      </c>
      <c r="AT10" s="142" t="e">
        <f t="shared" ref="AT10" si="8">AR10/AS10-1</f>
        <v>#DIV/0!</v>
      </c>
    </row>
    <row r="11" spans="13:46" x14ac:dyDescent="0.25">
      <c r="N11" t="s">
        <v>77</v>
      </c>
      <c r="U11" s="36"/>
      <c r="AD11" s="140" t="s">
        <v>1247</v>
      </c>
      <c r="AE11" s="140"/>
      <c r="AF11" s="140">
        <v>1</v>
      </c>
      <c r="AG11" s="140">
        <v>1</v>
      </c>
      <c r="AH11" s="140">
        <v>1</v>
      </c>
      <c r="AI11" s="140"/>
      <c r="AJ11" s="140"/>
      <c r="AK11" s="142"/>
      <c r="AN11" s="140" t="s">
        <v>1247</v>
      </c>
      <c r="AO11" s="140"/>
      <c r="AP11" s="140"/>
      <c r="AQ11" s="140"/>
      <c r="AR11" s="140"/>
      <c r="AS11" s="140"/>
      <c r="AT11" s="142"/>
    </row>
    <row r="12" spans="13:46" x14ac:dyDescent="0.25">
      <c r="N12" t="s">
        <v>1044</v>
      </c>
      <c r="O12">
        <f>0</f>
        <v>0</v>
      </c>
      <c r="T12">
        <f>SUM($Q$15:$R$15)+SUM(Q13:R13)*10</f>
        <v>0</v>
      </c>
      <c r="U12" s="36" t="e">
        <f t="shared" si="4"/>
        <v>#DIV/0!</v>
      </c>
      <c r="AD12" s="70" t="s">
        <v>1037</v>
      </c>
      <c r="AE12" s="70"/>
      <c r="AF12" s="70">
        <f>SUM(AF4*(100-$AE$4),AF6*(100-$AE$6),AF8*(100-$AE$8),AF10*(100-$AE$10))-200</f>
        <v>200</v>
      </c>
      <c r="AG12" s="70">
        <f t="shared" ref="AG12:AH12" si="9">SUM(AG4*(100-$AE$4),AG6*(100-$AE$6),AG8*(100-$AE$8),AG10*(100-$AE$10))</f>
        <v>300</v>
      </c>
      <c r="AH12" s="70">
        <f t="shared" si="9"/>
        <v>400</v>
      </c>
      <c r="AI12" s="70"/>
      <c r="AJ12" s="70"/>
      <c r="AK12" s="145"/>
      <c r="AN12" s="140" t="s">
        <v>1037</v>
      </c>
      <c r="AO12" s="140"/>
      <c r="AP12" s="140">
        <f t="shared" ref="AP12:AQ12" si="10">SUM(AP4*(100-$AE$4),AP6*(100-$AE$6),AP8*(100-$AE$8),AP10*(100-$AE$10))</f>
        <v>0</v>
      </c>
      <c r="AQ12" s="140">
        <f t="shared" si="10"/>
        <v>0</v>
      </c>
      <c r="AR12" s="140"/>
      <c r="AS12" s="140"/>
      <c r="AT12" s="142"/>
    </row>
    <row r="13" spans="13:46" x14ac:dyDescent="0.25">
      <c r="N13" t="s">
        <v>77</v>
      </c>
      <c r="U13" s="36"/>
      <c r="AD13" s="146" t="s">
        <v>1255</v>
      </c>
      <c r="AE13" s="146"/>
      <c r="AF13" s="146">
        <f>AF12*6.5/100</f>
        <v>13</v>
      </c>
      <c r="AG13" s="146">
        <f t="shared" ref="AG13:AH13" si="11">AG12*6.5/100</f>
        <v>19.5</v>
      </c>
      <c r="AH13" s="146">
        <f t="shared" si="11"/>
        <v>26</v>
      </c>
      <c r="AI13" s="146"/>
      <c r="AJ13" s="146"/>
      <c r="AK13" s="147"/>
      <c r="AN13" s="140" t="s">
        <v>1255</v>
      </c>
      <c r="AO13" s="140"/>
      <c r="AP13" s="140">
        <f t="shared" ref="AP13" si="12">AP12*6.5/100</f>
        <v>0</v>
      </c>
      <c r="AQ13" s="140">
        <f t="shared" ref="AQ13" si="13">AQ12*6.5/100</f>
        <v>0</v>
      </c>
      <c r="AR13" s="140"/>
      <c r="AS13" s="140"/>
      <c r="AT13" s="142"/>
    </row>
    <row r="14" spans="13:46" x14ac:dyDescent="0.25">
      <c r="O14" t="s">
        <v>1047</v>
      </c>
      <c r="P14">
        <f>SUM(P6*(100-$O$6),P8*(100-$O$8),P10*(100-$O$10),P12*(100-$O$12))</f>
        <v>0</v>
      </c>
      <c r="Q14">
        <f>SUM(Q6*(100-$O$6),Q8*(100-$O$8),Q10*(100-$O$10),Q12*(100-$O$12))</f>
        <v>0</v>
      </c>
      <c r="R14">
        <f>SUM(R6*(100-$O$6),R8*(100-$O$8),R10*(100-$O$10),R12*(100-$O$12))</f>
        <v>0</v>
      </c>
      <c r="AD14" s="148" t="s">
        <v>1256</v>
      </c>
      <c r="AE14" s="148"/>
      <c r="AF14" s="148">
        <f>21</f>
        <v>21</v>
      </c>
      <c r="AG14" s="148">
        <f>21</f>
        <v>21</v>
      </c>
      <c r="AH14" s="148">
        <f>21</f>
        <v>21</v>
      </c>
      <c r="AI14" s="148"/>
      <c r="AJ14" s="148"/>
      <c r="AK14" s="149"/>
      <c r="AN14" s="140" t="s">
        <v>1256</v>
      </c>
      <c r="AO14" s="140"/>
      <c r="AP14" s="140">
        <f>25</f>
        <v>25</v>
      </c>
      <c r="AQ14" s="140">
        <f>25</f>
        <v>25</v>
      </c>
      <c r="AR14" s="140"/>
      <c r="AS14" s="140"/>
      <c r="AT14" s="142"/>
    </row>
    <row r="15" spans="13:46" x14ac:dyDescent="0.25">
      <c r="O15" t="s">
        <v>1048</v>
      </c>
      <c r="P15">
        <f>P14*6.5/100</f>
        <v>0</v>
      </c>
      <c r="Q15">
        <f t="shared" ref="Q15:R15" si="14">Q14*6.5/100</f>
        <v>0</v>
      </c>
      <c r="R15">
        <f t="shared" si="14"/>
        <v>0</v>
      </c>
      <c r="AD15" s="148" t="s">
        <v>1259</v>
      </c>
      <c r="AE15" s="148"/>
      <c r="AF15" s="148">
        <f>4.8</f>
        <v>4.8</v>
      </c>
      <c r="AG15" s="148">
        <f t="shared" ref="AG15:AH15" si="15">4.8</f>
        <v>4.8</v>
      </c>
      <c r="AH15" s="148">
        <f t="shared" si="15"/>
        <v>4.8</v>
      </c>
      <c r="AI15" s="148"/>
      <c r="AJ15" s="148"/>
      <c r="AK15" s="149"/>
      <c r="AN15" s="140" t="s">
        <v>1259</v>
      </c>
      <c r="AO15" s="140"/>
      <c r="AP15" s="140">
        <f>4</f>
        <v>4</v>
      </c>
      <c r="AQ15" s="140">
        <f>4</f>
        <v>4</v>
      </c>
      <c r="AR15" s="140"/>
      <c r="AS15" s="140"/>
      <c r="AT15" s="142"/>
    </row>
    <row r="16" spans="13:46" x14ac:dyDescent="0.25">
      <c r="AD16" s="150" t="s">
        <v>1269</v>
      </c>
      <c r="AE16" s="148"/>
      <c r="AF16" s="148">
        <v>3</v>
      </c>
      <c r="AG16" s="148">
        <v>5</v>
      </c>
      <c r="AH16" s="148">
        <v>6</v>
      </c>
      <c r="AI16" t="s">
        <v>1266</v>
      </c>
      <c r="AJ16" s="148">
        <f>SUM(AF16:AH16)</f>
        <v>14</v>
      </c>
      <c r="AK16" s="149"/>
      <c r="AN16" s="141" t="s">
        <v>1257</v>
      </c>
      <c r="AO16" s="140"/>
      <c r="AP16" s="140">
        <v>4</v>
      </c>
      <c r="AQ16" s="140">
        <v>4</v>
      </c>
      <c r="AR16" s="140"/>
      <c r="AS16" s="140"/>
      <c r="AT16" s="142"/>
    </row>
    <row r="17" spans="1:46" x14ac:dyDescent="0.25">
      <c r="AD17" s="148" t="s">
        <v>1258</v>
      </c>
      <c r="AE17" s="148"/>
      <c r="AF17" s="148">
        <v>1</v>
      </c>
      <c r="AG17" s="148">
        <v>3</v>
      </c>
      <c r="AH17" s="148">
        <v>3</v>
      </c>
      <c r="AI17" s="148"/>
      <c r="AJ17" s="148"/>
      <c r="AK17" s="149"/>
      <c r="AN17" s="140" t="s">
        <v>1258</v>
      </c>
      <c r="AO17" s="140"/>
      <c r="AP17" s="140">
        <v>2</v>
      </c>
      <c r="AQ17" s="140">
        <v>2</v>
      </c>
      <c r="AR17" s="140"/>
      <c r="AS17" s="140"/>
      <c r="AT17" s="142"/>
    </row>
    <row r="18" spans="1:46" x14ac:dyDescent="0.25">
      <c r="AD18" s="148" t="s">
        <v>1261</v>
      </c>
      <c r="AE18" s="148"/>
      <c r="AF18" s="148">
        <v>10</v>
      </c>
      <c r="AG18" s="148"/>
      <c r="AH18" s="148">
        <v>10</v>
      </c>
      <c r="AI18" s="148"/>
      <c r="AJ18" s="148"/>
      <c r="AK18" s="149"/>
      <c r="AN18" s="140" t="s">
        <v>1261</v>
      </c>
      <c r="AO18" s="140"/>
      <c r="AP18" s="140">
        <v>4</v>
      </c>
      <c r="AQ18" s="140">
        <v>4</v>
      </c>
      <c r="AR18" s="140"/>
      <c r="AS18" s="140"/>
      <c r="AT18" s="142"/>
    </row>
    <row r="19" spans="1:46" x14ac:dyDescent="0.25">
      <c r="AD19" s="148" t="s">
        <v>1260</v>
      </c>
      <c r="AE19" s="148"/>
      <c r="AF19" s="148">
        <f>AF16*(AF14+AF15*8)+AF17*7.5</f>
        <v>185.7</v>
      </c>
      <c r="AG19" s="148">
        <f t="shared" ref="AG19:AH19" si="16">AG16*(AG14+AG15*8)+AG17*7.5</f>
        <v>319.5</v>
      </c>
      <c r="AH19" s="148">
        <f t="shared" si="16"/>
        <v>378.9</v>
      </c>
      <c r="AI19" s="148" t="s">
        <v>1267</v>
      </c>
      <c r="AJ19" s="148" t="s">
        <v>1268</v>
      </c>
      <c r="AK19" s="149"/>
      <c r="AN19" s="140" t="s">
        <v>1260</v>
      </c>
      <c r="AO19" s="140"/>
      <c r="AP19" s="140">
        <f t="shared" ref="AP19:AQ19" si="17">AP16*(AP14+AP15*8)+AP17*7.5</f>
        <v>243</v>
      </c>
      <c r="AQ19" s="140">
        <f t="shared" si="17"/>
        <v>243</v>
      </c>
      <c r="AR19" s="140"/>
      <c r="AS19" s="140"/>
      <c r="AT19" s="142"/>
    </row>
    <row r="20" spans="1:46" x14ac:dyDescent="0.25">
      <c r="AD20" s="148" t="s">
        <v>1265</v>
      </c>
      <c r="AE20" s="148"/>
      <c r="AF20" s="148">
        <f>IF(AF12-AF19&gt;0,AF12-AF19,0)/8+SUM(AF4,AF6,AF8,AF10,AF17)/2+AF18+AF15*AF16</f>
        <v>28.6875</v>
      </c>
      <c r="AG20" s="148">
        <f t="shared" ref="AG20:AH20" si="18">IF(AG12-AG19&gt;0,AG12-AG19,0)/8+SUM(AG4,AG6,AG8,AG10,AG17)/2+AG18+AG15*AG16</f>
        <v>27</v>
      </c>
      <c r="AH20" s="148">
        <f t="shared" si="18"/>
        <v>44.9375</v>
      </c>
      <c r="AI20" s="148">
        <f>SUM(AF20:AH20)</f>
        <v>100.625</v>
      </c>
      <c r="AJ20" s="148">
        <f>SUM(AG20:AH20)</f>
        <v>71.9375</v>
      </c>
      <c r="AK20" s="149"/>
      <c r="AN20" s="148" t="s">
        <v>1265</v>
      </c>
      <c r="AO20" s="140"/>
      <c r="AP20" s="140">
        <f t="shared" ref="AP20" si="19">IF(AP12-AP19&gt;0,AP12-AP19,0)/8+SUM(AP4,AP6,AP8,AP10,AP17)/2+AP18+AP15*AP16</f>
        <v>21</v>
      </c>
      <c r="AQ20" s="140">
        <f t="shared" ref="AQ20" si="20">IF(AQ12-AQ19&gt;0,AQ12-AQ19,0)/8+SUM(AQ4,AQ6,AQ8,AQ10,AQ17)/2+AQ18+AQ15*AQ16</f>
        <v>21</v>
      </c>
      <c r="AR20" s="140"/>
      <c r="AS20" s="140"/>
      <c r="AT20" s="142"/>
    </row>
    <row r="21" spans="1:46" x14ac:dyDescent="0.25">
      <c r="AD21" t="s">
        <v>1270</v>
      </c>
      <c r="AN21" t="s">
        <v>1270</v>
      </c>
    </row>
    <row r="22" spans="1:46" x14ac:dyDescent="0.25">
      <c r="B22" t="s">
        <v>1244</v>
      </c>
    </row>
    <row r="23" spans="1:46" x14ac:dyDescent="0.25">
      <c r="S23" t="s">
        <v>1245</v>
      </c>
      <c r="T23">
        <v>1</v>
      </c>
    </row>
    <row r="24" spans="1:46" ht="14.4" thickBot="1" x14ac:dyDescent="0.3">
      <c r="A24" s="11" t="s">
        <v>686</v>
      </c>
      <c r="B24" t="s">
        <v>808</v>
      </c>
      <c r="C24" t="s">
        <v>809</v>
      </c>
      <c r="D24" t="s">
        <v>810</v>
      </c>
      <c r="E24" t="s">
        <v>811</v>
      </c>
      <c r="F24" s="109" t="s">
        <v>784</v>
      </c>
      <c r="G24" s="110" t="s">
        <v>812</v>
      </c>
      <c r="H24" s="110" t="s">
        <v>813</v>
      </c>
      <c r="I24" s="110" t="s">
        <v>814</v>
      </c>
      <c r="J24" s="110" t="s">
        <v>815</v>
      </c>
      <c r="K24" s="110" t="s">
        <v>816</v>
      </c>
      <c r="L24" s="110" t="s">
        <v>817</v>
      </c>
      <c r="M24" s="110" t="s">
        <v>818</v>
      </c>
      <c r="N24" s="110" t="s">
        <v>819</v>
      </c>
      <c r="O24" s="110" t="s">
        <v>820</v>
      </c>
      <c r="P24" s="110" t="s">
        <v>821</v>
      </c>
      <c r="Q24" s="110" t="s">
        <v>822</v>
      </c>
      <c r="R24" s="110" t="s">
        <v>823</v>
      </c>
      <c r="S24" s="110" t="s">
        <v>824</v>
      </c>
      <c r="T24" s="110" t="s">
        <v>825</v>
      </c>
      <c r="U24" s="46" t="s">
        <v>755</v>
      </c>
      <c r="V24" s="46" t="s">
        <v>826</v>
      </c>
      <c r="W24" s="46" t="s">
        <v>827</v>
      </c>
      <c r="X24" s="46" t="s">
        <v>828</v>
      </c>
      <c r="Y24" s="46" t="s">
        <v>829</v>
      </c>
      <c r="Z24" s="53" t="s">
        <v>785</v>
      </c>
      <c r="AA24" s="53" t="s">
        <v>830</v>
      </c>
      <c r="AB24" s="53" t="s">
        <v>831</v>
      </c>
      <c r="AC24" s="53" t="s">
        <v>832</v>
      </c>
      <c r="AD24" s="54" t="s">
        <v>154</v>
      </c>
      <c r="AE24" s="54" t="s">
        <v>833</v>
      </c>
      <c r="AF24" s="54" t="s">
        <v>834</v>
      </c>
      <c r="AG24" s="54" t="s">
        <v>835</v>
      </c>
      <c r="AH24" s="54" t="s">
        <v>836</v>
      </c>
      <c r="AI24" s="54" t="s">
        <v>837</v>
      </c>
      <c r="AJ24" s="47" t="s">
        <v>161</v>
      </c>
      <c r="AK24" s="47" t="s">
        <v>838</v>
      </c>
      <c r="AL24" s="47" t="s">
        <v>839</v>
      </c>
      <c r="AM24" s="47" t="s">
        <v>840</v>
      </c>
      <c r="AN24" s="47" t="s">
        <v>841</v>
      </c>
      <c r="AO24" s="47" t="s">
        <v>842</v>
      </c>
      <c r="AP24" s="47" t="s">
        <v>843</v>
      </c>
      <c r="AQ24" s="57" t="s">
        <v>796</v>
      </c>
      <c r="AR24" s="57" t="s">
        <v>844</v>
      </c>
      <c r="AS24" s="57" t="s">
        <v>845</v>
      </c>
    </row>
    <row r="25" spans="1:46" x14ac:dyDescent="0.25">
      <c r="A25" s="136" t="s">
        <v>704</v>
      </c>
      <c r="B25" t="s">
        <v>793</v>
      </c>
      <c r="C25" t="s">
        <v>792</v>
      </c>
      <c r="D25" t="s">
        <v>794</v>
      </c>
      <c r="E25" s="36" t="s">
        <v>786</v>
      </c>
      <c r="F25" s="137" t="s">
        <v>197</v>
      </c>
      <c r="G25" s="137" t="s">
        <v>781</v>
      </c>
      <c r="H25" s="137" t="s">
        <v>782</v>
      </c>
      <c r="I25" s="137" t="s">
        <v>783</v>
      </c>
      <c r="J25" s="138" t="s">
        <v>770</v>
      </c>
      <c r="K25" s="139" t="s">
        <v>771</v>
      </c>
      <c r="L25" s="139" t="s">
        <v>772</v>
      </c>
      <c r="M25" s="139" t="s">
        <v>773</v>
      </c>
      <c r="N25" s="139" t="s">
        <v>774</v>
      </c>
      <c r="O25" s="139" t="s">
        <v>775</v>
      </c>
      <c r="P25" s="139" t="s">
        <v>776</v>
      </c>
      <c r="Q25" s="139" t="s">
        <v>777</v>
      </c>
      <c r="R25" s="139" t="s">
        <v>778</v>
      </c>
      <c r="S25" s="139" t="s">
        <v>779</v>
      </c>
      <c r="T25" s="139" t="s">
        <v>780</v>
      </c>
      <c r="U25" s="130" t="s">
        <v>92</v>
      </c>
      <c r="V25" s="130" t="s">
        <v>94</v>
      </c>
      <c r="W25" s="130" t="s">
        <v>95</v>
      </c>
      <c r="X25" s="130" t="s">
        <v>93</v>
      </c>
      <c r="Y25" s="130" t="s">
        <v>807</v>
      </c>
      <c r="Z25" s="131" t="s">
        <v>688</v>
      </c>
      <c r="AA25" s="131" t="s">
        <v>689</v>
      </c>
      <c r="AB25" s="131" t="s">
        <v>690</v>
      </c>
      <c r="AC25" s="131" t="s">
        <v>163</v>
      </c>
      <c r="AD25" s="132" t="s">
        <v>707</v>
      </c>
      <c r="AE25" s="131" t="s">
        <v>153</v>
      </c>
      <c r="AF25" s="131" t="s">
        <v>76</v>
      </c>
      <c r="AG25" s="131" t="s">
        <v>77</v>
      </c>
      <c r="AH25" s="131" t="s">
        <v>78</v>
      </c>
      <c r="AI25" s="131" t="s">
        <v>703</v>
      </c>
      <c r="AJ25" s="131" t="s">
        <v>83</v>
      </c>
      <c r="AK25" s="131" t="s">
        <v>80</v>
      </c>
      <c r="AL25" s="131" t="s">
        <v>79</v>
      </c>
      <c r="AM25" s="131" t="s">
        <v>691</v>
      </c>
      <c r="AN25" s="131" t="s">
        <v>694</v>
      </c>
      <c r="AO25" s="131" t="s">
        <v>693</v>
      </c>
      <c r="AP25" s="133" t="s">
        <v>692</v>
      </c>
      <c r="AQ25" s="134" t="s">
        <v>789</v>
      </c>
      <c r="AR25" s="135" t="s">
        <v>790</v>
      </c>
      <c r="AS25" s="135" t="s">
        <v>795</v>
      </c>
    </row>
    <row r="26" spans="1:46" x14ac:dyDescent="0.25">
      <c r="E26" s="36"/>
    </row>
    <row r="27" spans="1:46" x14ac:dyDescent="0.25">
      <c r="A27" t="s">
        <v>1454</v>
      </c>
      <c r="B27">
        <f>PRODUCT(Y27:Z27,AC27,AI27:AS27)</f>
        <v>0</v>
      </c>
      <c r="C27">
        <f>B27*(1+AA27*(AB27-1))</f>
        <v>0</v>
      </c>
      <c r="D27">
        <f>PRODUCT(Y27:Z27,AB27:AC27,AI27:AS27)</f>
        <v>0</v>
      </c>
      <c r="E27" s="36" t="e">
        <f>表2_546[[#This Row],[列3]]/$C$62</f>
        <v>#DIV/0!</v>
      </c>
      <c r="F27" t="s">
        <v>791</v>
      </c>
      <c r="G27" t="s">
        <v>1479</v>
      </c>
      <c r="H27" t="s">
        <v>1455</v>
      </c>
      <c r="U27">
        <f xml:space="preserve"> IFERROR(VLOOKUP($A27,$A$86:$X$1000,MATCH(U$25,$A$87:$J$87,0), FALSE), 0) *
    (LEN($A27) &gt; 0)</f>
        <v>0</v>
      </c>
      <c r="V27" cm="1">
        <f t="array" ref="V27" xml:space="preserve"> IFERROR(VLOOKUP($A27,$A$86:$X$1000,MATCH(V$25,$A$87:$J$87,0), FALSE), 0) *
    (LEN($A27) &gt; 0)+SUMPRODUCT(
    IFERROR(VLOOKUP($G27:$T27, $B$87:$X$1000,MATCH(V$25,$B$87:$X$87,0), FALSE), 0) *
    (LEN($G27:$T27) &gt; 0)
)</f>
        <v>0</v>
      </c>
      <c r="W27" cm="1">
        <f t="array" ref="W27" xml:space="preserve"> IFERROR(VLOOKUP($A27,$A$86:$X$1000,MATCH(W$25,$A$87:$J$87,0), FALSE), 0) *
    (LEN($A27) &gt; 0)+SUMPRODUCT(
    IFERROR(VLOOKUP($G27:$T27, $B$87:$X$1000,MATCH(W$25,$B$87:$X$87,0), FALSE), 0) *
    (LEN($G27:$T27) &gt; 0)
)</f>
        <v>180</v>
      </c>
      <c r="X27">
        <f xml:space="preserve"> IFERROR(VLOOKUP($A27,$A$86:$X$1000,MATCH(X$25,$A$87:$J$87,0), FALSE), 0) *
    (LEN($A27) &gt; 0)</f>
        <v>0</v>
      </c>
      <c r="Y27">
        <f>(U27*(1+V27)+W27)*(1+X27)</f>
        <v>180</v>
      </c>
      <c r="Z27">
        <f xml:space="preserve"> IFERROR(VLOOKUP($A27,$A$86:$X$1000,MATCH(Z$25,$A$87:$J$87,0), FALSE), 0) *
    (LEN($A27) &gt; 0)</f>
        <v>0</v>
      </c>
      <c r="AA27" cm="1">
        <f t="array" ref="AA27" xml:space="preserve"> IFERROR(VLOOKUP($A27,$A$86:$X$1000,MATCH(AA$25,$A$87:$J$87,0), FALSE), 0) *
    (LEN($A27) &gt; 0)+SUMPRODUCT(
    IFERROR(VLOOKUP($G27:$T27, $B$87:$X$1000,MATCH(AA$25,$B$87:$X$87,0), FALSE), 0) *
    (LEN($G27:$T27) &gt; 0)
)</f>
        <v>0.11</v>
      </c>
      <c r="AB27" cm="1">
        <f t="array" ref="AB27">1+SUMPRODUCT(
    IFERROR(VLOOKUP($G27:$T27, $B$87:$X$1000,MATCH(AB$25,$B$87:$X$87,0), FALSE), 0) *
    (LEN($G27:$T27) &gt; 0)
)+IFERROR(VLOOKUP($A27,$A$87:$X$1000,MATCH(AB$25,$A$87:$J$87,0), FALSE), 0) *
    (LEN($A27) &gt; 0)</f>
        <v>1</v>
      </c>
      <c r="AC27" cm="1">
        <f t="array" ref="AC27">1+SUMPRODUCT(
    IFERROR(VLOOKUP($G27:$T27, $B$87:$X$1000,MATCH(AC$25,$B$87:$X$87,0), FALSE), 0) *
    (LEN($G27:$T27) &gt; 0)
)</f>
        <v>1</v>
      </c>
      <c r="AD27" cm="1">
        <f t="array" ref="AD27">SUMPRODUCT(
    IFERROR(VLOOKUP($G27:$T27, $B$87:$X$1000,MATCH(AD$25,$B$87:$X$87,0), FALSE), 0) *
    (LEN($G27:$T27) &gt; 0)
)+IFERROR(VLOOKUP($A27,$A$88:$X$1000,MATCH(AD$25,$A$87:$X$87,0), FALSE), 0) *
    (LEN($A27) &gt; 0)</f>
        <v>0</v>
      </c>
      <c r="AE27" cm="1">
        <f t="array" ref="AE27">SUMPRODUCT(
    IFERROR(VLOOKUP($G27:$T27, $B$87:$X$1000,MATCH(AE$25,$B$87:$X$87,0), FALSE), 0) *
    (LEN($G27:$T27) &gt; 0)
)+IFERROR(VLOOKUP($A27,$A$88:$X$1000,MATCH(AE$25,$A$87:$X$87,0), FALSE), 0) *
    (LEN($A27) &gt; 0)</f>
        <v>0</v>
      </c>
      <c r="AF27" cm="1">
        <f t="array" ref="AF27">SUMPRODUCT(
    IFERROR(VLOOKUP($G27:$T27, $B$87:$X$1000,MATCH(AF$25,$B$87:$X$87,0), FALSE), 0) *
    (LEN($G27:$T27) &gt; 0)
)+IFERROR(VLOOKUP($A27,$A$88:$X$1000,MATCH(AF$25,$A$87:$X$87,0), FALSE), 0) *
    (LEN($A27) &gt; 0)</f>
        <v>0</v>
      </c>
      <c r="AG27" cm="1">
        <f t="array" ref="AG27">SUMPRODUCT(
    IFERROR(VLOOKUP($G27:$T27, $B$87:$X$1000,MATCH(AG$25,$B$87:$X$87,0), FALSE), 0) *
    (LEN($G27:$T27) &gt; 0)
)+IFERROR(VLOOKUP($A27,$A$88:$X$1000,MATCH(AG$25,$A$87:$X$87,0), FALSE), 0) *
    (LEN($A27) &gt; 0)</f>
        <v>0</v>
      </c>
      <c r="AH27" cm="1">
        <f t="array" ref="AH27">SUMPRODUCT(
    IFERROR(VLOOKUP($G27:$T27, $B$87:$X$1000,MATCH(AH$25,$B$87:$X$87,0), FALSE), 0) *
    (LEN($G27:$T27) &gt; 0)
)+IFERROR(VLOOKUP($A27,$A$88:$X$1000,MATCH(AH$25,$A$87:$X$87,0), FALSE), 0) *
    (LEN($A27) &gt; 0)</f>
        <v>0</v>
      </c>
      <c r="AI27">
        <f t="shared" ref="AI27:AI36" si="21">1 + AD27 + IF(
    LEN($A27) &gt; 0,
    IFERROR(
        HLOOKUP(RIGHT($A27,2), $AE$25:$AH$80, ROW()-ROW($AE$25) + 1, FALSE),
        0
    ),
    0
)</f>
        <v>1</v>
      </c>
      <c r="AJ27" cm="1">
        <f t="array" ref="AJ27">1+SUMPRODUCT(
    IFERROR(VLOOKUP($G27:$T27, $B$87:$X$1000,MATCH(AJ$25,$B$87:$X$87,0), FALSE), 0) *
    (LEN($G27:$T27) &gt; 0)
)</f>
        <v>1.3</v>
      </c>
      <c r="AK27" cm="1">
        <f t="array" ref="AK27">1+SUMPRODUCT(
    IFERROR(VLOOKUP($G27:$T27, $B$87:$X$1000,MATCH(AK$25,$B$87:$X$87,0), FALSE), 0) *
    (LEN($G27:$T27) &gt; 0)
)</f>
        <v>1</v>
      </c>
      <c r="AL27" cm="1">
        <f t="array" ref="AL27">1+SUMPRODUCT(
    IFERROR(VLOOKUP($G27:$T27, $B$87:$X$1000,MATCH(AL$25,$B$87:$X$87,0), FALSE), 0) *
    (LEN($G27:$T27) &gt; 0)
)</f>
        <v>1</v>
      </c>
      <c r="AM27" cm="1">
        <f t="array" ref="AM27">1+SUMPRODUCT(
    IFERROR(VLOOKUP($G27:$T27, $B$87:$X$1000,MATCH(AM$25,$B$87:$X$87,0), FALSE), 0) *
    (LEN($G27:$T27) &gt; 0)
)</f>
        <v>1</v>
      </c>
      <c r="AN27" cm="1">
        <f t="array" ref="AN27">1+SUMPRODUCT(
    IFERROR(VLOOKUP($G27:$T27, $B$87:$X$1000,MATCH(AN$25,$B$87:$X$87,0), FALSE), 0) *
    (LEN($G27:$T27) &gt; 0)
)</f>
        <v>1</v>
      </c>
      <c r="AO27">
        <f>IF($F27="是",1.3,1)</f>
        <v>1</v>
      </c>
      <c r="AQ27">
        <f>0.5</f>
        <v>0.5</v>
      </c>
    </row>
    <row r="28" spans="1:46" x14ac:dyDescent="0.25">
      <c r="A28" t="s">
        <v>1423</v>
      </c>
      <c r="B28">
        <f t="shared" ref="B28:B36" si="22">PRODUCT(Y28:Z28,AC28,AI28:AS28)</f>
        <v>0</v>
      </c>
      <c r="C28">
        <f t="shared" ref="C28:C57" si="23">B28*(1+AA28*(AB28-1))</f>
        <v>0</v>
      </c>
      <c r="D28">
        <f t="shared" ref="D28:D36" si="24">PRODUCT(Y28:Z28,AB28:AC28,AI28:AS28)</f>
        <v>0</v>
      </c>
      <c r="E28" s="36" t="e">
        <f>表2_546[[#This Row],[列3]]/$C$62</f>
        <v>#DIV/0!</v>
      </c>
      <c r="F28" t="s">
        <v>791</v>
      </c>
      <c r="G28" t="s">
        <v>1479</v>
      </c>
      <c r="H28" t="s">
        <v>1455</v>
      </c>
      <c r="I28" t="s">
        <v>1393</v>
      </c>
      <c r="U28">
        <f t="shared" ref="U28:U57" si="25" xml:space="preserve"> IFERROR(VLOOKUP($A28,$A$86:$X$1000,MATCH(U$25,$A$87:$J$87,0), FALSE), 0) *
    (LEN($A28) &gt; 0)</f>
        <v>0</v>
      </c>
      <c r="V28" cm="1">
        <f t="array" ref="V28" xml:space="preserve"> IFERROR(VLOOKUP($A28,$A$86:$X$1000,MATCH(V$25,$A$87:$J$87,0), FALSE), 0) *
    (LEN($A28) &gt; 0)+SUMPRODUCT(
    IFERROR(VLOOKUP($G28:$T28, $B$87:$X$1000,MATCH(V$25,$B$87:$X$87,0), FALSE), 0) *
    (LEN($G28:$T28) &gt; 0)
)</f>
        <v>0.49</v>
      </c>
      <c r="W28" cm="1">
        <f t="array" ref="W28" xml:space="preserve"> IFERROR(VLOOKUP($A28,$A$86:$X$1000,MATCH(W$25,$A$87:$J$87,0), FALSE), 0) *
    (LEN($A28) &gt; 0)+SUMPRODUCT(
    IFERROR(VLOOKUP($G28:$T28, $B$87:$X$1000,MATCH(W$25,$B$87:$X$87,0), FALSE), 0) *
    (LEN($G28:$T28) &gt; 0)
)</f>
        <v>180</v>
      </c>
      <c r="X28">
        <f t="shared" ref="X28:X57" si="26" xml:space="preserve"> IFERROR(VLOOKUP($A28,$A$86:$X$1000,MATCH(X$25,$A$87:$J$87,0), FALSE), 0) *
    (LEN($A28) &gt; 0)</f>
        <v>2.6510000000000002</v>
      </c>
      <c r="Y28">
        <f t="shared" ref="Y28:Y57" si="27">(U28*(1+V28)+W28)*(1+X28)</f>
        <v>657.18000000000006</v>
      </c>
      <c r="Z28">
        <f t="shared" ref="Z28:Z57" si="28" xml:space="preserve"> IFERROR(VLOOKUP($A28,$A$86:$X$1000,MATCH(Z$25,$A$87:$J$87,0), FALSE), 0) *
    (LEN($A28) &gt; 0)</f>
        <v>0</v>
      </c>
      <c r="AA28" cm="1">
        <f t="array" ref="AA28" xml:space="preserve"> IFERROR(VLOOKUP($A28,$A$86:$X$1000,MATCH(AA$25,$A$87:$J$87,0), FALSE), 0) *
    (LEN($A28) &gt; 0)+SUMPRODUCT(
    IFERROR(VLOOKUP($G28:$T28, $B$87:$X$1000,MATCH(AA$25,$B$87:$X$87,0), FALSE), 0) *
    (LEN($G28:$T28) &gt; 0)
)</f>
        <v>0.16</v>
      </c>
      <c r="AB28" cm="1">
        <f t="array" ref="AB28">1+SUMPRODUCT(
    IFERROR(VLOOKUP($G28:$T28, $B$87:$X$1000,MATCH(AB$25,$B$87:$X$87,0), FALSE), 0) *
    (LEN($G28:$T28) &gt; 0)
)+IFERROR(VLOOKUP($A28,$A$87:$X$1000,MATCH(AB$25,$A$87:$J$87,0), FALSE), 0) *
    (LEN($A28) &gt; 0)</f>
        <v>1.5</v>
      </c>
      <c r="AC28" cm="1">
        <f t="array" ref="AC28">1+SUMPRODUCT(
    IFERROR(VLOOKUP($G28:$T28, $B$87:$X$1000,MATCH(AC$25,$B$87:$X$87,0), FALSE), 0) *
    (LEN($G28:$T28) &gt; 0)
)</f>
        <v>1</v>
      </c>
      <c r="AD28" cm="1">
        <f t="array" ref="AD28">SUMPRODUCT(
    IFERROR(VLOOKUP($G28:$T28, $B$87:$X$1000,MATCH(AD$25,$B$87:$X$87,0), FALSE), 0) *
    (LEN($G28:$T28) &gt; 0)
)+IFERROR(VLOOKUP($A28,$A$88:$X$1000,MATCH(AD$25,$A$87:$X$87,0), FALSE), 0) *
    (LEN($A28) &gt; 0)</f>
        <v>0.84599999999999986</v>
      </c>
      <c r="AE28" cm="1">
        <f t="array" ref="AE28">SUMPRODUCT(
    IFERROR(VLOOKUP($G28:$T28, $B$87:$X$1000,MATCH(AE$25,$B$87:$X$87,0), FALSE), 0) *
    (LEN($G28:$T28) &gt; 0)
)+IFERROR(VLOOKUP($A28,$A$88:$X$1000,MATCH(AE$25,$A$87:$X$87,0), FALSE), 0) *
    (LEN($A28) &gt; 0)</f>
        <v>0</v>
      </c>
      <c r="AF28" cm="1">
        <f t="array" ref="AF28">SUMPRODUCT(
    IFERROR(VLOOKUP($G28:$T28, $B$87:$X$1000,MATCH(AF$25,$B$87:$X$87,0), FALSE), 0) *
    (LEN($G28:$T28) &gt; 0)
)+IFERROR(VLOOKUP($A28,$A$88:$X$1000,MATCH(AF$25,$A$87:$X$87,0), FALSE), 0) *
    (LEN($A28) &gt; 0)</f>
        <v>0</v>
      </c>
      <c r="AG28" cm="1">
        <f t="array" ref="AG28">SUMPRODUCT(
    IFERROR(VLOOKUP($G28:$T28, $B$87:$X$1000,MATCH(AG$25,$B$87:$X$87,0), FALSE), 0) *
    (LEN($G28:$T28) &gt; 0)
)+IFERROR(VLOOKUP($A28,$A$88:$X$1000,MATCH(AG$25,$A$87:$X$87,0), FALSE), 0) *
    (LEN($A28) &gt; 0)</f>
        <v>0</v>
      </c>
      <c r="AH28" cm="1">
        <f t="array" ref="AH28">SUMPRODUCT(
    IFERROR(VLOOKUP($G28:$T28, $B$87:$X$1000,MATCH(AH$25,$B$87:$X$87,0), FALSE), 0) *
    (LEN($G28:$T28) &gt; 0)
)+IFERROR(VLOOKUP($A28,$A$88:$X$1000,MATCH(AH$25,$A$87:$X$87,0), FALSE), 0) *
    (LEN($A28) &gt; 0)</f>
        <v>0</v>
      </c>
      <c r="AI28">
        <f t="shared" si="21"/>
        <v>1.8459999999999999</v>
      </c>
      <c r="AJ28" cm="1">
        <f t="array" ref="AJ28">1+SUMPRODUCT(
    IFERROR(VLOOKUP($G28:$T28, $B$87:$X$1000,MATCH(AJ$25,$B$87:$X$87,0), FALSE), 0) *
    (LEN($G28:$T28) &gt; 0)
)</f>
        <v>1.3</v>
      </c>
      <c r="AK28" cm="1">
        <f t="array" ref="AK28">1+SUMPRODUCT(
    IFERROR(VLOOKUP($G28:$T28, $B$87:$X$1000,MATCH(AK$25,$B$87:$X$87,0), FALSE), 0) *
    (LEN($G28:$T28) &gt; 0)
)</f>
        <v>1</v>
      </c>
      <c r="AL28" cm="1">
        <f t="array" ref="AL28">1+SUMPRODUCT(
    IFERROR(VLOOKUP($G28:$T28, $B$87:$X$1000,MATCH(AL$25,$B$87:$X$87,0), FALSE), 0) *
    (LEN($G28:$T28) &gt; 0)
)</f>
        <v>1</v>
      </c>
      <c r="AM28" cm="1">
        <f t="array" ref="AM28">1+SUMPRODUCT(
    IFERROR(VLOOKUP($G28:$T28, $B$87:$X$1000,MATCH(AM$25,$B$87:$X$87,0), FALSE), 0) *
    (LEN($G28:$T28) &gt; 0)
)</f>
        <v>1</v>
      </c>
      <c r="AN28" cm="1">
        <f t="array" ref="AN28">1+SUMPRODUCT(
    IFERROR(VLOOKUP($G28:$T28, $B$87:$X$1000,MATCH(AN$25,$B$87:$X$87,0), FALSE), 0) *
    (LEN($G28:$T28) &gt; 0)
)</f>
        <v>1</v>
      </c>
      <c r="AO28">
        <f t="shared" ref="AO28:AO36" si="29">IF($F28="是",1.3,1)</f>
        <v>1</v>
      </c>
      <c r="AQ28">
        <f t="shared" ref="AQ28:AQ36" si="30">0.5</f>
        <v>0.5</v>
      </c>
    </row>
    <row r="29" spans="1:46" x14ac:dyDescent="0.25">
      <c r="A29" t="s">
        <v>1446</v>
      </c>
      <c r="B29">
        <f t="shared" si="22"/>
        <v>0</v>
      </c>
      <c r="C29">
        <f t="shared" si="23"/>
        <v>0</v>
      </c>
      <c r="D29">
        <f t="shared" si="24"/>
        <v>0</v>
      </c>
      <c r="E29" s="36" t="e">
        <f>表2_546[[#This Row],[列3]]/$C$62</f>
        <v>#DIV/0!</v>
      </c>
      <c r="F29" t="s">
        <v>791</v>
      </c>
      <c r="G29" t="s">
        <v>1479</v>
      </c>
      <c r="H29" t="s">
        <v>1455</v>
      </c>
      <c r="J29" t="s">
        <v>1400</v>
      </c>
      <c r="U29">
        <f t="shared" si="25"/>
        <v>0</v>
      </c>
      <c r="V29" cm="1">
        <f t="array" ref="V29" xml:space="preserve"> IFERROR(VLOOKUP($A29,$A$86:$X$1000,MATCH(V$25,$A$87:$J$87,0), FALSE), 0) *
    (LEN($A29) &gt; 0)+SUMPRODUCT(
    IFERROR(VLOOKUP($G29:$T29, $B$87:$X$1000,MATCH(V$25,$B$87:$X$87,0), FALSE), 0) *
    (LEN($G29:$T29) &gt; 0)
)</f>
        <v>0</v>
      </c>
      <c r="W29" cm="1">
        <f t="array" ref="W29" xml:space="preserve"> IFERROR(VLOOKUP($A29,$A$86:$X$1000,MATCH(W$25,$A$87:$J$87,0), FALSE), 0) *
    (LEN($A29) &gt; 0)+SUMPRODUCT(
    IFERROR(VLOOKUP($G29:$T29, $B$87:$X$1000,MATCH(W$25,$B$87:$X$87,0), FALSE), 0) *
    (LEN($G29:$T29) &gt; 0)
)</f>
        <v>180</v>
      </c>
      <c r="X29">
        <f t="shared" si="26"/>
        <v>0</v>
      </c>
      <c r="Y29">
        <f t="shared" si="27"/>
        <v>180</v>
      </c>
      <c r="Z29">
        <f t="shared" si="28"/>
        <v>0</v>
      </c>
      <c r="AA29" cm="1">
        <f t="array" ref="AA29" xml:space="preserve"> IFERROR(VLOOKUP($A29,$A$86:$X$1000,MATCH(AA$25,$A$87:$J$87,0), FALSE), 0) *
    (LEN($A29) &gt; 0)+SUMPRODUCT(
    IFERROR(VLOOKUP($G29:$T29, $B$87:$X$1000,MATCH(AA$25,$B$87:$X$87,0), FALSE), 0) *
    (LEN($G29:$T29) &gt; 0)
)</f>
        <v>0.11</v>
      </c>
      <c r="AB29" cm="1">
        <f t="array" ref="AB29">1+SUMPRODUCT(
    IFERROR(VLOOKUP($G29:$T29, $B$87:$X$1000,MATCH(AB$25,$B$87:$X$87,0), FALSE), 0) *
    (LEN($G29:$T29) &gt; 0)
)+IFERROR(VLOOKUP($A29,$A$87:$X$1000,MATCH(AB$25,$A$87:$J$87,0), FALSE), 0) *
    (LEN($A29) &gt; 0)</f>
        <v>1</v>
      </c>
      <c r="AC29" cm="1">
        <f t="array" ref="AC29">1+SUMPRODUCT(
    IFERROR(VLOOKUP($G29:$T29, $B$87:$X$1000,MATCH(AC$25,$B$87:$X$87,0), FALSE), 0) *
    (LEN($G29:$T29) &gt; 0)
)</f>
        <v>1</v>
      </c>
      <c r="AD29" cm="1">
        <f t="array" ref="AD29">SUMPRODUCT(
    IFERROR(VLOOKUP($G29:$T29, $B$87:$X$1000,MATCH(AD$25,$B$87:$X$87,0), FALSE), 0) *
    (LEN($G29:$T29) &gt; 0)
)+IFERROR(VLOOKUP($A29,$A$88:$X$1000,MATCH(AD$25,$A$87:$X$87,0), FALSE), 0) *
    (LEN($A29) &gt; 0)</f>
        <v>1.1200000000000001</v>
      </c>
      <c r="AE29" cm="1">
        <f t="array" ref="AE29">SUMPRODUCT(
    IFERROR(VLOOKUP($G29:$T29, $B$87:$X$1000,MATCH(AE$25,$B$87:$X$87,0), FALSE), 0) *
    (LEN($G29:$T29) &gt; 0)
)+IFERROR(VLOOKUP($A29,$A$88:$X$1000,MATCH(AE$25,$A$87:$X$87,0), FALSE), 0) *
    (LEN($A29) &gt; 0)</f>
        <v>0</v>
      </c>
      <c r="AF29" cm="1">
        <f t="array" ref="AF29">SUMPRODUCT(
    IFERROR(VLOOKUP($G29:$T29, $B$87:$X$1000,MATCH(AF$25,$B$87:$X$87,0), FALSE), 0) *
    (LEN($G29:$T29) &gt; 0)
)+IFERROR(VLOOKUP($A29,$A$88:$X$1000,MATCH(AF$25,$A$87:$X$87,0), FALSE), 0) *
    (LEN($A29) &gt; 0)</f>
        <v>0</v>
      </c>
      <c r="AG29" cm="1">
        <f t="array" ref="AG29">SUMPRODUCT(
    IFERROR(VLOOKUP($G29:$T29, $B$87:$X$1000,MATCH(AG$25,$B$87:$X$87,0), FALSE), 0) *
    (LEN($G29:$T29) &gt; 0)
)+IFERROR(VLOOKUP($A29,$A$88:$X$1000,MATCH(AG$25,$A$87:$X$87,0), FALSE), 0) *
    (LEN($A29) &gt; 0)</f>
        <v>0</v>
      </c>
      <c r="AH29" cm="1">
        <f t="array" ref="AH29">SUMPRODUCT(
    IFERROR(VLOOKUP($G29:$T29, $B$87:$X$1000,MATCH(AH$25,$B$87:$X$87,0), FALSE), 0) *
    (LEN($G29:$T29) &gt; 0)
)+IFERROR(VLOOKUP($A29,$A$88:$X$1000,MATCH(AH$25,$A$87:$X$87,0), FALSE), 0) *
    (LEN($A29) &gt; 0)</f>
        <v>0</v>
      </c>
      <c r="AI29">
        <f t="shared" si="21"/>
        <v>2.12</v>
      </c>
      <c r="AJ29" cm="1">
        <f t="array" ref="AJ29">1+SUMPRODUCT(
    IFERROR(VLOOKUP($G29:$T29, $B$87:$X$1000,MATCH(AJ$25,$B$87:$X$87,0), FALSE), 0) *
    (LEN($G29:$T29) &gt; 0)
)</f>
        <v>1.3</v>
      </c>
      <c r="AK29" cm="1">
        <f t="array" ref="AK29">1+SUMPRODUCT(
    IFERROR(VLOOKUP($G29:$T29, $B$87:$X$1000,MATCH(AK$25,$B$87:$X$87,0), FALSE), 0) *
    (LEN($G29:$T29) &gt; 0)
)</f>
        <v>1</v>
      </c>
      <c r="AL29" cm="1">
        <f t="array" ref="AL29">1+SUMPRODUCT(
    IFERROR(VLOOKUP($G29:$T29, $B$87:$X$1000,MATCH(AL$25,$B$87:$X$87,0), FALSE), 0) *
    (LEN($G29:$T29) &gt; 0)
)</f>
        <v>1</v>
      </c>
      <c r="AM29" cm="1">
        <f t="array" ref="AM29">1+SUMPRODUCT(
    IFERROR(VLOOKUP($G29:$T29, $B$87:$X$1000,MATCH(AM$25,$B$87:$X$87,0), FALSE), 0) *
    (LEN($G29:$T29) &gt; 0)
)</f>
        <v>1</v>
      </c>
      <c r="AN29" cm="1">
        <f t="array" ref="AN29">1+SUMPRODUCT(
    IFERROR(VLOOKUP($G29:$T29, $B$87:$X$1000,MATCH(AN$25,$B$87:$X$87,0), FALSE), 0) *
    (LEN($G29:$T29) &gt; 0)
)</f>
        <v>1</v>
      </c>
      <c r="AO29">
        <f t="shared" si="29"/>
        <v>1</v>
      </c>
      <c r="AQ29">
        <f t="shared" si="30"/>
        <v>0.5</v>
      </c>
    </row>
    <row r="30" spans="1:46" x14ac:dyDescent="0.25">
      <c r="A30" t="s">
        <v>1482</v>
      </c>
      <c r="B30">
        <f t="shared" si="22"/>
        <v>39099.568572979195</v>
      </c>
      <c r="C30">
        <f t="shared" si="23"/>
        <v>40077.057787303675</v>
      </c>
      <c r="D30">
        <f t="shared" si="24"/>
        <v>58649.352859468796</v>
      </c>
      <c r="E30" s="36" t="e">
        <f>表2_546[[#This Row],[列3]]/$C$62</f>
        <v>#DIV/0!</v>
      </c>
      <c r="F30" t="s">
        <v>791</v>
      </c>
      <c r="G30" t="s">
        <v>1486</v>
      </c>
      <c r="U30">
        <f t="shared" si="25"/>
        <v>836</v>
      </c>
      <c r="V30" cm="1">
        <f t="array" ref="V30" xml:space="preserve"> IFERROR(VLOOKUP($A30,$A$86:$X$1000,MATCH(V$25,$A$87:$J$87,0), FALSE), 0) *
    (LEN($A30) &gt; 0)+SUMPRODUCT(
    IFERROR(VLOOKUP($G30:$T30, $B$87:$X$1000,MATCH(V$25,$B$87:$X$87,0), FALSE), 0) *
    (LEN($G30:$T30) &gt; 0)
)</f>
        <v>0.76</v>
      </c>
      <c r="W30" cm="1">
        <f t="array" ref="W30" xml:space="preserve"> IFERROR(VLOOKUP($A30,$A$86:$X$1000,MATCH(W$25,$A$87:$J$87,0), FALSE), 0) *
    (LEN($A30) &gt; 0)+SUMPRODUCT(
    IFERROR(VLOOKUP($G30:$T30, $B$87:$X$1000,MATCH(W$25,$B$87:$X$87,0), FALSE), 0) *
    (LEN($G30:$T30) &gt; 0)
)</f>
        <v>0</v>
      </c>
      <c r="X30">
        <f t="shared" si="26"/>
        <v>4.9240000000000004</v>
      </c>
      <c r="Y30">
        <f t="shared" si="27"/>
        <v>8716.3366399999995</v>
      </c>
      <c r="Z30">
        <f t="shared" si="28"/>
        <v>4.8600000000000003</v>
      </c>
      <c r="AA30" cm="1">
        <f t="array" ref="AA30" xml:space="preserve"> IFERROR(VLOOKUP($A30,$A$86:$X$1000,MATCH(AA$25,$A$87:$J$87,0), FALSE), 0) *
    (LEN($A30) &gt; 0)+SUMPRODUCT(
    IFERROR(VLOOKUP($G30:$T30, $B$87:$X$1000,MATCH(AA$25,$B$87:$X$87,0), FALSE), 0) *
    (LEN($G30:$T30) &gt; 0)
)</f>
        <v>0.05</v>
      </c>
      <c r="AB30" cm="1">
        <f t="array" ref="AB30">1+SUMPRODUCT(
    IFERROR(VLOOKUP($G30:$T30, $B$87:$X$1000,MATCH(AB$25,$B$87:$X$87,0), FALSE), 0) *
    (LEN($G30:$T30) &gt; 0)
)+IFERROR(VLOOKUP($A30,$A$87:$X$1000,MATCH(AB$25,$A$87:$J$87,0), FALSE), 0) *
    (LEN($A30) &gt; 0)</f>
        <v>1.5</v>
      </c>
      <c r="AC30" cm="1">
        <f t="array" ref="AC30">1+SUMPRODUCT(
    IFERROR(VLOOKUP($G30:$T30, $B$87:$X$1000,MATCH(AC$25,$B$87:$X$87,0), FALSE), 0) *
    (LEN($G30:$T30) &gt; 0)
)</f>
        <v>1</v>
      </c>
      <c r="AD30" cm="1">
        <f t="array" ref="AD30">SUMPRODUCT(
    IFERROR(VLOOKUP($G30:$T30, $B$87:$X$1000,MATCH(AD$25,$B$87:$X$87,0), FALSE), 0) *
    (LEN($G30:$T30) &gt; 0)
)+IFERROR(VLOOKUP($A30,$A$88:$X$1000,MATCH(AD$25,$A$87:$X$87,0), FALSE), 0) *
    (LEN($A30) &gt; 0)</f>
        <v>0.84599999999999986</v>
      </c>
      <c r="AE30" cm="1">
        <f t="array" ref="AE30">SUMPRODUCT(
    IFERROR(VLOOKUP($G30:$T30, $B$87:$X$1000,MATCH(AE$25,$B$87:$X$87,0), FALSE), 0) *
    (LEN($G30:$T30) &gt; 0)
)+IFERROR(VLOOKUP($A30,$A$88:$X$1000,MATCH(AE$25,$A$87:$X$87,0), FALSE), 0) *
    (LEN($A30) &gt; 0)</f>
        <v>0</v>
      </c>
      <c r="AF30" cm="1">
        <f t="array" ref="AF30">SUMPRODUCT(
    IFERROR(VLOOKUP($G30:$T30, $B$87:$X$1000,MATCH(AF$25,$B$87:$X$87,0), FALSE), 0) *
    (LEN($G30:$T30) &gt; 0)
)+IFERROR(VLOOKUP($A30,$A$88:$X$1000,MATCH(AF$25,$A$87:$X$87,0), FALSE), 0) *
    (LEN($A30) &gt; 0)</f>
        <v>0</v>
      </c>
      <c r="AG30" cm="1">
        <f t="array" ref="AG30">SUMPRODUCT(
    IFERROR(VLOOKUP($G30:$T30, $B$87:$X$1000,MATCH(AG$25,$B$87:$X$87,0), FALSE), 0) *
    (LEN($G30:$T30) &gt; 0)
)+IFERROR(VLOOKUP($A30,$A$88:$X$1000,MATCH(AG$25,$A$87:$X$87,0), FALSE), 0) *
    (LEN($A30) &gt; 0)</f>
        <v>0</v>
      </c>
      <c r="AH30" cm="1">
        <f t="array" ref="AH30">SUMPRODUCT(
    IFERROR(VLOOKUP($G30:$T30, $B$87:$X$1000,MATCH(AH$25,$B$87:$X$87,0), FALSE), 0) *
    (LEN($G30:$T30) &gt; 0)
)+IFERROR(VLOOKUP($A30,$A$88:$X$1000,MATCH(AH$25,$A$87:$X$87,0), FALSE), 0) *
    (LEN($A30) &gt; 0)</f>
        <v>0</v>
      </c>
      <c r="AI30">
        <f t="shared" si="21"/>
        <v>1.8459999999999999</v>
      </c>
      <c r="AJ30" cm="1">
        <f t="array" ref="AJ30">1+SUMPRODUCT(
    IFERROR(VLOOKUP($G30:$T30, $B$87:$X$1000,MATCH(AJ$25,$B$87:$X$87,0), FALSE), 0) *
    (LEN($G30:$T30) &gt; 0)
)</f>
        <v>1</v>
      </c>
      <c r="AK30" cm="1">
        <f t="array" ref="AK30">1+SUMPRODUCT(
    IFERROR(VLOOKUP($G30:$T30, $B$87:$X$1000,MATCH(AK$25,$B$87:$X$87,0), FALSE), 0) *
    (LEN($G30:$T30) &gt; 0)
)</f>
        <v>1</v>
      </c>
      <c r="AL30" cm="1">
        <f t="array" ref="AL30">1+SUMPRODUCT(
    IFERROR(VLOOKUP($G30:$T30, $B$87:$X$1000,MATCH(AL$25,$B$87:$X$87,0), FALSE), 0) *
    (LEN($G30:$T30) &gt; 0)
)</f>
        <v>1</v>
      </c>
      <c r="AM30" cm="1">
        <f t="array" ref="AM30">1+SUMPRODUCT(
    IFERROR(VLOOKUP($G30:$T30, $B$87:$X$1000,MATCH(AM$25,$B$87:$X$87,0), FALSE), 0) *
    (LEN($G30:$T30) &gt; 0)
)</f>
        <v>1</v>
      </c>
      <c r="AN30" cm="1">
        <f t="array" ref="AN30">1+SUMPRODUCT(
    IFERROR(VLOOKUP($G30:$T30, $B$87:$X$1000,MATCH(AN$25,$B$87:$X$87,0), FALSE), 0) *
    (LEN($G30:$T30) &gt; 0)
)</f>
        <v>1</v>
      </c>
      <c r="AO30">
        <f t="shared" si="29"/>
        <v>1</v>
      </c>
      <c r="AQ30">
        <f t="shared" si="30"/>
        <v>0.5</v>
      </c>
    </row>
    <row r="31" spans="1:46" ht="14.4" customHeight="1" x14ac:dyDescent="0.25">
      <c r="A31" t="s">
        <v>854</v>
      </c>
      <c r="B31">
        <f t="shared" si="22"/>
        <v>0</v>
      </c>
      <c r="C31">
        <f t="shared" si="23"/>
        <v>0</v>
      </c>
      <c r="D31">
        <f t="shared" si="24"/>
        <v>0</v>
      </c>
      <c r="E31" s="36" t="e">
        <f>表2_546[[#This Row],[列3]]/$C$62</f>
        <v>#DIV/0!</v>
      </c>
      <c r="F31" t="s">
        <v>791</v>
      </c>
      <c r="G31" t="s">
        <v>1479</v>
      </c>
      <c r="H31" t="s">
        <v>1455</v>
      </c>
      <c r="J31" t="s">
        <v>1400</v>
      </c>
      <c r="K31" t="s">
        <v>865</v>
      </c>
      <c r="L31" t="s">
        <v>865</v>
      </c>
      <c r="U31">
        <f t="shared" si="25"/>
        <v>0</v>
      </c>
      <c r="V31" cm="1">
        <f t="array" ref="V31" xml:space="preserve"> IFERROR(VLOOKUP($A31,$A$86:$X$1000,MATCH(V$25,$A$87:$J$87,0), FALSE), 0) *
    (LEN($A31) &gt; 0)+SUMPRODUCT(
    IFERROR(VLOOKUP($G31:$T31, $B$87:$X$1000,MATCH(V$25,$B$87:$X$87,0), FALSE), 0) *
    (LEN($G31:$T31) &gt; 0)
)</f>
        <v>0</v>
      </c>
      <c r="W31" cm="1">
        <f t="array" ref="W31" xml:space="preserve"> IFERROR(VLOOKUP($A31,$A$86:$X$1000,MATCH(W$25,$A$87:$J$87,0), FALSE), 0) *
    (LEN($A31) &gt; 0)+SUMPRODUCT(
    IFERROR(VLOOKUP($G31:$T31, $B$87:$X$1000,MATCH(W$25,$B$87:$X$87,0), FALSE), 0) *
    (LEN($G31:$T31) &gt; 0)
)</f>
        <v>180</v>
      </c>
      <c r="X31">
        <f t="shared" si="26"/>
        <v>0</v>
      </c>
      <c r="Y31">
        <f t="shared" si="27"/>
        <v>180</v>
      </c>
      <c r="Z31">
        <f t="shared" si="28"/>
        <v>0</v>
      </c>
      <c r="AA31" cm="1">
        <f t="array" ref="AA31" xml:space="preserve"> IFERROR(VLOOKUP($A31,$A$86:$X$1000,MATCH(AA$25,$A$87:$J$87,0), FALSE), 0) *
    (LEN($A31) &gt; 0)+SUMPRODUCT(
    IFERROR(VLOOKUP($G31:$T31, $B$87:$X$1000,MATCH(AA$25,$B$87:$X$87,0), FALSE), 0) *
    (LEN($G31:$T31) &gt; 0)
)</f>
        <v>0.11</v>
      </c>
      <c r="AB31" cm="1">
        <f t="array" ref="AB31">1+SUMPRODUCT(
    IFERROR(VLOOKUP($G31:$T31, $B$87:$X$1000,MATCH(AB$25,$B$87:$X$87,0), FALSE), 0) *
    (LEN($G31:$T31) &gt; 0)
)+IFERROR(VLOOKUP($A31,$A$87:$X$1000,MATCH(AB$25,$A$87:$J$87,0), FALSE), 0) *
    (LEN($A31) &gt; 0)</f>
        <v>1</v>
      </c>
      <c r="AC31" cm="1">
        <f t="array" ref="AC31">1+SUMPRODUCT(
    IFERROR(VLOOKUP($G31:$T31, $B$87:$X$1000,MATCH(AC$25,$B$87:$X$87,0), FALSE), 0) *
    (LEN($G31:$T31) &gt; 0)
)</f>
        <v>1</v>
      </c>
      <c r="AD31" cm="1">
        <f t="array" ref="AD31">SUMPRODUCT(
    IFERROR(VLOOKUP($G31:$T31, $B$87:$X$1000,MATCH(AD$25,$B$87:$X$87,0), FALSE), 0) *
    (LEN($G31:$T31) &gt; 0)
)+IFERROR(VLOOKUP($A31,$A$88:$X$1000,MATCH(AD$25,$A$87:$X$87,0), FALSE), 0) *
    (LEN($A31) &gt; 0)</f>
        <v>2.016</v>
      </c>
      <c r="AE31" cm="1">
        <f t="array" ref="AE31">SUMPRODUCT(
    IFERROR(VLOOKUP($G31:$T31, $B$87:$X$1000,MATCH(AE$25,$B$87:$X$87,0), FALSE), 0) *
    (LEN($G31:$T31) &gt; 0)
)+IFERROR(VLOOKUP($A31,$A$88:$X$1000,MATCH(AE$25,$A$87:$X$87,0), FALSE), 0) *
    (LEN($A31) &gt; 0)</f>
        <v>0</v>
      </c>
      <c r="AF31" cm="1">
        <f t="array" ref="AF31">SUMPRODUCT(
    IFERROR(VLOOKUP($G31:$T31, $B$87:$X$1000,MATCH(AF$25,$B$87:$X$87,0), FALSE), 0) *
    (LEN($G31:$T31) &gt; 0)
)+IFERROR(VLOOKUP($A31,$A$88:$X$1000,MATCH(AF$25,$A$87:$X$87,0), FALSE), 0) *
    (LEN($A31) &gt; 0)</f>
        <v>0</v>
      </c>
      <c r="AG31" cm="1">
        <f t="array" ref="AG31">SUMPRODUCT(
    IFERROR(VLOOKUP($G31:$T31, $B$87:$X$1000,MATCH(AG$25,$B$87:$X$87,0), FALSE), 0) *
    (LEN($G31:$T31) &gt; 0)
)+IFERROR(VLOOKUP($A31,$A$88:$X$1000,MATCH(AG$25,$A$87:$X$87,0), FALSE), 0) *
    (LEN($A31) &gt; 0)</f>
        <v>0</v>
      </c>
      <c r="AH31" cm="1">
        <f t="array" ref="AH31">SUMPRODUCT(
    IFERROR(VLOOKUP($G31:$T31, $B$87:$X$1000,MATCH(AH$25,$B$87:$X$87,0), FALSE), 0) *
    (LEN($G31:$T31) &gt; 0)
)+IFERROR(VLOOKUP($A31,$A$88:$X$1000,MATCH(AH$25,$A$87:$X$87,0), FALSE), 0) *
    (LEN($A31) &gt; 0)</f>
        <v>0</v>
      </c>
      <c r="AI31">
        <f t="shared" si="21"/>
        <v>3.016</v>
      </c>
      <c r="AJ31" cm="1">
        <f t="array" ref="AJ31">1+SUMPRODUCT(
    IFERROR(VLOOKUP($G31:$T31, $B$87:$X$1000,MATCH(AJ$25,$B$87:$X$87,0), FALSE), 0) *
    (LEN($G31:$T31) &gt; 0)
)</f>
        <v>1.3</v>
      </c>
      <c r="AK31" cm="1">
        <f t="array" ref="AK31">1+SUMPRODUCT(
    IFERROR(VLOOKUP($G31:$T31, $B$87:$X$1000,MATCH(AK$25,$B$87:$X$87,0), FALSE), 0) *
    (LEN($G31:$T31) &gt; 0)
)</f>
        <v>1</v>
      </c>
      <c r="AL31" cm="1">
        <f t="array" ref="AL31">1+SUMPRODUCT(
    IFERROR(VLOOKUP($G31:$T31, $B$87:$X$1000,MATCH(AL$25,$B$87:$X$87,0), FALSE), 0) *
    (LEN($G31:$T31) &gt; 0)
)</f>
        <v>1</v>
      </c>
      <c r="AM31" cm="1">
        <f t="array" ref="AM31">1+SUMPRODUCT(
    IFERROR(VLOOKUP($G31:$T31, $B$87:$X$1000,MATCH(AM$25,$B$87:$X$87,0), FALSE), 0) *
    (LEN($G31:$T31) &gt; 0)
)</f>
        <v>1</v>
      </c>
      <c r="AN31" cm="1">
        <f t="array" ref="AN31">1+SUMPRODUCT(
    IFERROR(VLOOKUP($G31:$T31, $B$87:$X$1000,MATCH(AN$25,$B$87:$X$87,0), FALSE), 0) *
    (LEN($G31:$T31) &gt; 0)
)</f>
        <v>1</v>
      </c>
      <c r="AO31">
        <f t="shared" si="29"/>
        <v>1</v>
      </c>
      <c r="AQ31">
        <f t="shared" si="30"/>
        <v>0.5</v>
      </c>
    </row>
    <row r="32" spans="1:46" x14ac:dyDescent="0.25">
      <c r="B32">
        <f t="shared" si="22"/>
        <v>0</v>
      </c>
      <c r="C32">
        <f t="shared" si="23"/>
        <v>0</v>
      </c>
      <c r="D32">
        <f t="shared" si="24"/>
        <v>0</v>
      </c>
      <c r="E32" s="36" t="e">
        <f>表2_546[[#This Row],[列3]]/$C$62</f>
        <v>#DIV/0!</v>
      </c>
      <c r="F32" t="s">
        <v>791</v>
      </c>
      <c r="G32" t="s">
        <v>1479</v>
      </c>
      <c r="H32" t="s">
        <v>1455</v>
      </c>
      <c r="J32" t="s">
        <v>1400</v>
      </c>
      <c r="U32">
        <f t="shared" si="25"/>
        <v>0</v>
      </c>
      <c r="V32" cm="1">
        <f t="array" ref="V32" xml:space="preserve"> IFERROR(VLOOKUP($A32,$A$86:$X$1000,MATCH(V$25,$A$87:$J$87,0), FALSE), 0) *
    (LEN($A32) &gt; 0)+SUMPRODUCT(
    IFERROR(VLOOKUP($G32:$T32, $B$87:$X$1000,MATCH(V$25,$B$87:$X$87,0), FALSE), 0) *
    (LEN($G32:$T32) &gt; 0)
)</f>
        <v>0</v>
      </c>
      <c r="W32" cm="1">
        <f t="array" ref="W32" xml:space="preserve"> IFERROR(VLOOKUP($A32,$A$86:$X$1000,MATCH(W$25,$A$87:$J$87,0), FALSE), 0) *
    (LEN($A32) &gt; 0)+SUMPRODUCT(
    IFERROR(VLOOKUP($G32:$T32, $B$87:$X$1000,MATCH(W$25,$B$87:$X$87,0), FALSE), 0) *
    (LEN($G32:$T32) &gt; 0)
)</f>
        <v>180</v>
      </c>
      <c r="X32">
        <f t="shared" si="26"/>
        <v>0</v>
      </c>
      <c r="Y32">
        <f t="shared" si="27"/>
        <v>180</v>
      </c>
      <c r="Z32">
        <f t="shared" si="28"/>
        <v>0</v>
      </c>
      <c r="AA32" cm="1">
        <f t="array" ref="AA32" xml:space="preserve"> IFERROR(VLOOKUP($A32,$A$86:$X$1000,MATCH(AA$25,$A$87:$J$87,0), FALSE), 0) *
    (LEN($A32) &gt; 0)+SUMPRODUCT(
    IFERROR(VLOOKUP($G32:$T32, $B$87:$X$1000,MATCH(AA$25,$B$87:$X$87,0), FALSE), 0) *
    (LEN($G32:$T32) &gt; 0)
)</f>
        <v>0.11</v>
      </c>
      <c r="AB32" cm="1">
        <f t="array" ref="AB32">1+SUMPRODUCT(
    IFERROR(VLOOKUP($G32:$T32, $B$87:$X$1000,MATCH(AB$25,$B$87:$X$87,0), FALSE), 0) *
    (LEN($G32:$T32) &gt; 0)
)+IFERROR(VLOOKUP($A32,$A$87:$X$1000,MATCH(AB$25,$A$87:$J$87,0), FALSE), 0) *
    (LEN($A32) &gt; 0)</f>
        <v>1</v>
      </c>
      <c r="AC32" cm="1">
        <f t="array" ref="AC32">1+SUMPRODUCT(
    IFERROR(VLOOKUP($G32:$T32, $B$87:$X$1000,MATCH(AC$25,$B$87:$X$87,0), FALSE), 0) *
    (LEN($G32:$T32) &gt; 0)
)</f>
        <v>1</v>
      </c>
      <c r="AD32" cm="1">
        <f t="array" ref="AD32">SUMPRODUCT(
    IFERROR(VLOOKUP($G32:$T32, $B$87:$X$1000,MATCH(AD$25,$B$87:$X$87,0), FALSE), 0) *
    (LEN($G32:$T32) &gt; 0)
)+IFERROR(VLOOKUP($A32,$A$88:$X$1000,MATCH(AD$25,$A$87:$X$87,0), FALSE), 0) *
    (LEN($A32) &gt; 0)</f>
        <v>1.1200000000000001</v>
      </c>
      <c r="AE32" cm="1">
        <f t="array" ref="AE32">SUMPRODUCT(
    IFERROR(VLOOKUP($G32:$T32, $B$87:$X$1000,MATCH(AE$25,$B$87:$X$87,0), FALSE), 0) *
    (LEN($G32:$T32) &gt; 0)
)+IFERROR(VLOOKUP($A32,$A$88:$X$1000,MATCH(AE$25,$A$87:$X$87,0), FALSE), 0) *
    (LEN($A32) &gt; 0)</f>
        <v>0</v>
      </c>
      <c r="AF32" cm="1">
        <f t="array" ref="AF32">SUMPRODUCT(
    IFERROR(VLOOKUP($G32:$T32, $B$87:$X$1000,MATCH(AF$25,$B$87:$X$87,0), FALSE), 0) *
    (LEN($G32:$T32) &gt; 0)
)+IFERROR(VLOOKUP($A32,$A$88:$X$1000,MATCH(AF$25,$A$87:$X$87,0), FALSE), 0) *
    (LEN($A32) &gt; 0)</f>
        <v>0</v>
      </c>
      <c r="AG32" cm="1">
        <f t="array" ref="AG32">SUMPRODUCT(
    IFERROR(VLOOKUP($G32:$T32, $B$87:$X$1000,MATCH(AG$25,$B$87:$X$87,0), FALSE), 0) *
    (LEN($G32:$T32) &gt; 0)
)+IFERROR(VLOOKUP($A32,$A$88:$X$1000,MATCH(AG$25,$A$87:$X$87,0), FALSE), 0) *
    (LEN($A32) &gt; 0)</f>
        <v>0</v>
      </c>
      <c r="AH32" cm="1">
        <f t="array" ref="AH32">SUMPRODUCT(
    IFERROR(VLOOKUP($G32:$T32, $B$87:$X$1000,MATCH(AH$25,$B$87:$X$87,0), FALSE), 0) *
    (LEN($G32:$T32) &gt; 0)
)+IFERROR(VLOOKUP($A32,$A$88:$X$1000,MATCH(AH$25,$A$87:$X$87,0), FALSE), 0) *
    (LEN($A32) &gt; 0)</f>
        <v>0</v>
      </c>
      <c r="AI32">
        <f t="shared" si="21"/>
        <v>2.12</v>
      </c>
      <c r="AJ32" cm="1">
        <f t="array" ref="AJ32">1+SUMPRODUCT(
    IFERROR(VLOOKUP($G32:$T32, $B$87:$X$1000,MATCH(AJ$25,$B$87:$X$87,0), FALSE), 0) *
    (LEN($G32:$T32) &gt; 0)
)</f>
        <v>1.3</v>
      </c>
      <c r="AK32" cm="1">
        <f t="array" ref="AK32">1+SUMPRODUCT(
    IFERROR(VLOOKUP($G32:$T32, $B$87:$X$1000,MATCH(AK$25,$B$87:$X$87,0), FALSE), 0) *
    (LEN($G32:$T32) &gt; 0)
)</f>
        <v>1</v>
      </c>
      <c r="AL32" cm="1">
        <f t="array" ref="AL32">1+SUMPRODUCT(
    IFERROR(VLOOKUP($G32:$T32, $B$87:$X$1000,MATCH(AL$25,$B$87:$X$87,0), FALSE), 0) *
    (LEN($G32:$T32) &gt; 0)
)</f>
        <v>1</v>
      </c>
      <c r="AM32" cm="1">
        <f t="array" ref="AM32">1+SUMPRODUCT(
    IFERROR(VLOOKUP($G32:$T32, $B$87:$X$1000,MATCH(AM$25,$B$87:$X$87,0), FALSE), 0) *
    (LEN($G32:$T32) &gt; 0)
)</f>
        <v>1</v>
      </c>
      <c r="AN32" cm="1">
        <f t="array" ref="AN32">1+SUMPRODUCT(
    IFERROR(VLOOKUP($G32:$T32, $B$87:$X$1000,MATCH(AN$25,$B$87:$X$87,0), FALSE), 0) *
    (LEN($G32:$T32) &gt; 0)
)</f>
        <v>1</v>
      </c>
      <c r="AO32">
        <f t="shared" si="29"/>
        <v>1</v>
      </c>
      <c r="AQ32">
        <f t="shared" si="30"/>
        <v>0.5</v>
      </c>
    </row>
    <row r="33" spans="2:43" x14ac:dyDescent="0.25">
      <c r="B33">
        <f t="shared" si="22"/>
        <v>0</v>
      </c>
      <c r="C33">
        <f t="shared" si="23"/>
        <v>0</v>
      </c>
      <c r="D33">
        <f t="shared" si="24"/>
        <v>0</v>
      </c>
      <c r="E33" s="36" t="e">
        <f>表2_546[[#This Row],[列3]]/$C$62</f>
        <v>#DIV/0!</v>
      </c>
      <c r="F33" t="s">
        <v>791</v>
      </c>
      <c r="G33" t="s">
        <v>1479</v>
      </c>
      <c r="H33" t="s">
        <v>1455</v>
      </c>
      <c r="J33" t="s">
        <v>1400</v>
      </c>
      <c r="U33">
        <f t="shared" si="25"/>
        <v>0</v>
      </c>
      <c r="V33" cm="1">
        <f t="array" ref="V33" xml:space="preserve"> IFERROR(VLOOKUP($A33,$A$86:$X$1000,MATCH(V$25,$A$87:$J$87,0), FALSE), 0) *
    (LEN($A33) &gt; 0)+SUMPRODUCT(
    IFERROR(VLOOKUP($G33:$T33, $B$87:$X$1000,MATCH(V$25,$B$87:$X$87,0), FALSE), 0) *
    (LEN($G33:$T33) &gt; 0)
)</f>
        <v>0</v>
      </c>
      <c r="W33" cm="1">
        <f t="array" ref="W33" xml:space="preserve"> IFERROR(VLOOKUP($A33,$A$86:$X$1000,MATCH(W$25,$A$87:$J$87,0), FALSE), 0) *
    (LEN($A33) &gt; 0)+SUMPRODUCT(
    IFERROR(VLOOKUP($G33:$T33, $B$87:$X$1000,MATCH(W$25,$B$87:$X$87,0), FALSE), 0) *
    (LEN($G33:$T33) &gt; 0)
)</f>
        <v>180</v>
      </c>
      <c r="X33">
        <f t="shared" si="26"/>
        <v>0</v>
      </c>
      <c r="Y33">
        <f t="shared" si="27"/>
        <v>180</v>
      </c>
      <c r="Z33">
        <f t="shared" si="28"/>
        <v>0</v>
      </c>
      <c r="AA33" cm="1">
        <f t="array" ref="AA33" xml:space="preserve"> IFERROR(VLOOKUP($A33,$A$86:$X$1000,MATCH(AA$25,$A$87:$J$87,0), FALSE), 0) *
    (LEN($A33) &gt; 0)+SUMPRODUCT(
    IFERROR(VLOOKUP($G33:$T33, $B$87:$X$1000,MATCH(AA$25,$B$87:$X$87,0), FALSE), 0) *
    (LEN($G33:$T33) &gt; 0)
)</f>
        <v>0.11</v>
      </c>
      <c r="AB33" cm="1">
        <f t="array" ref="AB33">1+SUMPRODUCT(
    IFERROR(VLOOKUP($G33:$T33, $B$87:$X$1000,MATCH(AB$25,$B$87:$X$87,0), FALSE), 0) *
    (LEN($G33:$T33) &gt; 0)
)+IFERROR(VLOOKUP($A33,$A$87:$X$1000,MATCH(AB$25,$A$87:$J$87,0), FALSE), 0) *
    (LEN($A33) &gt; 0)</f>
        <v>1</v>
      </c>
      <c r="AC33" cm="1">
        <f t="array" ref="AC33">1+SUMPRODUCT(
    IFERROR(VLOOKUP($G33:$T33, $B$87:$X$1000,MATCH(AC$25,$B$87:$X$87,0), FALSE), 0) *
    (LEN($G33:$T33) &gt; 0)
)</f>
        <v>1</v>
      </c>
      <c r="AD33" cm="1">
        <f t="array" ref="AD33">SUMPRODUCT(
    IFERROR(VLOOKUP($G33:$T33, $B$87:$X$1000,MATCH(AD$25,$B$87:$X$87,0), FALSE), 0) *
    (LEN($G33:$T33) &gt; 0)
)+IFERROR(VLOOKUP($A33,$A$88:$X$1000,MATCH(AD$25,$A$87:$X$87,0), FALSE), 0) *
    (LEN($A33) &gt; 0)</f>
        <v>1.1200000000000001</v>
      </c>
      <c r="AE33" cm="1">
        <f t="array" ref="AE33">SUMPRODUCT(
    IFERROR(VLOOKUP($G33:$T33, $B$87:$X$1000,MATCH(AE$25,$B$87:$X$87,0), FALSE), 0) *
    (LEN($G33:$T33) &gt; 0)
)+IFERROR(VLOOKUP($A33,$A$88:$X$1000,MATCH(AE$25,$A$87:$X$87,0), FALSE), 0) *
    (LEN($A33) &gt; 0)</f>
        <v>0</v>
      </c>
      <c r="AF33" cm="1">
        <f t="array" ref="AF33">SUMPRODUCT(
    IFERROR(VLOOKUP($G33:$T33, $B$87:$X$1000,MATCH(AF$25,$B$87:$X$87,0), FALSE), 0) *
    (LEN($G33:$T33) &gt; 0)
)+IFERROR(VLOOKUP($A33,$A$88:$X$1000,MATCH(AF$25,$A$87:$X$87,0), FALSE), 0) *
    (LEN($A33) &gt; 0)</f>
        <v>0</v>
      </c>
      <c r="AG33" cm="1">
        <f t="array" ref="AG33">SUMPRODUCT(
    IFERROR(VLOOKUP($G33:$T33, $B$87:$X$1000,MATCH(AG$25,$B$87:$X$87,0), FALSE), 0) *
    (LEN($G33:$T33) &gt; 0)
)+IFERROR(VLOOKUP($A33,$A$88:$X$1000,MATCH(AG$25,$A$87:$X$87,0), FALSE), 0) *
    (LEN($A33) &gt; 0)</f>
        <v>0</v>
      </c>
      <c r="AH33" cm="1">
        <f t="array" ref="AH33">SUMPRODUCT(
    IFERROR(VLOOKUP($G33:$T33, $B$87:$X$1000,MATCH(AH$25,$B$87:$X$87,0), FALSE), 0) *
    (LEN($G33:$T33) &gt; 0)
)+IFERROR(VLOOKUP($A33,$A$88:$X$1000,MATCH(AH$25,$A$87:$X$87,0), FALSE), 0) *
    (LEN($A33) &gt; 0)</f>
        <v>0</v>
      </c>
      <c r="AI33">
        <f t="shared" si="21"/>
        <v>2.12</v>
      </c>
      <c r="AJ33" cm="1">
        <f t="array" ref="AJ33">1+SUMPRODUCT(
    IFERROR(VLOOKUP($G33:$T33, $B$87:$X$1000,MATCH(AJ$25,$B$87:$X$87,0), FALSE), 0) *
    (LEN($G33:$T33) &gt; 0)
)</f>
        <v>1.3</v>
      </c>
      <c r="AK33" cm="1">
        <f t="array" ref="AK33">1+SUMPRODUCT(
    IFERROR(VLOOKUP($G33:$T33, $B$87:$X$1000,MATCH(AK$25,$B$87:$X$87,0), FALSE), 0) *
    (LEN($G33:$T33) &gt; 0)
)</f>
        <v>1</v>
      </c>
      <c r="AL33" cm="1">
        <f t="array" ref="AL33">1+SUMPRODUCT(
    IFERROR(VLOOKUP($G33:$T33, $B$87:$X$1000,MATCH(AL$25,$B$87:$X$87,0), FALSE), 0) *
    (LEN($G33:$T33) &gt; 0)
)</f>
        <v>1</v>
      </c>
      <c r="AM33" cm="1">
        <f t="array" ref="AM33">1+SUMPRODUCT(
    IFERROR(VLOOKUP($G33:$T33, $B$87:$X$1000,MATCH(AM$25,$B$87:$X$87,0), FALSE), 0) *
    (LEN($G33:$T33) &gt; 0)
)</f>
        <v>1</v>
      </c>
      <c r="AN33" cm="1">
        <f t="array" ref="AN33">1+SUMPRODUCT(
    IFERROR(VLOOKUP($G33:$T33, $B$87:$X$1000,MATCH(AN$25,$B$87:$X$87,0), FALSE), 0) *
    (LEN($G33:$T33) &gt; 0)
)</f>
        <v>1</v>
      </c>
      <c r="AO33">
        <f t="shared" si="29"/>
        <v>1</v>
      </c>
      <c r="AQ33">
        <f t="shared" si="30"/>
        <v>0.5</v>
      </c>
    </row>
    <row r="34" spans="2:43" x14ac:dyDescent="0.25">
      <c r="B34">
        <f t="shared" si="22"/>
        <v>0</v>
      </c>
      <c r="C34">
        <f t="shared" si="23"/>
        <v>0</v>
      </c>
      <c r="D34">
        <f t="shared" si="24"/>
        <v>0</v>
      </c>
      <c r="E34" s="36" t="e">
        <f>表2_546[[#This Row],[列3]]/$C$62</f>
        <v>#DIV/0!</v>
      </c>
      <c r="F34" t="s">
        <v>791</v>
      </c>
      <c r="G34" t="s">
        <v>1479</v>
      </c>
      <c r="H34" t="s">
        <v>1455</v>
      </c>
      <c r="J34" t="s">
        <v>1400</v>
      </c>
      <c r="U34">
        <f t="shared" si="25"/>
        <v>0</v>
      </c>
      <c r="V34" cm="1">
        <f t="array" ref="V34" xml:space="preserve"> IFERROR(VLOOKUP($A34,$A$86:$X$1000,MATCH(V$25,$A$87:$J$87,0), FALSE), 0) *
    (LEN($A34) &gt; 0)+SUMPRODUCT(
    IFERROR(VLOOKUP($G34:$T34, $B$87:$X$1000,MATCH(V$25,$B$87:$X$87,0), FALSE), 0) *
    (LEN($G34:$T34) &gt; 0)
)</f>
        <v>0</v>
      </c>
      <c r="W34" cm="1">
        <f t="array" ref="W34" xml:space="preserve"> IFERROR(VLOOKUP($A34,$A$86:$X$1000,MATCH(W$25,$A$87:$J$87,0), FALSE), 0) *
    (LEN($A34) &gt; 0)+SUMPRODUCT(
    IFERROR(VLOOKUP($G34:$T34, $B$87:$X$1000,MATCH(W$25,$B$87:$X$87,0), FALSE), 0) *
    (LEN($G34:$T34) &gt; 0)
)</f>
        <v>180</v>
      </c>
      <c r="X34">
        <f t="shared" si="26"/>
        <v>0</v>
      </c>
      <c r="Y34">
        <f t="shared" si="27"/>
        <v>180</v>
      </c>
      <c r="Z34">
        <f t="shared" si="28"/>
        <v>0</v>
      </c>
      <c r="AA34" cm="1">
        <f t="array" ref="AA34" xml:space="preserve"> IFERROR(VLOOKUP($A34,$A$86:$X$1000,MATCH(AA$25,$A$87:$J$87,0), FALSE), 0) *
    (LEN($A34) &gt; 0)+SUMPRODUCT(
    IFERROR(VLOOKUP($G34:$T34, $B$87:$X$1000,MATCH(AA$25,$B$87:$X$87,0), FALSE), 0) *
    (LEN($G34:$T34) &gt; 0)
)</f>
        <v>0.11</v>
      </c>
      <c r="AB34" cm="1">
        <f t="array" ref="AB34">1+SUMPRODUCT(
    IFERROR(VLOOKUP($G34:$T34, $B$87:$X$1000,MATCH(AB$25,$B$87:$X$87,0), FALSE), 0) *
    (LEN($G34:$T34) &gt; 0)
)+IFERROR(VLOOKUP($A34,$A$87:$X$1000,MATCH(AB$25,$A$87:$J$87,0), FALSE), 0) *
    (LEN($A34) &gt; 0)</f>
        <v>1</v>
      </c>
      <c r="AC34" cm="1">
        <f t="array" ref="AC34">1+SUMPRODUCT(
    IFERROR(VLOOKUP($G34:$T34, $B$87:$X$1000,MATCH(AC$25,$B$87:$X$87,0), FALSE), 0) *
    (LEN($G34:$T34) &gt; 0)
)</f>
        <v>1</v>
      </c>
      <c r="AD34" cm="1">
        <f t="array" ref="AD34">SUMPRODUCT(
    IFERROR(VLOOKUP($G34:$T34, $B$87:$X$1000,MATCH(AD$25,$B$87:$X$87,0), FALSE), 0) *
    (LEN($G34:$T34) &gt; 0)
)+IFERROR(VLOOKUP($A34,$A$88:$X$1000,MATCH(AD$25,$A$87:$X$87,0), FALSE), 0) *
    (LEN($A34) &gt; 0)</f>
        <v>1.1200000000000001</v>
      </c>
      <c r="AE34" cm="1">
        <f t="array" ref="AE34">SUMPRODUCT(
    IFERROR(VLOOKUP($G34:$T34, $B$87:$X$1000,MATCH(AE$25,$B$87:$X$87,0), FALSE), 0) *
    (LEN($G34:$T34) &gt; 0)
)+IFERROR(VLOOKUP($A34,$A$88:$X$1000,MATCH(AE$25,$A$87:$X$87,0), FALSE), 0) *
    (LEN($A34) &gt; 0)</f>
        <v>0</v>
      </c>
      <c r="AF34" cm="1">
        <f t="array" ref="AF34">SUMPRODUCT(
    IFERROR(VLOOKUP($G34:$T34, $B$87:$X$1000,MATCH(AF$25,$B$87:$X$87,0), FALSE), 0) *
    (LEN($G34:$T34) &gt; 0)
)+IFERROR(VLOOKUP($A34,$A$88:$X$1000,MATCH(AF$25,$A$87:$X$87,0), FALSE), 0) *
    (LEN($A34) &gt; 0)</f>
        <v>0</v>
      </c>
      <c r="AG34" cm="1">
        <f t="array" ref="AG34">SUMPRODUCT(
    IFERROR(VLOOKUP($G34:$T34, $B$87:$X$1000,MATCH(AG$25,$B$87:$X$87,0), FALSE), 0) *
    (LEN($G34:$T34) &gt; 0)
)+IFERROR(VLOOKUP($A34,$A$88:$X$1000,MATCH(AG$25,$A$87:$X$87,0), FALSE), 0) *
    (LEN($A34) &gt; 0)</f>
        <v>0</v>
      </c>
      <c r="AH34" cm="1">
        <f t="array" ref="AH34">SUMPRODUCT(
    IFERROR(VLOOKUP($G34:$T34, $B$87:$X$1000,MATCH(AH$25,$B$87:$X$87,0), FALSE), 0) *
    (LEN($G34:$T34) &gt; 0)
)+IFERROR(VLOOKUP($A34,$A$88:$X$1000,MATCH(AH$25,$A$87:$X$87,0), FALSE), 0) *
    (LEN($A34) &gt; 0)</f>
        <v>0</v>
      </c>
      <c r="AI34">
        <f t="shared" si="21"/>
        <v>2.12</v>
      </c>
      <c r="AJ34" cm="1">
        <f t="array" ref="AJ34">1+SUMPRODUCT(
    IFERROR(VLOOKUP($G34:$T34, $B$87:$X$1000,MATCH(AJ$25,$B$87:$X$87,0), FALSE), 0) *
    (LEN($G34:$T34) &gt; 0)
)</f>
        <v>1.3</v>
      </c>
      <c r="AK34" cm="1">
        <f t="array" ref="AK34">1+SUMPRODUCT(
    IFERROR(VLOOKUP($G34:$T34, $B$87:$X$1000,MATCH(AK$25,$B$87:$X$87,0), FALSE), 0) *
    (LEN($G34:$T34) &gt; 0)
)</f>
        <v>1</v>
      </c>
      <c r="AL34" cm="1">
        <f t="array" ref="AL34">1+SUMPRODUCT(
    IFERROR(VLOOKUP($G34:$T34, $B$87:$X$1000,MATCH(AL$25,$B$87:$X$87,0), FALSE), 0) *
    (LEN($G34:$T34) &gt; 0)
)</f>
        <v>1</v>
      </c>
      <c r="AM34" cm="1">
        <f t="array" ref="AM34">1+SUMPRODUCT(
    IFERROR(VLOOKUP($G34:$T34, $B$87:$X$1000,MATCH(AM$25,$B$87:$X$87,0), FALSE), 0) *
    (LEN($G34:$T34) &gt; 0)
)</f>
        <v>1</v>
      </c>
      <c r="AN34" cm="1">
        <f t="array" ref="AN34">1+SUMPRODUCT(
    IFERROR(VLOOKUP($G34:$T34, $B$87:$X$1000,MATCH(AN$25,$B$87:$X$87,0), FALSE), 0) *
    (LEN($G34:$T34) &gt; 0)
)</f>
        <v>1</v>
      </c>
      <c r="AO34">
        <f t="shared" si="29"/>
        <v>1</v>
      </c>
      <c r="AQ34">
        <f t="shared" si="30"/>
        <v>0.5</v>
      </c>
    </row>
    <row r="35" spans="2:43" x14ac:dyDescent="0.25">
      <c r="B35">
        <f t="shared" si="22"/>
        <v>0</v>
      </c>
      <c r="C35">
        <f t="shared" si="23"/>
        <v>0</v>
      </c>
      <c r="D35">
        <f t="shared" si="24"/>
        <v>0</v>
      </c>
      <c r="E35" s="36" t="e">
        <f>表2_546[[#This Row],[列3]]/$C$62</f>
        <v>#DIV/0!</v>
      </c>
      <c r="F35" t="s">
        <v>791</v>
      </c>
      <c r="G35" t="s">
        <v>1479</v>
      </c>
      <c r="H35" t="s">
        <v>1455</v>
      </c>
      <c r="J35" t="s">
        <v>1400</v>
      </c>
      <c r="U35">
        <f t="shared" si="25"/>
        <v>0</v>
      </c>
      <c r="V35" cm="1">
        <f t="array" ref="V35" xml:space="preserve"> IFERROR(VLOOKUP($A35,$A$86:$X$1000,MATCH(V$25,$A$87:$J$87,0), FALSE), 0) *
    (LEN($A35) &gt; 0)+SUMPRODUCT(
    IFERROR(VLOOKUP($G35:$T35, $B$87:$X$1000,MATCH(V$25,$B$87:$X$87,0), FALSE), 0) *
    (LEN($G35:$T35) &gt; 0)
)</f>
        <v>0</v>
      </c>
      <c r="W35" cm="1">
        <f t="array" ref="W35" xml:space="preserve"> IFERROR(VLOOKUP($A35,$A$86:$X$1000,MATCH(W$25,$A$87:$J$87,0), FALSE), 0) *
    (LEN($A35) &gt; 0)+SUMPRODUCT(
    IFERROR(VLOOKUP($G35:$T35, $B$87:$X$1000,MATCH(W$25,$B$87:$X$87,0), FALSE), 0) *
    (LEN($G35:$T35) &gt; 0)
)</f>
        <v>180</v>
      </c>
      <c r="X35">
        <f t="shared" si="26"/>
        <v>0</v>
      </c>
      <c r="Y35">
        <f t="shared" si="27"/>
        <v>180</v>
      </c>
      <c r="Z35">
        <f t="shared" si="28"/>
        <v>0</v>
      </c>
      <c r="AA35" cm="1">
        <f t="array" ref="AA35" xml:space="preserve"> IFERROR(VLOOKUP($A35,$A$86:$X$1000,MATCH(AA$25,$A$87:$J$87,0), FALSE), 0) *
    (LEN($A35) &gt; 0)+SUMPRODUCT(
    IFERROR(VLOOKUP($G35:$T35, $B$87:$X$1000,MATCH(AA$25,$B$87:$X$87,0), FALSE), 0) *
    (LEN($G35:$T35) &gt; 0)
)</f>
        <v>0.11</v>
      </c>
      <c r="AB35" cm="1">
        <f t="array" ref="AB35">1+SUMPRODUCT(
    IFERROR(VLOOKUP($G35:$T35, $B$87:$X$1000,MATCH(AB$25,$B$87:$X$87,0), FALSE), 0) *
    (LEN($G35:$T35) &gt; 0)
)+IFERROR(VLOOKUP($A35,$A$87:$X$1000,MATCH(AB$25,$A$87:$J$87,0), FALSE), 0) *
    (LEN($A35) &gt; 0)</f>
        <v>1</v>
      </c>
      <c r="AC35" cm="1">
        <f t="array" ref="AC35">1+SUMPRODUCT(
    IFERROR(VLOOKUP($G35:$T35, $B$87:$X$1000,MATCH(AC$25,$B$87:$X$87,0), FALSE), 0) *
    (LEN($G35:$T35) &gt; 0)
)</f>
        <v>1</v>
      </c>
      <c r="AD35" cm="1">
        <f t="array" ref="AD35">SUMPRODUCT(
    IFERROR(VLOOKUP($G35:$T35, $B$87:$X$1000,MATCH(AD$25,$B$87:$X$87,0), FALSE), 0) *
    (LEN($G35:$T35) &gt; 0)
)+IFERROR(VLOOKUP($A35,$A$88:$X$1000,MATCH(AD$25,$A$87:$X$87,0), FALSE), 0) *
    (LEN($A35) &gt; 0)</f>
        <v>1.1200000000000001</v>
      </c>
      <c r="AE35" cm="1">
        <f t="array" ref="AE35">SUMPRODUCT(
    IFERROR(VLOOKUP($G35:$T35, $B$87:$X$1000,MATCH(AE$25,$B$87:$X$87,0), FALSE), 0) *
    (LEN($G35:$T35) &gt; 0)
)+IFERROR(VLOOKUP($A35,$A$88:$X$1000,MATCH(AE$25,$A$87:$X$87,0), FALSE), 0) *
    (LEN($A35) &gt; 0)</f>
        <v>0</v>
      </c>
      <c r="AF35" cm="1">
        <f t="array" ref="AF35">SUMPRODUCT(
    IFERROR(VLOOKUP($G35:$T35, $B$87:$X$1000,MATCH(AF$25,$B$87:$X$87,0), FALSE), 0) *
    (LEN($G35:$T35) &gt; 0)
)+IFERROR(VLOOKUP($A35,$A$88:$X$1000,MATCH(AF$25,$A$87:$X$87,0), FALSE), 0) *
    (LEN($A35) &gt; 0)</f>
        <v>0</v>
      </c>
      <c r="AG35" cm="1">
        <f t="array" ref="AG35">SUMPRODUCT(
    IFERROR(VLOOKUP($G35:$T35, $B$87:$X$1000,MATCH(AG$25,$B$87:$X$87,0), FALSE), 0) *
    (LEN($G35:$T35) &gt; 0)
)+IFERROR(VLOOKUP($A35,$A$88:$X$1000,MATCH(AG$25,$A$87:$X$87,0), FALSE), 0) *
    (LEN($A35) &gt; 0)</f>
        <v>0</v>
      </c>
      <c r="AH35" cm="1">
        <f t="array" ref="AH35">SUMPRODUCT(
    IFERROR(VLOOKUP($G35:$T35, $B$87:$X$1000,MATCH(AH$25,$B$87:$X$87,0), FALSE), 0) *
    (LEN($G35:$T35) &gt; 0)
)+IFERROR(VLOOKUP($A35,$A$88:$X$1000,MATCH(AH$25,$A$87:$X$87,0), FALSE), 0) *
    (LEN($A35) &gt; 0)</f>
        <v>0</v>
      </c>
      <c r="AI35">
        <f t="shared" si="21"/>
        <v>2.12</v>
      </c>
      <c r="AJ35" cm="1">
        <f t="array" ref="AJ35">1+SUMPRODUCT(
    IFERROR(VLOOKUP($G35:$T35, $B$87:$X$1000,MATCH(AJ$25,$B$87:$X$87,0), FALSE), 0) *
    (LEN($G35:$T35) &gt; 0)
)</f>
        <v>1.3</v>
      </c>
      <c r="AK35" cm="1">
        <f t="array" ref="AK35">1+SUMPRODUCT(
    IFERROR(VLOOKUP($G35:$T35, $B$87:$X$1000,MATCH(AK$25,$B$87:$X$87,0), FALSE), 0) *
    (LEN($G35:$T35) &gt; 0)
)</f>
        <v>1</v>
      </c>
      <c r="AL35" cm="1">
        <f t="array" ref="AL35">1+SUMPRODUCT(
    IFERROR(VLOOKUP($G35:$T35, $B$87:$X$1000,MATCH(AL$25,$B$87:$X$87,0), FALSE), 0) *
    (LEN($G35:$T35) &gt; 0)
)</f>
        <v>1</v>
      </c>
      <c r="AM35" cm="1">
        <f t="array" ref="AM35">1+SUMPRODUCT(
    IFERROR(VLOOKUP($G35:$T35, $B$87:$X$1000,MATCH(AM$25,$B$87:$X$87,0), FALSE), 0) *
    (LEN($G35:$T35) &gt; 0)
)</f>
        <v>1</v>
      </c>
      <c r="AN35" cm="1">
        <f t="array" ref="AN35">1+SUMPRODUCT(
    IFERROR(VLOOKUP($G35:$T35, $B$87:$X$1000,MATCH(AN$25,$B$87:$X$87,0), FALSE), 0) *
    (LEN($G35:$T35) &gt; 0)
)</f>
        <v>1</v>
      </c>
      <c r="AO35">
        <f t="shared" si="29"/>
        <v>1</v>
      </c>
      <c r="AQ35">
        <f t="shared" si="30"/>
        <v>0.5</v>
      </c>
    </row>
    <row r="36" spans="2:43" x14ac:dyDescent="0.25">
      <c r="B36">
        <f t="shared" si="22"/>
        <v>0</v>
      </c>
      <c r="C36">
        <f t="shared" si="23"/>
        <v>0</v>
      </c>
      <c r="D36">
        <f t="shared" si="24"/>
        <v>0</v>
      </c>
      <c r="E36" s="36" t="e">
        <f>表2_546[[#This Row],[列3]]/$C$62</f>
        <v>#DIV/0!</v>
      </c>
      <c r="F36" t="s">
        <v>791</v>
      </c>
      <c r="G36" t="s">
        <v>1479</v>
      </c>
      <c r="H36" t="s">
        <v>1455</v>
      </c>
      <c r="J36" t="s">
        <v>1400</v>
      </c>
      <c r="U36">
        <f t="shared" si="25"/>
        <v>0</v>
      </c>
      <c r="V36" cm="1">
        <f t="array" ref="V36" xml:space="preserve"> IFERROR(VLOOKUP($A36,$A$86:$X$1000,MATCH(V$25,$A$87:$J$87,0), FALSE), 0) *
    (LEN($A36) &gt; 0)+SUMPRODUCT(
    IFERROR(VLOOKUP($G36:$T36, $B$87:$X$1000,MATCH(V$25,$B$87:$X$87,0), FALSE), 0) *
    (LEN($G36:$T36) &gt; 0)
)</f>
        <v>0</v>
      </c>
      <c r="W36" cm="1">
        <f t="array" ref="W36" xml:space="preserve"> IFERROR(VLOOKUP($A36,$A$86:$X$1000,MATCH(W$25,$A$87:$J$87,0), FALSE), 0) *
    (LEN($A36) &gt; 0)+SUMPRODUCT(
    IFERROR(VLOOKUP($G36:$T36, $B$87:$X$1000,MATCH(W$25,$B$87:$X$87,0), FALSE), 0) *
    (LEN($G36:$T36) &gt; 0)
)</f>
        <v>180</v>
      </c>
      <c r="X36">
        <f t="shared" si="26"/>
        <v>0</v>
      </c>
      <c r="Y36">
        <f t="shared" si="27"/>
        <v>180</v>
      </c>
      <c r="Z36">
        <f t="shared" si="28"/>
        <v>0</v>
      </c>
      <c r="AA36" cm="1">
        <f t="array" ref="AA36" xml:space="preserve"> IFERROR(VLOOKUP($A36,$A$86:$X$1000,MATCH(AA$25,$A$87:$J$87,0), FALSE), 0) *
    (LEN($A36) &gt; 0)+SUMPRODUCT(
    IFERROR(VLOOKUP($G36:$T36, $B$87:$X$1000,MATCH(AA$25,$B$87:$X$87,0), FALSE), 0) *
    (LEN($G36:$T36) &gt; 0)
)</f>
        <v>0.11</v>
      </c>
      <c r="AB36" cm="1">
        <f t="array" ref="AB36">1+SUMPRODUCT(
    IFERROR(VLOOKUP($G36:$T36, $B$87:$X$1000,MATCH(AB$25,$B$87:$X$87,0), FALSE), 0) *
    (LEN($G36:$T36) &gt; 0)
)+IFERROR(VLOOKUP($A36,$A$87:$X$1000,MATCH(AB$25,$A$87:$J$87,0), FALSE), 0) *
    (LEN($A36) &gt; 0)</f>
        <v>1</v>
      </c>
      <c r="AC36" cm="1">
        <f t="array" ref="AC36">1+SUMPRODUCT(
    IFERROR(VLOOKUP($G36:$T36, $B$87:$X$1000,MATCH(AC$25,$B$87:$X$87,0), FALSE), 0) *
    (LEN($G36:$T36) &gt; 0)
)</f>
        <v>1</v>
      </c>
      <c r="AD36" cm="1">
        <f t="array" ref="AD36">SUMPRODUCT(
    IFERROR(VLOOKUP($G36:$T36, $B$87:$X$1000,MATCH(AD$25,$B$87:$X$87,0), FALSE), 0) *
    (LEN($G36:$T36) &gt; 0)
)+IFERROR(VLOOKUP($A36,$A$88:$X$1000,MATCH(AD$25,$A$87:$X$87,0), FALSE), 0) *
    (LEN($A36) &gt; 0)</f>
        <v>1.1200000000000001</v>
      </c>
      <c r="AE36" cm="1">
        <f t="array" ref="AE36">SUMPRODUCT(
    IFERROR(VLOOKUP($G36:$T36, $B$87:$X$1000,MATCH(AE$25,$B$87:$X$87,0), FALSE), 0) *
    (LEN($G36:$T36) &gt; 0)
)+IFERROR(VLOOKUP($A36,$A$88:$X$1000,MATCH(AE$25,$A$87:$X$87,0), FALSE), 0) *
    (LEN($A36) &gt; 0)</f>
        <v>0</v>
      </c>
      <c r="AF36" cm="1">
        <f t="array" ref="AF36">SUMPRODUCT(
    IFERROR(VLOOKUP($G36:$T36, $B$87:$X$1000,MATCH(AF$25,$B$87:$X$87,0), FALSE), 0) *
    (LEN($G36:$T36) &gt; 0)
)+IFERROR(VLOOKUP($A36,$A$88:$X$1000,MATCH(AF$25,$A$87:$X$87,0), FALSE), 0) *
    (LEN($A36) &gt; 0)</f>
        <v>0</v>
      </c>
      <c r="AG36" cm="1">
        <f t="array" ref="AG36">SUMPRODUCT(
    IFERROR(VLOOKUP($G36:$T36, $B$87:$X$1000,MATCH(AG$25,$B$87:$X$87,0), FALSE), 0) *
    (LEN($G36:$T36) &gt; 0)
)+IFERROR(VLOOKUP($A36,$A$88:$X$1000,MATCH(AG$25,$A$87:$X$87,0), FALSE), 0) *
    (LEN($A36) &gt; 0)</f>
        <v>0</v>
      </c>
      <c r="AH36" cm="1">
        <f t="array" ref="AH36">SUMPRODUCT(
    IFERROR(VLOOKUP($G36:$T36, $B$87:$X$1000,MATCH(AH$25,$B$87:$X$87,0), FALSE), 0) *
    (LEN($G36:$T36) &gt; 0)
)+IFERROR(VLOOKUP($A36,$A$88:$X$1000,MATCH(AH$25,$A$87:$X$87,0), FALSE), 0) *
    (LEN($A36) &gt; 0)</f>
        <v>0</v>
      </c>
      <c r="AI36">
        <f t="shared" si="21"/>
        <v>2.12</v>
      </c>
      <c r="AJ36" cm="1">
        <f t="array" ref="AJ36">1+SUMPRODUCT(
    IFERROR(VLOOKUP($G36:$T36, $B$87:$X$1000,MATCH(AJ$25,$B$87:$X$87,0), FALSE), 0) *
    (LEN($G36:$T36) &gt; 0)
)</f>
        <v>1.3</v>
      </c>
      <c r="AK36" cm="1">
        <f t="array" ref="AK36">1+SUMPRODUCT(
    IFERROR(VLOOKUP($G36:$T36, $B$87:$X$1000,MATCH(AK$25,$B$87:$X$87,0), FALSE), 0) *
    (LEN($G36:$T36) &gt; 0)
)</f>
        <v>1</v>
      </c>
      <c r="AL36" cm="1">
        <f t="array" ref="AL36">1+SUMPRODUCT(
    IFERROR(VLOOKUP($G36:$T36, $B$87:$X$1000,MATCH(AL$25,$B$87:$X$87,0), FALSE), 0) *
    (LEN($G36:$T36) &gt; 0)
)</f>
        <v>1</v>
      </c>
      <c r="AM36" cm="1">
        <f t="array" ref="AM36">1+SUMPRODUCT(
    IFERROR(VLOOKUP($G36:$T36, $B$87:$X$1000,MATCH(AM$25,$B$87:$X$87,0), FALSE), 0) *
    (LEN($G36:$T36) &gt; 0)
)</f>
        <v>1</v>
      </c>
      <c r="AN36" cm="1">
        <f t="array" ref="AN36">1+SUMPRODUCT(
    IFERROR(VLOOKUP($G36:$T36, $B$87:$X$1000,MATCH(AN$25,$B$87:$X$87,0), FALSE), 0) *
    (LEN($G36:$T36) &gt; 0)
)</f>
        <v>1</v>
      </c>
      <c r="AO36">
        <f t="shared" si="29"/>
        <v>1</v>
      </c>
      <c r="AQ36">
        <f t="shared" si="30"/>
        <v>0.5</v>
      </c>
    </row>
    <row r="37" spans="2:43" x14ac:dyDescent="0.25">
      <c r="B37">
        <f>PRODUCT(Y37:Z37,AC37,AI37:AS37)</f>
        <v>0</v>
      </c>
      <c r="C37">
        <f t="shared" si="23"/>
        <v>0</v>
      </c>
      <c r="D37">
        <f>PRODUCT(Y37:Z37,AB37:AC37,AI37:AS37)</f>
        <v>0</v>
      </c>
      <c r="E37" s="36" t="e">
        <f>表2_546[[#This Row],[列3]]/$C$62</f>
        <v>#DIV/0!</v>
      </c>
      <c r="F37" t="s">
        <v>791</v>
      </c>
      <c r="G37" t="s">
        <v>1479</v>
      </c>
      <c r="H37" t="s">
        <v>1455</v>
      </c>
      <c r="J37" t="s">
        <v>1400</v>
      </c>
      <c r="U37">
        <f t="shared" si="25"/>
        <v>0</v>
      </c>
      <c r="V37" cm="1">
        <f t="array" ref="V37" xml:space="preserve"> IFERROR(VLOOKUP($A37,$A$86:$X$1000,MATCH(V$25,$A$87:$J$87,0), FALSE), 0) *
    (LEN($A37) &gt; 0)+SUMPRODUCT(
    IFERROR(VLOOKUP($G37:$T37, $B$87:$X$1000,MATCH(V$25,$B$87:$X$87,0), FALSE), 0) *
    (LEN($G37:$T37) &gt; 0)
)</f>
        <v>0</v>
      </c>
      <c r="W37" cm="1">
        <f t="array" ref="W37" xml:space="preserve"> IFERROR(VLOOKUP($A37,$A$86:$X$1000,MATCH(W$25,$A$87:$J$87,0), FALSE), 0) *
    (LEN($A37) &gt; 0)+SUMPRODUCT(
    IFERROR(VLOOKUP($G37:$T37, $B$87:$X$1000,MATCH(W$25,$B$87:$X$87,0), FALSE), 0) *
    (LEN($G37:$T37) &gt; 0)
)</f>
        <v>180</v>
      </c>
      <c r="X37">
        <f t="shared" si="26"/>
        <v>0</v>
      </c>
      <c r="Y37">
        <f t="shared" si="27"/>
        <v>180</v>
      </c>
      <c r="Z37">
        <f t="shared" si="28"/>
        <v>0</v>
      </c>
      <c r="AA37" cm="1">
        <f t="array" ref="AA37" xml:space="preserve"> IFERROR(VLOOKUP($A37,$A$86:$X$1000,MATCH(AA$25,$A$87:$J$87,0), FALSE), 0) *
    (LEN($A37) &gt; 0)+SUMPRODUCT(
    IFERROR(VLOOKUP($G37:$T37, $B$87:$X$1000,MATCH(AA$25,$B$87:$X$87,0), FALSE), 0) *
    (LEN($G37:$T37) &gt; 0)
)</f>
        <v>0.11</v>
      </c>
      <c r="AB37" cm="1">
        <f t="array" ref="AB37">1+SUMPRODUCT(
    IFERROR(VLOOKUP($G37:$T37, $B$87:$X$1000,MATCH(AB$25,$B$87:$X$87,0), FALSE), 0) *
    (LEN($G37:$T37) &gt; 0)
)+IFERROR(VLOOKUP($A37,$A$87:$X$1000,MATCH(AB$25,$A$87:$J$87,0), FALSE), 0) *
    (LEN($A37) &gt; 0)</f>
        <v>1</v>
      </c>
      <c r="AC37" cm="1">
        <f t="array" ref="AC37">1+SUMPRODUCT(
    IFERROR(VLOOKUP($G37:$T37, $B$87:$X$1000,MATCH(AC$25,$B$87:$X$87,0), FALSE), 0) *
    (LEN($G37:$T37) &gt; 0)
)</f>
        <v>1</v>
      </c>
      <c r="AD37" cm="1">
        <f t="array" ref="AD37">SUMPRODUCT(
    IFERROR(VLOOKUP($G37:$T37, $B$87:$X$1000,MATCH(AD$25,$B$87:$X$87,0), FALSE), 0) *
    (LEN($G37:$T37) &gt; 0)
)+IFERROR(VLOOKUP($A37,$A$88:$X$1000,MATCH(AD$25,$A$87:$X$87,0), FALSE), 0) *
    (LEN($A37) &gt; 0)</f>
        <v>1.1200000000000001</v>
      </c>
      <c r="AE37" cm="1">
        <f t="array" ref="AE37">SUMPRODUCT(
    IFERROR(VLOOKUP($G37:$T37, $B$87:$X$1000,MATCH(AE$25,$B$87:$X$87,0), FALSE), 0) *
    (LEN($G37:$T37) &gt; 0)
)+IFERROR(VLOOKUP($A37,$A$88:$X$1000,MATCH(AE$25,$A$87:$X$87,0), FALSE), 0) *
    (LEN($A37) &gt; 0)</f>
        <v>0</v>
      </c>
      <c r="AF37" cm="1">
        <f t="array" ref="AF37">SUMPRODUCT(
    IFERROR(VLOOKUP($G37:$T37, $B$87:$X$1000,MATCH(AF$25,$B$87:$X$87,0), FALSE), 0) *
    (LEN($G37:$T37) &gt; 0)
)+IFERROR(VLOOKUP($A37,$A$88:$X$1000,MATCH(AF$25,$A$87:$X$87,0), FALSE), 0) *
    (LEN($A37) &gt; 0)</f>
        <v>0</v>
      </c>
      <c r="AG37" cm="1">
        <f t="array" ref="AG37">SUMPRODUCT(
    IFERROR(VLOOKUP($G37:$T37, $B$87:$X$1000,MATCH(AG$25,$B$87:$X$87,0), FALSE), 0) *
    (LEN($G37:$T37) &gt; 0)
)+IFERROR(VLOOKUP($A37,$A$88:$X$1000,MATCH(AG$25,$A$87:$X$87,0), FALSE), 0) *
    (LEN($A37) &gt; 0)</f>
        <v>0</v>
      </c>
      <c r="AH37" cm="1">
        <f t="array" ref="AH37">SUMPRODUCT(
    IFERROR(VLOOKUP($G37:$T37, $B$87:$X$1000,MATCH(AH$25,$B$87:$X$87,0), FALSE), 0) *
    (LEN($G37:$T37) &gt; 0)
)+IFERROR(VLOOKUP($A37,$A$88:$X$1000,MATCH(AH$25,$A$87:$X$87,0), FALSE), 0) *
    (LEN($A37) &gt; 0)</f>
        <v>0</v>
      </c>
      <c r="AI37">
        <f>1+AD37+IFERROR(HLOOKUP(RIGHT($A37,2),$AE$25:$AH$80,ROW()-1, FALSE), 0) *
    (LEN($A37) &gt; 0)</f>
        <v>2.12</v>
      </c>
      <c r="AJ37" cm="1">
        <f t="array" ref="AJ37">1+SUMPRODUCT(
    IFERROR(VLOOKUP($G37:$T37, $B$87:$X$1000,MATCH(AJ$25,$B$87:$X$87,0), FALSE), 0) *
    (LEN($G37:$T37) &gt; 0)
)</f>
        <v>1.3</v>
      </c>
      <c r="AK37" cm="1">
        <f t="array" ref="AK37">1+SUMPRODUCT(
    IFERROR(VLOOKUP($G37:$T37, $B$87:$X$1000,MATCH(AK$25,$B$87:$X$87,0), FALSE), 0) *
    (LEN($G37:$T37) &gt; 0)
)</f>
        <v>1</v>
      </c>
      <c r="AL37" cm="1">
        <f t="array" ref="AL37">1+SUMPRODUCT(
    IFERROR(VLOOKUP($G37:$T37, $B$87:$X$1000,MATCH(AL$25,$B$87:$X$87,0), FALSE), 0) *
    (LEN($G37:$T37) &gt; 0)
)</f>
        <v>1</v>
      </c>
      <c r="AM37" cm="1">
        <f t="array" ref="AM37">1+SUMPRODUCT(
    IFERROR(VLOOKUP($G37:$T37, $B$87:$X$1000,MATCH(AM$25,$B$87:$X$87,0), FALSE), 0) *
    (LEN($G37:$T37) &gt; 0)
)</f>
        <v>1</v>
      </c>
      <c r="AN37" cm="1">
        <f t="array" ref="AN37">1+SUMPRODUCT(
    IFERROR(VLOOKUP($G37:$T37, $B$87:$X$1000,MATCH(AN$25,$B$87:$X$87,0), FALSE), 0) *
    (LEN($G37:$T37) &gt; 0)
)</f>
        <v>1</v>
      </c>
      <c r="AO37">
        <f>IF($F37="是",1.3,1)</f>
        <v>1</v>
      </c>
      <c r="AQ37">
        <f>0.5</f>
        <v>0.5</v>
      </c>
    </row>
    <row r="38" spans="2:43" ht="14.4" customHeight="1" x14ac:dyDescent="0.25">
      <c r="B38">
        <f t="shared" ref="B38:B57" si="31">PRODUCT(Y38:Z38,AC38,AI38:AS38)</f>
        <v>0</v>
      </c>
      <c r="C38">
        <f t="shared" si="23"/>
        <v>0</v>
      </c>
      <c r="D38">
        <f t="shared" ref="D38:D57" si="32">PRODUCT(Y38:Z38,AB38:AC38,AI38:AS38)</f>
        <v>0</v>
      </c>
      <c r="E38" s="36" t="e">
        <f>表2_546[[#This Row],[列3]]/$C$62</f>
        <v>#DIV/0!</v>
      </c>
      <c r="F38" t="s">
        <v>791</v>
      </c>
      <c r="G38" t="s">
        <v>1479</v>
      </c>
      <c r="H38" t="s">
        <v>1455</v>
      </c>
      <c r="J38" t="s">
        <v>1400</v>
      </c>
      <c r="U38">
        <f t="shared" si="25"/>
        <v>0</v>
      </c>
      <c r="V38" cm="1">
        <f t="array" ref="V38" xml:space="preserve"> IFERROR(VLOOKUP($A38,$A$86:$X$1000,MATCH(V$25,$A$87:$J$87,0), FALSE), 0) *
    (LEN($A38) &gt; 0)+SUMPRODUCT(
    IFERROR(VLOOKUP($G38:$T38, $B$87:$X$1000,MATCH(V$25,$B$87:$X$87,0), FALSE), 0) *
    (LEN($G38:$T38) &gt; 0)
)</f>
        <v>0</v>
      </c>
      <c r="W38" cm="1">
        <f t="array" ref="W38" xml:space="preserve"> IFERROR(VLOOKUP($A38,$A$86:$X$1000,MATCH(W$25,$A$87:$J$87,0), FALSE), 0) *
    (LEN($A38) &gt; 0)+SUMPRODUCT(
    IFERROR(VLOOKUP($G38:$T38, $B$87:$X$1000,MATCH(W$25,$B$87:$X$87,0), FALSE), 0) *
    (LEN($G38:$T38) &gt; 0)
)</f>
        <v>180</v>
      </c>
      <c r="X38">
        <f t="shared" si="26"/>
        <v>0</v>
      </c>
      <c r="Y38">
        <f t="shared" si="27"/>
        <v>180</v>
      </c>
      <c r="Z38">
        <f t="shared" si="28"/>
        <v>0</v>
      </c>
      <c r="AA38" cm="1">
        <f t="array" ref="AA38" xml:space="preserve"> IFERROR(VLOOKUP($A38,$A$86:$X$1000,MATCH(AA$25,$A$87:$J$87,0), FALSE), 0) *
    (LEN($A38) &gt; 0)+SUMPRODUCT(
    IFERROR(VLOOKUP($G38:$T38, $B$87:$X$1000,MATCH(AA$25,$B$87:$X$87,0), FALSE), 0) *
    (LEN($G38:$T38) &gt; 0)
)</f>
        <v>0.11</v>
      </c>
      <c r="AB38" cm="1">
        <f t="array" ref="AB38">1+SUMPRODUCT(
    IFERROR(VLOOKUP($G38:$T38, $B$87:$X$1000,MATCH(AB$25,$B$87:$X$87,0), FALSE), 0) *
    (LEN($G38:$T38) &gt; 0)
)+IFERROR(VLOOKUP($A38,$A$87:$X$1000,MATCH(AB$25,$A$87:$J$87,0), FALSE), 0) *
    (LEN($A38) &gt; 0)</f>
        <v>1</v>
      </c>
      <c r="AC38" cm="1">
        <f t="array" ref="AC38">1+SUMPRODUCT(
    IFERROR(VLOOKUP($G38:$T38, $B$87:$X$1000,MATCH(AC$25,$B$87:$X$87,0), FALSE), 0) *
    (LEN($G38:$T38) &gt; 0)
)</f>
        <v>1</v>
      </c>
      <c r="AD38" cm="1">
        <f t="array" ref="AD38">SUMPRODUCT(
    IFERROR(VLOOKUP($G38:$T38, $B$87:$X$1000,MATCH(AD$25,$B$87:$X$87,0), FALSE), 0) *
    (LEN($G38:$T38) &gt; 0)
)+IFERROR(VLOOKUP($A38,$A$88:$X$1000,MATCH(AD$25,$A$87:$X$87,0), FALSE), 0) *
    (LEN($A38) &gt; 0)</f>
        <v>1.1200000000000001</v>
      </c>
      <c r="AE38" cm="1">
        <f t="array" ref="AE38">SUMPRODUCT(
    IFERROR(VLOOKUP($G38:$T38, $B$87:$X$1000,MATCH(AE$25,$B$87:$X$87,0), FALSE), 0) *
    (LEN($G38:$T38) &gt; 0)
)+IFERROR(VLOOKUP($A38,$A$88:$X$1000,MATCH(AE$25,$A$87:$X$87,0), FALSE), 0) *
    (LEN($A38) &gt; 0)</f>
        <v>0</v>
      </c>
      <c r="AF38" cm="1">
        <f t="array" ref="AF38">SUMPRODUCT(
    IFERROR(VLOOKUP($G38:$T38, $B$87:$X$1000,MATCH(AF$25,$B$87:$X$87,0), FALSE), 0) *
    (LEN($G38:$T38) &gt; 0)
)+IFERROR(VLOOKUP($A38,$A$88:$X$1000,MATCH(AF$25,$A$87:$X$87,0), FALSE), 0) *
    (LEN($A38) &gt; 0)</f>
        <v>0</v>
      </c>
      <c r="AG38" cm="1">
        <f t="array" ref="AG38">SUMPRODUCT(
    IFERROR(VLOOKUP($G38:$T38, $B$87:$X$1000,MATCH(AG$25,$B$87:$X$87,0), FALSE), 0) *
    (LEN($G38:$T38) &gt; 0)
)+IFERROR(VLOOKUP($A38,$A$88:$X$1000,MATCH(AG$25,$A$87:$X$87,0), FALSE), 0) *
    (LEN($A38) &gt; 0)</f>
        <v>0</v>
      </c>
      <c r="AH38" cm="1">
        <f t="array" ref="AH38">SUMPRODUCT(
    IFERROR(VLOOKUP($G38:$T38, $B$87:$X$1000,MATCH(AH$25,$B$87:$X$87,0), FALSE), 0) *
    (LEN($G38:$T38) &gt; 0)
)+IFERROR(VLOOKUP($A38,$A$88:$X$1000,MATCH(AH$25,$A$87:$X$87,0), FALSE), 0) *
    (LEN($A38) &gt; 0)</f>
        <v>0</v>
      </c>
      <c r="AI38">
        <f t="shared" ref="AI38:AI57" si="33">1 + AD38 + IF(
    LEN($A38) &gt; 0,
    IFERROR(
        HLOOKUP(RIGHT($A38,2), $AE$25:$AH$80, ROW()-ROW($AE$25) + 1, FALSE),
        0
    ),
    0
)</f>
        <v>2.12</v>
      </c>
      <c r="AJ38" cm="1">
        <f t="array" ref="AJ38">1+SUMPRODUCT(
    IFERROR(VLOOKUP($G38:$T38, $B$87:$X$1000,MATCH(AJ$25,$B$87:$X$87,0), FALSE), 0) *
    (LEN($G38:$T38) &gt; 0)
)</f>
        <v>1.3</v>
      </c>
      <c r="AK38" cm="1">
        <f t="array" ref="AK38">1+SUMPRODUCT(
    IFERROR(VLOOKUP($G38:$T38, $B$87:$X$1000,MATCH(AK$25,$B$87:$X$87,0), FALSE), 0) *
    (LEN($G38:$T38) &gt; 0)
)</f>
        <v>1</v>
      </c>
      <c r="AL38" cm="1">
        <f t="array" ref="AL38">1+SUMPRODUCT(
    IFERROR(VLOOKUP($G38:$T38, $B$87:$X$1000,MATCH(AL$25,$B$87:$X$87,0), FALSE), 0) *
    (LEN($G38:$T38) &gt; 0)
)</f>
        <v>1</v>
      </c>
      <c r="AM38" cm="1">
        <f t="array" ref="AM38">1+SUMPRODUCT(
    IFERROR(VLOOKUP($G38:$T38, $B$87:$X$1000,MATCH(AM$25,$B$87:$X$87,0), FALSE), 0) *
    (LEN($G38:$T38) &gt; 0)
)</f>
        <v>1</v>
      </c>
      <c r="AN38" cm="1">
        <f t="array" ref="AN38">1+SUMPRODUCT(
    IFERROR(VLOOKUP($G38:$T38, $B$87:$X$1000,MATCH(AN$25,$B$87:$X$87,0), FALSE), 0) *
    (LEN($G38:$T38) &gt; 0)
)</f>
        <v>1</v>
      </c>
      <c r="AO38">
        <f t="shared" ref="AO38:AO57" si="34">IF($F38="是",1.3,1)</f>
        <v>1</v>
      </c>
      <c r="AQ38">
        <f t="shared" ref="AQ38:AQ57" si="35">0.5</f>
        <v>0.5</v>
      </c>
    </row>
    <row r="39" spans="2:43" x14ac:dyDescent="0.25">
      <c r="B39">
        <f t="shared" si="31"/>
        <v>0</v>
      </c>
      <c r="C39">
        <f t="shared" si="23"/>
        <v>0</v>
      </c>
      <c r="D39">
        <f t="shared" si="32"/>
        <v>0</v>
      </c>
      <c r="E39" s="36" t="e">
        <f>表2_546[[#This Row],[列3]]/$C$62</f>
        <v>#DIV/0!</v>
      </c>
      <c r="F39" t="s">
        <v>791</v>
      </c>
      <c r="G39" t="s">
        <v>1479</v>
      </c>
      <c r="H39" t="s">
        <v>1455</v>
      </c>
      <c r="J39" t="s">
        <v>1400</v>
      </c>
      <c r="U39">
        <f t="shared" si="25"/>
        <v>0</v>
      </c>
      <c r="V39" cm="1">
        <f t="array" ref="V39" xml:space="preserve"> IFERROR(VLOOKUP($A39,$A$86:$X$1000,MATCH(V$25,$A$87:$J$87,0), FALSE), 0) *
    (LEN($A39) &gt; 0)+SUMPRODUCT(
    IFERROR(VLOOKUP($G39:$T39, $B$87:$X$1000,MATCH(V$25,$B$87:$X$87,0), FALSE), 0) *
    (LEN($G39:$T39) &gt; 0)
)</f>
        <v>0</v>
      </c>
      <c r="W39" cm="1">
        <f t="array" ref="W39" xml:space="preserve"> IFERROR(VLOOKUP($A39,$A$86:$X$1000,MATCH(W$25,$A$87:$J$87,0), FALSE), 0) *
    (LEN($A39) &gt; 0)+SUMPRODUCT(
    IFERROR(VLOOKUP($G39:$T39, $B$87:$X$1000,MATCH(W$25,$B$87:$X$87,0), FALSE), 0) *
    (LEN($G39:$T39) &gt; 0)
)</f>
        <v>180</v>
      </c>
      <c r="X39">
        <f t="shared" si="26"/>
        <v>0</v>
      </c>
      <c r="Y39">
        <f t="shared" si="27"/>
        <v>180</v>
      </c>
      <c r="Z39">
        <f t="shared" si="28"/>
        <v>0</v>
      </c>
      <c r="AA39" cm="1">
        <f t="array" ref="AA39" xml:space="preserve"> IFERROR(VLOOKUP($A39,$A$86:$X$1000,MATCH(AA$25,$A$87:$J$87,0), FALSE), 0) *
    (LEN($A39) &gt; 0)+SUMPRODUCT(
    IFERROR(VLOOKUP($G39:$T39, $B$87:$X$1000,MATCH(AA$25,$B$87:$X$87,0), FALSE), 0) *
    (LEN($G39:$T39) &gt; 0)
)</f>
        <v>0.11</v>
      </c>
      <c r="AB39" cm="1">
        <f t="array" ref="AB39">1+SUMPRODUCT(
    IFERROR(VLOOKUP($G39:$T39, $B$87:$X$1000,MATCH(AB$25,$B$87:$X$87,0), FALSE), 0) *
    (LEN($G39:$T39) &gt; 0)
)+IFERROR(VLOOKUP($A39,$A$87:$X$1000,MATCH(AB$25,$A$87:$J$87,0), FALSE), 0) *
    (LEN($A39) &gt; 0)</f>
        <v>1</v>
      </c>
      <c r="AC39" cm="1">
        <f t="array" ref="AC39">1+SUMPRODUCT(
    IFERROR(VLOOKUP($G39:$T39, $B$87:$X$1000,MATCH(AC$25,$B$87:$X$87,0), FALSE), 0) *
    (LEN($G39:$T39) &gt; 0)
)</f>
        <v>1</v>
      </c>
      <c r="AD39" cm="1">
        <f t="array" ref="AD39">SUMPRODUCT(
    IFERROR(VLOOKUP($G39:$T39, $B$87:$X$1000,MATCH(AD$25,$B$87:$X$87,0), FALSE), 0) *
    (LEN($G39:$T39) &gt; 0)
)+IFERROR(VLOOKUP($A39,$A$88:$X$1000,MATCH(AD$25,$A$87:$X$87,0), FALSE), 0) *
    (LEN($A39) &gt; 0)</f>
        <v>1.1200000000000001</v>
      </c>
      <c r="AE39" cm="1">
        <f t="array" ref="AE39">SUMPRODUCT(
    IFERROR(VLOOKUP($G39:$T39, $B$87:$X$1000,MATCH(AE$25,$B$87:$X$87,0), FALSE), 0) *
    (LEN($G39:$T39) &gt; 0)
)+IFERROR(VLOOKUP($A39,$A$88:$X$1000,MATCH(AE$25,$A$87:$X$87,0), FALSE), 0) *
    (LEN($A39) &gt; 0)</f>
        <v>0</v>
      </c>
      <c r="AF39" cm="1">
        <f t="array" ref="AF39">SUMPRODUCT(
    IFERROR(VLOOKUP($G39:$T39, $B$87:$X$1000,MATCH(AF$25,$B$87:$X$87,0), FALSE), 0) *
    (LEN($G39:$T39) &gt; 0)
)+IFERROR(VLOOKUP($A39,$A$88:$X$1000,MATCH(AF$25,$A$87:$X$87,0), FALSE), 0) *
    (LEN($A39) &gt; 0)</f>
        <v>0</v>
      </c>
      <c r="AG39" cm="1">
        <f t="array" ref="AG39">SUMPRODUCT(
    IFERROR(VLOOKUP($G39:$T39, $B$87:$X$1000,MATCH(AG$25,$B$87:$X$87,0), FALSE), 0) *
    (LEN($G39:$T39) &gt; 0)
)+IFERROR(VLOOKUP($A39,$A$88:$X$1000,MATCH(AG$25,$A$87:$X$87,0), FALSE), 0) *
    (LEN($A39) &gt; 0)</f>
        <v>0</v>
      </c>
      <c r="AH39" cm="1">
        <f t="array" ref="AH39">SUMPRODUCT(
    IFERROR(VLOOKUP($G39:$T39, $B$87:$X$1000,MATCH(AH$25,$B$87:$X$87,0), FALSE), 0) *
    (LEN($G39:$T39) &gt; 0)
)+IFERROR(VLOOKUP($A39,$A$88:$X$1000,MATCH(AH$25,$A$87:$X$87,0), FALSE), 0) *
    (LEN($A39) &gt; 0)</f>
        <v>0</v>
      </c>
      <c r="AI39">
        <f t="shared" si="33"/>
        <v>2.12</v>
      </c>
      <c r="AJ39" cm="1">
        <f t="array" ref="AJ39">1+SUMPRODUCT(
    IFERROR(VLOOKUP($G39:$T39, $B$87:$X$1000,MATCH(AJ$25,$B$87:$X$87,0), FALSE), 0) *
    (LEN($G39:$T39) &gt; 0)
)</f>
        <v>1.3</v>
      </c>
      <c r="AK39" cm="1">
        <f t="array" ref="AK39">1+SUMPRODUCT(
    IFERROR(VLOOKUP($G39:$T39, $B$87:$X$1000,MATCH(AK$25,$B$87:$X$87,0), FALSE), 0) *
    (LEN($G39:$T39) &gt; 0)
)</f>
        <v>1</v>
      </c>
      <c r="AL39" cm="1">
        <f t="array" ref="AL39">1+SUMPRODUCT(
    IFERROR(VLOOKUP($G39:$T39, $B$87:$X$1000,MATCH(AL$25,$B$87:$X$87,0), FALSE), 0) *
    (LEN($G39:$T39) &gt; 0)
)</f>
        <v>1</v>
      </c>
      <c r="AM39" cm="1">
        <f t="array" ref="AM39">1+SUMPRODUCT(
    IFERROR(VLOOKUP($G39:$T39, $B$87:$X$1000,MATCH(AM$25,$B$87:$X$87,0), FALSE), 0) *
    (LEN($G39:$T39) &gt; 0)
)</f>
        <v>1</v>
      </c>
      <c r="AN39" cm="1">
        <f t="array" ref="AN39">1+SUMPRODUCT(
    IFERROR(VLOOKUP($G39:$T39, $B$87:$X$1000,MATCH(AN$25,$B$87:$X$87,0), FALSE), 0) *
    (LEN($G39:$T39) &gt; 0)
)</f>
        <v>1</v>
      </c>
      <c r="AO39">
        <f t="shared" si="34"/>
        <v>1</v>
      </c>
      <c r="AQ39">
        <f t="shared" si="35"/>
        <v>0.5</v>
      </c>
    </row>
    <row r="40" spans="2:43" x14ac:dyDescent="0.25">
      <c r="B40">
        <f t="shared" si="31"/>
        <v>0</v>
      </c>
      <c r="C40">
        <f t="shared" si="23"/>
        <v>0</v>
      </c>
      <c r="D40">
        <f t="shared" si="32"/>
        <v>0</v>
      </c>
      <c r="E40" s="36" t="e">
        <f>表2_546[[#This Row],[列3]]/$C$62</f>
        <v>#DIV/0!</v>
      </c>
      <c r="F40" t="s">
        <v>791</v>
      </c>
      <c r="G40" t="s">
        <v>1479</v>
      </c>
      <c r="H40" t="s">
        <v>1455</v>
      </c>
      <c r="J40" t="s">
        <v>1400</v>
      </c>
      <c r="U40">
        <f t="shared" si="25"/>
        <v>0</v>
      </c>
      <c r="V40" cm="1">
        <f t="array" ref="V40" xml:space="preserve"> IFERROR(VLOOKUP($A40,$A$86:$X$1000,MATCH(V$25,$A$87:$J$87,0), FALSE), 0) *
    (LEN($A40) &gt; 0)+SUMPRODUCT(
    IFERROR(VLOOKUP($G40:$T40, $B$87:$X$1000,MATCH(V$25,$B$87:$X$87,0), FALSE), 0) *
    (LEN($G40:$T40) &gt; 0)
)</f>
        <v>0</v>
      </c>
      <c r="W40" cm="1">
        <f t="array" ref="W40" xml:space="preserve"> IFERROR(VLOOKUP($A40,$A$86:$X$1000,MATCH(W$25,$A$87:$J$87,0), FALSE), 0) *
    (LEN($A40) &gt; 0)+SUMPRODUCT(
    IFERROR(VLOOKUP($G40:$T40, $B$87:$X$1000,MATCH(W$25,$B$87:$X$87,0), FALSE), 0) *
    (LEN($G40:$T40) &gt; 0)
)</f>
        <v>180</v>
      </c>
      <c r="X40">
        <f t="shared" si="26"/>
        <v>0</v>
      </c>
      <c r="Y40">
        <f t="shared" si="27"/>
        <v>180</v>
      </c>
      <c r="Z40">
        <f t="shared" si="28"/>
        <v>0</v>
      </c>
      <c r="AA40" cm="1">
        <f t="array" ref="AA40" xml:space="preserve"> IFERROR(VLOOKUP($A40,$A$86:$X$1000,MATCH(AA$25,$A$87:$J$87,0), FALSE), 0) *
    (LEN($A40) &gt; 0)+SUMPRODUCT(
    IFERROR(VLOOKUP($G40:$T40, $B$87:$X$1000,MATCH(AA$25,$B$87:$X$87,0), FALSE), 0) *
    (LEN($G40:$T40) &gt; 0)
)</f>
        <v>0.11</v>
      </c>
      <c r="AB40" cm="1">
        <f t="array" ref="AB40">1+SUMPRODUCT(
    IFERROR(VLOOKUP($G40:$T40, $B$87:$X$1000,MATCH(AB$25,$B$87:$X$87,0), FALSE), 0) *
    (LEN($G40:$T40) &gt; 0)
)+IFERROR(VLOOKUP($A40,$A$87:$X$1000,MATCH(AB$25,$A$87:$J$87,0), FALSE), 0) *
    (LEN($A40) &gt; 0)</f>
        <v>1</v>
      </c>
      <c r="AC40" cm="1">
        <f t="array" ref="AC40">1+SUMPRODUCT(
    IFERROR(VLOOKUP($G40:$T40, $B$87:$X$1000,MATCH(AC$25,$B$87:$X$87,0), FALSE), 0) *
    (LEN($G40:$T40) &gt; 0)
)</f>
        <v>1</v>
      </c>
      <c r="AD40" cm="1">
        <f t="array" ref="AD40">SUMPRODUCT(
    IFERROR(VLOOKUP($G40:$T40, $B$87:$X$1000,MATCH(AD$25,$B$87:$X$87,0), FALSE), 0) *
    (LEN($G40:$T40) &gt; 0)
)+IFERROR(VLOOKUP($A40,$A$88:$X$1000,MATCH(AD$25,$A$87:$X$87,0), FALSE), 0) *
    (LEN($A40) &gt; 0)</f>
        <v>1.1200000000000001</v>
      </c>
      <c r="AE40" cm="1">
        <f t="array" ref="AE40">SUMPRODUCT(
    IFERROR(VLOOKUP($G40:$T40, $B$87:$X$1000,MATCH(AE$25,$B$87:$X$87,0), FALSE), 0) *
    (LEN($G40:$T40) &gt; 0)
)+IFERROR(VLOOKUP($A40,$A$88:$X$1000,MATCH(AE$25,$A$87:$X$87,0), FALSE), 0) *
    (LEN($A40) &gt; 0)</f>
        <v>0</v>
      </c>
      <c r="AF40" cm="1">
        <f t="array" ref="AF40">SUMPRODUCT(
    IFERROR(VLOOKUP($G40:$T40, $B$87:$X$1000,MATCH(AF$25,$B$87:$X$87,0), FALSE), 0) *
    (LEN($G40:$T40) &gt; 0)
)+IFERROR(VLOOKUP($A40,$A$88:$X$1000,MATCH(AF$25,$A$87:$X$87,0), FALSE), 0) *
    (LEN($A40) &gt; 0)</f>
        <v>0</v>
      </c>
      <c r="AG40" cm="1">
        <f t="array" ref="AG40">SUMPRODUCT(
    IFERROR(VLOOKUP($G40:$T40, $B$87:$X$1000,MATCH(AG$25,$B$87:$X$87,0), FALSE), 0) *
    (LEN($G40:$T40) &gt; 0)
)+IFERROR(VLOOKUP($A40,$A$88:$X$1000,MATCH(AG$25,$A$87:$X$87,0), FALSE), 0) *
    (LEN($A40) &gt; 0)</f>
        <v>0</v>
      </c>
      <c r="AH40" cm="1">
        <f t="array" ref="AH40">SUMPRODUCT(
    IFERROR(VLOOKUP($G40:$T40, $B$87:$X$1000,MATCH(AH$25,$B$87:$X$87,0), FALSE), 0) *
    (LEN($G40:$T40) &gt; 0)
)+IFERROR(VLOOKUP($A40,$A$88:$X$1000,MATCH(AH$25,$A$87:$X$87,0), FALSE), 0) *
    (LEN($A40) &gt; 0)</f>
        <v>0</v>
      </c>
      <c r="AI40">
        <f t="shared" si="33"/>
        <v>2.12</v>
      </c>
      <c r="AJ40" cm="1">
        <f t="array" ref="AJ40">1+SUMPRODUCT(
    IFERROR(VLOOKUP($G40:$T40, $B$87:$X$1000,MATCH(AJ$25,$B$87:$X$87,0), FALSE), 0) *
    (LEN($G40:$T40) &gt; 0)
)</f>
        <v>1.3</v>
      </c>
      <c r="AK40" cm="1">
        <f t="array" ref="AK40">1+SUMPRODUCT(
    IFERROR(VLOOKUP($G40:$T40, $B$87:$X$1000,MATCH(AK$25,$B$87:$X$87,0), FALSE), 0) *
    (LEN($G40:$T40) &gt; 0)
)</f>
        <v>1</v>
      </c>
      <c r="AL40" cm="1">
        <f t="array" ref="AL40">1+SUMPRODUCT(
    IFERROR(VLOOKUP($G40:$T40, $B$87:$X$1000,MATCH(AL$25,$B$87:$X$87,0), FALSE), 0) *
    (LEN($G40:$T40) &gt; 0)
)</f>
        <v>1</v>
      </c>
      <c r="AM40" cm="1">
        <f t="array" ref="AM40">1+SUMPRODUCT(
    IFERROR(VLOOKUP($G40:$T40, $B$87:$X$1000,MATCH(AM$25,$B$87:$X$87,0), FALSE), 0) *
    (LEN($G40:$T40) &gt; 0)
)</f>
        <v>1</v>
      </c>
      <c r="AN40" cm="1">
        <f t="array" ref="AN40">1+SUMPRODUCT(
    IFERROR(VLOOKUP($G40:$T40, $B$87:$X$1000,MATCH(AN$25,$B$87:$X$87,0), FALSE), 0) *
    (LEN($G40:$T40) &gt; 0)
)</f>
        <v>1</v>
      </c>
      <c r="AO40">
        <f t="shared" si="34"/>
        <v>1</v>
      </c>
      <c r="AQ40">
        <f t="shared" si="35"/>
        <v>0.5</v>
      </c>
    </row>
    <row r="41" spans="2:43" x14ac:dyDescent="0.25">
      <c r="B41">
        <f t="shared" si="31"/>
        <v>0</v>
      </c>
      <c r="C41">
        <f t="shared" si="23"/>
        <v>0</v>
      </c>
      <c r="D41">
        <f t="shared" si="32"/>
        <v>0</v>
      </c>
      <c r="E41" s="36" t="e">
        <f>表2_546[[#This Row],[列3]]/$C$62</f>
        <v>#DIV/0!</v>
      </c>
      <c r="F41" t="s">
        <v>791</v>
      </c>
      <c r="G41" t="s">
        <v>1479</v>
      </c>
      <c r="H41" t="s">
        <v>1455</v>
      </c>
      <c r="J41" t="s">
        <v>1400</v>
      </c>
      <c r="U41">
        <f t="shared" si="25"/>
        <v>0</v>
      </c>
      <c r="V41" cm="1">
        <f t="array" ref="V41" xml:space="preserve"> IFERROR(VLOOKUP($A41,$A$86:$X$1000,MATCH(V$25,$A$87:$J$87,0), FALSE), 0) *
    (LEN($A41) &gt; 0)+SUMPRODUCT(
    IFERROR(VLOOKUP($G41:$T41, $B$87:$X$1000,MATCH(V$25,$B$87:$X$87,0), FALSE), 0) *
    (LEN($G41:$T41) &gt; 0)
)</f>
        <v>0</v>
      </c>
      <c r="W41" cm="1">
        <f t="array" ref="W41" xml:space="preserve"> IFERROR(VLOOKUP($A41,$A$86:$X$1000,MATCH(W$25,$A$87:$J$87,0), FALSE), 0) *
    (LEN($A41) &gt; 0)+SUMPRODUCT(
    IFERROR(VLOOKUP($G41:$T41, $B$87:$X$1000,MATCH(W$25,$B$87:$X$87,0), FALSE), 0) *
    (LEN($G41:$T41) &gt; 0)
)</f>
        <v>180</v>
      </c>
      <c r="X41">
        <f t="shared" si="26"/>
        <v>0</v>
      </c>
      <c r="Y41">
        <f t="shared" si="27"/>
        <v>180</v>
      </c>
      <c r="Z41">
        <f t="shared" si="28"/>
        <v>0</v>
      </c>
      <c r="AA41" cm="1">
        <f t="array" ref="AA41" xml:space="preserve"> IFERROR(VLOOKUP($A41,$A$86:$X$1000,MATCH(AA$25,$A$87:$J$87,0), FALSE), 0) *
    (LEN($A41) &gt; 0)+SUMPRODUCT(
    IFERROR(VLOOKUP($G41:$T41, $B$87:$X$1000,MATCH(AA$25,$B$87:$X$87,0), FALSE), 0) *
    (LEN($G41:$T41) &gt; 0)
)</f>
        <v>0.11</v>
      </c>
      <c r="AB41" cm="1">
        <f t="array" ref="AB41">1+SUMPRODUCT(
    IFERROR(VLOOKUP($G41:$T41, $B$87:$X$1000,MATCH(AB$25,$B$87:$X$87,0), FALSE), 0) *
    (LEN($G41:$T41) &gt; 0)
)+IFERROR(VLOOKUP($A41,$A$87:$X$1000,MATCH(AB$25,$A$87:$J$87,0), FALSE), 0) *
    (LEN($A41) &gt; 0)</f>
        <v>1</v>
      </c>
      <c r="AC41" cm="1">
        <f t="array" ref="AC41">1+SUMPRODUCT(
    IFERROR(VLOOKUP($G41:$T41, $B$87:$X$1000,MATCH(AC$25,$B$87:$X$87,0), FALSE), 0) *
    (LEN($G41:$T41) &gt; 0)
)</f>
        <v>1</v>
      </c>
      <c r="AD41" cm="1">
        <f t="array" ref="AD41">SUMPRODUCT(
    IFERROR(VLOOKUP($G41:$T41, $B$87:$X$1000,MATCH(AD$25,$B$87:$X$87,0), FALSE), 0) *
    (LEN($G41:$T41) &gt; 0)
)+IFERROR(VLOOKUP($A41,$A$88:$X$1000,MATCH(AD$25,$A$87:$X$87,0), FALSE), 0) *
    (LEN($A41) &gt; 0)</f>
        <v>1.1200000000000001</v>
      </c>
      <c r="AE41" cm="1">
        <f t="array" ref="AE41">SUMPRODUCT(
    IFERROR(VLOOKUP($G41:$T41, $B$87:$X$1000,MATCH(AE$25,$B$87:$X$87,0), FALSE), 0) *
    (LEN($G41:$T41) &gt; 0)
)+IFERROR(VLOOKUP($A41,$A$88:$X$1000,MATCH(AE$25,$A$87:$X$87,0), FALSE), 0) *
    (LEN($A41) &gt; 0)</f>
        <v>0</v>
      </c>
      <c r="AF41" cm="1">
        <f t="array" ref="AF41">SUMPRODUCT(
    IFERROR(VLOOKUP($G41:$T41, $B$87:$X$1000,MATCH(AF$25,$B$87:$X$87,0), FALSE), 0) *
    (LEN($G41:$T41) &gt; 0)
)+IFERROR(VLOOKUP($A41,$A$88:$X$1000,MATCH(AF$25,$A$87:$X$87,0), FALSE), 0) *
    (LEN($A41) &gt; 0)</f>
        <v>0</v>
      </c>
      <c r="AG41" cm="1">
        <f t="array" ref="AG41">SUMPRODUCT(
    IFERROR(VLOOKUP($G41:$T41, $B$87:$X$1000,MATCH(AG$25,$B$87:$X$87,0), FALSE), 0) *
    (LEN($G41:$T41) &gt; 0)
)+IFERROR(VLOOKUP($A41,$A$88:$X$1000,MATCH(AG$25,$A$87:$X$87,0), FALSE), 0) *
    (LEN($A41) &gt; 0)</f>
        <v>0</v>
      </c>
      <c r="AH41" cm="1">
        <f t="array" ref="AH41">SUMPRODUCT(
    IFERROR(VLOOKUP($G41:$T41, $B$87:$X$1000,MATCH(AH$25,$B$87:$X$87,0), FALSE), 0) *
    (LEN($G41:$T41) &gt; 0)
)+IFERROR(VLOOKUP($A41,$A$88:$X$1000,MATCH(AH$25,$A$87:$X$87,0), FALSE), 0) *
    (LEN($A41) &gt; 0)</f>
        <v>0</v>
      </c>
      <c r="AI41">
        <f t="shared" si="33"/>
        <v>2.12</v>
      </c>
      <c r="AJ41" cm="1">
        <f t="array" ref="AJ41">1+SUMPRODUCT(
    IFERROR(VLOOKUP($G41:$T41, $B$87:$X$1000,MATCH(AJ$25,$B$87:$X$87,0), FALSE), 0) *
    (LEN($G41:$T41) &gt; 0)
)</f>
        <v>1.3</v>
      </c>
      <c r="AK41" cm="1">
        <f t="array" ref="AK41">1+SUMPRODUCT(
    IFERROR(VLOOKUP($G41:$T41, $B$87:$X$1000,MATCH(AK$25,$B$87:$X$87,0), FALSE), 0) *
    (LEN($G41:$T41) &gt; 0)
)</f>
        <v>1</v>
      </c>
      <c r="AL41" cm="1">
        <f t="array" ref="AL41">1+SUMPRODUCT(
    IFERROR(VLOOKUP($G41:$T41, $B$87:$X$1000,MATCH(AL$25,$B$87:$X$87,0), FALSE), 0) *
    (LEN($G41:$T41) &gt; 0)
)</f>
        <v>1</v>
      </c>
      <c r="AM41" cm="1">
        <f t="array" ref="AM41">1+SUMPRODUCT(
    IFERROR(VLOOKUP($G41:$T41, $B$87:$X$1000,MATCH(AM$25,$B$87:$X$87,0), FALSE), 0) *
    (LEN($G41:$T41) &gt; 0)
)</f>
        <v>1</v>
      </c>
      <c r="AN41" cm="1">
        <f t="array" ref="AN41">1+SUMPRODUCT(
    IFERROR(VLOOKUP($G41:$T41, $B$87:$X$1000,MATCH(AN$25,$B$87:$X$87,0), FALSE), 0) *
    (LEN($G41:$T41) &gt; 0)
)</f>
        <v>1</v>
      </c>
      <c r="AO41">
        <f t="shared" si="34"/>
        <v>1</v>
      </c>
      <c r="AQ41">
        <f t="shared" si="35"/>
        <v>0.5</v>
      </c>
    </row>
    <row r="42" spans="2:43" x14ac:dyDescent="0.25">
      <c r="B42">
        <f t="shared" si="31"/>
        <v>0</v>
      </c>
      <c r="C42">
        <f t="shared" si="23"/>
        <v>0</v>
      </c>
      <c r="D42">
        <f t="shared" si="32"/>
        <v>0</v>
      </c>
      <c r="E42" s="36" t="e">
        <f>表2_546[[#This Row],[列3]]/$C$62</f>
        <v>#DIV/0!</v>
      </c>
      <c r="F42" t="s">
        <v>791</v>
      </c>
      <c r="G42" t="s">
        <v>1479</v>
      </c>
      <c r="H42" t="s">
        <v>1455</v>
      </c>
      <c r="J42" t="s">
        <v>1400</v>
      </c>
      <c r="U42">
        <f t="shared" si="25"/>
        <v>0</v>
      </c>
      <c r="V42" cm="1">
        <f t="array" ref="V42" xml:space="preserve"> IFERROR(VLOOKUP($A42,$A$86:$X$1000,MATCH(V$25,$A$87:$J$87,0), FALSE), 0) *
    (LEN($A42) &gt; 0)+SUMPRODUCT(
    IFERROR(VLOOKUP($G42:$T42, $B$87:$X$1000,MATCH(V$25,$B$87:$X$87,0), FALSE), 0) *
    (LEN($G42:$T42) &gt; 0)
)</f>
        <v>0</v>
      </c>
      <c r="W42" cm="1">
        <f t="array" ref="W42" xml:space="preserve"> IFERROR(VLOOKUP($A42,$A$86:$X$1000,MATCH(W$25,$A$87:$J$87,0), FALSE), 0) *
    (LEN($A42) &gt; 0)+SUMPRODUCT(
    IFERROR(VLOOKUP($G42:$T42, $B$87:$X$1000,MATCH(W$25,$B$87:$X$87,0), FALSE), 0) *
    (LEN($G42:$T42) &gt; 0)
)</f>
        <v>180</v>
      </c>
      <c r="X42">
        <f t="shared" si="26"/>
        <v>0</v>
      </c>
      <c r="Y42">
        <f t="shared" si="27"/>
        <v>180</v>
      </c>
      <c r="Z42">
        <f t="shared" si="28"/>
        <v>0</v>
      </c>
      <c r="AA42" cm="1">
        <f t="array" ref="AA42" xml:space="preserve"> IFERROR(VLOOKUP($A42,$A$86:$X$1000,MATCH(AA$25,$A$87:$J$87,0), FALSE), 0) *
    (LEN($A42) &gt; 0)+SUMPRODUCT(
    IFERROR(VLOOKUP($G42:$T42, $B$87:$X$1000,MATCH(AA$25,$B$87:$X$87,0), FALSE), 0) *
    (LEN($G42:$T42) &gt; 0)
)</f>
        <v>0.11</v>
      </c>
      <c r="AB42" cm="1">
        <f t="array" ref="AB42">1+SUMPRODUCT(
    IFERROR(VLOOKUP($G42:$T42, $B$87:$X$1000,MATCH(AB$25,$B$87:$X$87,0), FALSE), 0) *
    (LEN($G42:$T42) &gt; 0)
)+IFERROR(VLOOKUP($A42,$A$87:$X$1000,MATCH(AB$25,$A$87:$J$87,0), FALSE), 0) *
    (LEN($A42) &gt; 0)</f>
        <v>1</v>
      </c>
      <c r="AC42" cm="1">
        <f t="array" ref="AC42">1+SUMPRODUCT(
    IFERROR(VLOOKUP($G42:$T42, $B$87:$X$1000,MATCH(AC$25,$B$87:$X$87,0), FALSE), 0) *
    (LEN($G42:$T42) &gt; 0)
)</f>
        <v>1</v>
      </c>
      <c r="AD42" cm="1">
        <f t="array" ref="AD42">SUMPRODUCT(
    IFERROR(VLOOKUP($G42:$T42, $B$87:$X$1000,MATCH(AD$25,$B$87:$X$87,0), FALSE), 0) *
    (LEN($G42:$T42) &gt; 0)
)+IFERROR(VLOOKUP($A42,$A$88:$X$1000,MATCH(AD$25,$A$87:$X$87,0), FALSE), 0) *
    (LEN($A42) &gt; 0)</f>
        <v>1.1200000000000001</v>
      </c>
      <c r="AE42" cm="1">
        <f t="array" ref="AE42">SUMPRODUCT(
    IFERROR(VLOOKUP($G42:$T42, $B$87:$X$1000,MATCH(AE$25,$B$87:$X$87,0), FALSE), 0) *
    (LEN($G42:$T42) &gt; 0)
)+IFERROR(VLOOKUP($A42,$A$88:$X$1000,MATCH(AE$25,$A$87:$X$87,0), FALSE), 0) *
    (LEN($A42) &gt; 0)</f>
        <v>0</v>
      </c>
      <c r="AF42" cm="1">
        <f t="array" ref="AF42">SUMPRODUCT(
    IFERROR(VLOOKUP($G42:$T42, $B$87:$X$1000,MATCH(AF$25,$B$87:$X$87,0), FALSE), 0) *
    (LEN($G42:$T42) &gt; 0)
)+IFERROR(VLOOKUP($A42,$A$88:$X$1000,MATCH(AF$25,$A$87:$X$87,0), FALSE), 0) *
    (LEN($A42) &gt; 0)</f>
        <v>0</v>
      </c>
      <c r="AG42" cm="1">
        <f t="array" ref="AG42">SUMPRODUCT(
    IFERROR(VLOOKUP($G42:$T42, $B$87:$X$1000,MATCH(AG$25,$B$87:$X$87,0), FALSE), 0) *
    (LEN($G42:$T42) &gt; 0)
)+IFERROR(VLOOKUP($A42,$A$88:$X$1000,MATCH(AG$25,$A$87:$X$87,0), FALSE), 0) *
    (LEN($A42) &gt; 0)</f>
        <v>0</v>
      </c>
      <c r="AH42" cm="1">
        <f t="array" ref="AH42">SUMPRODUCT(
    IFERROR(VLOOKUP($G42:$T42, $B$87:$X$1000,MATCH(AH$25,$B$87:$X$87,0), FALSE), 0) *
    (LEN($G42:$T42) &gt; 0)
)+IFERROR(VLOOKUP($A42,$A$88:$X$1000,MATCH(AH$25,$A$87:$X$87,0), FALSE), 0) *
    (LEN($A42) &gt; 0)</f>
        <v>0</v>
      </c>
      <c r="AI42">
        <f t="shared" si="33"/>
        <v>2.12</v>
      </c>
      <c r="AJ42" cm="1">
        <f t="array" ref="AJ42">1+SUMPRODUCT(
    IFERROR(VLOOKUP($G42:$T42, $B$87:$X$1000,MATCH(AJ$25,$B$87:$X$87,0), FALSE), 0) *
    (LEN($G42:$T42) &gt; 0)
)</f>
        <v>1.3</v>
      </c>
      <c r="AK42" cm="1">
        <f t="array" ref="AK42">1+SUMPRODUCT(
    IFERROR(VLOOKUP($G42:$T42, $B$87:$X$1000,MATCH(AK$25,$B$87:$X$87,0), FALSE), 0) *
    (LEN($G42:$T42) &gt; 0)
)</f>
        <v>1</v>
      </c>
      <c r="AL42" cm="1">
        <f t="array" ref="AL42">1+SUMPRODUCT(
    IFERROR(VLOOKUP($G42:$T42, $B$87:$X$1000,MATCH(AL$25,$B$87:$X$87,0), FALSE), 0) *
    (LEN($G42:$T42) &gt; 0)
)</f>
        <v>1</v>
      </c>
      <c r="AM42" cm="1">
        <f t="array" ref="AM42">1+SUMPRODUCT(
    IFERROR(VLOOKUP($G42:$T42, $B$87:$X$1000,MATCH(AM$25,$B$87:$X$87,0), FALSE), 0) *
    (LEN($G42:$T42) &gt; 0)
)</f>
        <v>1</v>
      </c>
      <c r="AN42" cm="1">
        <f t="array" ref="AN42">1+SUMPRODUCT(
    IFERROR(VLOOKUP($G42:$T42, $B$87:$X$1000,MATCH(AN$25,$B$87:$X$87,0), FALSE), 0) *
    (LEN($G42:$T42) &gt; 0)
)</f>
        <v>1</v>
      </c>
      <c r="AO42">
        <f t="shared" si="34"/>
        <v>1</v>
      </c>
      <c r="AQ42">
        <f t="shared" si="35"/>
        <v>0.5</v>
      </c>
    </row>
    <row r="43" spans="2:43" x14ac:dyDescent="0.25">
      <c r="B43">
        <f t="shared" si="31"/>
        <v>0</v>
      </c>
      <c r="C43">
        <f t="shared" si="23"/>
        <v>0</v>
      </c>
      <c r="D43">
        <f t="shared" si="32"/>
        <v>0</v>
      </c>
      <c r="E43" s="36" t="e">
        <f>表2_546[[#This Row],[列3]]/$C$62</f>
        <v>#DIV/0!</v>
      </c>
      <c r="F43" t="s">
        <v>791</v>
      </c>
      <c r="G43" t="s">
        <v>1479</v>
      </c>
      <c r="H43" t="s">
        <v>1455</v>
      </c>
      <c r="J43" t="s">
        <v>1400</v>
      </c>
      <c r="U43">
        <f t="shared" si="25"/>
        <v>0</v>
      </c>
      <c r="V43" cm="1">
        <f t="array" ref="V43" xml:space="preserve"> IFERROR(VLOOKUP($A43,$A$86:$X$1000,MATCH(V$25,$A$87:$J$87,0), FALSE), 0) *
    (LEN($A43) &gt; 0)+SUMPRODUCT(
    IFERROR(VLOOKUP($G43:$T43, $B$87:$X$1000,MATCH(V$25,$B$87:$X$87,0), FALSE), 0) *
    (LEN($G43:$T43) &gt; 0)
)</f>
        <v>0</v>
      </c>
      <c r="W43" cm="1">
        <f t="array" ref="W43" xml:space="preserve"> IFERROR(VLOOKUP($A43,$A$86:$X$1000,MATCH(W$25,$A$87:$J$87,0), FALSE), 0) *
    (LEN($A43) &gt; 0)+SUMPRODUCT(
    IFERROR(VLOOKUP($G43:$T43, $B$87:$X$1000,MATCH(W$25,$B$87:$X$87,0), FALSE), 0) *
    (LEN($G43:$T43) &gt; 0)
)</f>
        <v>180</v>
      </c>
      <c r="X43">
        <f t="shared" si="26"/>
        <v>0</v>
      </c>
      <c r="Y43">
        <f t="shared" si="27"/>
        <v>180</v>
      </c>
      <c r="Z43">
        <f t="shared" si="28"/>
        <v>0</v>
      </c>
      <c r="AA43" cm="1">
        <f t="array" ref="AA43" xml:space="preserve"> IFERROR(VLOOKUP($A43,$A$86:$X$1000,MATCH(AA$25,$A$87:$J$87,0), FALSE), 0) *
    (LEN($A43) &gt; 0)+SUMPRODUCT(
    IFERROR(VLOOKUP($G43:$T43, $B$87:$X$1000,MATCH(AA$25,$B$87:$X$87,0), FALSE), 0) *
    (LEN($G43:$T43) &gt; 0)
)</f>
        <v>0.11</v>
      </c>
      <c r="AB43" cm="1">
        <f t="array" ref="AB43">1+SUMPRODUCT(
    IFERROR(VLOOKUP($G43:$T43, $B$87:$X$1000,MATCH(AB$25,$B$87:$X$87,0), FALSE), 0) *
    (LEN($G43:$T43) &gt; 0)
)+IFERROR(VLOOKUP($A43,$A$87:$X$1000,MATCH(AB$25,$A$87:$J$87,0), FALSE), 0) *
    (LEN($A43) &gt; 0)</f>
        <v>1</v>
      </c>
      <c r="AC43" cm="1">
        <f t="array" ref="AC43">1+SUMPRODUCT(
    IFERROR(VLOOKUP($G43:$T43, $B$87:$X$1000,MATCH(AC$25,$B$87:$X$87,0), FALSE), 0) *
    (LEN($G43:$T43) &gt; 0)
)</f>
        <v>1</v>
      </c>
      <c r="AD43" cm="1">
        <f t="array" ref="AD43">SUMPRODUCT(
    IFERROR(VLOOKUP($G43:$T43, $B$87:$X$1000,MATCH(AD$25,$B$87:$X$87,0), FALSE), 0) *
    (LEN($G43:$T43) &gt; 0)
)+IFERROR(VLOOKUP($A43,$A$88:$X$1000,MATCH(AD$25,$A$87:$X$87,0), FALSE), 0) *
    (LEN($A43) &gt; 0)</f>
        <v>1.1200000000000001</v>
      </c>
      <c r="AE43" cm="1">
        <f t="array" ref="AE43">SUMPRODUCT(
    IFERROR(VLOOKUP($G43:$T43, $B$87:$X$1000,MATCH(AE$25,$B$87:$X$87,0), FALSE), 0) *
    (LEN($G43:$T43) &gt; 0)
)+IFERROR(VLOOKUP($A43,$A$88:$X$1000,MATCH(AE$25,$A$87:$X$87,0), FALSE), 0) *
    (LEN($A43) &gt; 0)</f>
        <v>0</v>
      </c>
      <c r="AF43" cm="1">
        <f t="array" ref="AF43">SUMPRODUCT(
    IFERROR(VLOOKUP($G43:$T43, $B$87:$X$1000,MATCH(AF$25,$B$87:$X$87,0), FALSE), 0) *
    (LEN($G43:$T43) &gt; 0)
)+IFERROR(VLOOKUP($A43,$A$88:$X$1000,MATCH(AF$25,$A$87:$X$87,0), FALSE), 0) *
    (LEN($A43) &gt; 0)</f>
        <v>0</v>
      </c>
      <c r="AG43" cm="1">
        <f t="array" ref="AG43">SUMPRODUCT(
    IFERROR(VLOOKUP($G43:$T43, $B$87:$X$1000,MATCH(AG$25,$B$87:$X$87,0), FALSE), 0) *
    (LEN($G43:$T43) &gt; 0)
)+IFERROR(VLOOKUP($A43,$A$88:$X$1000,MATCH(AG$25,$A$87:$X$87,0), FALSE), 0) *
    (LEN($A43) &gt; 0)</f>
        <v>0</v>
      </c>
      <c r="AH43" cm="1">
        <f t="array" ref="AH43">SUMPRODUCT(
    IFERROR(VLOOKUP($G43:$T43, $B$87:$X$1000,MATCH(AH$25,$B$87:$X$87,0), FALSE), 0) *
    (LEN($G43:$T43) &gt; 0)
)+IFERROR(VLOOKUP($A43,$A$88:$X$1000,MATCH(AH$25,$A$87:$X$87,0), FALSE), 0) *
    (LEN($A43) &gt; 0)</f>
        <v>0</v>
      </c>
      <c r="AI43">
        <f t="shared" si="33"/>
        <v>2.12</v>
      </c>
      <c r="AJ43" cm="1">
        <f t="array" ref="AJ43">1+SUMPRODUCT(
    IFERROR(VLOOKUP($G43:$T43, $B$87:$X$1000,MATCH(AJ$25,$B$87:$X$87,0), FALSE), 0) *
    (LEN($G43:$T43) &gt; 0)
)</f>
        <v>1.3</v>
      </c>
      <c r="AK43" cm="1">
        <f t="array" ref="AK43">1+SUMPRODUCT(
    IFERROR(VLOOKUP($G43:$T43, $B$87:$X$1000,MATCH(AK$25,$B$87:$X$87,0), FALSE), 0) *
    (LEN($G43:$T43) &gt; 0)
)</f>
        <v>1</v>
      </c>
      <c r="AL43" cm="1">
        <f t="array" ref="AL43">1+SUMPRODUCT(
    IFERROR(VLOOKUP($G43:$T43, $B$87:$X$1000,MATCH(AL$25,$B$87:$X$87,0), FALSE), 0) *
    (LEN($G43:$T43) &gt; 0)
)</f>
        <v>1</v>
      </c>
      <c r="AM43" cm="1">
        <f t="array" ref="AM43">1+SUMPRODUCT(
    IFERROR(VLOOKUP($G43:$T43, $B$87:$X$1000,MATCH(AM$25,$B$87:$X$87,0), FALSE), 0) *
    (LEN($G43:$T43) &gt; 0)
)</f>
        <v>1</v>
      </c>
      <c r="AN43" cm="1">
        <f t="array" ref="AN43">1+SUMPRODUCT(
    IFERROR(VLOOKUP($G43:$T43, $B$87:$X$1000,MATCH(AN$25,$B$87:$X$87,0), FALSE), 0) *
    (LEN($G43:$T43) &gt; 0)
)</f>
        <v>1</v>
      </c>
      <c r="AO43">
        <f t="shared" si="34"/>
        <v>1</v>
      </c>
      <c r="AQ43">
        <f t="shared" si="35"/>
        <v>0.5</v>
      </c>
    </row>
    <row r="44" spans="2:43" x14ac:dyDescent="0.25">
      <c r="B44">
        <f t="shared" si="31"/>
        <v>0</v>
      </c>
      <c r="C44">
        <f t="shared" si="23"/>
        <v>0</v>
      </c>
      <c r="D44">
        <f t="shared" si="32"/>
        <v>0</v>
      </c>
      <c r="E44" s="36" t="e">
        <f>表2_546[[#This Row],[列3]]/$C$62</f>
        <v>#DIV/0!</v>
      </c>
      <c r="F44" t="s">
        <v>791</v>
      </c>
      <c r="G44" t="s">
        <v>1479</v>
      </c>
      <c r="H44" t="s">
        <v>1455</v>
      </c>
      <c r="J44" t="s">
        <v>1400</v>
      </c>
      <c r="U44">
        <f t="shared" si="25"/>
        <v>0</v>
      </c>
      <c r="V44" cm="1">
        <f t="array" ref="V44" xml:space="preserve"> IFERROR(VLOOKUP($A44,$A$86:$X$1000,MATCH(V$25,$A$87:$J$87,0), FALSE), 0) *
    (LEN($A44) &gt; 0)+SUMPRODUCT(
    IFERROR(VLOOKUP($G44:$T44, $B$87:$X$1000,MATCH(V$25,$B$87:$X$87,0), FALSE), 0) *
    (LEN($G44:$T44) &gt; 0)
)</f>
        <v>0</v>
      </c>
      <c r="W44" cm="1">
        <f t="array" ref="W44" xml:space="preserve"> IFERROR(VLOOKUP($A44,$A$86:$X$1000,MATCH(W$25,$A$87:$J$87,0), FALSE), 0) *
    (LEN($A44) &gt; 0)+SUMPRODUCT(
    IFERROR(VLOOKUP($G44:$T44, $B$87:$X$1000,MATCH(W$25,$B$87:$X$87,0), FALSE), 0) *
    (LEN($G44:$T44) &gt; 0)
)</f>
        <v>180</v>
      </c>
      <c r="X44">
        <f t="shared" si="26"/>
        <v>0</v>
      </c>
      <c r="Y44">
        <f t="shared" si="27"/>
        <v>180</v>
      </c>
      <c r="Z44">
        <f t="shared" si="28"/>
        <v>0</v>
      </c>
      <c r="AA44" cm="1">
        <f t="array" ref="AA44" xml:space="preserve"> IFERROR(VLOOKUP($A44,$A$86:$X$1000,MATCH(AA$25,$A$87:$J$87,0), FALSE), 0) *
    (LEN($A44) &gt; 0)+SUMPRODUCT(
    IFERROR(VLOOKUP($G44:$T44, $B$87:$X$1000,MATCH(AA$25,$B$87:$X$87,0), FALSE), 0) *
    (LEN($G44:$T44) &gt; 0)
)</f>
        <v>0.11</v>
      </c>
      <c r="AB44" cm="1">
        <f t="array" ref="AB44">1+SUMPRODUCT(
    IFERROR(VLOOKUP($G44:$T44, $B$87:$X$1000,MATCH(AB$25,$B$87:$X$87,0), FALSE), 0) *
    (LEN($G44:$T44) &gt; 0)
)+IFERROR(VLOOKUP($A44,$A$87:$X$1000,MATCH(AB$25,$A$87:$J$87,0), FALSE), 0) *
    (LEN($A44) &gt; 0)</f>
        <v>1</v>
      </c>
      <c r="AC44" cm="1">
        <f t="array" ref="AC44">1+SUMPRODUCT(
    IFERROR(VLOOKUP($G44:$T44, $B$87:$X$1000,MATCH(AC$25,$B$87:$X$87,0), FALSE), 0) *
    (LEN($G44:$T44) &gt; 0)
)</f>
        <v>1</v>
      </c>
      <c r="AD44" cm="1">
        <f t="array" ref="AD44">SUMPRODUCT(
    IFERROR(VLOOKUP($G44:$T44, $B$87:$X$1000,MATCH(AD$25,$B$87:$X$87,0), FALSE), 0) *
    (LEN($G44:$T44) &gt; 0)
)+IFERROR(VLOOKUP($A44,$A$88:$X$1000,MATCH(AD$25,$A$87:$X$87,0), FALSE), 0) *
    (LEN($A44) &gt; 0)</f>
        <v>1.1200000000000001</v>
      </c>
      <c r="AE44" cm="1">
        <f t="array" ref="AE44">SUMPRODUCT(
    IFERROR(VLOOKUP($G44:$T44, $B$87:$X$1000,MATCH(AE$25,$B$87:$X$87,0), FALSE), 0) *
    (LEN($G44:$T44) &gt; 0)
)+IFERROR(VLOOKUP($A44,$A$88:$X$1000,MATCH(AE$25,$A$87:$X$87,0), FALSE), 0) *
    (LEN($A44) &gt; 0)</f>
        <v>0</v>
      </c>
      <c r="AF44" cm="1">
        <f t="array" ref="AF44">SUMPRODUCT(
    IFERROR(VLOOKUP($G44:$T44, $B$87:$X$1000,MATCH(AF$25,$B$87:$X$87,0), FALSE), 0) *
    (LEN($G44:$T44) &gt; 0)
)+IFERROR(VLOOKUP($A44,$A$88:$X$1000,MATCH(AF$25,$A$87:$X$87,0), FALSE), 0) *
    (LEN($A44) &gt; 0)</f>
        <v>0</v>
      </c>
      <c r="AG44" cm="1">
        <f t="array" ref="AG44">SUMPRODUCT(
    IFERROR(VLOOKUP($G44:$T44, $B$87:$X$1000,MATCH(AG$25,$B$87:$X$87,0), FALSE), 0) *
    (LEN($G44:$T44) &gt; 0)
)+IFERROR(VLOOKUP($A44,$A$88:$X$1000,MATCH(AG$25,$A$87:$X$87,0), FALSE), 0) *
    (LEN($A44) &gt; 0)</f>
        <v>0</v>
      </c>
      <c r="AH44" cm="1">
        <f t="array" ref="AH44">SUMPRODUCT(
    IFERROR(VLOOKUP($G44:$T44, $B$87:$X$1000,MATCH(AH$25,$B$87:$X$87,0), FALSE), 0) *
    (LEN($G44:$T44) &gt; 0)
)+IFERROR(VLOOKUP($A44,$A$88:$X$1000,MATCH(AH$25,$A$87:$X$87,0), FALSE), 0) *
    (LEN($A44) &gt; 0)</f>
        <v>0</v>
      </c>
      <c r="AI44">
        <f t="shared" si="33"/>
        <v>2.12</v>
      </c>
      <c r="AJ44" cm="1">
        <f t="array" ref="AJ44">1+SUMPRODUCT(
    IFERROR(VLOOKUP($G44:$T44, $B$87:$X$1000,MATCH(AJ$25,$B$87:$X$87,0), FALSE), 0) *
    (LEN($G44:$T44) &gt; 0)
)</f>
        <v>1.3</v>
      </c>
      <c r="AK44" cm="1">
        <f t="array" ref="AK44">1+SUMPRODUCT(
    IFERROR(VLOOKUP($G44:$T44, $B$87:$X$1000,MATCH(AK$25,$B$87:$X$87,0), FALSE), 0) *
    (LEN($G44:$T44) &gt; 0)
)</f>
        <v>1</v>
      </c>
      <c r="AL44" cm="1">
        <f t="array" ref="AL44">1+SUMPRODUCT(
    IFERROR(VLOOKUP($G44:$T44, $B$87:$X$1000,MATCH(AL$25,$B$87:$X$87,0), FALSE), 0) *
    (LEN($G44:$T44) &gt; 0)
)</f>
        <v>1</v>
      </c>
      <c r="AM44" cm="1">
        <f t="array" ref="AM44">1+SUMPRODUCT(
    IFERROR(VLOOKUP($G44:$T44, $B$87:$X$1000,MATCH(AM$25,$B$87:$X$87,0), FALSE), 0) *
    (LEN($G44:$T44) &gt; 0)
)</f>
        <v>1</v>
      </c>
      <c r="AN44" cm="1">
        <f t="array" ref="AN44">1+SUMPRODUCT(
    IFERROR(VLOOKUP($G44:$T44, $B$87:$X$1000,MATCH(AN$25,$B$87:$X$87,0), FALSE), 0) *
    (LEN($G44:$T44) &gt; 0)
)</f>
        <v>1</v>
      </c>
      <c r="AO44">
        <f t="shared" si="34"/>
        <v>1</v>
      </c>
      <c r="AQ44">
        <f t="shared" si="35"/>
        <v>0.5</v>
      </c>
    </row>
    <row r="45" spans="2:43" x14ac:dyDescent="0.25">
      <c r="B45">
        <f t="shared" si="31"/>
        <v>0</v>
      </c>
      <c r="C45">
        <f t="shared" si="23"/>
        <v>0</v>
      </c>
      <c r="D45">
        <f t="shared" si="32"/>
        <v>0</v>
      </c>
      <c r="E45" s="36" t="e">
        <f>表2_546[[#This Row],[列3]]/$C$62</f>
        <v>#DIV/0!</v>
      </c>
      <c r="F45" t="s">
        <v>791</v>
      </c>
      <c r="G45" t="s">
        <v>1479</v>
      </c>
      <c r="H45" t="s">
        <v>1455</v>
      </c>
      <c r="U45">
        <f t="shared" si="25"/>
        <v>0</v>
      </c>
      <c r="V45" cm="1">
        <f t="array" ref="V45" xml:space="preserve"> IFERROR(VLOOKUP($A45,$A$86:$X$1000,MATCH(V$25,$A$87:$J$87,0), FALSE), 0) *
    (LEN($A45) &gt; 0)+SUMPRODUCT(
    IFERROR(VLOOKUP($G45:$T45, $B$87:$X$1000,MATCH(V$25,$B$87:$X$87,0), FALSE), 0) *
    (LEN($G45:$T45) &gt; 0)
)</f>
        <v>0</v>
      </c>
      <c r="W45" cm="1">
        <f t="array" ref="W45" xml:space="preserve"> IFERROR(VLOOKUP($A45,$A$86:$X$1000,MATCH(W$25,$A$87:$J$87,0), FALSE), 0) *
    (LEN($A45) &gt; 0)+SUMPRODUCT(
    IFERROR(VLOOKUP($G45:$T45, $B$87:$X$1000,MATCH(W$25,$B$87:$X$87,0), FALSE), 0) *
    (LEN($G45:$T45) &gt; 0)
)</f>
        <v>180</v>
      </c>
      <c r="X45">
        <f t="shared" si="26"/>
        <v>0</v>
      </c>
      <c r="Y45">
        <f t="shared" si="27"/>
        <v>180</v>
      </c>
      <c r="Z45">
        <f t="shared" si="28"/>
        <v>0</v>
      </c>
      <c r="AA45" cm="1">
        <f t="array" ref="AA45" xml:space="preserve"> IFERROR(VLOOKUP($A45,$A$86:$X$1000,MATCH(AA$25,$A$87:$J$87,0), FALSE), 0) *
    (LEN($A45) &gt; 0)+SUMPRODUCT(
    IFERROR(VLOOKUP($G45:$T45, $B$87:$X$1000,MATCH(AA$25,$B$87:$X$87,0), FALSE), 0) *
    (LEN($G45:$T45) &gt; 0)
)</f>
        <v>0.11</v>
      </c>
      <c r="AB45" cm="1">
        <f t="array" ref="AB45">1+SUMPRODUCT(
    IFERROR(VLOOKUP($G45:$T45, $B$87:$X$1000,MATCH(AB$25,$B$87:$X$87,0), FALSE), 0) *
    (LEN($G45:$T45) &gt; 0)
)+IFERROR(VLOOKUP($A45,$A$87:$X$1000,MATCH(AB$25,$A$87:$J$87,0), FALSE), 0) *
    (LEN($A45) &gt; 0)</f>
        <v>1</v>
      </c>
      <c r="AC45" cm="1">
        <f t="array" ref="AC45">1+SUMPRODUCT(
    IFERROR(VLOOKUP($G45:$T45, $B$87:$X$1000,MATCH(AC$25,$B$87:$X$87,0), FALSE), 0) *
    (LEN($G45:$T45) &gt; 0)
)</f>
        <v>1</v>
      </c>
      <c r="AD45" cm="1">
        <f t="array" ref="AD45">SUMPRODUCT(
    IFERROR(VLOOKUP($G45:$T45, $B$87:$X$1000,MATCH(AD$25,$B$87:$X$87,0), FALSE), 0) *
    (LEN($G45:$T45) &gt; 0)
)+IFERROR(VLOOKUP($A45,$A$88:$X$1000,MATCH(AD$25,$A$87:$X$87,0), FALSE), 0) *
    (LEN($A45) &gt; 0)</f>
        <v>0</v>
      </c>
      <c r="AE45" cm="1">
        <f t="array" ref="AE45">SUMPRODUCT(
    IFERROR(VLOOKUP($G45:$T45, $B$87:$X$1000,MATCH(AE$25,$B$87:$X$87,0), FALSE), 0) *
    (LEN($G45:$T45) &gt; 0)
)+IFERROR(VLOOKUP($A45,$A$88:$X$1000,MATCH(AE$25,$A$87:$X$87,0), FALSE), 0) *
    (LEN($A45) &gt; 0)</f>
        <v>0</v>
      </c>
      <c r="AF45" cm="1">
        <f t="array" ref="AF45">SUMPRODUCT(
    IFERROR(VLOOKUP($G45:$T45, $B$87:$X$1000,MATCH(AF$25,$B$87:$X$87,0), FALSE), 0) *
    (LEN($G45:$T45) &gt; 0)
)+IFERROR(VLOOKUP($A45,$A$88:$X$1000,MATCH(AF$25,$A$87:$X$87,0), FALSE), 0) *
    (LEN($A45) &gt; 0)</f>
        <v>0</v>
      </c>
      <c r="AG45" cm="1">
        <f t="array" ref="AG45">SUMPRODUCT(
    IFERROR(VLOOKUP($G45:$T45, $B$87:$X$1000,MATCH(AG$25,$B$87:$X$87,0), FALSE), 0) *
    (LEN($G45:$T45) &gt; 0)
)+IFERROR(VLOOKUP($A45,$A$88:$X$1000,MATCH(AG$25,$A$87:$X$87,0), FALSE), 0) *
    (LEN($A45) &gt; 0)</f>
        <v>0</v>
      </c>
      <c r="AH45" cm="1">
        <f t="array" ref="AH45">SUMPRODUCT(
    IFERROR(VLOOKUP($G45:$T45, $B$87:$X$1000,MATCH(AH$25,$B$87:$X$87,0), FALSE), 0) *
    (LEN($G45:$T45) &gt; 0)
)+IFERROR(VLOOKUP($A45,$A$88:$X$1000,MATCH(AH$25,$A$87:$X$87,0), FALSE), 0) *
    (LEN($A45) &gt; 0)</f>
        <v>0</v>
      </c>
      <c r="AI45">
        <f t="shared" si="33"/>
        <v>1</v>
      </c>
      <c r="AJ45" cm="1">
        <f t="array" ref="AJ45">1+SUMPRODUCT(
    IFERROR(VLOOKUP($G45:$T45, $B$87:$X$1000,MATCH(AJ$25,$B$87:$X$87,0), FALSE), 0) *
    (LEN($G45:$T45) &gt; 0)
)</f>
        <v>1.3</v>
      </c>
      <c r="AK45" cm="1">
        <f t="array" ref="AK45">1+SUMPRODUCT(
    IFERROR(VLOOKUP($G45:$T45, $B$87:$X$1000,MATCH(AK$25,$B$87:$X$87,0), FALSE), 0) *
    (LEN($G45:$T45) &gt; 0)
)</f>
        <v>1</v>
      </c>
      <c r="AL45" cm="1">
        <f t="array" ref="AL45">1+SUMPRODUCT(
    IFERROR(VLOOKUP($G45:$T45, $B$87:$X$1000,MATCH(AL$25,$B$87:$X$87,0), FALSE), 0) *
    (LEN($G45:$T45) &gt; 0)
)</f>
        <v>1</v>
      </c>
      <c r="AM45" cm="1">
        <f t="array" ref="AM45">1+SUMPRODUCT(
    IFERROR(VLOOKUP($G45:$T45, $B$87:$X$1000,MATCH(AM$25,$B$87:$X$87,0), FALSE), 0) *
    (LEN($G45:$T45) &gt; 0)
)</f>
        <v>1</v>
      </c>
      <c r="AN45" cm="1">
        <f t="array" ref="AN45">1+SUMPRODUCT(
    IFERROR(VLOOKUP($G45:$T45, $B$87:$X$1000,MATCH(AN$25,$B$87:$X$87,0), FALSE), 0) *
    (LEN($G45:$T45) &gt; 0)
)</f>
        <v>1</v>
      </c>
      <c r="AO45">
        <f t="shared" si="34"/>
        <v>1</v>
      </c>
      <c r="AQ45">
        <f t="shared" si="35"/>
        <v>0.5</v>
      </c>
    </row>
    <row r="46" spans="2:43" x14ac:dyDescent="0.25">
      <c r="B46">
        <f t="shared" si="31"/>
        <v>0</v>
      </c>
      <c r="C46">
        <f t="shared" si="23"/>
        <v>0</v>
      </c>
      <c r="D46">
        <f t="shared" si="32"/>
        <v>0</v>
      </c>
      <c r="E46" s="36" t="e">
        <f>表2_546[[#This Row],[列3]]/$C$62</f>
        <v>#DIV/0!</v>
      </c>
      <c r="F46" t="s">
        <v>791</v>
      </c>
      <c r="G46" t="s">
        <v>1479</v>
      </c>
      <c r="H46" t="s">
        <v>1455</v>
      </c>
      <c r="U46">
        <f t="shared" si="25"/>
        <v>0</v>
      </c>
      <c r="V46" cm="1">
        <f t="array" ref="V46" xml:space="preserve"> IFERROR(VLOOKUP($A46,$A$86:$X$1000,MATCH(V$25,$A$87:$J$87,0), FALSE), 0) *
    (LEN($A46) &gt; 0)+SUMPRODUCT(
    IFERROR(VLOOKUP($G46:$T46, $B$87:$X$1000,MATCH(V$25,$B$87:$X$87,0), FALSE), 0) *
    (LEN($G46:$T46) &gt; 0)
)</f>
        <v>0</v>
      </c>
      <c r="W46" cm="1">
        <f t="array" ref="W46" xml:space="preserve"> IFERROR(VLOOKUP($A46,$A$86:$X$1000,MATCH(W$25,$A$87:$J$87,0), FALSE), 0) *
    (LEN($A46) &gt; 0)+SUMPRODUCT(
    IFERROR(VLOOKUP($G46:$T46, $B$87:$X$1000,MATCH(W$25,$B$87:$X$87,0), FALSE), 0) *
    (LEN($G46:$T46) &gt; 0)
)</f>
        <v>180</v>
      </c>
      <c r="X46">
        <f t="shared" si="26"/>
        <v>0</v>
      </c>
      <c r="Y46">
        <f t="shared" si="27"/>
        <v>180</v>
      </c>
      <c r="Z46">
        <f t="shared" si="28"/>
        <v>0</v>
      </c>
      <c r="AA46" cm="1">
        <f t="array" ref="AA46" xml:space="preserve"> IFERROR(VLOOKUP($A46,$A$86:$X$1000,MATCH(AA$25,$A$87:$J$87,0), FALSE), 0) *
    (LEN($A46) &gt; 0)+SUMPRODUCT(
    IFERROR(VLOOKUP($G46:$T46, $B$87:$X$1000,MATCH(AA$25,$B$87:$X$87,0), FALSE), 0) *
    (LEN($G46:$T46) &gt; 0)
)</f>
        <v>0.11</v>
      </c>
      <c r="AB46" cm="1">
        <f t="array" ref="AB46">1+SUMPRODUCT(
    IFERROR(VLOOKUP($G46:$T46, $B$87:$X$1000,MATCH(AB$25,$B$87:$X$87,0), FALSE), 0) *
    (LEN($G46:$T46) &gt; 0)
)+IFERROR(VLOOKUP($A46,$A$87:$X$1000,MATCH(AB$25,$A$87:$J$87,0), FALSE), 0) *
    (LEN($A46) &gt; 0)</f>
        <v>1</v>
      </c>
      <c r="AC46" cm="1">
        <f t="array" ref="AC46">1+SUMPRODUCT(
    IFERROR(VLOOKUP($G46:$T46, $B$87:$X$1000,MATCH(AC$25,$B$87:$X$87,0), FALSE), 0) *
    (LEN($G46:$T46) &gt; 0)
)</f>
        <v>1</v>
      </c>
      <c r="AD46" cm="1">
        <f t="array" ref="AD46">SUMPRODUCT(
    IFERROR(VLOOKUP($G46:$T46, $B$87:$X$1000,MATCH(AD$25,$B$87:$X$87,0), FALSE), 0) *
    (LEN($G46:$T46) &gt; 0)
)+IFERROR(VLOOKUP($A46,$A$88:$X$1000,MATCH(AD$25,$A$87:$X$87,0), FALSE), 0) *
    (LEN($A46) &gt; 0)</f>
        <v>0</v>
      </c>
      <c r="AE46" cm="1">
        <f t="array" ref="AE46">SUMPRODUCT(
    IFERROR(VLOOKUP($G46:$T46, $B$87:$X$1000,MATCH(AE$25,$B$87:$X$87,0), FALSE), 0) *
    (LEN($G46:$T46) &gt; 0)
)+IFERROR(VLOOKUP($A46,$A$88:$X$1000,MATCH(AE$25,$A$87:$X$87,0), FALSE), 0) *
    (LEN($A46) &gt; 0)</f>
        <v>0</v>
      </c>
      <c r="AF46" cm="1">
        <f t="array" ref="AF46">SUMPRODUCT(
    IFERROR(VLOOKUP($G46:$T46, $B$87:$X$1000,MATCH(AF$25,$B$87:$X$87,0), FALSE), 0) *
    (LEN($G46:$T46) &gt; 0)
)+IFERROR(VLOOKUP($A46,$A$88:$X$1000,MATCH(AF$25,$A$87:$X$87,0), FALSE), 0) *
    (LEN($A46) &gt; 0)</f>
        <v>0</v>
      </c>
      <c r="AG46" cm="1">
        <f t="array" ref="AG46">SUMPRODUCT(
    IFERROR(VLOOKUP($G46:$T46, $B$87:$X$1000,MATCH(AG$25,$B$87:$X$87,0), FALSE), 0) *
    (LEN($G46:$T46) &gt; 0)
)+IFERROR(VLOOKUP($A46,$A$88:$X$1000,MATCH(AG$25,$A$87:$X$87,0), FALSE), 0) *
    (LEN($A46) &gt; 0)</f>
        <v>0</v>
      </c>
      <c r="AH46" cm="1">
        <f t="array" ref="AH46">SUMPRODUCT(
    IFERROR(VLOOKUP($G46:$T46, $B$87:$X$1000,MATCH(AH$25,$B$87:$X$87,0), FALSE), 0) *
    (LEN($G46:$T46) &gt; 0)
)+IFERROR(VLOOKUP($A46,$A$88:$X$1000,MATCH(AH$25,$A$87:$X$87,0), FALSE), 0) *
    (LEN($A46) &gt; 0)</f>
        <v>0</v>
      </c>
      <c r="AI46">
        <f t="shared" si="33"/>
        <v>1</v>
      </c>
      <c r="AJ46" cm="1">
        <f t="array" ref="AJ46">1+SUMPRODUCT(
    IFERROR(VLOOKUP($G46:$T46, $B$87:$X$1000,MATCH(AJ$25,$B$87:$X$87,0), FALSE), 0) *
    (LEN($G46:$T46) &gt; 0)
)</f>
        <v>1.3</v>
      </c>
      <c r="AK46" cm="1">
        <f t="array" ref="AK46">1+SUMPRODUCT(
    IFERROR(VLOOKUP($G46:$T46, $B$87:$X$1000,MATCH(AK$25,$B$87:$X$87,0), FALSE), 0) *
    (LEN($G46:$T46) &gt; 0)
)</f>
        <v>1</v>
      </c>
      <c r="AL46" cm="1">
        <f t="array" ref="AL46">1+SUMPRODUCT(
    IFERROR(VLOOKUP($G46:$T46, $B$87:$X$1000,MATCH(AL$25,$B$87:$X$87,0), FALSE), 0) *
    (LEN($G46:$T46) &gt; 0)
)</f>
        <v>1</v>
      </c>
      <c r="AM46" cm="1">
        <f t="array" ref="AM46">1+SUMPRODUCT(
    IFERROR(VLOOKUP($G46:$T46, $B$87:$X$1000,MATCH(AM$25,$B$87:$X$87,0), FALSE), 0) *
    (LEN($G46:$T46) &gt; 0)
)</f>
        <v>1</v>
      </c>
      <c r="AN46" cm="1">
        <f t="array" ref="AN46">1+SUMPRODUCT(
    IFERROR(VLOOKUP($G46:$T46, $B$87:$X$1000,MATCH(AN$25,$B$87:$X$87,0), FALSE), 0) *
    (LEN($G46:$T46) &gt; 0)
)</f>
        <v>1</v>
      </c>
      <c r="AO46">
        <f t="shared" si="34"/>
        <v>1</v>
      </c>
      <c r="AQ46">
        <f t="shared" si="35"/>
        <v>0.5</v>
      </c>
    </row>
    <row r="47" spans="2:43" x14ac:dyDescent="0.25">
      <c r="B47">
        <f t="shared" si="31"/>
        <v>0</v>
      </c>
      <c r="C47">
        <f t="shared" si="23"/>
        <v>0</v>
      </c>
      <c r="D47">
        <f t="shared" si="32"/>
        <v>0</v>
      </c>
      <c r="E47" s="36" t="e">
        <f>表2_546[[#This Row],[列3]]/$C$62</f>
        <v>#DIV/0!</v>
      </c>
      <c r="F47" t="s">
        <v>791</v>
      </c>
      <c r="G47" t="s">
        <v>1479</v>
      </c>
      <c r="H47" t="s">
        <v>1455</v>
      </c>
      <c r="U47">
        <f t="shared" si="25"/>
        <v>0</v>
      </c>
      <c r="V47" cm="1">
        <f t="array" ref="V47" xml:space="preserve"> IFERROR(VLOOKUP($A47,$A$86:$X$1000,MATCH(V$25,$A$87:$J$87,0), FALSE), 0) *
    (LEN($A47) &gt; 0)+SUMPRODUCT(
    IFERROR(VLOOKUP($G47:$T47, $B$87:$X$1000,MATCH(V$25,$B$87:$X$87,0), FALSE), 0) *
    (LEN($G47:$T47) &gt; 0)
)</f>
        <v>0</v>
      </c>
      <c r="W47" cm="1">
        <f t="array" ref="W47" xml:space="preserve"> IFERROR(VLOOKUP($A47,$A$86:$X$1000,MATCH(W$25,$A$87:$J$87,0), FALSE), 0) *
    (LEN($A47) &gt; 0)+SUMPRODUCT(
    IFERROR(VLOOKUP($G47:$T47, $B$87:$X$1000,MATCH(W$25,$B$87:$X$87,0), FALSE), 0) *
    (LEN($G47:$T47) &gt; 0)
)</f>
        <v>180</v>
      </c>
      <c r="X47">
        <f t="shared" si="26"/>
        <v>0</v>
      </c>
      <c r="Y47">
        <f t="shared" si="27"/>
        <v>180</v>
      </c>
      <c r="Z47">
        <f t="shared" si="28"/>
        <v>0</v>
      </c>
      <c r="AA47" cm="1">
        <f t="array" ref="AA47" xml:space="preserve"> IFERROR(VLOOKUP($A47,$A$86:$X$1000,MATCH(AA$25,$A$87:$J$87,0), FALSE), 0) *
    (LEN($A47) &gt; 0)+SUMPRODUCT(
    IFERROR(VLOOKUP($G47:$T47, $B$87:$X$1000,MATCH(AA$25,$B$87:$X$87,0), FALSE), 0) *
    (LEN($G47:$T47) &gt; 0)
)</f>
        <v>0.11</v>
      </c>
      <c r="AB47" cm="1">
        <f t="array" ref="AB47">1+SUMPRODUCT(
    IFERROR(VLOOKUP($G47:$T47, $B$87:$X$1000,MATCH(AB$25,$B$87:$X$87,0), FALSE), 0) *
    (LEN($G47:$T47) &gt; 0)
)+IFERROR(VLOOKUP($A47,$A$87:$X$1000,MATCH(AB$25,$A$87:$J$87,0), FALSE), 0) *
    (LEN($A47) &gt; 0)</f>
        <v>1</v>
      </c>
      <c r="AC47" cm="1">
        <f t="array" ref="AC47">1+SUMPRODUCT(
    IFERROR(VLOOKUP($G47:$T47, $B$87:$X$1000,MATCH(AC$25,$B$87:$X$87,0), FALSE), 0) *
    (LEN($G47:$T47) &gt; 0)
)</f>
        <v>1</v>
      </c>
      <c r="AD47" cm="1">
        <f t="array" ref="AD47">SUMPRODUCT(
    IFERROR(VLOOKUP($G47:$T47, $B$87:$X$1000,MATCH(AD$25,$B$87:$X$87,0), FALSE), 0) *
    (LEN($G47:$T47) &gt; 0)
)+IFERROR(VLOOKUP($A47,$A$88:$X$1000,MATCH(AD$25,$A$87:$X$87,0), FALSE), 0) *
    (LEN($A47) &gt; 0)</f>
        <v>0</v>
      </c>
      <c r="AE47" cm="1">
        <f t="array" ref="AE47">SUMPRODUCT(
    IFERROR(VLOOKUP($G47:$T47, $B$87:$X$1000,MATCH(AE$25,$B$87:$X$87,0), FALSE), 0) *
    (LEN($G47:$T47) &gt; 0)
)+IFERROR(VLOOKUP($A47,$A$88:$X$1000,MATCH(AE$25,$A$87:$X$87,0), FALSE), 0) *
    (LEN($A47) &gt; 0)</f>
        <v>0</v>
      </c>
      <c r="AF47" cm="1">
        <f t="array" ref="AF47">SUMPRODUCT(
    IFERROR(VLOOKUP($G47:$T47, $B$87:$X$1000,MATCH(AF$25,$B$87:$X$87,0), FALSE), 0) *
    (LEN($G47:$T47) &gt; 0)
)+IFERROR(VLOOKUP($A47,$A$88:$X$1000,MATCH(AF$25,$A$87:$X$87,0), FALSE), 0) *
    (LEN($A47) &gt; 0)</f>
        <v>0</v>
      </c>
      <c r="AG47" cm="1">
        <f t="array" ref="AG47">SUMPRODUCT(
    IFERROR(VLOOKUP($G47:$T47, $B$87:$X$1000,MATCH(AG$25,$B$87:$X$87,0), FALSE), 0) *
    (LEN($G47:$T47) &gt; 0)
)+IFERROR(VLOOKUP($A47,$A$88:$X$1000,MATCH(AG$25,$A$87:$X$87,0), FALSE), 0) *
    (LEN($A47) &gt; 0)</f>
        <v>0</v>
      </c>
      <c r="AH47" cm="1">
        <f t="array" ref="AH47">SUMPRODUCT(
    IFERROR(VLOOKUP($G47:$T47, $B$87:$X$1000,MATCH(AH$25,$B$87:$X$87,0), FALSE), 0) *
    (LEN($G47:$T47) &gt; 0)
)+IFERROR(VLOOKUP($A47,$A$88:$X$1000,MATCH(AH$25,$A$87:$X$87,0), FALSE), 0) *
    (LEN($A47) &gt; 0)</f>
        <v>0</v>
      </c>
      <c r="AI47">
        <f t="shared" si="33"/>
        <v>1</v>
      </c>
      <c r="AJ47" cm="1">
        <f t="array" ref="AJ47">1+SUMPRODUCT(
    IFERROR(VLOOKUP($G47:$T47, $B$87:$X$1000,MATCH(AJ$25,$B$87:$X$87,0), FALSE), 0) *
    (LEN($G47:$T47) &gt; 0)
)</f>
        <v>1.3</v>
      </c>
      <c r="AK47" cm="1">
        <f t="array" ref="AK47">1+SUMPRODUCT(
    IFERROR(VLOOKUP($G47:$T47, $B$87:$X$1000,MATCH(AK$25,$B$87:$X$87,0), FALSE), 0) *
    (LEN($G47:$T47) &gt; 0)
)</f>
        <v>1</v>
      </c>
      <c r="AL47" cm="1">
        <f t="array" ref="AL47">1+SUMPRODUCT(
    IFERROR(VLOOKUP($G47:$T47, $B$87:$X$1000,MATCH(AL$25,$B$87:$X$87,0), FALSE), 0) *
    (LEN($G47:$T47) &gt; 0)
)</f>
        <v>1</v>
      </c>
      <c r="AM47" cm="1">
        <f t="array" ref="AM47">1+SUMPRODUCT(
    IFERROR(VLOOKUP($G47:$T47, $B$87:$X$1000,MATCH(AM$25,$B$87:$X$87,0), FALSE), 0) *
    (LEN($G47:$T47) &gt; 0)
)</f>
        <v>1</v>
      </c>
      <c r="AN47" cm="1">
        <f t="array" ref="AN47">1+SUMPRODUCT(
    IFERROR(VLOOKUP($G47:$T47, $B$87:$X$1000,MATCH(AN$25,$B$87:$X$87,0), FALSE), 0) *
    (LEN($G47:$T47) &gt; 0)
)</f>
        <v>1</v>
      </c>
      <c r="AO47">
        <f t="shared" si="34"/>
        <v>1</v>
      </c>
      <c r="AQ47">
        <f t="shared" si="35"/>
        <v>0.5</v>
      </c>
    </row>
    <row r="48" spans="2:43" x14ac:dyDescent="0.25">
      <c r="B48">
        <f t="shared" si="31"/>
        <v>0</v>
      </c>
      <c r="C48">
        <f t="shared" si="23"/>
        <v>0</v>
      </c>
      <c r="D48">
        <f t="shared" si="32"/>
        <v>0</v>
      </c>
      <c r="E48" s="36" t="e">
        <f>表2_546[[#This Row],[列3]]/$C$62</f>
        <v>#DIV/0!</v>
      </c>
      <c r="F48" t="s">
        <v>791</v>
      </c>
      <c r="G48" t="s">
        <v>1479</v>
      </c>
      <c r="H48" t="s">
        <v>1455</v>
      </c>
      <c r="U48">
        <f t="shared" si="25"/>
        <v>0</v>
      </c>
      <c r="V48" cm="1">
        <f t="array" ref="V48" xml:space="preserve"> IFERROR(VLOOKUP($A48,$A$86:$X$1000,MATCH(V$25,$A$87:$J$87,0), FALSE), 0) *
    (LEN($A48) &gt; 0)+SUMPRODUCT(
    IFERROR(VLOOKUP($G48:$T48, $B$87:$X$1000,MATCH(V$25,$B$87:$X$87,0), FALSE), 0) *
    (LEN($G48:$T48) &gt; 0)
)</f>
        <v>0</v>
      </c>
      <c r="W48" cm="1">
        <f t="array" ref="W48" xml:space="preserve"> IFERROR(VLOOKUP($A48,$A$86:$X$1000,MATCH(W$25,$A$87:$J$87,0), FALSE), 0) *
    (LEN($A48) &gt; 0)+SUMPRODUCT(
    IFERROR(VLOOKUP($G48:$T48, $B$87:$X$1000,MATCH(W$25,$B$87:$X$87,0), FALSE), 0) *
    (LEN($G48:$T48) &gt; 0)
)</f>
        <v>180</v>
      </c>
      <c r="X48">
        <f t="shared" si="26"/>
        <v>0</v>
      </c>
      <c r="Y48">
        <f t="shared" si="27"/>
        <v>180</v>
      </c>
      <c r="Z48">
        <f t="shared" si="28"/>
        <v>0</v>
      </c>
      <c r="AA48" cm="1">
        <f t="array" ref="AA48" xml:space="preserve"> IFERROR(VLOOKUP($A48,$A$86:$X$1000,MATCH(AA$25,$A$87:$J$87,0), FALSE), 0) *
    (LEN($A48) &gt; 0)+SUMPRODUCT(
    IFERROR(VLOOKUP($G48:$T48, $B$87:$X$1000,MATCH(AA$25,$B$87:$X$87,0), FALSE), 0) *
    (LEN($G48:$T48) &gt; 0)
)</f>
        <v>0.11</v>
      </c>
      <c r="AB48" cm="1">
        <f t="array" ref="AB48">1+SUMPRODUCT(
    IFERROR(VLOOKUP($G48:$T48, $B$87:$X$1000,MATCH(AB$25,$B$87:$X$87,0), FALSE), 0) *
    (LEN($G48:$T48) &gt; 0)
)+IFERROR(VLOOKUP($A48,$A$87:$X$1000,MATCH(AB$25,$A$87:$J$87,0), FALSE), 0) *
    (LEN($A48) &gt; 0)</f>
        <v>1</v>
      </c>
      <c r="AC48" cm="1">
        <f t="array" ref="AC48">1+SUMPRODUCT(
    IFERROR(VLOOKUP($G48:$T48, $B$87:$X$1000,MATCH(AC$25,$B$87:$X$87,0), FALSE), 0) *
    (LEN($G48:$T48) &gt; 0)
)</f>
        <v>1</v>
      </c>
      <c r="AD48" cm="1">
        <f t="array" ref="AD48">SUMPRODUCT(
    IFERROR(VLOOKUP($G48:$T48, $B$87:$X$1000,MATCH(AD$25,$B$87:$X$87,0), FALSE), 0) *
    (LEN($G48:$T48) &gt; 0)
)+IFERROR(VLOOKUP($A48,$A$88:$X$1000,MATCH(AD$25,$A$87:$X$87,0), FALSE), 0) *
    (LEN($A48) &gt; 0)</f>
        <v>0</v>
      </c>
      <c r="AE48" cm="1">
        <f t="array" ref="AE48">SUMPRODUCT(
    IFERROR(VLOOKUP($G48:$T48, $B$87:$X$1000,MATCH(AE$25,$B$87:$X$87,0), FALSE), 0) *
    (LEN($G48:$T48) &gt; 0)
)+IFERROR(VLOOKUP($A48,$A$88:$X$1000,MATCH(AE$25,$A$87:$X$87,0), FALSE), 0) *
    (LEN($A48) &gt; 0)</f>
        <v>0</v>
      </c>
      <c r="AF48" cm="1">
        <f t="array" ref="AF48">SUMPRODUCT(
    IFERROR(VLOOKUP($G48:$T48, $B$87:$X$1000,MATCH(AF$25,$B$87:$X$87,0), FALSE), 0) *
    (LEN($G48:$T48) &gt; 0)
)+IFERROR(VLOOKUP($A48,$A$88:$X$1000,MATCH(AF$25,$A$87:$X$87,0), FALSE), 0) *
    (LEN($A48) &gt; 0)</f>
        <v>0</v>
      </c>
      <c r="AG48" cm="1">
        <f t="array" ref="AG48">SUMPRODUCT(
    IFERROR(VLOOKUP($G48:$T48, $B$87:$X$1000,MATCH(AG$25,$B$87:$X$87,0), FALSE), 0) *
    (LEN($G48:$T48) &gt; 0)
)+IFERROR(VLOOKUP($A48,$A$88:$X$1000,MATCH(AG$25,$A$87:$X$87,0), FALSE), 0) *
    (LEN($A48) &gt; 0)</f>
        <v>0</v>
      </c>
      <c r="AH48" cm="1">
        <f t="array" ref="AH48">SUMPRODUCT(
    IFERROR(VLOOKUP($G48:$T48, $B$87:$X$1000,MATCH(AH$25,$B$87:$X$87,0), FALSE), 0) *
    (LEN($G48:$T48) &gt; 0)
)+IFERROR(VLOOKUP($A48,$A$88:$X$1000,MATCH(AH$25,$A$87:$X$87,0), FALSE), 0) *
    (LEN($A48) &gt; 0)</f>
        <v>0</v>
      </c>
      <c r="AI48">
        <f t="shared" si="33"/>
        <v>1</v>
      </c>
      <c r="AJ48" cm="1">
        <f t="array" ref="AJ48">1+SUMPRODUCT(
    IFERROR(VLOOKUP($G48:$T48, $B$87:$X$1000,MATCH(AJ$25,$B$87:$X$87,0), FALSE), 0) *
    (LEN($G48:$T48) &gt; 0)
)</f>
        <v>1.3</v>
      </c>
      <c r="AK48" cm="1">
        <f t="array" ref="AK48">1+SUMPRODUCT(
    IFERROR(VLOOKUP($G48:$T48, $B$87:$X$1000,MATCH(AK$25,$B$87:$X$87,0), FALSE), 0) *
    (LEN($G48:$T48) &gt; 0)
)</f>
        <v>1</v>
      </c>
      <c r="AL48" cm="1">
        <f t="array" ref="AL48">1+SUMPRODUCT(
    IFERROR(VLOOKUP($G48:$T48, $B$87:$X$1000,MATCH(AL$25,$B$87:$X$87,0), FALSE), 0) *
    (LEN($G48:$T48) &gt; 0)
)</f>
        <v>1</v>
      </c>
      <c r="AM48" cm="1">
        <f t="array" ref="AM48">1+SUMPRODUCT(
    IFERROR(VLOOKUP($G48:$T48, $B$87:$X$1000,MATCH(AM$25,$B$87:$X$87,0), FALSE), 0) *
    (LEN($G48:$T48) &gt; 0)
)</f>
        <v>1</v>
      </c>
      <c r="AN48" cm="1">
        <f t="array" ref="AN48">1+SUMPRODUCT(
    IFERROR(VLOOKUP($G48:$T48, $B$87:$X$1000,MATCH(AN$25,$B$87:$X$87,0), FALSE), 0) *
    (LEN($G48:$T48) &gt; 0)
)</f>
        <v>1</v>
      </c>
      <c r="AO48">
        <f t="shared" si="34"/>
        <v>1</v>
      </c>
      <c r="AQ48">
        <f t="shared" si="35"/>
        <v>0.5</v>
      </c>
    </row>
    <row r="49" spans="2:43" x14ac:dyDescent="0.25">
      <c r="B49">
        <f t="shared" si="31"/>
        <v>0</v>
      </c>
      <c r="C49">
        <f t="shared" si="23"/>
        <v>0</v>
      </c>
      <c r="D49">
        <f t="shared" si="32"/>
        <v>0</v>
      </c>
      <c r="E49" s="36" t="e">
        <f>表2_546[[#This Row],[列3]]/$C$62</f>
        <v>#DIV/0!</v>
      </c>
      <c r="F49" t="s">
        <v>791</v>
      </c>
      <c r="G49" t="s">
        <v>1479</v>
      </c>
      <c r="H49" t="s">
        <v>1455</v>
      </c>
      <c r="U49">
        <f t="shared" si="25"/>
        <v>0</v>
      </c>
      <c r="V49" cm="1">
        <f t="array" ref="V49" xml:space="preserve"> IFERROR(VLOOKUP($A49,$A$86:$X$1000,MATCH(V$25,$A$87:$J$87,0), FALSE), 0) *
    (LEN($A49) &gt; 0)+SUMPRODUCT(
    IFERROR(VLOOKUP($G49:$T49, $B$87:$X$1000,MATCH(V$25,$B$87:$X$87,0), FALSE), 0) *
    (LEN($G49:$T49) &gt; 0)
)</f>
        <v>0</v>
      </c>
      <c r="W49" cm="1">
        <f t="array" ref="W49" xml:space="preserve"> IFERROR(VLOOKUP($A49,$A$86:$X$1000,MATCH(W$25,$A$87:$J$87,0), FALSE), 0) *
    (LEN($A49) &gt; 0)+SUMPRODUCT(
    IFERROR(VLOOKUP($G49:$T49, $B$87:$X$1000,MATCH(W$25,$B$87:$X$87,0), FALSE), 0) *
    (LEN($G49:$T49) &gt; 0)
)</f>
        <v>180</v>
      </c>
      <c r="X49">
        <f t="shared" si="26"/>
        <v>0</v>
      </c>
      <c r="Y49">
        <f t="shared" si="27"/>
        <v>180</v>
      </c>
      <c r="Z49">
        <f t="shared" si="28"/>
        <v>0</v>
      </c>
      <c r="AA49" cm="1">
        <f t="array" ref="AA49" xml:space="preserve"> IFERROR(VLOOKUP($A49,$A$86:$X$1000,MATCH(AA$25,$A$87:$J$87,0), FALSE), 0) *
    (LEN($A49) &gt; 0)+SUMPRODUCT(
    IFERROR(VLOOKUP($G49:$T49, $B$87:$X$1000,MATCH(AA$25,$B$87:$X$87,0), FALSE), 0) *
    (LEN($G49:$T49) &gt; 0)
)</f>
        <v>0.11</v>
      </c>
      <c r="AB49" cm="1">
        <f t="array" ref="AB49">1+SUMPRODUCT(
    IFERROR(VLOOKUP($G49:$T49, $B$87:$X$1000,MATCH(AB$25,$B$87:$X$87,0), FALSE), 0) *
    (LEN($G49:$T49) &gt; 0)
)+IFERROR(VLOOKUP($A49,$A$87:$X$1000,MATCH(AB$25,$A$87:$J$87,0), FALSE), 0) *
    (LEN($A49) &gt; 0)</f>
        <v>1</v>
      </c>
      <c r="AC49" cm="1">
        <f t="array" ref="AC49">1+SUMPRODUCT(
    IFERROR(VLOOKUP($G49:$T49, $B$87:$X$1000,MATCH(AC$25,$B$87:$X$87,0), FALSE), 0) *
    (LEN($G49:$T49) &gt; 0)
)</f>
        <v>1</v>
      </c>
      <c r="AD49" cm="1">
        <f t="array" ref="AD49">SUMPRODUCT(
    IFERROR(VLOOKUP($G49:$T49, $B$87:$X$1000,MATCH(AD$25,$B$87:$X$87,0), FALSE), 0) *
    (LEN($G49:$T49) &gt; 0)
)+IFERROR(VLOOKUP($A49,$A$88:$X$1000,MATCH(AD$25,$A$87:$X$87,0), FALSE), 0) *
    (LEN($A49) &gt; 0)</f>
        <v>0</v>
      </c>
      <c r="AE49" cm="1">
        <f t="array" ref="AE49">SUMPRODUCT(
    IFERROR(VLOOKUP($G49:$T49, $B$87:$X$1000,MATCH(AE$25,$B$87:$X$87,0), FALSE), 0) *
    (LEN($G49:$T49) &gt; 0)
)+IFERROR(VLOOKUP($A49,$A$88:$X$1000,MATCH(AE$25,$A$87:$X$87,0), FALSE), 0) *
    (LEN($A49) &gt; 0)</f>
        <v>0</v>
      </c>
      <c r="AF49" cm="1">
        <f t="array" ref="AF49">SUMPRODUCT(
    IFERROR(VLOOKUP($G49:$T49, $B$87:$X$1000,MATCH(AF$25,$B$87:$X$87,0), FALSE), 0) *
    (LEN($G49:$T49) &gt; 0)
)+IFERROR(VLOOKUP($A49,$A$88:$X$1000,MATCH(AF$25,$A$87:$X$87,0), FALSE), 0) *
    (LEN($A49) &gt; 0)</f>
        <v>0</v>
      </c>
      <c r="AG49" cm="1">
        <f t="array" ref="AG49">SUMPRODUCT(
    IFERROR(VLOOKUP($G49:$T49, $B$87:$X$1000,MATCH(AG$25,$B$87:$X$87,0), FALSE), 0) *
    (LEN($G49:$T49) &gt; 0)
)+IFERROR(VLOOKUP($A49,$A$88:$X$1000,MATCH(AG$25,$A$87:$X$87,0), FALSE), 0) *
    (LEN($A49) &gt; 0)</f>
        <v>0</v>
      </c>
      <c r="AH49" cm="1">
        <f t="array" ref="AH49">SUMPRODUCT(
    IFERROR(VLOOKUP($G49:$T49, $B$87:$X$1000,MATCH(AH$25,$B$87:$X$87,0), FALSE), 0) *
    (LEN($G49:$T49) &gt; 0)
)+IFERROR(VLOOKUP($A49,$A$88:$X$1000,MATCH(AH$25,$A$87:$X$87,0), FALSE), 0) *
    (LEN($A49) &gt; 0)</f>
        <v>0</v>
      </c>
      <c r="AI49">
        <f t="shared" si="33"/>
        <v>1</v>
      </c>
      <c r="AJ49" cm="1">
        <f t="array" ref="AJ49">1+SUMPRODUCT(
    IFERROR(VLOOKUP($G49:$T49, $B$87:$X$1000,MATCH(AJ$25,$B$87:$X$87,0), FALSE), 0) *
    (LEN($G49:$T49) &gt; 0)
)</f>
        <v>1.3</v>
      </c>
      <c r="AK49" cm="1">
        <f t="array" ref="AK49">1+SUMPRODUCT(
    IFERROR(VLOOKUP($G49:$T49, $B$87:$X$1000,MATCH(AK$25,$B$87:$X$87,0), FALSE), 0) *
    (LEN($G49:$T49) &gt; 0)
)</f>
        <v>1</v>
      </c>
      <c r="AL49" cm="1">
        <f t="array" ref="AL49">1+SUMPRODUCT(
    IFERROR(VLOOKUP($G49:$T49, $B$87:$X$1000,MATCH(AL$25,$B$87:$X$87,0), FALSE), 0) *
    (LEN($G49:$T49) &gt; 0)
)</f>
        <v>1</v>
      </c>
      <c r="AM49" cm="1">
        <f t="array" ref="AM49">1+SUMPRODUCT(
    IFERROR(VLOOKUP($G49:$T49, $B$87:$X$1000,MATCH(AM$25,$B$87:$X$87,0), FALSE), 0) *
    (LEN($G49:$T49) &gt; 0)
)</f>
        <v>1</v>
      </c>
      <c r="AN49" cm="1">
        <f t="array" ref="AN49">1+SUMPRODUCT(
    IFERROR(VLOOKUP($G49:$T49, $B$87:$X$1000,MATCH(AN$25,$B$87:$X$87,0), FALSE), 0) *
    (LEN($G49:$T49) &gt; 0)
)</f>
        <v>1</v>
      </c>
      <c r="AO49">
        <f t="shared" si="34"/>
        <v>1</v>
      </c>
      <c r="AQ49">
        <f t="shared" si="35"/>
        <v>0.5</v>
      </c>
    </row>
    <row r="50" spans="2:43" x14ac:dyDescent="0.25">
      <c r="B50">
        <f t="shared" si="31"/>
        <v>0</v>
      </c>
      <c r="C50">
        <f t="shared" si="23"/>
        <v>0</v>
      </c>
      <c r="D50">
        <f t="shared" si="32"/>
        <v>0</v>
      </c>
      <c r="E50" s="36" t="e">
        <f>表2_546[[#This Row],[列3]]/$C$62</f>
        <v>#DIV/0!</v>
      </c>
      <c r="F50" t="s">
        <v>791</v>
      </c>
      <c r="G50" t="s">
        <v>1479</v>
      </c>
      <c r="H50" t="s">
        <v>1455</v>
      </c>
      <c r="U50">
        <f t="shared" si="25"/>
        <v>0</v>
      </c>
      <c r="V50" cm="1">
        <f t="array" ref="V50" xml:space="preserve"> IFERROR(VLOOKUP($A50,$A$86:$X$1000,MATCH(V$25,$A$87:$J$87,0), FALSE), 0) *
    (LEN($A50) &gt; 0)+SUMPRODUCT(
    IFERROR(VLOOKUP($G50:$T50, $B$87:$X$1000,MATCH(V$25,$B$87:$X$87,0), FALSE), 0) *
    (LEN($G50:$T50) &gt; 0)
)</f>
        <v>0</v>
      </c>
      <c r="W50" cm="1">
        <f t="array" ref="W50" xml:space="preserve"> IFERROR(VLOOKUP($A50,$A$86:$X$1000,MATCH(W$25,$A$87:$J$87,0), FALSE), 0) *
    (LEN($A50) &gt; 0)+SUMPRODUCT(
    IFERROR(VLOOKUP($G50:$T50, $B$87:$X$1000,MATCH(W$25,$B$87:$X$87,0), FALSE), 0) *
    (LEN($G50:$T50) &gt; 0)
)</f>
        <v>180</v>
      </c>
      <c r="X50">
        <f t="shared" si="26"/>
        <v>0</v>
      </c>
      <c r="Y50">
        <f t="shared" si="27"/>
        <v>180</v>
      </c>
      <c r="Z50">
        <f t="shared" si="28"/>
        <v>0</v>
      </c>
      <c r="AA50" cm="1">
        <f t="array" ref="AA50" xml:space="preserve"> IFERROR(VLOOKUP($A50,$A$86:$X$1000,MATCH(AA$25,$A$87:$J$87,0), FALSE), 0) *
    (LEN($A50) &gt; 0)+SUMPRODUCT(
    IFERROR(VLOOKUP($G50:$T50, $B$87:$X$1000,MATCH(AA$25,$B$87:$X$87,0), FALSE), 0) *
    (LEN($G50:$T50) &gt; 0)
)</f>
        <v>0.11</v>
      </c>
      <c r="AB50" cm="1">
        <f t="array" ref="AB50">1+SUMPRODUCT(
    IFERROR(VLOOKUP($G50:$T50, $B$87:$X$1000,MATCH(AB$25,$B$87:$X$87,0), FALSE), 0) *
    (LEN($G50:$T50) &gt; 0)
)+IFERROR(VLOOKUP($A50,$A$87:$X$1000,MATCH(AB$25,$A$87:$J$87,0), FALSE), 0) *
    (LEN($A50) &gt; 0)</f>
        <v>1</v>
      </c>
      <c r="AC50" cm="1">
        <f t="array" ref="AC50">1+SUMPRODUCT(
    IFERROR(VLOOKUP($G50:$T50, $B$87:$X$1000,MATCH(AC$25,$B$87:$X$87,0), FALSE), 0) *
    (LEN($G50:$T50) &gt; 0)
)</f>
        <v>1</v>
      </c>
      <c r="AD50" cm="1">
        <f t="array" ref="AD50">SUMPRODUCT(
    IFERROR(VLOOKUP($G50:$T50, $B$87:$X$1000,MATCH(AD$25,$B$87:$X$87,0), FALSE), 0) *
    (LEN($G50:$T50) &gt; 0)
)+IFERROR(VLOOKUP($A50,$A$88:$X$1000,MATCH(AD$25,$A$87:$X$87,0), FALSE), 0) *
    (LEN($A50) &gt; 0)</f>
        <v>0</v>
      </c>
      <c r="AE50" cm="1">
        <f t="array" ref="AE50">SUMPRODUCT(
    IFERROR(VLOOKUP($G50:$T50, $B$87:$X$1000,MATCH(AE$25,$B$87:$X$87,0), FALSE), 0) *
    (LEN($G50:$T50) &gt; 0)
)+IFERROR(VLOOKUP($A50,$A$88:$X$1000,MATCH(AE$25,$A$87:$X$87,0), FALSE), 0) *
    (LEN($A50) &gt; 0)</f>
        <v>0</v>
      </c>
      <c r="AF50" cm="1">
        <f t="array" ref="AF50">SUMPRODUCT(
    IFERROR(VLOOKUP($G50:$T50, $B$87:$X$1000,MATCH(AF$25,$B$87:$X$87,0), FALSE), 0) *
    (LEN($G50:$T50) &gt; 0)
)+IFERROR(VLOOKUP($A50,$A$88:$X$1000,MATCH(AF$25,$A$87:$X$87,0), FALSE), 0) *
    (LEN($A50) &gt; 0)</f>
        <v>0</v>
      </c>
      <c r="AG50" cm="1">
        <f t="array" ref="AG50">SUMPRODUCT(
    IFERROR(VLOOKUP($G50:$T50, $B$87:$X$1000,MATCH(AG$25,$B$87:$X$87,0), FALSE), 0) *
    (LEN($G50:$T50) &gt; 0)
)+IFERROR(VLOOKUP($A50,$A$88:$X$1000,MATCH(AG$25,$A$87:$X$87,0), FALSE), 0) *
    (LEN($A50) &gt; 0)</f>
        <v>0</v>
      </c>
      <c r="AH50" cm="1">
        <f t="array" ref="AH50">SUMPRODUCT(
    IFERROR(VLOOKUP($G50:$T50, $B$87:$X$1000,MATCH(AH$25,$B$87:$X$87,0), FALSE), 0) *
    (LEN($G50:$T50) &gt; 0)
)+IFERROR(VLOOKUP($A50,$A$88:$X$1000,MATCH(AH$25,$A$87:$X$87,0), FALSE), 0) *
    (LEN($A50) &gt; 0)</f>
        <v>0</v>
      </c>
      <c r="AI50">
        <f t="shared" si="33"/>
        <v>1</v>
      </c>
      <c r="AJ50" cm="1">
        <f t="array" ref="AJ50">1+SUMPRODUCT(
    IFERROR(VLOOKUP($G50:$T50, $B$87:$X$1000,MATCH(AJ$25,$B$87:$X$87,0), FALSE), 0) *
    (LEN($G50:$T50) &gt; 0)
)</f>
        <v>1.3</v>
      </c>
      <c r="AK50" cm="1">
        <f t="array" ref="AK50">1+SUMPRODUCT(
    IFERROR(VLOOKUP($G50:$T50, $B$87:$X$1000,MATCH(AK$25,$B$87:$X$87,0), FALSE), 0) *
    (LEN($G50:$T50) &gt; 0)
)</f>
        <v>1</v>
      </c>
      <c r="AL50" cm="1">
        <f t="array" ref="AL50">1+SUMPRODUCT(
    IFERROR(VLOOKUP($G50:$T50, $B$87:$X$1000,MATCH(AL$25,$B$87:$X$87,0), FALSE), 0) *
    (LEN($G50:$T50) &gt; 0)
)</f>
        <v>1</v>
      </c>
      <c r="AM50" cm="1">
        <f t="array" ref="AM50">1+SUMPRODUCT(
    IFERROR(VLOOKUP($G50:$T50, $B$87:$X$1000,MATCH(AM$25,$B$87:$X$87,0), FALSE), 0) *
    (LEN($G50:$T50) &gt; 0)
)</f>
        <v>1</v>
      </c>
      <c r="AN50" cm="1">
        <f t="array" ref="AN50">1+SUMPRODUCT(
    IFERROR(VLOOKUP($G50:$T50, $B$87:$X$1000,MATCH(AN$25,$B$87:$X$87,0), FALSE), 0) *
    (LEN($G50:$T50) &gt; 0)
)</f>
        <v>1</v>
      </c>
      <c r="AO50">
        <f t="shared" si="34"/>
        <v>1</v>
      </c>
      <c r="AQ50">
        <f t="shared" si="35"/>
        <v>0.5</v>
      </c>
    </row>
    <row r="51" spans="2:43" x14ac:dyDescent="0.25">
      <c r="B51">
        <f t="shared" si="31"/>
        <v>0</v>
      </c>
      <c r="C51">
        <f t="shared" si="23"/>
        <v>0</v>
      </c>
      <c r="D51">
        <f t="shared" si="32"/>
        <v>0</v>
      </c>
      <c r="E51" s="36" t="e">
        <f>表2_546[[#This Row],[列3]]/$C$62</f>
        <v>#DIV/0!</v>
      </c>
      <c r="F51" t="s">
        <v>791</v>
      </c>
      <c r="G51" t="s">
        <v>1479</v>
      </c>
      <c r="U51">
        <f t="shared" si="25"/>
        <v>0</v>
      </c>
      <c r="V51" cm="1">
        <f t="array" ref="V51" xml:space="preserve"> IFERROR(VLOOKUP($A51,$A$86:$X$1000,MATCH(V$25,$A$87:$J$87,0), FALSE), 0) *
    (LEN($A51) &gt; 0)+SUMPRODUCT(
    IFERROR(VLOOKUP($G51:$T51, $B$87:$X$1000,MATCH(V$25,$B$87:$X$87,0), FALSE), 0) *
    (LEN($G51:$T51) &gt; 0)
)</f>
        <v>0</v>
      </c>
      <c r="W51" cm="1">
        <f t="array" ref="W51" xml:space="preserve"> IFERROR(VLOOKUP($A51,$A$86:$X$1000,MATCH(W$25,$A$87:$J$87,0), FALSE), 0) *
    (LEN($A51) &gt; 0)+SUMPRODUCT(
    IFERROR(VLOOKUP($G51:$T51, $B$87:$X$1000,MATCH(W$25,$B$87:$X$87,0), FALSE), 0) *
    (LEN($G51:$T51) &gt; 0)
)</f>
        <v>180</v>
      </c>
      <c r="X51">
        <f t="shared" si="26"/>
        <v>0</v>
      </c>
      <c r="Y51">
        <f t="shared" si="27"/>
        <v>180</v>
      </c>
      <c r="Z51">
        <f t="shared" si="28"/>
        <v>0</v>
      </c>
      <c r="AA51" cm="1">
        <f t="array" ref="AA51" xml:space="preserve"> IFERROR(VLOOKUP($A51,$A$86:$X$1000,MATCH(AA$25,$A$87:$J$87,0), FALSE), 0) *
    (LEN($A51) &gt; 0)+SUMPRODUCT(
    IFERROR(VLOOKUP($G51:$T51, $B$87:$X$1000,MATCH(AA$25,$B$87:$X$87,0), FALSE), 0) *
    (LEN($G51:$T51) &gt; 0)
)</f>
        <v>0.11</v>
      </c>
      <c r="AB51" cm="1">
        <f t="array" ref="AB51">1+SUMPRODUCT(
    IFERROR(VLOOKUP($G51:$T51, $B$87:$X$1000,MATCH(AB$25,$B$87:$X$87,0), FALSE), 0) *
    (LEN($G51:$T51) &gt; 0)
)+IFERROR(VLOOKUP($A51,$A$87:$X$1000,MATCH(AB$25,$A$87:$J$87,0), FALSE), 0) *
    (LEN($A51) &gt; 0)</f>
        <v>1</v>
      </c>
      <c r="AC51" cm="1">
        <f t="array" ref="AC51">1+SUMPRODUCT(
    IFERROR(VLOOKUP($G51:$T51, $B$87:$X$1000,MATCH(AC$25,$B$87:$X$87,0), FALSE), 0) *
    (LEN($G51:$T51) &gt; 0)
)</f>
        <v>1</v>
      </c>
      <c r="AD51" cm="1">
        <f t="array" ref="AD51">SUMPRODUCT(
    IFERROR(VLOOKUP($G51:$T51, $B$87:$X$1000,MATCH(AD$25,$B$87:$X$87,0), FALSE), 0) *
    (LEN($G51:$T51) &gt; 0)
)+IFERROR(VLOOKUP($A51,$A$88:$X$1000,MATCH(AD$25,$A$87:$X$87,0), FALSE), 0) *
    (LEN($A51) &gt; 0)</f>
        <v>0</v>
      </c>
      <c r="AE51" cm="1">
        <f t="array" ref="AE51">SUMPRODUCT(
    IFERROR(VLOOKUP($G51:$T51, $B$87:$X$1000,MATCH(AE$25,$B$87:$X$87,0), FALSE), 0) *
    (LEN($G51:$T51) &gt; 0)
)+IFERROR(VLOOKUP($A51,$A$88:$X$1000,MATCH(AE$25,$A$87:$X$87,0), FALSE), 0) *
    (LEN($A51) &gt; 0)</f>
        <v>0</v>
      </c>
      <c r="AF51" cm="1">
        <f t="array" ref="AF51">SUMPRODUCT(
    IFERROR(VLOOKUP($G51:$T51, $B$87:$X$1000,MATCH(AF$25,$B$87:$X$87,0), FALSE), 0) *
    (LEN($G51:$T51) &gt; 0)
)+IFERROR(VLOOKUP($A51,$A$88:$X$1000,MATCH(AF$25,$A$87:$X$87,0), FALSE), 0) *
    (LEN($A51) &gt; 0)</f>
        <v>0</v>
      </c>
      <c r="AG51" cm="1">
        <f t="array" ref="AG51">SUMPRODUCT(
    IFERROR(VLOOKUP($G51:$T51, $B$87:$X$1000,MATCH(AG$25,$B$87:$X$87,0), FALSE), 0) *
    (LEN($G51:$T51) &gt; 0)
)+IFERROR(VLOOKUP($A51,$A$88:$X$1000,MATCH(AG$25,$A$87:$X$87,0), FALSE), 0) *
    (LEN($A51) &gt; 0)</f>
        <v>0</v>
      </c>
      <c r="AH51" cm="1">
        <f t="array" ref="AH51">SUMPRODUCT(
    IFERROR(VLOOKUP($G51:$T51, $B$87:$X$1000,MATCH(AH$25,$B$87:$X$87,0), FALSE), 0) *
    (LEN($G51:$T51) &gt; 0)
)+IFERROR(VLOOKUP($A51,$A$88:$X$1000,MATCH(AH$25,$A$87:$X$87,0), FALSE), 0) *
    (LEN($A51) &gt; 0)</f>
        <v>0</v>
      </c>
      <c r="AI51">
        <f t="shared" si="33"/>
        <v>1</v>
      </c>
      <c r="AJ51" cm="1">
        <f t="array" ref="AJ51">1+SUMPRODUCT(
    IFERROR(VLOOKUP($G51:$T51, $B$87:$X$1000,MATCH(AJ$25,$B$87:$X$87,0), FALSE), 0) *
    (LEN($G51:$T51) &gt; 0)
)</f>
        <v>1</v>
      </c>
      <c r="AK51" cm="1">
        <f t="array" ref="AK51">1+SUMPRODUCT(
    IFERROR(VLOOKUP($G51:$T51, $B$87:$X$1000,MATCH(AK$25,$B$87:$X$87,0), FALSE), 0) *
    (LEN($G51:$T51) &gt; 0)
)</f>
        <v>1</v>
      </c>
      <c r="AL51" cm="1">
        <f t="array" ref="AL51">1+SUMPRODUCT(
    IFERROR(VLOOKUP($G51:$T51, $B$87:$X$1000,MATCH(AL$25,$B$87:$X$87,0), FALSE), 0) *
    (LEN($G51:$T51) &gt; 0)
)</f>
        <v>1</v>
      </c>
      <c r="AM51" cm="1">
        <f t="array" ref="AM51">1+SUMPRODUCT(
    IFERROR(VLOOKUP($G51:$T51, $B$87:$X$1000,MATCH(AM$25,$B$87:$X$87,0), FALSE), 0) *
    (LEN($G51:$T51) &gt; 0)
)</f>
        <v>1</v>
      </c>
      <c r="AN51" cm="1">
        <f t="array" ref="AN51">1+SUMPRODUCT(
    IFERROR(VLOOKUP($G51:$T51, $B$87:$X$1000,MATCH(AN$25,$B$87:$X$87,0), FALSE), 0) *
    (LEN($G51:$T51) &gt; 0)
)</f>
        <v>1</v>
      </c>
      <c r="AO51">
        <f t="shared" si="34"/>
        <v>1</v>
      </c>
      <c r="AQ51">
        <f t="shared" si="35"/>
        <v>0.5</v>
      </c>
    </row>
    <row r="52" spans="2:43" x14ac:dyDescent="0.25">
      <c r="B52">
        <f t="shared" si="31"/>
        <v>0</v>
      </c>
      <c r="C52">
        <f t="shared" si="23"/>
        <v>0</v>
      </c>
      <c r="D52">
        <f t="shared" si="32"/>
        <v>0</v>
      </c>
      <c r="E52" s="36" t="e">
        <f>表2_546[[#This Row],[列3]]/$C$62</f>
        <v>#DIV/0!</v>
      </c>
      <c r="F52" t="s">
        <v>791</v>
      </c>
      <c r="G52" t="s">
        <v>1479</v>
      </c>
      <c r="U52">
        <f t="shared" si="25"/>
        <v>0</v>
      </c>
      <c r="V52" cm="1">
        <f t="array" ref="V52" xml:space="preserve"> IFERROR(VLOOKUP($A52,$A$86:$X$1000,MATCH(V$25,$A$87:$J$87,0), FALSE), 0) *
    (LEN($A52) &gt; 0)+SUMPRODUCT(
    IFERROR(VLOOKUP($G52:$T52, $B$87:$X$1000,MATCH(V$25,$B$87:$X$87,0), FALSE), 0) *
    (LEN($G52:$T52) &gt; 0)
)</f>
        <v>0</v>
      </c>
      <c r="W52" cm="1">
        <f t="array" ref="W52" xml:space="preserve"> IFERROR(VLOOKUP($A52,$A$86:$X$1000,MATCH(W$25,$A$87:$J$87,0), FALSE), 0) *
    (LEN($A52) &gt; 0)+SUMPRODUCT(
    IFERROR(VLOOKUP($G52:$T52, $B$87:$X$1000,MATCH(W$25,$B$87:$X$87,0), FALSE), 0) *
    (LEN($G52:$T52) &gt; 0)
)</f>
        <v>180</v>
      </c>
      <c r="X52">
        <f t="shared" si="26"/>
        <v>0</v>
      </c>
      <c r="Y52">
        <f t="shared" si="27"/>
        <v>180</v>
      </c>
      <c r="Z52">
        <f t="shared" si="28"/>
        <v>0</v>
      </c>
      <c r="AA52" cm="1">
        <f t="array" ref="AA52" xml:space="preserve"> IFERROR(VLOOKUP($A52,$A$86:$X$1000,MATCH(AA$25,$A$87:$J$87,0), FALSE), 0) *
    (LEN($A52) &gt; 0)+SUMPRODUCT(
    IFERROR(VLOOKUP($G52:$T52, $B$87:$X$1000,MATCH(AA$25,$B$87:$X$87,0), FALSE), 0) *
    (LEN($G52:$T52) &gt; 0)
)</f>
        <v>0.11</v>
      </c>
      <c r="AB52" cm="1">
        <f t="array" ref="AB52">1+SUMPRODUCT(
    IFERROR(VLOOKUP($G52:$T52, $B$87:$X$1000,MATCH(AB$25,$B$87:$X$87,0), FALSE), 0) *
    (LEN($G52:$T52) &gt; 0)
)+IFERROR(VLOOKUP($A52,$A$87:$X$1000,MATCH(AB$25,$A$87:$J$87,0), FALSE), 0) *
    (LEN($A52) &gt; 0)</f>
        <v>1</v>
      </c>
      <c r="AC52" cm="1">
        <f t="array" ref="AC52">1+SUMPRODUCT(
    IFERROR(VLOOKUP($G52:$T52, $B$87:$X$1000,MATCH(AC$25,$B$87:$X$87,0), FALSE), 0) *
    (LEN($G52:$T52) &gt; 0)
)</f>
        <v>1</v>
      </c>
      <c r="AD52" cm="1">
        <f t="array" ref="AD52">SUMPRODUCT(
    IFERROR(VLOOKUP($G52:$T52, $B$87:$X$1000,MATCH(AD$25,$B$87:$X$87,0), FALSE), 0) *
    (LEN($G52:$T52) &gt; 0)
)+IFERROR(VLOOKUP($A52,$A$88:$X$1000,MATCH(AD$25,$A$87:$X$87,0), FALSE), 0) *
    (LEN($A52) &gt; 0)</f>
        <v>0</v>
      </c>
      <c r="AE52" cm="1">
        <f t="array" ref="AE52">SUMPRODUCT(
    IFERROR(VLOOKUP($G52:$T52, $B$87:$X$1000,MATCH(AE$25,$B$87:$X$87,0), FALSE), 0) *
    (LEN($G52:$T52) &gt; 0)
)+IFERROR(VLOOKUP($A52,$A$88:$X$1000,MATCH(AE$25,$A$87:$X$87,0), FALSE), 0) *
    (LEN($A52) &gt; 0)</f>
        <v>0</v>
      </c>
      <c r="AF52" cm="1">
        <f t="array" ref="AF52">SUMPRODUCT(
    IFERROR(VLOOKUP($G52:$T52, $B$87:$X$1000,MATCH(AF$25,$B$87:$X$87,0), FALSE), 0) *
    (LEN($G52:$T52) &gt; 0)
)+IFERROR(VLOOKUP($A52,$A$88:$X$1000,MATCH(AF$25,$A$87:$X$87,0), FALSE), 0) *
    (LEN($A52) &gt; 0)</f>
        <v>0</v>
      </c>
      <c r="AG52" cm="1">
        <f t="array" ref="AG52">SUMPRODUCT(
    IFERROR(VLOOKUP($G52:$T52, $B$87:$X$1000,MATCH(AG$25,$B$87:$X$87,0), FALSE), 0) *
    (LEN($G52:$T52) &gt; 0)
)+IFERROR(VLOOKUP($A52,$A$88:$X$1000,MATCH(AG$25,$A$87:$X$87,0), FALSE), 0) *
    (LEN($A52) &gt; 0)</f>
        <v>0</v>
      </c>
      <c r="AH52" cm="1">
        <f t="array" ref="AH52">SUMPRODUCT(
    IFERROR(VLOOKUP($G52:$T52, $B$87:$X$1000,MATCH(AH$25,$B$87:$X$87,0), FALSE), 0) *
    (LEN($G52:$T52) &gt; 0)
)+IFERROR(VLOOKUP($A52,$A$88:$X$1000,MATCH(AH$25,$A$87:$X$87,0), FALSE), 0) *
    (LEN($A52) &gt; 0)</f>
        <v>0</v>
      </c>
      <c r="AI52">
        <f t="shared" si="33"/>
        <v>1</v>
      </c>
      <c r="AJ52" cm="1">
        <f t="array" ref="AJ52">1+SUMPRODUCT(
    IFERROR(VLOOKUP($G52:$T52, $B$87:$X$1000,MATCH(AJ$25,$B$87:$X$87,0), FALSE), 0) *
    (LEN($G52:$T52) &gt; 0)
)</f>
        <v>1</v>
      </c>
      <c r="AK52" cm="1">
        <f t="array" ref="AK52">1+SUMPRODUCT(
    IFERROR(VLOOKUP($G52:$T52, $B$87:$X$1000,MATCH(AK$25,$B$87:$X$87,0), FALSE), 0) *
    (LEN($G52:$T52) &gt; 0)
)</f>
        <v>1</v>
      </c>
      <c r="AL52" cm="1">
        <f t="array" ref="AL52">1+SUMPRODUCT(
    IFERROR(VLOOKUP($G52:$T52, $B$87:$X$1000,MATCH(AL$25,$B$87:$X$87,0), FALSE), 0) *
    (LEN($G52:$T52) &gt; 0)
)</f>
        <v>1</v>
      </c>
      <c r="AM52" cm="1">
        <f t="array" ref="AM52">1+SUMPRODUCT(
    IFERROR(VLOOKUP($G52:$T52, $B$87:$X$1000,MATCH(AM$25,$B$87:$X$87,0), FALSE), 0) *
    (LEN($G52:$T52) &gt; 0)
)</f>
        <v>1</v>
      </c>
      <c r="AN52" cm="1">
        <f t="array" ref="AN52">1+SUMPRODUCT(
    IFERROR(VLOOKUP($G52:$T52, $B$87:$X$1000,MATCH(AN$25,$B$87:$X$87,0), FALSE), 0) *
    (LEN($G52:$T52) &gt; 0)
)</f>
        <v>1</v>
      </c>
      <c r="AO52">
        <f t="shared" si="34"/>
        <v>1</v>
      </c>
      <c r="AQ52">
        <f t="shared" si="35"/>
        <v>0.5</v>
      </c>
    </row>
    <row r="53" spans="2:43" x14ac:dyDescent="0.25">
      <c r="B53">
        <f t="shared" si="31"/>
        <v>0</v>
      </c>
      <c r="C53">
        <f t="shared" si="23"/>
        <v>0</v>
      </c>
      <c r="D53">
        <f t="shared" si="32"/>
        <v>0</v>
      </c>
      <c r="E53" s="36" t="e">
        <f>表2_546[[#This Row],[列3]]/$C$62</f>
        <v>#DIV/0!</v>
      </c>
      <c r="F53" t="s">
        <v>791</v>
      </c>
      <c r="G53" t="s">
        <v>1479</v>
      </c>
      <c r="U53">
        <f t="shared" si="25"/>
        <v>0</v>
      </c>
      <c r="V53" cm="1">
        <f t="array" ref="V53" xml:space="preserve"> IFERROR(VLOOKUP($A53,$A$86:$X$1000,MATCH(V$25,$A$87:$J$87,0), FALSE), 0) *
    (LEN($A53) &gt; 0)+SUMPRODUCT(
    IFERROR(VLOOKUP($G53:$T53, $B$87:$X$1000,MATCH(V$25,$B$87:$X$87,0), FALSE), 0) *
    (LEN($G53:$T53) &gt; 0)
)</f>
        <v>0</v>
      </c>
      <c r="W53" cm="1">
        <f t="array" ref="W53" xml:space="preserve"> IFERROR(VLOOKUP($A53,$A$86:$X$1000,MATCH(W$25,$A$87:$J$87,0), FALSE), 0) *
    (LEN($A53) &gt; 0)+SUMPRODUCT(
    IFERROR(VLOOKUP($G53:$T53, $B$87:$X$1000,MATCH(W$25,$B$87:$X$87,0), FALSE), 0) *
    (LEN($G53:$T53) &gt; 0)
)</f>
        <v>180</v>
      </c>
      <c r="X53">
        <f t="shared" si="26"/>
        <v>0</v>
      </c>
      <c r="Y53">
        <f t="shared" si="27"/>
        <v>180</v>
      </c>
      <c r="Z53">
        <f t="shared" si="28"/>
        <v>0</v>
      </c>
      <c r="AA53" cm="1">
        <f t="array" ref="AA53" xml:space="preserve"> IFERROR(VLOOKUP($A53,$A$86:$X$1000,MATCH(AA$25,$A$87:$J$87,0), FALSE), 0) *
    (LEN($A53) &gt; 0)+SUMPRODUCT(
    IFERROR(VLOOKUP($G53:$T53, $B$87:$X$1000,MATCH(AA$25,$B$87:$X$87,0), FALSE), 0) *
    (LEN($G53:$T53) &gt; 0)
)</f>
        <v>0.11</v>
      </c>
      <c r="AB53" cm="1">
        <f t="array" ref="AB53">1+SUMPRODUCT(
    IFERROR(VLOOKUP($G53:$T53, $B$87:$X$1000,MATCH(AB$25,$B$87:$X$87,0), FALSE), 0) *
    (LEN($G53:$T53) &gt; 0)
)+IFERROR(VLOOKUP($A53,$A$87:$X$1000,MATCH(AB$25,$A$87:$J$87,0), FALSE), 0) *
    (LEN($A53) &gt; 0)</f>
        <v>1</v>
      </c>
      <c r="AC53" cm="1">
        <f t="array" ref="AC53">1+SUMPRODUCT(
    IFERROR(VLOOKUP($G53:$T53, $B$87:$X$1000,MATCH(AC$25,$B$87:$X$87,0), FALSE), 0) *
    (LEN($G53:$T53) &gt; 0)
)</f>
        <v>1</v>
      </c>
      <c r="AD53" cm="1">
        <f t="array" ref="AD53">SUMPRODUCT(
    IFERROR(VLOOKUP($G53:$T53, $B$87:$X$1000,MATCH(AD$25,$B$87:$X$87,0), FALSE), 0) *
    (LEN($G53:$T53) &gt; 0)
)+IFERROR(VLOOKUP($A53,$A$88:$X$1000,MATCH(AD$25,$A$87:$X$87,0), FALSE), 0) *
    (LEN($A53) &gt; 0)</f>
        <v>0</v>
      </c>
      <c r="AE53" cm="1">
        <f t="array" ref="AE53">SUMPRODUCT(
    IFERROR(VLOOKUP($G53:$T53, $B$87:$X$1000,MATCH(AE$25,$B$87:$X$87,0), FALSE), 0) *
    (LEN($G53:$T53) &gt; 0)
)+IFERROR(VLOOKUP($A53,$A$88:$X$1000,MATCH(AE$25,$A$87:$X$87,0), FALSE), 0) *
    (LEN($A53) &gt; 0)</f>
        <v>0</v>
      </c>
      <c r="AF53" cm="1">
        <f t="array" ref="AF53">SUMPRODUCT(
    IFERROR(VLOOKUP($G53:$T53, $B$87:$X$1000,MATCH(AF$25,$B$87:$X$87,0), FALSE), 0) *
    (LEN($G53:$T53) &gt; 0)
)+IFERROR(VLOOKUP($A53,$A$88:$X$1000,MATCH(AF$25,$A$87:$X$87,0), FALSE), 0) *
    (LEN($A53) &gt; 0)</f>
        <v>0</v>
      </c>
      <c r="AG53" cm="1">
        <f t="array" ref="AG53">SUMPRODUCT(
    IFERROR(VLOOKUP($G53:$T53, $B$87:$X$1000,MATCH(AG$25,$B$87:$X$87,0), FALSE), 0) *
    (LEN($G53:$T53) &gt; 0)
)+IFERROR(VLOOKUP($A53,$A$88:$X$1000,MATCH(AG$25,$A$87:$X$87,0), FALSE), 0) *
    (LEN($A53) &gt; 0)</f>
        <v>0</v>
      </c>
      <c r="AH53" cm="1">
        <f t="array" ref="AH53">SUMPRODUCT(
    IFERROR(VLOOKUP($G53:$T53, $B$87:$X$1000,MATCH(AH$25,$B$87:$X$87,0), FALSE), 0) *
    (LEN($G53:$T53) &gt; 0)
)+IFERROR(VLOOKUP($A53,$A$88:$X$1000,MATCH(AH$25,$A$87:$X$87,0), FALSE), 0) *
    (LEN($A53) &gt; 0)</f>
        <v>0</v>
      </c>
      <c r="AI53">
        <f t="shared" si="33"/>
        <v>1</v>
      </c>
      <c r="AJ53" cm="1">
        <f t="array" ref="AJ53">1+SUMPRODUCT(
    IFERROR(VLOOKUP($G53:$T53, $B$87:$X$1000,MATCH(AJ$25,$B$87:$X$87,0), FALSE), 0) *
    (LEN($G53:$T53) &gt; 0)
)</f>
        <v>1</v>
      </c>
      <c r="AK53" cm="1">
        <f t="array" ref="AK53">1+SUMPRODUCT(
    IFERROR(VLOOKUP($G53:$T53, $B$87:$X$1000,MATCH(AK$25,$B$87:$X$87,0), FALSE), 0) *
    (LEN($G53:$T53) &gt; 0)
)</f>
        <v>1</v>
      </c>
      <c r="AL53" cm="1">
        <f t="array" ref="AL53">1+SUMPRODUCT(
    IFERROR(VLOOKUP($G53:$T53, $B$87:$X$1000,MATCH(AL$25,$B$87:$X$87,0), FALSE), 0) *
    (LEN($G53:$T53) &gt; 0)
)</f>
        <v>1</v>
      </c>
      <c r="AM53" cm="1">
        <f t="array" ref="AM53">1+SUMPRODUCT(
    IFERROR(VLOOKUP($G53:$T53, $B$87:$X$1000,MATCH(AM$25,$B$87:$X$87,0), FALSE), 0) *
    (LEN($G53:$T53) &gt; 0)
)</f>
        <v>1</v>
      </c>
      <c r="AN53" cm="1">
        <f t="array" ref="AN53">1+SUMPRODUCT(
    IFERROR(VLOOKUP($G53:$T53, $B$87:$X$1000,MATCH(AN$25,$B$87:$X$87,0), FALSE), 0) *
    (LEN($G53:$T53) &gt; 0)
)</f>
        <v>1</v>
      </c>
      <c r="AO53">
        <f t="shared" si="34"/>
        <v>1</v>
      </c>
      <c r="AQ53">
        <f t="shared" si="35"/>
        <v>0.5</v>
      </c>
    </row>
    <row r="54" spans="2:43" x14ac:dyDescent="0.25">
      <c r="B54">
        <f t="shared" si="31"/>
        <v>0</v>
      </c>
      <c r="C54">
        <f t="shared" si="23"/>
        <v>0</v>
      </c>
      <c r="D54">
        <f t="shared" si="32"/>
        <v>0</v>
      </c>
      <c r="E54" s="36" t="e">
        <f>表2_546[[#This Row],[列3]]/$C$62</f>
        <v>#DIV/0!</v>
      </c>
      <c r="F54" t="s">
        <v>791</v>
      </c>
      <c r="G54" t="s">
        <v>1479</v>
      </c>
      <c r="U54">
        <f t="shared" si="25"/>
        <v>0</v>
      </c>
      <c r="V54" cm="1">
        <f t="array" ref="V54" xml:space="preserve"> IFERROR(VLOOKUP($A54,$A$86:$X$1000,MATCH(V$25,$A$87:$J$87,0), FALSE), 0) *
    (LEN($A54) &gt; 0)+SUMPRODUCT(
    IFERROR(VLOOKUP($G54:$T54, $B$87:$X$1000,MATCH(V$25,$B$87:$X$87,0), FALSE), 0) *
    (LEN($G54:$T54) &gt; 0)
)</f>
        <v>0</v>
      </c>
      <c r="W54" cm="1">
        <f t="array" ref="W54" xml:space="preserve"> IFERROR(VLOOKUP($A54,$A$86:$X$1000,MATCH(W$25,$A$87:$J$87,0), FALSE), 0) *
    (LEN($A54) &gt; 0)+SUMPRODUCT(
    IFERROR(VLOOKUP($G54:$T54, $B$87:$X$1000,MATCH(W$25,$B$87:$X$87,0), FALSE), 0) *
    (LEN($G54:$T54) &gt; 0)
)</f>
        <v>180</v>
      </c>
      <c r="X54">
        <f t="shared" si="26"/>
        <v>0</v>
      </c>
      <c r="Y54">
        <f t="shared" si="27"/>
        <v>180</v>
      </c>
      <c r="Z54">
        <f t="shared" si="28"/>
        <v>0</v>
      </c>
      <c r="AA54" cm="1">
        <f t="array" ref="AA54" xml:space="preserve"> IFERROR(VLOOKUP($A54,$A$86:$X$1000,MATCH(AA$25,$A$87:$J$87,0), FALSE), 0) *
    (LEN($A54) &gt; 0)+SUMPRODUCT(
    IFERROR(VLOOKUP($G54:$T54, $B$87:$X$1000,MATCH(AA$25,$B$87:$X$87,0), FALSE), 0) *
    (LEN($G54:$T54) &gt; 0)
)</f>
        <v>0.11</v>
      </c>
      <c r="AB54" cm="1">
        <f t="array" ref="AB54">1+SUMPRODUCT(
    IFERROR(VLOOKUP($G54:$T54, $B$87:$X$1000,MATCH(AB$25,$B$87:$X$87,0), FALSE), 0) *
    (LEN($G54:$T54) &gt; 0)
)+IFERROR(VLOOKUP($A54,$A$87:$X$1000,MATCH(AB$25,$A$87:$J$87,0), FALSE), 0) *
    (LEN($A54) &gt; 0)</f>
        <v>1</v>
      </c>
      <c r="AC54" cm="1">
        <f t="array" ref="AC54">1+SUMPRODUCT(
    IFERROR(VLOOKUP($G54:$T54, $B$87:$X$1000,MATCH(AC$25,$B$87:$X$87,0), FALSE), 0) *
    (LEN($G54:$T54) &gt; 0)
)</f>
        <v>1</v>
      </c>
      <c r="AD54" cm="1">
        <f t="array" ref="AD54">SUMPRODUCT(
    IFERROR(VLOOKUP($G54:$T54, $B$87:$X$1000,MATCH(AD$25,$B$87:$X$87,0), FALSE), 0) *
    (LEN($G54:$T54) &gt; 0)
)+IFERROR(VLOOKUP($A54,$A$88:$X$1000,MATCH(AD$25,$A$87:$X$87,0), FALSE), 0) *
    (LEN($A54) &gt; 0)</f>
        <v>0</v>
      </c>
      <c r="AE54" cm="1">
        <f t="array" ref="AE54">SUMPRODUCT(
    IFERROR(VLOOKUP($G54:$T54, $B$87:$X$1000,MATCH(AE$25,$B$87:$X$87,0), FALSE), 0) *
    (LEN($G54:$T54) &gt; 0)
)+IFERROR(VLOOKUP($A54,$A$88:$X$1000,MATCH(AE$25,$A$87:$X$87,0), FALSE), 0) *
    (LEN($A54) &gt; 0)</f>
        <v>0</v>
      </c>
      <c r="AF54" cm="1">
        <f t="array" ref="AF54">SUMPRODUCT(
    IFERROR(VLOOKUP($G54:$T54, $B$87:$X$1000,MATCH(AF$25,$B$87:$X$87,0), FALSE), 0) *
    (LEN($G54:$T54) &gt; 0)
)+IFERROR(VLOOKUP($A54,$A$88:$X$1000,MATCH(AF$25,$A$87:$X$87,0), FALSE), 0) *
    (LEN($A54) &gt; 0)</f>
        <v>0</v>
      </c>
      <c r="AG54" cm="1">
        <f t="array" ref="AG54">SUMPRODUCT(
    IFERROR(VLOOKUP($G54:$T54, $B$87:$X$1000,MATCH(AG$25,$B$87:$X$87,0), FALSE), 0) *
    (LEN($G54:$T54) &gt; 0)
)+IFERROR(VLOOKUP($A54,$A$88:$X$1000,MATCH(AG$25,$A$87:$X$87,0), FALSE), 0) *
    (LEN($A54) &gt; 0)</f>
        <v>0</v>
      </c>
      <c r="AH54" cm="1">
        <f t="array" ref="AH54">SUMPRODUCT(
    IFERROR(VLOOKUP($G54:$T54, $B$87:$X$1000,MATCH(AH$25,$B$87:$X$87,0), FALSE), 0) *
    (LEN($G54:$T54) &gt; 0)
)+IFERROR(VLOOKUP($A54,$A$88:$X$1000,MATCH(AH$25,$A$87:$X$87,0), FALSE), 0) *
    (LEN($A54) &gt; 0)</f>
        <v>0</v>
      </c>
      <c r="AI54">
        <f t="shared" si="33"/>
        <v>1</v>
      </c>
      <c r="AJ54" cm="1">
        <f t="array" ref="AJ54">1+SUMPRODUCT(
    IFERROR(VLOOKUP($G54:$T54, $B$87:$X$1000,MATCH(AJ$25,$B$87:$X$87,0), FALSE), 0) *
    (LEN($G54:$T54) &gt; 0)
)</f>
        <v>1</v>
      </c>
      <c r="AK54" cm="1">
        <f t="array" ref="AK54">1+SUMPRODUCT(
    IFERROR(VLOOKUP($G54:$T54, $B$87:$X$1000,MATCH(AK$25,$B$87:$X$87,0), FALSE), 0) *
    (LEN($G54:$T54) &gt; 0)
)</f>
        <v>1</v>
      </c>
      <c r="AL54" cm="1">
        <f t="array" ref="AL54">1+SUMPRODUCT(
    IFERROR(VLOOKUP($G54:$T54, $B$87:$X$1000,MATCH(AL$25,$B$87:$X$87,0), FALSE), 0) *
    (LEN($G54:$T54) &gt; 0)
)</f>
        <v>1</v>
      </c>
      <c r="AM54" cm="1">
        <f t="array" ref="AM54">1+SUMPRODUCT(
    IFERROR(VLOOKUP($G54:$T54, $B$87:$X$1000,MATCH(AM$25,$B$87:$X$87,0), FALSE), 0) *
    (LEN($G54:$T54) &gt; 0)
)</f>
        <v>1</v>
      </c>
      <c r="AN54" cm="1">
        <f t="array" ref="AN54">1+SUMPRODUCT(
    IFERROR(VLOOKUP($G54:$T54, $B$87:$X$1000,MATCH(AN$25,$B$87:$X$87,0), FALSE), 0) *
    (LEN($G54:$T54) &gt; 0)
)</f>
        <v>1</v>
      </c>
      <c r="AO54">
        <f t="shared" si="34"/>
        <v>1</v>
      </c>
      <c r="AQ54">
        <f t="shared" si="35"/>
        <v>0.5</v>
      </c>
    </row>
    <row r="55" spans="2:43" x14ac:dyDescent="0.25">
      <c r="B55">
        <f t="shared" si="31"/>
        <v>0</v>
      </c>
      <c r="C55">
        <f t="shared" si="23"/>
        <v>0</v>
      </c>
      <c r="D55">
        <f t="shared" si="32"/>
        <v>0</v>
      </c>
      <c r="E55" s="36" t="e">
        <f>表2_546[[#This Row],[列3]]/$C$62</f>
        <v>#DIV/0!</v>
      </c>
      <c r="F55" t="s">
        <v>791</v>
      </c>
      <c r="G55" t="s">
        <v>1479</v>
      </c>
      <c r="U55">
        <f t="shared" si="25"/>
        <v>0</v>
      </c>
      <c r="V55" cm="1">
        <f t="array" ref="V55" xml:space="preserve"> IFERROR(VLOOKUP($A55,$A$86:$X$1000,MATCH(V$25,$A$87:$J$87,0), FALSE), 0) *
    (LEN($A55) &gt; 0)+SUMPRODUCT(
    IFERROR(VLOOKUP($G55:$T55, $B$87:$X$1000,MATCH(V$25,$B$87:$X$87,0), FALSE), 0) *
    (LEN($G55:$T55) &gt; 0)
)</f>
        <v>0</v>
      </c>
      <c r="W55" cm="1">
        <f t="array" ref="W55" xml:space="preserve"> IFERROR(VLOOKUP($A55,$A$86:$X$1000,MATCH(W$25,$A$87:$J$87,0), FALSE), 0) *
    (LEN($A55) &gt; 0)+SUMPRODUCT(
    IFERROR(VLOOKUP($G55:$T55, $B$87:$X$1000,MATCH(W$25,$B$87:$X$87,0), FALSE), 0) *
    (LEN($G55:$T55) &gt; 0)
)</f>
        <v>180</v>
      </c>
      <c r="X55">
        <f t="shared" si="26"/>
        <v>0</v>
      </c>
      <c r="Y55">
        <f t="shared" si="27"/>
        <v>180</v>
      </c>
      <c r="Z55">
        <f t="shared" si="28"/>
        <v>0</v>
      </c>
      <c r="AA55" cm="1">
        <f t="array" ref="AA55" xml:space="preserve"> IFERROR(VLOOKUP($A55,$A$86:$X$1000,MATCH(AA$25,$A$87:$J$87,0), FALSE), 0) *
    (LEN($A55) &gt; 0)+SUMPRODUCT(
    IFERROR(VLOOKUP($G55:$T55, $B$87:$X$1000,MATCH(AA$25,$B$87:$X$87,0), FALSE), 0) *
    (LEN($G55:$T55) &gt; 0)
)</f>
        <v>0.11</v>
      </c>
      <c r="AB55" cm="1">
        <f t="array" ref="AB55">1+SUMPRODUCT(
    IFERROR(VLOOKUP($G55:$T55, $B$87:$X$1000,MATCH(AB$25,$B$87:$X$87,0), FALSE), 0) *
    (LEN($G55:$T55) &gt; 0)
)+IFERROR(VLOOKUP($A55,$A$87:$X$1000,MATCH(AB$25,$A$87:$J$87,0), FALSE), 0) *
    (LEN($A55) &gt; 0)</f>
        <v>1</v>
      </c>
      <c r="AC55" cm="1">
        <f t="array" ref="AC55">1+SUMPRODUCT(
    IFERROR(VLOOKUP($G55:$T55, $B$87:$X$1000,MATCH(AC$25,$B$87:$X$87,0), FALSE), 0) *
    (LEN($G55:$T55) &gt; 0)
)</f>
        <v>1</v>
      </c>
      <c r="AD55" cm="1">
        <f t="array" ref="AD55">SUMPRODUCT(
    IFERROR(VLOOKUP($G55:$T55, $B$87:$X$1000,MATCH(AD$25,$B$87:$X$87,0), FALSE), 0) *
    (LEN($G55:$T55) &gt; 0)
)+IFERROR(VLOOKUP($A55,$A$88:$X$1000,MATCH(AD$25,$A$87:$X$87,0), FALSE), 0) *
    (LEN($A55) &gt; 0)</f>
        <v>0</v>
      </c>
      <c r="AE55" cm="1">
        <f t="array" ref="AE55">SUMPRODUCT(
    IFERROR(VLOOKUP($G55:$T55, $B$87:$X$1000,MATCH(AE$25,$B$87:$X$87,0), FALSE), 0) *
    (LEN($G55:$T55) &gt; 0)
)+IFERROR(VLOOKUP($A55,$A$88:$X$1000,MATCH(AE$25,$A$87:$X$87,0), FALSE), 0) *
    (LEN($A55) &gt; 0)</f>
        <v>0</v>
      </c>
      <c r="AF55" cm="1">
        <f t="array" ref="AF55">SUMPRODUCT(
    IFERROR(VLOOKUP($G55:$T55, $B$87:$X$1000,MATCH(AF$25,$B$87:$X$87,0), FALSE), 0) *
    (LEN($G55:$T55) &gt; 0)
)+IFERROR(VLOOKUP($A55,$A$88:$X$1000,MATCH(AF$25,$A$87:$X$87,0), FALSE), 0) *
    (LEN($A55) &gt; 0)</f>
        <v>0</v>
      </c>
      <c r="AG55" cm="1">
        <f t="array" ref="AG55">SUMPRODUCT(
    IFERROR(VLOOKUP($G55:$T55, $B$87:$X$1000,MATCH(AG$25,$B$87:$X$87,0), FALSE), 0) *
    (LEN($G55:$T55) &gt; 0)
)+IFERROR(VLOOKUP($A55,$A$88:$X$1000,MATCH(AG$25,$A$87:$X$87,0), FALSE), 0) *
    (LEN($A55) &gt; 0)</f>
        <v>0</v>
      </c>
      <c r="AH55" cm="1">
        <f t="array" ref="AH55">SUMPRODUCT(
    IFERROR(VLOOKUP($G55:$T55, $B$87:$X$1000,MATCH(AH$25,$B$87:$X$87,0), FALSE), 0) *
    (LEN($G55:$T55) &gt; 0)
)+IFERROR(VLOOKUP($A55,$A$88:$X$1000,MATCH(AH$25,$A$87:$X$87,0), FALSE), 0) *
    (LEN($A55) &gt; 0)</f>
        <v>0</v>
      </c>
      <c r="AI55">
        <f t="shared" si="33"/>
        <v>1</v>
      </c>
      <c r="AJ55" cm="1">
        <f t="array" ref="AJ55">1+SUMPRODUCT(
    IFERROR(VLOOKUP($G55:$T55, $B$87:$X$1000,MATCH(AJ$25,$B$87:$X$87,0), FALSE), 0) *
    (LEN($G55:$T55) &gt; 0)
)</f>
        <v>1</v>
      </c>
      <c r="AK55" cm="1">
        <f t="array" ref="AK55">1+SUMPRODUCT(
    IFERROR(VLOOKUP($G55:$T55, $B$87:$X$1000,MATCH(AK$25,$B$87:$X$87,0), FALSE), 0) *
    (LEN($G55:$T55) &gt; 0)
)</f>
        <v>1</v>
      </c>
      <c r="AL55" cm="1">
        <f t="array" ref="AL55">1+SUMPRODUCT(
    IFERROR(VLOOKUP($G55:$T55, $B$87:$X$1000,MATCH(AL$25,$B$87:$X$87,0), FALSE), 0) *
    (LEN($G55:$T55) &gt; 0)
)</f>
        <v>1</v>
      </c>
      <c r="AM55" cm="1">
        <f t="array" ref="AM55">1+SUMPRODUCT(
    IFERROR(VLOOKUP($G55:$T55, $B$87:$X$1000,MATCH(AM$25,$B$87:$X$87,0), FALSE), 0) *
    (LEN($G55:$T55) &gt; 0)
)</f>
        <v>1</v>
      </c>
      <c r="AN55" cm="1">
        <f t="array" ref="AN55">1+SUMPRODUCT(
    IFERROR(VLOOKUP($G55:$T55, $B$87:$X$1000,MATCH(AN$25,$B$87:$X$87,0), FALSE), 0) *
    (LEN($G55:$T55) &gt; 0)
)</f>
        <v>1</v>
      </c>
      <c r="AO55">
        <f t="shared" si="34"/>
        <v>1</v>
      </c>
      <c r="AQ55">
        <f t="shared" si="35"/>
        <v>0.5</v>
      </c>
    </row>
    <row r="56" spans="2:43" x14ac:dyDescent="0.25">
      <c r="B56">
        <f t="shared" si="31"/>
        <v>0</v>
      </c>
      <c r="C56">
        <f t="shared" si="23"/>
        <v>0</v>
      </c>
      <c r="D56">
        <f t="shared" si="32"/>
        <v>0</v>
      </c>
      <c r="E56" s="36" t="e">
        <f>表2_546[[#This Row],[列3]]/$C$62</f>
        <v>#DIV/0!</v>
      </c>
      <c r="F56" t="s">
        <v>791</v>
      </c>
      <c r="G56" t="s">
        <v>1479</v>
      </c>
      <c r="U56">
        <f t="shared" si="25"/>
        <v>0</v>
      </c>
      <c r="V56" cm="1">
        <f t="array" ref="V56" xml:space="preserve"> IFERROR(VLOOKUP($A56,$A$86:$X$1000,MATCH(V$25,$A$87:$J$87,0), FALSE), 0) *
    (LEN($A56) &gt; 0)+SUMPRODUCT(
    IFERROR(VLOOKUP($G56:$T56, $B$87:$X$1000,MATCH(V$25,$B$87:$X$87,0), FALSE), 0) *
    (LEN($G56:$T56) &gt; 0)
)</f>
        <v>0</v>
      </c>
      <c r="W56" cm="1">
        <f t="array" ref="W56" xml:space="preserve"> IFERROR(VLOOKUP($A56,$A$86:$X$1000,MATCH(W$25,$A$87:$J$87,0), FALSE), 0) *
    (LEN($A56) &gt; 0)+SUMPRODUCT(
    IFERROR(VLOOKUP($G56:$T56, $B$87:$X$1000,MATCH(W$25,$B$87:$X$87,0), FALSE), 0) *
    (LEN($G56:$T56) &gt; 0)
)</f>
        <v>180</v>
      </c>
      <c r="X56">
        <f t="shared" si="26"/>
        <v>0</v>
      </c>
      <c r="Y56">
        <f t="shared" si="27"/>
        <v>180</v>
      </c>
      <c r="Z56">
        <f t="shared" si="28"/>
        <v>0</v>
      </c>
      <c r="AA56" cm="1">
        <f t="array" ref="AA56" xml:space="preserve"> IFERROR(VLOOKUP($A56,$A$86:$X$1000,MATCH(AA$25,$A$87:$J$87,0), FALSE), 0) *
    (LEN($A56) &gt; 0)+SUMPRODUCT(
    IFERROR(VLOOKUP($G56:$T56, $B$87:$X$1000,MATCH(AA$25,$B$87:$X$87,0), FALSE), 0) *
    (LEN($G56:$T56) &gt; 0)
)</f>
        <v>0.11</v>
      </c>
      <c r="AB56" cm="1">
        <f t="array" ref="AB56">1+SUMPRODUCT(
    IFERROR(VLOOKUP($G56:$T56, $B$87:$X$1000,MATCH(AB$25,$B$87:$X$87,0), FALSE), 0) *
    (LEN($G56:$T56) &gt; 0)
)+IFERROR(VLOOKUP($A56,$A$87:$X$1000,MATCH(AB$25,$A$87:$J$87,0), FALSE), 0) *
    (LEN($A56) &gt; 0)</f>
        <v>1</v>
      </c>
      <c r="AC56" cm="1">
        <f t="array" ref="AC56">1+SUMPRODUCT(
    IFERROR(VLOOKUP($G56:$T56, $B$87:$X$1000,MATCH(AC$25,$B$87:$X$87,0), FALSE), 0) *
    (LEN($G56:$T56) &gt; 0)
)</f>
        <v>1</v>
      </c>
      <c r="AD56" cm="1">
        <f t="array" ref="AD56">SUMPRODUCT(
    IFERROR(VLOOKUP($G56:$T56, $B$87:$X$1000,MATCH(AD$25,$B$87:$X$87,0), FALSE), 0) *
    (LEN($G56:$T56) &gt; 0)
)+IFERROR(VLOOKUP($A56,$A$88:$X$1000,MATCH(AD$25,$A$87:$X$87,0), FALSE), 0) *
    (LEN($A56) &gt; 0)</f>
        <v>0</v>
      </c>
      <c r="AE56" cm="1">
        <f t="array" ref="AE56">SUMPRODUCT(
    IFERROR(VLOOKUP($G56:$T56, $B$87:$X$1000,MATCH(AE$25,$B$87:$X$87,0), FALSE), 0) *
    (LEN($G56:$T56) &gt; 0)
)+IFERROR(VLOOKUP($A56,$A$88:$X$1000,MATCH(AE$25,$A$87:$X$87,0), FALSE), 0) *
    (LEN($A56) &gt; 0)</f>
        <v>0</v>
      </c>
      <c r="AF56" cm="1">
        <f t="array" ref="AF56">SUMPRODUCT(
    IFERROR(VLOOKUP($G56:$T56, $B$87:$X$1000,MATCH(AF$25,$B$87:$X$87,0), FALSE), 0) *
    (LEN($G56:$T56) &gt; 0)
)+IFERROR(VLOOKUP($A56,$A$88:$X$1000,MATCH(AF$25,$A$87:$X$87,0), FALSE), 0) *
    (LEN($A56) &gt; 0)</f>
        <v>0</v>
      </c>
      <c r="AG56" cm="1">
        <f t="array" ref="AG56">SUMPRODUCT(
    IFERROR(VLOOKUP($G56:$T56, $B$87:$X$1000,MATCH(AG$25,$B$87:$X$87,0), FALSE), 0) *
    (LEN($G56:$T56) &gt; 0)
)+IFERROR(VLOOKUP($A56,$A$88:$X$1000,MATCH(AG$25,$A$87:$X$87,0), FALSE), 0) *
    (LEN($A56) &gt; 0)</f>
        <v>0</v>
      </c>
      <c r="AH56" cm="1">
        <f t="array" ref="AH56">SUMPRODUCT(
    IFERROR(VLOOKUP($G56:$T56, $B$87:$X$1000,MATCH(AH$25,$B$87:$X$87,0), FALSE), 0) *
    (LEN($G56:$T56) &gt; 0)
)+IFERROR(VLOOKUP($A56,$A$88:$X$1000,MATCH(AH$25,$A$87:$X$87,0), FALSE), 0) *
    (LEN($A56) &gt; 0)</f>
        <v>0</v>
      </c>
      <c r="AI56">
        <f t="shared" si="33"/>
        <v>1</v>
      </c>
      <c r="AJ56" cm="1">
        <f t="array" ref="AJ56">1+SUMPRODUCT(
    IFERROR(VLOOKUP($G56:$T56, $B$87:$X$1000,MATCH(AJ$25,$B$87:$X$87,0), FALSE), 0) *
    (LEN($G56:$T56) &gt; 0)
)</f>
        <v>1</v>
      </c>
      <c r="AK56" cm="1">
        <f t="array" ref="AK56">1+SUMPRODUCT(
    IFERROR(VLOOKUP($G56:$T56, $B$87:$X$1000,MATCH(AK$25,$B$87:$X$87,0), FALSE), 0) *
    (LEN($G56:$T56) &gt; 0)
)</f>
        <v>1</v>
      </c>
      <c r="AL56" cm="1">
        <f t="array" ref="AL56">1+SUMPRODUCT(
    IFERROR(VLOOKUP($G56:$T56, $B$87:$X$1000,MATCH(AL$25,$B$87:$X$87,0), FALSE), 0) *
    (LEN($G56:$T56) &gt; 0)
)</f>
        <v>1</v>
      </c>
      <c r="AM56" cm="1">
        <f t="array" ref="AM56">1+SUMPRODUCT(
    IFERROR(VLOOKUP($G56:$T56, $B$87:$X$1000,MATCH(AM$25,$B$87:$X$87,0), FALSE), 0) *
    (LEN($G56:$T56) &gt; 0)
)</f>
        <v>1</v>
      </c>
      <c r="AN56" cm="1">
        <f t="array" ref="AN56">1+SUMPRODUCT(
    IFERROR(VLOOKUP($G56:$T56, $B$87:$X$1000,MATCH(AN$25,$B$87:$X$87,0), FALSE), 0) *
    (LEN($G56:$T56) &gt; 0)
)</f>
        <v>1</v>
      </c>
      <c r="AO56">
        <f t="shared" si="34"/>
        <v>1</v>
      </c>
      <c r="AQ56">
        <f t="shared" si="35"/>
        <v>0.5</v>
      </c>
    </row>
    <row r="57" spans="2:43" x14ac:dyDescent="0.25">
      <c r="B57">
        <f t="shared" si="31"/>
        <v>0</v>
      </c>
      <c r="C57">
        <f t="shared" si="23"/>
        <v>0</v>
      </c>
      <c r="D57">
        <f t="shared" si="32"/>
        <v>0</v>
      </c>
      <c r="E57" s="36" t="e">
        <f>表2_546[[#This Row],[列3]]/$C$62</f>
        <v>#DIV/0!</v>
      </c>
      <c r="F57" t="s">
        <v>791</v>
      </c>
      <c r="G57" t="s">
        <v>1479</v>
      </c>
      <c r="U57">
        <f t="shared" si="25"/>
        <v>0</v>
      </c>
      <c r="V57" cm="1">
        <f t="array" ref="V57" xml:space="preserve"> IFERROR(VLOOKUP($A57,$A$86:$X$1000,MATCH(V$25,$A$87:$J$87,0), FALSE), 0) *
    (LEN($A57) &gt; 0)+SUMPRODUCT(
    IFERROR(VLOOKUP($G57:$T57, $B$87:$X$1000,MATCH(V$25,$B$87:$X$87,0), FALSE), 0) *
    (LEN($G57:$T57) &gt; 0)
)</f>
        <v>0</v>
      </c>
      <c r="W57" cm="1">
        <f t="array" ref="W57" xml:space="preserve"> IFERROR(VLOOKUP($A57,$A$86:$X$1000,MATCH(W$25,$A$87:$J$87,0), FALSE), 0) *
    (LEN($A57) &gt; 0)+SUMPRODUCT(
    IFERROR(VLOOKUP($G57:$T57, $B$87:$X$1000,MATCH(W$25,$B$87:$X$87,0), FALSE), 0) *
    (LEN($G57:$T57) &gt; 0)
)</f>
        <v>180</v>
      </c>
      <c r="X57">
        <f t="shared" si="26"/>
        <v>0</v>
      </c>
      <c r="Y57">
        <f t="shared" si="27"/>
        <v>180</v>
      </c>
      <c r="Z57">
        <f t="shared" si="28"/>
        <v>0</v>
      </c>
      <c r="AA57" cm="1">
        <f t="array" ref="AA57" xml:space="preserve"> IFERROR(VLOOKUP($A57,$A$86:$X$1000,MATCH(AA$25,$A$87:$J$87,0), FALSE), 0) *
    (LEN($A57) &gt; 0)+SUMPRODUCT(
    IFERROR(VLOOKUP($G57:$T57, $B$87:$X$1000,MATCH(AA$25,$B$87:$X$87,0), FALSE), 0) *
    (LEN($G57:$T57) &gt; 0)
)</f>
        <v>0.11</v>
      </c>
      <c r="AB57" cm="1">
        <f t="array" ref="AB57">1+SUMPRODUCT(
    IFERROR(VLOOKUP($G57:$T57, $B$87:$X$1000,MATCH(AB$25,$B$87:$X$87,0), FALSE), 0) *
    (LEN($G57:$T57) &gt; 0)
)+IFERROR(VLOOKUP($A57,$A$87:$X$1000,MATCH(AB$25,$A$87:$J$87,0), FALSE), 0) *
    (LEN($A57) &gt; 0)</f>
        <v>1</v>
      </c>
      <c r="AC57" cm="1">
        <f t="array" ref="AC57">1+SUMPRODUCT(
    IFERROR(VLOOKUP($G57:$T57, $B$87:$X$1000,MATCH(AC$25,$B$87:$X$87,0), FALSE), 0) *
    (LEN($G57:$T57) &gt; 0)
)</f>
        <v>1</v>
      </c>
      <c r="AD57" cm="1">
        <f t="array" ref="AD57">SUMPRODUCT(
    IFERROR(VLOOKUP($G57:$T57, $B$87:$X$1000,MATCH(AD$25,$B$87:$X$87,0), FALSE), 0) *
    (LEN($G57:$T57) &gt; 0)
)+IFERROR(VLOOKUP($A57,$A$88:$X$1000,MATCH(AD$25,$A$87:$X$87,0), FALSE), 0) *
    (LEN($A57) &gt; 0)</f>
        <v>0</v>
      </c>
      <c r="AE57" cm="1">
        <f t="array" ref="AE57">SUMPRODUCT(
    IFERROR(VLOOKUP($G57:$T57, $B$87:$X$1000,MATCH(AE$25,$B$87:$X$87,0), FALSE), 0) *
    (LEN($G57:$T57) &gt; 0)
)+IFERROR(VLOOKUP($A57,$A$88:$X$1000,MATCH(AE$25,$A$87:$X$87,0), FALSE), 0) *
    (LEN($A57) &gt; 0)</f>
        <v>0</v>
      </c>
      <c r="AF57" cm="1">
        <f t="array" ref="AF57">SUMPRODUCT(
    IFERROR(VLOOKUP($G57:$T57, $B$87:$X$1000,MATCH(AF$25,$B$87:$X$87,0), FALSE), 0) *
    (LEN($G57:$T57) &gt; 0)
)+IFERROR(VLOOKUP($A57,$A$88:$X$1000,MATCH(AF$25,$A$87:$X$87,0), FALSE), 0) *
    (LEN($A57) &gt; 0)</f>
        <v>0</v>
      </c>
      <c r="AG57" cm="1">
        <f t="array" ref="AG57">SUMPRODUCT(
    IFERROR(VLOOKUP($G57:$T57, $B$87:$X$1000,MATCH(AG$25,$B$87:$X$87,0), FALSE), 0) *
    (LEN($G57:$T57) &gt; 0)
)+IFERROR(VLOOKUP($A57,$A$88:$X$1000,MATCH(AG$25,$A$87:$X$87,0), FALSE), 0) *
    (LEN($A57) &gt; 0)</f>
        <v>0</v>
      </c>
      <c r="AH57" cm="1">
        <f t="array" ref="AH57">SUMPRODUCT(
    IFERROR(VLOOKUP($G57:$T57, $B$87:$X$1000,MATCH(AH$25,$B$87:$X$87,0), FALSE), 0) *
    (LEN($G57:$T57) &gt; 0)
)+IFERROR(VLOOKUP($A57,$A$88:$X$1000,MATCH(AH$25,$A$87:$X$87,0), FALSE), 0) *
    (LEN($A57) &gt; 0)</f>
        <v>0</v>
      </c>
      <c r="AI57">
        <f t="shared" si="33"/>
        <v>1</v>
      </c>
      <c r="AJ57" cm="1">
        <f t="array" ref="AJ57">1+SUMPRODUCT(
    IFERROR(VLOOKUP($G57:$T57, $B$87:$X$1000,MATCH(AJ$25,$B$87:$X$87,0), FALSE), 0) *
    (LEN($G57:$T57) &gt; 0)
)</f>
        <v>1</v>
      </c>
      <c r="AK57" cm="1">
        <f t="array" ref="AK57">1+SUMPRODUCT(
    IFERROR(VLOOKUP($G57:$T57, $B$87:$X$1000,MATCH(AK$25,$B$87:$X$87,0), FALSE), 0) *
    (LEN($G57:$T57) &gt; 0)
)</f>
        <v>1</v>
      </c>
      <c r="AL57" cm="1">
        <f t="array" ref="AL57">1+SUMPRODUCT(
    IFERROR(VLOOKUP($G57:$T57, $B$87:$X$1000,MATCH(AL$25,$B$87:$X$87,0), FALSE), 0) *
    (LEN($G57:$T57) &gt; 0)
)</f>
        <v>1</v>
      </c>
      <c r="AM57" cm="1">
        <f t="array" ref="AM57">1+SUMPRODUCT(
    IFERROR(VLOOKUP($G57:$T57, $B$87:$X$1000,MATCH(AM$25,$B$87:$X$87,0), FALSE), 0) *
    (LEN($G57:$T57) &gt; 0)
)</f>
        <v>1</v>
      </c>
      <c r="AN57" cm="1">
        <f t="array" ref="AN57">1+SUMPRODUCT(
    IFERROR(VLOOKUP($G57:$T57, $B$87:$X$1000,MATCH(AN$25,$B$87:$X$87,0), FALSE), 0) *
    (LEN($G57:$T57) &gt; 0)
)</f>
        <v>1</v>
      </c>
      <c r="AO57">
        <f t="shared" si="34"/>
        <v>1</v>
      </c>
      <c r="AQ57">
        <f t="shared" si="35"/>
        <v>0.5</v>
      </c>
    </row>
    <row r="60" spans="2:43" x14ac:dyDescent="0.25">
      <c r="B60" t="s">
        <v>1034</v>
      </c>
      <c r="C60">
        <f>SUM(C27:C36)</f>
        <v>40077.057787303675</v>
      </c>
    </row>
    <row r="61" spans="2:43" x14ac:dyDescent="0.25">
      <c r="B61" t="s">
        <v>1036</v>
      </c>
    </row>
    <row r="62" spans="2:43" x14ac:dyDescent="0.25">
      <c r="B62" t="s">
        <v>1035</v>
      </c>
      <c r="C62" t="e">
        <f>C60/C61</f>
        <v>#DIV/0!</v>
      </c>
      <c r="E62" s="36"/>
    </row>
    <row r="63" spans="2:43" x14ac:dyDescent="0.25">
      <c r="B63" t="s">
        <v>1037</v>
      </c>
    </row>
    <row r="64" spans="2:43" x14ac:dyDescent="0.25">
      <c r="B64" t="s">
        <v>1038</v>
      </c>
      <c r="C64" t="e">
        <f>C60/C63</f>
        <v>#DIV/0!</v>
      </c>
    </row>
    <row r="86" spans="1:24" s="92" customFormat="1" x14ac:dyDescent="0.25">
      <c r="A86" s="92" t="str">
        <f>主c角色库!C380</f>
        <v>数值栏</v>
      </c>
      <c r="B86" s="92">
        <f>主c角色库!D380</f>
        <v>0</v>
      </c>
      <c r="C86" s="93" t="str">
        <f>主c角色库!E380</f>
        <v>攻击计算器</v>
      </c>
      <c r="D86" s="93">
        <f>主c角色库!F380</f>
        <v>0</v>
      </c>
      <c r="E86" s="93">
        <f>主c角色库!G380</f>
        <v>0</v>
      </c>
      <c r="F86" s="93">
        <f>主c角色库!H380</f>
        <v>0</v>
      </c>
      <c r="G86" s="93">
        <f>主c角色库!I380</f>
        <v>0</v>
      </c>
      <c r="H86" s="94" t="str">
        <f>主c角色库!J380</f>
        <v>面板乘区</v>
      </c>
      <c r="I86" s="94">
        <f>主c角色库!K380</f>
        <v>0</v>
      </c>
      <c r="J86" s="94">
        <f>主c角色库!L380</f>
        <v>0</v>
      </c>
      <c r="K86" s="94">
        <f>主c角色库!M380</f>
        <v>0</v>
      </c>
      <c r="L86" s="95" t="str">
        <f>主c角色库!N380</f>
        <v>伤害加成</v>
      </c>
      <c r="M86" s="95">
        <f>主c角色库!O380</f>
        <v>0</v>
      </c>
      <c r="N86" s="95">
        <f>主c角色库!P380</f>
        <v>0</v>
      </c>
      <c r="O86" s="95">
        <f>主c角色库!Q380</f>
        <v>0</v>
      </c>
      <c r="P86" s="95">
        <f>主c角色库!R380</f>
        <v>0</v>
      </c>
      <c r="Q86" s="95">
        <f>主c角色库!S380</f>
        <v>0</v>
      </c>
      <c r="R86" s="94" t="str">
        <f>主c角色库!T380</f>
        <v>拐</v>
      </c>
      <c r="S86" s="94">
        <f>主c角色库!U380</f>
        <v>0</v>
      </c>
      <c r="T86" s="94">
        <f>主c角色库!V380</f>
        <v>0</v>
      </c>
      <c r="U86" s="94">
        <f>主c角色库!W380</f>
        <v>0</v>
      </c>
      <c r="V86" s="94">
        <f>主c角色库!X380</f>
        <v>0</v>
      </c>
      <c r="W86" s="94">
        <f>主c角色库!Y380</f>
        <v>0</v>
      </c>
      <c r="X86" s="94">
        <f>主c角色库!Z380</f>
        <v>0</v>
      </c>
    </row>
    <row r="87" spans="1:24" x14ac:dyDescent="0.25">
      <c r="A87" t="str">
        <f>主c角色库!C381</f>
        <v>技能名称</v>
      </c>
      <c r="B87" t="str">
        <f>主c角色库!D381</f>
        <v>buff名称</v>
      </c>
      <c r="C87" s="91" t="str">
        <f>主c角色库!E381</f>
        <v>基础攻击力</v>
      </c>
      <c r="D87" s="91" t="str">
        <f>主c角色库!F381</f>
        <v>百分比</v>
      </c>
      <c r="E87" s="91" t="str">
        <f>主c角色库!G381</f>
        <v>固定数值</v>
      </c>
      <c r="F87" s="91" t="str">
        <f>主c角色库!H381</f>
        <v>能力值加成</v>
      </c>
      <c r="G87" s="91" t="str">
        <f>主c角色库!I381</f>
        <v>总攻击力</v>
      </c>
      <c r="H87" s="56" t="str">
        <f>主c角色库!J381</f>
        <v>倍率</v>
      </c>
      <c r="I87" s="56" t="str">
        <f>主c角色库!K381</f>
        <v>暴击率</v>
      </c>
      <c r="J87" s="56" t="str">
        <f>主c角色库!L381</f>
        <v>暴击伤害</v>
      </c>
      <c r="K87" s="56" t="str">
        <f>主c角色库!M381</f>
        <v>源石技艺</v>
      </c>
      <c r="L87" s="56" t="str">
        <f>主c角色库!N381</f>
        <v>基础伤害加成</v>
      </c>
      <c r="M87" s="56" t="str">
        <f>主c角色库!O381</f>
        <v>普攻</v>
      </c>
      <c r="N87" s="56" t="str">
        <f>主c角色库!P381</f>
        <v>战技</v>
      </c>
      <c r="O87" s="56" t="str">
        <f>主c角色库!Q381</f>
        <v>连携</v>
      </c>
      <c r="P87" s="56" t="str">
        <f>主c角色库!R381</f>
        <v>大招</v>
      </c>
      <c r="Q87" s="56" t="str">
        <f>主c角色库!S381</f>
        <v>总伤害加成</v>
      </c>
      <c r="R87" s="56" t="str">
        <f>主c角色库!T381</f>
        <v>脆弱</v>
      </c>
      <c r="S87" s="56" t="str">
        <f>主c角色库!U381</f>
        <v>增幅</v>
      </c>
      <c r="T87" s="56" t="str">
        <f>主c角色库!V381</f>
        <v>易伤</v>
      </c>
      <c r="U87" s="56" t="str">
        <f>主c角色库!W381</f>
        <v>抗性</v>
      </c>
      <c r="V87" s="56" t="str">
        <f>主c角色库!X381</f>
        <v>连击</v>
      </c>
      <c r="W87" s="56" t="str">
        <f>主c角色库!Y381</f>
        <v>失衡易伤</v>
      </c>
      <c r="X87" s="56" t="str">
        <f>主c角色库!Z381</f>
        <v>特殊加成</v>
      </c>
    </row>
    <row r="88" spans="1:24" x14ac:dyDescent="0.25">
      <c r="A88">
        <f>主c角色库!C382</f>
        <v>0</v>
      </c>
      <c r="B88">
        <f>主c角色库!D382</f>
        <v>0</v>
      </c>
      <c r="C88">
        <f>主c角色库!E382</f>
        <v>836</v>
      </c>
      <c r="D88">
        <f>主c角色库!F382</f>
        <v>0.49</v>
      </c>
      <c r="E88">
        <f>主c角色库!G382</f>
        <v>0</v>
      </c>
      <c r="F88">
        <f>主c角色库!H382</f>
        <v>4.9240000000000004</v>
      </c>
      <c r="G88">
        <f>主c角色库!I382</f>
        <v>7379.1713600000012</v>
      </c>
      <c r="H88">
        <f>主c角色库!J382</f>
        <v>0</v>
      </c>
      <c r="I88">
        <f>主c角色库!K382</f>
        <v>0.05</v>
      </c>
      <c r="J88">
        <f>主c角色库!L382</f>
        <v>0.5</v>
      </c>
      <c r="K88">
        <f>主c角色库!M382</f>
        <v>0</v>
      </c>
      <c r="L88">
        <f>主c角色库!N382</f>
        <v>0.84599999999999986</v>
      </c>
      <c r="M88">
        <f>主c角色库!O382</f>
        <v>0</v>
      </c>
      <c r="N88">
        <f>主c角色库!P382</f>
        <v>0</v>
      </c>
      <c r="O88">
        <f>主c角色库!Q382</f>
        <v>0</v>
      </c>
      <c r="P88">
        <f>主c角色库!R382</f>
        <v>0</v>
      </c>
      <c r="Q88">
        <f>主c角色库!S382</f>
        <v>0</v>
      </c>
      <c r="R88">
        <f>主c角色库!T382</f>
        <v>0</v>
      </c>
      <c r="S88">
        <f>主c角色库!U382</f>
        <v>0</v>
      </c>
      <c r="T88">
        <f>主c角色库!V382</f>
        <v>0</v>
      </c>
      <c r="U88">
        <f>主c角色库!W382</f>
        <v>0</v>
      </c>
      <c r="V88">
        <f>主c角色库!X382</f>
        <v>0</v>
      </c>
      <c r="W88">
        <f>主c角色库!Y382</f>
        <v>0</v>
      </c>
      <c r="X88">
        <f>主c角色库!Z382</f>
        <v>0</v>
      </c>
    </row>
    <row r="89" spans="1:24" x14ac:dyDescent="0.25">
      <c r="A89" t="str">
        <f>主c角色库!C383</f>
        <v>庄方宜普攻</v>
      </c>
      <c r="B89" t="str">
        <f>主c角色库!D383</f>
        <v>N/a</v>
      </c>
      <c r="C89">
        <f>主c角色库!E383</f>
        <v>836</v>
      </c>
      <c r="D89">
        <f>主c角色库!F383</f>
        <v>0.49</v>
      </c>
      <c r="E89">
        <f>主c角色库!G383</f>
        <v>0</v>
      </c>
      <c r="F89">
        <f>主c角色库!H383</f>
        <v>4.9240000000000004</v>
      </c>
      <c r="G89">
        <f>主c角色库!I383</f>
        <v>7379.1713600000012</v>
      </c>
      <c r="H89">
        <f>主c角色库!J383</f>
        <v>3.71</v>
      </c>
      <c r="I89">
        <f>主c角色库!K383</f>
        <v>0.05</v>
      </c>
      <c r="J89">
        <f>主c角色库!L383</f>
        <v>0.5</v>
      </c>
      <c r="K89">
        <f>主c角色库!M383</f>
        <v>0</v>
      </c>
      <c r="L89">
        <f>主c角色库!N383</f>
        <v>0.84599999999999986</v>
      </c>
      <c r="M89">
        <f>主c角色库!O383</f>
        <v>0</v>
      </c>
      <c r="N89">
        <f>主c角色库!P383</f>
        <v>0</v>
      </c>
      <c r="O89">
        <f>主c角色库!Q383</f>
        <v>0</v>
      </c>
      <c r="P89">
        <f>主c角色库!R383</f>
        <v>0</v>
      </c>
      <c r="Q89">
        <f>主c角色库!S383</f>
        <v>0</v>
      </c>
      <c r="R89">
        <f>主c角色库!T383</f>
        <v>0</v>
      </c>
      <c r="S89">
        <f>主c角色库!U383</f>
        <v>0</v>
      </c>
      <c r="T89">
        <f>主c角色库!V383</f>
        <v>0</v>
      </c>
      <c r="U89">
        <f>主c角色库!W383</f>
        <v>0</v>
      </c>
      <c r="V89">
        <f>主c角色库!X383</f>
        <v>0</v>
      </c>
      <c r="W89">
        <f>主c角色库!Y383</f>
        <v>0</v>
      </c>
      <c r="X89">
        <f>主c角色库!Z383</f>
        <v>0</v>
      </c>
    </row>
    <row r="90" spans="1:24" x14ac:dyDescent="0.25">
      <c r="A90" t="str">
        <f>主c角色库!C384</f>
        <v>庄方宜前段普攻</v>
      </c>
      <c r="B90" t="str">
        <f>主c角色库!D384</f>
        <v>N/a</v>
      </c>
      <c r="C90">
        <f>主c角色库!E384</f>
        <v>836</v>
      </c>
      <c r="D90">
        <f>主c角色库!F384</f>
        <v>0.49</v>
      </c>
      <c r="E90">
        <f>主c角色库!G384</f>
        <v>0</v>
      </c>
      <c r="F90">
        <f>主c角色库!H384</f>
        <v>4.9240000000000004</v>
      </c>
      <c r="G90">
        <f>主c角色库!I384</f>
        <v>7379.1713600000012</v>
      </c>
      <c r="H90">
        <f>主c角色库!J384</f>
        <v>2.63</v>
      </c>
      <c r="I90">
        <f>主c角色库!K384</f>
        <v>0.05</v>
      </c>
      <c r="J90">
        <f>主c角色库!L384</f>
        <v>0.5</v>
      </c>
      <c r="K90">
        <f>主c角色库!M384</f>
        <v>0</v>
      </c>
      <c r="L90">
        <f>主c角色库!N384</f>
        <v>0.84599999999999986</v>
      </c>
      <c r="M90">
        <f>主c角色库!O384</f>
        <v>0</v>
      </c>
      <c r="N90">
        <f>主c角色库!P384</f>
        <v>0</v>
      </c>
      <c r="O90">
        <f>主c角色库!Q384</f>
        <v>0</v>
      </c>
      <c r="P90">
        <f>主c角色库!R384</f>
        <v>0</v>
      </c>
      <c r="Q90">
        <f>主c角色库!S384</f>
        <v>0</v>
      </c>
      <c r="R90">
        <f>主c角色库!T384</f>
        <v>0</v>
      </c>
      <c r="S90">
        <f>主c角色库!U384</f>
        <v>0</v>
      </c>
      <c r="T90">
        <f>主c角色库!V384</f>
        <v>0</v>
      </c>
      <c r="U90">
        <f>主c角色库!W384</f>
        <v>0</v>
      </c>
      <c r="V90">
        <f>主c角色库!X384</f>
        <v>0</v>
      </c>
      <c r="W90">
        <f>主c角色库!Y384</f>
        <v>0</v>
      </c>
      <c r="X90">
        <f>主c角色库!Z384</f>
        <v>0</v>
      </c>
    </row>
    <row r="91" spans="1:24" x14ac:dyDescent="0.25">
      <c r="A91" t="str">
        <f>主c角色库!C385</f>
        <v>庄方宜重击普攻</v>
      </c>
      <c r="B91" t="str">
        <f>主c角色库!D385</f>
        <v>N/a</v>
      </c>
      <c r="C91">
        <f>主c角色库!E385</f>
        <v>836</v>
      </c>
      <c r="D91">
        <f>主c角色库!F385</f>
        <v>0.49</v>
      </c>
      <c r="E91">
        <f>主c角色库!G385</f>
        <v>0</v>
      </c>
      <c r="F91">
        <f>主c角色库!H385</f>
        <v>4.9240000000000004</v>
      </c>
      <c r="G91">
        <f>主c角色库!I385</f>
        <v>7379.1713600000012</v>
      </c>
      <c r="H91">
        <f>主c角色库!J385</f>
        <v>1.08</v>
      </c>
      <c r="I91">
        <f>主c角色库!K385</f>
        <v>0.05</v>
      </c>
      <c r="J91">
        <f>主c角色库!L385</f>
        <v>0.5</v>
      </c>
      <c r="K91">
        <f>主c角色库!M385</f>
        <v>0</v>
      </c>
      <c r="L91">
        <f>主c角色库!N385</f>
        <v>0.84599999999999986</v>
      </c>
      <c r="M91">
        <f>主c角色库!O385</f>
        <v>0</v>
      </c>
      <c r="N91">
        <f>主c角色库!P385</f>
        <v>0</v>
      </c>
      <c r="O91">
        <f>主c角色库!Q385</f>
        <v>0</v>
      </c>
      <c r="P91">
        <f>主c角色库!R385</f>
        <v>0</v>
      </c>
      <c r="Q91">
        <f>主c角色库!S385</f>
        <v>0</v>
      </c>
      <c r="R91">
        <f>主c角色库!T385</f>
        <v>0</v>
      </c>
      <c r="S91">
        <f>主c角色库!U385</f>
        <v>0</v>
      </c>
      <c r="T91">
        <f>主c角色库!V385</f>
        <v>0</v>
      </c>
      <c r="U91">
        <f>主c角色库!W385</f>
        <v>0</v>
      </c>
      <c r="V91">
        <f>主c角色库!X385</f>
        <v>0</v>
      </c>
      <c r="W91">
        <f>主c角色库!Y385</f>
        <v>0</v>
      </c>
      <c r="X91">
        <f>主c角色库!Z385</f>
        <v>0</v>
      </c>
    </row>
    <row r="92" spans="1:24" x14ac:dyDescent="0.25">
      <c r="A92" t="str">
        <f>主c角色库!C386</f>
        <v>庄方宜处决普攻</v>
      </c>
      <c r="B92" t="str">
        <f>主c角色库!D386</f>
        <v>N/a</v>
      </c>
      <c r="C92">
        <f>主c角色库!E386</f>
        <v>836</v>
      </c>
      <c r="D92">
        <f>主c角色库!F386</f>
        <v>0.49</v>
      </c>
      <c r="E92">
        <f>主c角色库!G386</f>
        <v>0</v>
      </c>
      <c r="F92">
        <f>主c角色库!H386</f>
        <v>4.9240000000000004</v>
      </c>
      <c r="G92">
        <f>主c角色库!I386</f>
        <v>7379.1713600000012</v>
      </c>
      <c r="H92">
        <f>主c角色库!J386</f>
        <v>9</v>
      </c>
      <c r="I92">
        <f>主c角色库!K386</f>
        <v>0.05</v>
      </c>
      <c r="J92">
        <f>主c角色库!L386</f>
        <v>0.5</v>
      </c>
      <c r="K92">
        <f>主c角色库!M386</f>
        <v>0</v>
      </c>
      <c r="L92">
        <f>主c角色库!N386</f>
        <v>0.84599999999999986</v>
      </c>
      <c r="M92">
        <f>主c角色库!O386</f>
        <v>0</v>
      </c>
      <c r="N92">
        <f>主c角色库!P386</f>
        <v>0</v>
      </c>
      <c r="O92">
        <f>主c角色库!Q386</f>
        <v>0</v>
      </c>
      <c r="P92">
        <f>主c角色库!R386</f>
        <v>0</v>
      </c>
      <c r="Q92">
        <f>主c角色库!S386</f>
        <v>0</v>
      </c>
      <c r="R92">
        <f>主c角色库!T386</f>
        <v>0</v>
      </c>
      <c r="S92">
        <f>主c角色库!U386</f>
        <v>0</v>
      </c>
      <c r="T92">
        <f>主c角色库!V386</f>
        <v>0</v>
      </c>
      <c r="U92">
        <f>主c角色库!W386</f>
        <v>0</v>
      </c>
      <c r="V92">
        <f>主c角色库!X386</f>
        <v>0</v>
      </c>
      <c r="W92">
        <f>主c角色库!Y386</f>
        <v>0</v>
      </c>
      <c r="X92">
        <f>主c角色库!Z386</f>
        <v>0</v>
      </c>
    </row>
    <row r="93" spans="1:24" x14ac:dyDescent="0.25">
      <c r="A93" t="str">
        <f>主c角色库!C387</f>
        <v>庄方宜下落普攻</v>
      </c>
      <c r="B93" t="str">
        <f>主c角色库!D387</f>
        <v>N/a</v>
      </c>
      <c r="C93">
        <f>主c角色库!E387</f>
        <v>836</v>
      </c>
      <c r="D93">
        <f>主c角色库!F387</f>
        <v>0.49</v>
      </c>
      <c r="E93">
        <f>主c角色库!G387</f>
        <v>0</v>
      </c>
      <c r="F93">
        <f>主c角色库!H387</f>
        <v>4.9240000000000004</v>
      </c>
      <c r="G93">
        <f>主c角色库!I387</f>
        <v>7379.1713600000012</v>
      </c>
      <c r="H93">
        <f>主c角色库!J387</f>
        <v>1.8</v>
      </c>
      <c r="I93">
        <f>主c角色库!K387</f>
        <v>0.05</v>
      </c>
      <c r="J93">
        <f>主c角色库!L387</f>
        <v>0.5</v>
      </c>
      <c r="K93">
        <f>主c角色库!M387</f>
        <v>0</v>
      </c>
      <c r="L93">
        <f>主c角色库!N387</f>
        <v>0.84599999999999986</v>
      </c>
      <c r="M93">
        <f>主c角色库!O387</f>
        <v>0</v>
      </c>
      <c r="N93">
        <f>主c角色库!P387</f>
        <v>0</v>
      </c>
      <c r="O93">
        <f>主c角色库!Q387</f>
        <v>0</v>
      </c>
      <c r="P93">
        <f>主c角色库!R387</f>
        <v>0</v>
      </c>
      <c r="Q93">
        <f>主c角色库!S387</f>
        <v>0</v>
      </c>
      <c r="R93">
        <f>主c角色库!T387</f>
        <v>0</v>
      </c>
      <c r="S93">
        <f>主c角色库!U387</f>
        <v>0</v>
      </c>
      <c r="T93">
        <f>主c角色库!V387</f>
        <v>0</v>
      </c>
      <c r="U93">
        <f>主c角色库!W387</f>
        <v>0</v>
      </c>
      <c r="V93">
        <f>主c角色库!X387</f>
        <v>0</v>
      </c>
      <c r="W93">
        <f>主c角色库!Y387</f>
        <v>0</v>
      </c>
      <c r="X93">
        <f>主c角色库!Z387</f>
        <v>0</v>
      </c>
    </row>
    <row r="94" spans="1:24" x14ac:dyDescent="0.25">
      <c r="A94" t="str">
        <f>主c角色库!C388</f>
        <v>庄方宜一剑零导电战技</v>
      </c>
      <c r="B94" t="str">
        <f>主c角色库!D388</f>
        <v>N/a</v>
      </c>
      <c r="C94">
        <f>主c角色库!E388</f>
        <v>836</v>
      </c>
      <c r="D94">
        <f>主c角色库!F388</f>
        <v>0.49</v>
      </c>
      <c r="E94">
        <f>主c角色库!G388</f>
        <v>0</v>
      </c>
      <c r="F94">
        <f>主c角色库!H388</f>
        <v>4.9240000000000004</v>
      </c>
      <c r="G94">
        <f>主c角色库!I388</f>
        <v>7379.1713600000012</v>
      </c>
      <c r="H94">
        <f>主c角色库!J388</f>
        <v>2.7</v>
      </c>
      <c r="I94">
        <f>主c角色库!K388</f>
        <v>0.05</v>
      </c>
      <c r="J94">
        <f>主c角色库!L388</f>
        <v>0.5</v>
      </c>
      <c r="K94">
        <f>主c角色库!M388</f>
        <v>0</v>
      </c>
      <c r="L94">
        <f>主c角色库!N388</f>
        <v>0.84599999999999986</v>
      </c>
      <c r="M94">
        <f>主c角色库!O388</f>
        <v>0</v>
      </c>
      <c r="N94">
        <f>主c角色库!P388</f>
        <v>0</v>
      </c>
      <c r="O94">
        <f>主c角色库!Q388</f>
        <v>0</v>
      </c>
      <c r="P94">
        <f>主c角色库!R388</f>
        <v>0</v>
      </c>
      <c r="Q94">
        <f>主c角色库!S388</f>
        <v>0</v>
      </c>
      <c r="R94">
        <f>主c角色库!T388</f>
        <v>0</v>
      </c>
      <c r="S94">
        <f>主c角色库!U388</f>
        <v>0</v>
      </c>
      <c r="T94">
        <f>主c角色库!V388</f>
        <v>0</v>
      </c>
      <c r="U94">
        <f>主c角色库!W388</f>
        <v>0</v>
      </c>
      <c r="V94">
        <f>主c角色库!X388</f>
        <v>0</v>
      </c>
      <c r="W94">
        <f>主c角色库!Y388</f>
        <v>0</v>
      </c>
      <c r="X94">
        <f>主c角色库!Z388</f>
        <v>0</v>
      </c>
    </row>
    <row r="95" spans="1:24" x14ac:dyDescent="0.25">
      <c r="A95" t="str">
        <f>主c角色库!C389</f>
        <v>庄方宜二剑零导电战技</v>
      </c>
      <c r="B95" t="str">
        <f>主c角色库!D389</f>
        <v>N/a</v>
      </c>
      <c r="C95">
        <f>主c角色库!E389</f>
        <v>836</v>
      </c>
      <c r="D95">
        <f>主c角色库!F389</f>
        <v>0.49</v>
      </c>
      <c r="E95">
        <f>主c角色库!G389</f>
        <v>0</v>
      </c>
      <c r="F95">
        <f>主c角色库!H389</f>
        <v>4.9240000000000004</v>
      </c>
      <c r="G95">
        <f>主c角色库!I389</f>
        <v>7379.1713600000012</v>
      </c>
      <c r="H95">
        <f>主c角色库!J389</f>
        <v>3.15</v>
      </c>
      <c r="I95">
        <f>主c角色库!K389</f>
        <v>0.05</v>
      </c>
      <c r="J95">
        <f>主c角色库!L389</f>
        <v>0.5</v>
      </c>
      <c r="K95">
        <f>主c角色库!M389</f>
        <v>0</v>
      </c>
      <c r="L95">
        <f>主c角色库!N389</f>
        <v>0.84599999999999986</v>
      </c>
      <c r="M95">
        <f>主c角色库!O389</f>
        <v>0</v>
      </c>
      <c r="N95">
        <f>主c角色库!P389</f>
        <v>0</v>
      </c>
      <c r="O95">
        <f>主c角色库!Q389</f>
        <v>0</v>
      </c>
      <c r="P95">
        <f>主c角色库!R389</f>
        <v>0</v>
      </c>
      <c r="Q95">
        <f>主c角色库!S389</f>
        <v>0</v>
      </c>
      <c r="R95">
        <f>主c角色库!T389</f>
        <v>0</v>
      </c>
      <c r="S95">
        <f>主c角色库!U389</f>
        <v>0</v>
      </c>
      <c r="T95">
        <f>主c角色库!V389</f>
        <v>0</v>
      </c>
      <c r="U95">
        <f>主c角色库!W389</f>
        <v>0</v>
      </c>
      <c r="V95">
        <f>主c角色库!X389</f>
        <v>0</v>
      </c>
      <c r="W95">
        <f>主c角色库!Y389</f>
        <v>0</v>
      </c>
      <c r="X95">
        <f>主c角色库!Z389</f>
        <v>0</v>
      </c>
    </row>
    <row r="96" spans="1:24" x14ac:dyDescent="0.25">
      <c r="A96" t="str">
        <f>主c角色库!C390</f>
        <v>庄方宜二剑一导电战技</v>
      </c>
      <c r="B96" s="22" t="str">
        <f>主c角色库!D390</f>
        <v>N/a</v>
      </c>
      <c r="C96">
        <f>主c角色库!E390</f>
        <v>836</v>
      </c>
      <c r="D96">
        <f>主c角色库!F390</f>
        <v>0.49</v>
      </c>
      <c r="E96">
        <f>主c角色库!G390</f>
        <v>0</v>
      </c>
      <c r="F96">
        <f>主c角色库!H390</f>
        <v>4.9240000000000004</v>
      </c>
      <c r="G96">
        <f>主c角色库!I390</f>
        <v>7379.1713600000012</v>
      </c>
      <c r="H96">
        <f>主c角色库!J390</f>
        <v>3.7800000000000002</v>
      </c>
      <c r="I96">
        <f>主c角色库!K390</f>
        <v>0.05</v>
      </c>
      <c r="J96">
        <f>主c角色库!L390</f>
        <v>0.5</v>
      </c>
      <c r="K96">
        <f>主c角色库!M390</f>
        <v>0</v>
      </c>
      <c r="L96">
        <f>主c角色库!N390</f>
        <v>0.84599999999999986</v>
      </c>
      <c r="M96">
        <f>主c角色库!O390</f>
        <v>0</v>
      </c>
      <c r="N96">
        <f>主c角色库!P390</f>
        <v>0</v>
      </c>
      <c r="O96">
        <f>主c角色库!Q390</f>
        <v>0</v>
      </c>
      <c r="P96">
        <f>主c角色库!R390</f>
        <v>0</v>
      </c>
      <c r="Q96">
        <f>主c角色库!S390</f>
        <v>0</v>
      </c>
      <c r="R96">
        <f>主c角色库!T390</f>
        <v>0</v>
      </c>
      <c r="S96">
        <f>主c角色库!U390</f>
        <v>0</v>
      </c>
      <c r="T96">
        <f>主c角色库!V390</f>
        <v>0</v>
      </c>
      <c r="U96">
        <f>主c角色库!W390</f>
        <v>0</v>
      </c>
      <c r="V96">
        <f>主c角色库!X390</f>
        <v>0</v>
      </c>
      <c r="W96">
        <f>主c角色库!Y390</f>
        <v>0</v>
      </c>
      <c r="X96">
        <f>主c角色库!Z390</f>
        <v>0</v>
      </c>
    </row>
    <row r="97" spans="1:24" x14ac:dyDescent="0.25">
      <c r="A97" s="22" t="str">
        <f>主c角色库!C391</f>
        <v>庄方宜三剑一导电战技</v>
      </c>
      <c r="B97" t="str">
        <f>主c角色库!D391</f>
        <v>N/a</v>
      </c>
      <c r="C97">
        <f>主c角色库!E391</f>
        <v>836</v>
      </c>
      <c r="D97">
        <f>主c角色库!F391</f>
        <v>0.49</v>
      </c>
      <c r="E97">
        <f>主c角色库!G391</f>
        <v>0</v>
      </c>
      <c r="F97">
        <f>主c角色库!H391</f>
        <v>4.9240000000000004</v>
      </c>
      <c r="G97">
        <f>主c角色库!I391</f>
        <v>7379.1713600000012</v>
      </c>
      <c r="H97">
        <f>主c角色库!J391</f>
        <v>4.32</v>
      </c>
      <c r="I97">
        <f>主c角色库!K391</f>
        <v>0.05</v>
      </c>
      <c r="J97">
        <f>主c角色库!L391</f>
        <v>0.5</v>
      </c>
      <c r="K97">
        <f>主c角色库!M391</f>
        <v>0</v>
      </c>
      <c r="L97">
        <f>主c角色库!N391</f>
        <v>0.84599999999999986</v>
      </c>
      <c r="M97">
        <f>主c角色库!O391</f>
        <v>0</v>
      </c>
      <c r="N97">
        <f>主c角色库!P391</f>
        <v>0</v>
      </c>
      <c r="O97">
        <f>主c角色库!Q391</f>
        <v>0</v>
      </c>
      <c r="P97">
        <f>主c角色库!R391</f>
        <v>0</v>
      </c>
      <c r="Q97">
        <f>主c角色库!S391</f>
        <v>0</v>
      </c>
      <c r="R97">
        <f>主c角色库!T391</f>
        <v>0</v>
      </c>
      <c r="S97">
        <f>主c角色库!U391</f>
        <v>0</v>
      </c>
      <c r="T97">
        <f>主c角色库!V391</f>
        <v>0</v>
      </c>
      <c r="U97">
        <f>主c角色库!W391</f>
        <v>0</v>
      </c>
      <c r="V97">
        <f>主c角色库!X391</f>
        <v>0</v>
      </c>
      <c r="W97">
        <f>主c角色库!Y391</f>
        <v>0</v>
      </c>
      <c r="X97">
        <f>主c角色库!Z391</f>
        <v>0</v>
      </c>
    </row>
    <row r="98" spans="1:24" x14ac:dyDescent="0.25">
      <c r="A98" s="22" t="str">
        <f>主c角色库!C392</f>
        <v>庄方宜三剑二导电战技</v>
      </c>
      <c r="B98" t="str">
        <f>主c角色库!D392</f>
        <v>N/a</v>
      </c>
      <c r="C98">
        <f>主c角色库!E392</f>
        <v>836</v>
      </c>
      <c r="D98">
        <f>主c角色库!F392</f>
        <v>0.49</v>
      </c>
      <c r="E98">
        <f>主c角色库!G392</f>
        <v>0</v>
      </c>
      <c r="F98">
        <f>主c角色库!H392</f>
        <v>4.9240000000000004</v>
      </c>
      <c r="G98">
        <f>主c角色库!I392</f>
        <v>7379.1713600000012</v>
      </c>
      <c r="H98">
        <f>主c角色库!J392</f>
        <v>5.04</v>
      </c>
      <c r="I98">
        <f>主c角色库!K392</f>
        <v>0.05</v>
      </c>
      <c r="J98">
        <f>主c角色库!L392</f>
        <v>0.5</v>
      </c>
      <c r="K98">
        <f>主c角色库!M392</f>
        <v>0</v>
      </c>
      <c r="L98">
        <f>主c角色库!N392</f>
        <v>0.84599999999999986</v>
      </c>
      <c r="M98">
        <f>主c角色库!O392</f>
        <v>0</v>
      </c>
      <c r="N98">
        <f>主c角色库!P392</f>
        <v>0</v>
      </c>
      <c r="O98">
        <f>主c角色库!Q392</f>
        <v>0</v>
      </c>
      <c r="P98">
        <f>主c角色库!R392</f>
        <v>0</v>
      </c>
      <c r="Q98">
        <f>主c角色库!S392</f>
        <v>0</v>
      </c>
      <c r="R98">
        <f>主c角色库!T392</f>
        <v>0</v>
      </c>
      <c r="S98">
        <f>主c角色库!U392</f>
        <v>0</v>
      </c>
      <c r="T98">
        <f>主c角色库!V392</f>
        <v>0</v>
      </c>
      <c r="U98">
        <f>主c角色库!W392</f>
        <v>0</v>
      </c>
      <c r="V98">
        <f>主c角色库!X392</f>
        <v>0</v>
      </c>
      <c r="W98">
        <f>主c角色库!Y392</f>
        <v>0</v>
      </c>
      <c r="X98">
        <f>主c角色库!Z392</f>
        <v>0</v>
      </c>
    </row>
    <row r="99" spans="1:24" x14ac:dyDescent="0.25">
      <c r="A99" s="22" t="str">
        <f>主c角色库!C393</f>
        <v>庄方宜四剑一导电战技</v>
      </c>
      <c r="B99" t="str">
        <f>主c角色库!D393</f>
        <v>N/a</v>
      </c>
      <c r="C99">
        <f>主c角色库!E393</f>
        <v>836</v>
      </c>
      <c r="D99">
        <f>主c角色库!F393</f>
        <v>0.49</v>
      </c>
      <c r="E99">
        <f>主c角色库!G393</f>
        <v>0</v>
      </c>
      <c r="F99">
        <f>主c角色库!H393</f>
        <v>4.9240000000000004</v>
      </c>
      <c r="G99">
        <f>主c角色库!I393</f>
        <v>7379.1713600000012</v>
      </c>
      <c r="H99">
        <f>主c角色库!J393</f>
        <v>4.8600000000000003</v>
      </c>
      <c r="I99">
        <f>主c角色库!K393</f>
        <v>0.05</v>
      </c>
      <c r="J99">
        <f>主c角色库!L393</f>
        <v>0.5</v>
      </c>
      <c r="K99">
        <f>主c角色库!M393</f>
        <v>0</v>
      </c>
      <c r="L99">
        <f>主c角色库!N393</f>
        <v>0.84599999999999986</v>
      </c>
      <c r="M99">
        <f>主c角色库!O393</f>
        <v>0</v>
      </c>
      <c r="N99">
        <f>主c角色库!P393</f>
        <v>0</v>
      </c>
      <c r="O99">
        <f>主c角色库!Q393</f>
        <v>0</v>
      </c>
      <c r="P99">
        <f>主c角色库!R393</f>
        <v>0</v>
      </c>
      <c r="Q99">
        <f>主c角色库!S393</f>
        <v>0</v>
      </c>
      <c r="R99">
        <f>主c角色库!T393</f>
        <v>0</v>
      </c>
      <c r="S99">
        <f>主c角色库!U393</f>
        <v>0</v>
      </c>
      <c r="T99">
        <f>主c角色库!V393</f>
        <v>0</v>
      </c>
      <c r="U99">
        <f>主c角色库!W393</f>
        <v>0</v>
      </c>
      <c r="V99">
        <f>主c角色库!X393</f>
        <v>0</v>
      </c>
      <c r="W99">
        <f>主c角色库!Y393</f>
        <v>0</v>
      </c>
      <c r="X99">
        <f>主c角色库!Z393</f>
        <v>0</v>
      </c>
    </row>
    <row r="100" spans="1:24" x14ac:dyDescent="0.25">
      <c r="A100" s="22" t="str">
        <f>主c角色库!C394</f>
        <v>庄方宜五剑一导电战技</v>
      </c>
      <c r="B100" t="str">
        <f>主c角色库!D394</f>
        <v>N/a</v>
      </c>
      <c r="C100">
        <f>主c角色库!E394</f>
        <v>836</v>
      </c>
      <c r="D100">
        <f>主c角色库!F394</f>
        <v>0.49</v>
      </c>
      <c r="E100">
        <f>主c角色库!G394</f>
        <v>0</v>
      </c>
      <c r="F100">
        <f>主c角色库!H394</f>
        <v>4.9240000000000004</v>
      </c>
      <c r="G100">
        <f>主c角色库!I394</f>
        <v>7379.1713600000012</v>
      </c>
      <c r="H100">
        <f>主c角色库!J394</f>
        <v>5.4</v>
      </c>
      <c r="I100">
        <f>主c角色库!K394</f>
        <v>0.05</v>
      </c>
      <c r="J100">
        <f>主c角色库!L394</f>
        <v>0.5</v>
      </c>
      <c r="K100">
        <f>主c角色库!M394</f>
        <v>0</v>
      </c>
      <c r="L100">
        <f>主c角色库!N394</f>
        <v>0.84599999999999986</v>
      </c>
      <c r="M100">
        <f>主c角色库!O394</f>
        <v>0</v>
      </c>
      <c r="N100">
        <f>主c角色库!P394</f>
        <v>0</v>
      </c>
      <c r="O100">
        <f>主c角色库!Q394</f>
        <v>0</v>
      </c>
      <c r="P100">
        <f>主c角色库!R394</f>
        <v>0</v>
      </c>
      <c r="Q100">
        <f>主c角色库!S394</f>
        <v>0</v>
      </c>
      <c r="R100">
        <f>主c角色库!T394</f>
        <v>0</v>
      </c>
      <c r="S100">
        <f>主c角色库!U394</f>
        <v>0</v>
      </c>
      <c r="T100">
        <f>主c角色库!V394</f>
        <v>0</v>
      </c>
      <c r="U100">
        <f>主c角色库!W394</f>
        <v>0</v>
      </c>
      <c r="V100">
        <f>主c角色库!X394</f>
        <v>0</v>
      </c>
      <c r="W100">
        <f>主c角色库!Y394</f>
        <v>0</v>
      </c>
      <c r="X100">
        <f>主c角色库!Z394</f>
        <v>0</v>
      </c>
    </row>
    <row r="101" spans="1:24" x14ac:dyDescent="0.25">
      <c r="A101" s="22" t="str">
        <f>主c角色库!C395</f>
        <v>庄方宜五剑二导电战技</v>
      </c>
      <c r="B101" t="str">
        <f>主c角色库!D395</f>
        <v>N/a</v>
      </c>
      <c r="C101">
        <f>主c角色库!E395</f>
        <v>836</v>
      </c>
      <c r="D101">
        <f>主c角色库!F395</f>
        <v>0.49</v>
      </c>
      <c r="E101">
        <f>主c角色库!G395</f>
        <v>0</v>
      </c>
      <c r="F101">
        <f>主c角色库!H395</f>
        <v>4.9240000000000004</v>
      </c>
      <c r="G101">
        <f>主c角色库!I395</f>
        <v>7379.1713600000012</v>
      </c>
      <c r="H101">
        <f>主c角色库!J395</f>
        <v>6.3</v>
      </c>
      <c r="I101">
        <f>主c角色库!K395</f>
        <v>0.05</v>
      </c>
      <c r="J101">
        <f>主c角色库!L395</f>
        <v>0.5</v>
      </c>
      <c r="K101">
        <f>主c角色库!M395</f>
        <v>0</v>
      </c>
      <c r="L101">
        <f>主c角色库!N395</f>
        <v>0.84599999999999986</v>
      </c>
      <c r="M101">
        <f>主c角色库!O395</f>
        <v>0</v>
      </c>
      <c r="N101">
        <f>主c角色库!P395</f>
        <v>0</v>
      </c>
      <c r="O101">
        <f>主c角色库!Q395</f>
        <v>0</v>
      </c>
      <c r="P101">
        <f>主c角色库!R395</f>
        <v>0</v>
      </c>
      <c r="Q101">
        <f>主c角色库!S395</f>
        <v>0</v>
      </c>
      <c r="R101">
        <f>主c角色库!T395</f>
        <v>0</v>
      </c>
      <c r="S101">
        <f>主c角色库!U395</f>
        <v>0</v>
      </c>
      <c r="T101">
        <f>主c角色库!V395</f>
        <v>0</v>
      </c>
      <c r="U101">
        <f>主c角色库!W395</f>
        <v>0</v>
      </c>
      <c r="V101">
        <f>主c角色库!X395</f>
        <v>0</v>
      </c>
      <c r="W101">
        <f>主c角色库!Y395</f>
        <v>0</v>
      </c>
      <c r="X101">
        <f>主c角色库!Z395</f>
        <v>0</v>
      </c>
    </row>
    <row r="102" spans="1:24" x14ac:dyDescent="0.25">
      <c r="A102" s="22" t="str">
        <f>主c角色库!C396</f>
        <v>庄方宜六剑一导电战技</v>
      </c>
      <c r="B102" t="str">
        <f>主c角色库!D396</f>
        <v>N/a</v>
      </c>
      <c r="C102">
        <f>主c角色库!E396</f>
        <v>836</v>
      </c>
      <c r="D102">
        <f>主c角色库!F396</f>
        <v>0.49</v>
      </c>
      <c r="E102">
        <f>主c角色库!G396</f>
        <v>0</v>
      </c>
      <c r="F102">
        <f>主c角色库!H396</f>
        <v>4.9240000000000004</v>
      </c>
      <c r="G102">
        <f>主c角色库!I396</f>
        <v>7379.1713600000012</v>
      </c>
      <c r="H102">
        <f>主c角色库!J396</f>
        <v>5.94</v>
      </c>
      <c r="I102">
        <f>主c角色库!K396</f>
        <v>0.05</v>
      </c>
      <c r="J102">
        <f>主c角色库!L396</f>
        <v>0.5</v>
      </c>
      <c r="K102">
        <f>主c角色库!M396</f>
        <v>0</v>
      </c>
      <c r="L102">
        <f>主c角色库!N396</f>
        <v>0.84599999999999986</v>
      </c>
      <c r="M102">
        <f>主c角色库!O396</f>
        <v>0</v>
      </c>
      <c r="N102">
        <f>主c角色库!P396</f>
        <v>0</v>
      </c>
      <c r="O102">
        <f>主c角色库!Q396</f>
        <v>0</v>
      </c>
      <c r="P102">
        <f>主c角色库!R396</f>
        <v>0</v>
      </c>
      <c r="Q102">
        <f>主c角色库!S396</f>
        <v>0</v>
      </c>
      <c r="R102">
        <f>主c角色库!T396</f>
        <v>0</v>
      </c>
      <c r="S102">
        <f>主c角色库!U396</f>
        <v>0</v>
      </c>
      <c r="T102">
        <f>主c角色库!V396</f>
        <v>0</v>
      </c>
      <c r="U102">
        <f>主c角色库!W396</f>
        <v>0</v>
      </c>
      <c r="V102">
        <f>主c角色库!X396</f>
        <v>0</v>
      </c>
      <c r="W102">
        <f>主c角色库!Y396</f>
        <v>0</v>
      </c>
      <c r="X102">
        <f>主c角色库!Z396</f>
        <v>0</v>
      </c>
    </row>
    <row r="103" spans="1:24" x14ac:dyDescent="0.25">
      <c r="A103" s="22" t="str">
        <f>主c角色库!C397</f>
        <v>庄方宜六剑二导电战技</v>
      </c>
      <c r="B103" t="str">
        <f>主c角色库!D397</f>
        <v>N/a</v>
      </c>
      <c r="C103">
        <f>主c角色库!E397</f>
        <v>836</v>
      </c>
      <c r="D103">
        <f>主c角色库!F397</f>
        <v>0.49</v>
      </c>
      <c r="E103">
        <f>主c角色库!G397</f>
        <v>0</v>
      </c>
      <c r="F103">
        <f>主c角色库!H397</f>
        <v>4.9240000000000004</v>
      </c>
      <c r="G103">
        <f>主c角色库!I397</f>
        <v>7379.1713600000012</v>
      </c>
      <c r="H103">
        <f>主c角色库!J397</f>
        <v>6.93</v>
      </c>
      <c r="I103">
        <f>主c角色库!K397</f>
        <v>0.05</v>
      </c>
      <c r="J103">
        <f>主c角色库!L397</f>
        <v>0.5</v>
      </c>
      <c r="K103">
        <f>主c角色库!M397</f>
        <v>0</v>
      </c>
      <c r="L103">
        <f>主c角色库!N397</f>
        <v>0.84599999999999986</v>
      </c>
      <c r="M103">
        <f>主c角色库!O397</f>
        <v>0</v>
      </c>
      <c r="N103">
        <f>主c角色库!P397</f>
        <v>0</v>
      </c>
      <c r="O103">
        <f>主c角色库!Q397</f>
        <v>0</v>
      </c>
      <c r="P103">
        <f>主c角色库!R397</f>
        <v>0</v>
      </c>
      <c r="Q103">
        <f>主c角色库!S397</f>
        <v>0</v>
      </c>
      <c r="R103">
        <f>主c角色库!T397</f>
        <v>0</v>
      </c>
      <c r="S103">
        <f>主c角色库!U397</f>
        <v>0</v>
      </c>
      <c r="T103">
        <f>主c角色库!V397</f>
        <v>0</v>
      </c>
      <c r="U103">
        <f>主c角色库!W397</f>
        <v>0</v>
      </c>
      <c r="V103">
        <f>主c角色库!X397</f>
        <v>0</v>
      </c>
      <c r="W103">
        <f>主c角色库!Y397</f>
        <v>0</v>
      </c>
      <c r="X103">
        <f>主c角色库!Z397</f>
        <v>0</v>
      </c>
    </row>
    <row r="104" spans="1:24" x14ac:dyDescent="0.25">
      <c r="A104" s="22" t="str">
        <f>主c角色库!C398</f>
        <v>庄方宜七剑一导电战技</v>
      </c>
      <c r="B104" t="str">
        <f>主c角色库!D398</f>
        <v>N/a</v>
      </c>
      <c r="C104">
        <f>主c角色库!E398</f>
        <v>836</v>
      </c>
      <c r="D104">
        <f>主c角色库!F398</f>
        <v>0.49</v>
      </c>
      <c r="E104">
        <f>主c角色库!G398</f>
        <v>0</v>
      </c>
      <c r="F104">
        <f>主c角色库!H398</f>
        <v>4.9240000000000004</v>
      </c>
      <c r="G104">
        <f>主c角色库!I398</f>
        <v>7379.1713600000012</v>
      </c>
      <c r="H104">
        <f>主c角色库!J398</f>
        <v>6.48</v>
      </c>
      <c r="I104">
        <f>主c角色库!K398</f>
        <v>0.05</v>
      </c>
      <c r="J104">
        <f>主c角色库!L398</f>
        <v>0.5</v>
      </c>
      <c r="K104">
        <f>主c角色库!M398</f>
        <v>0</v>
      </c>
      <c r="L104">
        <f>主c角色库!N398</f>
        <v>0.84599999999999986</v>
      </c>
      <c r="M104">
        <f>主c角色库!O398</f>
        <v>0</v>
      </c>
      <c r="N104">
        <f>主c角色库!P398</f>
        <v>0</v>
      </c>
      <c r="O104">
        <f>主c角色库!Q398</f>
        <v>0</v>
      </c>
      <c r="P104">
        <f>主c角色库!R398</f>
        <v>0</v>
      </c>
      <c r="Q104">
        <f>主c角色库!S398</f>
        <v>0</v>
      </c>
      <c r="R104">
        <f>主c角色库!T398</f>
        <v>0</v>
      </c>
      <c r="S104">
        <f>主c角色库!U398</f>
        <v>0</v>
      </c>
      <c r="T104">
        <f>主c角色库!V398</f>
        <v>0</v>
      </c>
      <c r="U104">
        <f>主c角色库!W398</f>
        <v>0</v>
      </c>
      <c r="V104">
        <f>主c角色库!X398</f>
        <v>0</v>
      </c>
      <c r="W104">
        <f>主c角色库!Y398</f>
        <v>0</v>
      </c>
      <c r="X104">
        <f>主c角色库!Z398</f>
        <v>0</v>
      </c>
    </row>
    <row r="105" spans="1:24" x14ac:dyDescent="0.25">
      <c r="A105" s="22" t="str">
        <f>主c角色库!C399</f>
        <v>庄方宜八剑一导电战技</v>
      </c>
      <c r="B105" t="str">
        <f>主c角色库!D399</f>
        <v>N/a</v>
      </c>
      <c r="C105">
        <f>主c角色库!E399</f>
        <v>836</v>
      </c>
      <c r="D105">
        <f>主c角色库!F399</f>
        <v>0.49</v>
      </c>
      <c r="E105">
        <f>主c角色库!G399</f>
        <v>0</v>
      </c>
      <c r="F105">
        <f>主c角色库!H399</f>
        <v>4.9240000000000004</v>
      </c>
      <c r="G105">
        <f>主c角色库!I399</f>
        <v>7379.1713600000012</v>
      </c>
      <c r="H105">
        <f>主c角色库!J399</f>
        <v>7.0200000000000005</v>
      </c>
      <c r="I105">
        <f>主c角色库!K399</f>
        <v>0.05</v>
      </c>
      <c r="J105">
        <f>主c角色库!L399</f>
        <v>0.5</v>
      </c>
      <c r="K105">
        <f>主c角色库!M399</f>
        <v>0</v>
      </c>
      <c r="L105">
        <f>主c角色库!N399</f>
        <v>0.84599999999999986</v>
      </c>
      <c r="M105">
        <f>主c角色库!O399</f>
        <v>0</v>
      </c>
      <c r="N105">
        <f>主c角色库!P399</f>
        <v>0</v>
      </c>
      <c r="O105">
        <f>主c角色库!Q399</f>
        <v>0</v>
      </c>
      <c r="P105">
        <f>主c角色库!R399</f>
        <v>0</v>
      </c>
      <c r="Q105">
        <f>主c角色库!S399</f>
        <v>0</v>
      </c>
      <c r="R105">
        <f>主c角色库!T399</f>
        <v>0</v>
      </c>
      <c r="S105">
        <f>主c角色库!U399</f>
        <v>0</v>
      </c>
      <c r="T105">
        <f>主c角色库!V399</f>
        <v>0</v>
      </c>
      <c r="U105">
        <f>主c角色库!W399</f>
        <v>0</v>
      </c>
      <c r="V105">
        <f>主c角色库!X399</f>
        <v>0</v>
      </c>
      <c r="W105">
        <f>主c角色库!Y399</f>
        <v>0</v>
      </c>
      <c r="X105">
        <f>主c角色库!Z399</f>
        <v>0</v>
      </c>
    </row>
    <row r="106" spans="1:24" x14ac:dyDescent="0.25">
      <c r="A106" s="22" t="str">
        <f>主c角色库!C400</f>
        <v>庄方宜九剑一导电战技</v>
      </c>
      <c r="B106" t="str">
        <f>主c角色库!D400</f>
        <v>N/a</v>
      </c>
      <c r="C106">
        <f>主c角色库!E400</f>
        <v>836</v>
      </c>
      <c r="D106">
        <f>主c角色库!F400</f>
        <v>0.49</v>
      </c>
      <c r="E106">
        <f>主c角色库!G400</f>
        <v>0</v>
      </c>
      <c r="F106">
        <f>主c角色库!H400</f>
        <v>4.9240000000000004</v>
      </c>
      <c r="G106">
        <f>主c角色库!I400</f>
        <v>7379.1713600000012</v>
      </c>
      <c r="H106">
        <f>主c角色库!J400</f>
        <v>7.5600000000000005</v>
      </c>
      <c r="I106">
        <f>主c角色库!K400</f>
        <v>0.05</v>
      </c>
      <c r="J106">
        <f>主c角色库!L400</f>
        <v>0.5</v>
      </c>
      <c r="K106">
        <f>主c角色库!M400</f>
        <v>0</v>
      </c>
      <c r="L106">
        <f>主c角色库!N400</f>
        <v>0.84599999999999986</v>
      </c>
      <c r="M106">
        <f>主c角色库!O400</f>
        <v>0</v>
      </c>
      <c r="N106">
        <f>主c角色库!P400</f>
        <v>0</v>
      </c>
      <c r="O106">
        <f>主c角色库!Q400</f>
        <v>0</v>
      </c>
      <c r="P106">
        <f>主c角色库!R400</f>
        <v>0</v>
      </c>
      <c r="Q106">
        <f>主c角色库!S400</f>
        <v>0</v>
      </c>
      <c r="R106">
        <f>主c角色库!T400</f>
        <v>0</v>
      </c>
      <c r="S106">
        <f>主c角色库!U400</f>
        <v>0</v>
      </c>
      <c r="T106">
        <f>主c角色库!V400</f>
        <v>0</v>
      </c>
      <c r="U106">
        <f>主c角色库!W400</f>
        <v>0</v>
      </c>
      <c r="V106">
        <f>主c角色库!X400</f>
        <v>0</v>
      </c>
      <c r="W106">
        <f>主c角色库!Y400</f>
        <v>0</v>
      </c>
      <c r="X106">
        <f>主c角色库!Z400</f>
        <v>0</v>
      </c>
    </row>
    <row r="107" spans="1:24" x14ac:dyDescent="0.25">
      <c r="A107" s="22" t="str">
        <f>主c角色库!C401</f>
        <v>庄方宜九剑二导电战技</v>
      </c>
      <c r="B107" t="str">
        <f>主c角色库!D401</f>
        <v>N/a</v>
      </c>
      <c r="C107">
        <f>主c角色库!E401</f>
        <v>836</v>
      </c>
      <c r="D107">
        <f>主c角色库!F401</f>
        <v>0.49</v>
      </c>
      <c r="E107">
        <f>主c角色库!G401</f>
        <v>0</v>
      </c>
      <c r="F107">
        <f>主c角色库!H401</f>
        <v>4.9240000000000004</v>
      </c>
      <c r="G107">
        <f>主c角色库!I401</f>
        <v>7379.1713600000012</v>
      </c>
      <c r="H107">
        <f>主c角色库!J401</f>
        <v>8.82</v>
      </c>
      <c r="I107">
        <f>主c角色库!K401</f>
        <v>0.05</v>
      </c>
      <c r="J107">
        <f>主c角色库!L401</f>
        <v>0.5</v>
      </c>
      <c r="K107">
        <f>主c角色库!M401</f>
        <v>0</v>
      </c>
      <c r="L107">
        <f>主c角色库!N401</f>
        <v>0.84599999999999986</v>
      </c>
      <c r="M107">
        <f>主c角色库!O401</f>
        <v>0</v>
      </c>
      <c r="N107">
        <f>主c角色库!P401</f>
        <v>0</v>
      </c>
      <c r="O107">
        <f>主c角色库!Q401</f>
        <v>0</v>
      </c>
      <c r="P107">
        <f>主c角色库!R401</f>
        <v>0</v>
      </c>
      <c r="Q107">
        <f>主c角色库!S401</f>
        <v>0</v>
      </c>
      <c r="R107">
        <f>主c角色库!T401</f>
        <v>0</v>
      </c>
      <c r="S107">
        <f>主c角色库!U401</f>
        <v>0</v>
      </c>
      <c r="T107">
        <f>主c角色库!V401</f>
        <v>0</v>
      </c>
      <c r="U107">
        <f>主c角色库!W401</f>
        <v>0</v>
      </c>
      <c r="V107">
        <f>主c角色库!X401</f>
        <v>0</v>
      </c>
      <c r="W107">
        <f>主c角色库!Y401</f>
        <v>0</v>
      </c>
      <c r="X107">
        <f>主c角色库!Z401</f>
        <v>0</v>
      </c>
    </row>
    <row r="108" spans="1:24" x14ac:dyDescent="0.25">
      <c r="A108" t="str">
        <f>主c角色库!C402</f>
        <v>庄方宜连携</v>
      </c>
      <c r="B108" t="str">
        <f>主c角色库!D402</f>
        <v>N/a</v>
      </c>
      <c r="C108">
        <f>主c角色库!E402</f>
        <v>836</v>
      </c>
      <c r="D108">
        <f>主c角色库!F402</f>
        <v>0.49</v>
      </c>
      <c r="E108">
        <f>主c角色库!G402</f>
        <v>0</v>
      </c>
      <c r="F108">
        <f>主c角色库!H402</f>
        <v>4.9240000000000004</v>
      </c>
      <c r="G108">
        <f>主c角色库!I402</f>
        <v>7379.1713600000012</v>
      </c>
      <c r="H108">
        <f>主c角色库!J402</f>
        <v>3.6</v>
      </c>
      <c r="I108">
        <f>主c角色库!K402</f>
        <v>0.05</v>
      </c>
      <c r="J108">
        <f>主c角色库!L402</f>
        <v>0.5</v>
      </c>
      <c r="K108">
        <f>主c角色库!M402</f>
        <v>0</v>
      </c>
      <c r="L108">
        <f>主c角色库!N402</f>
        <v>0.84599999999999986</v>
      </c>
      <c r="M108">
        <f>主c角色库!O402</f>
        <v>0</v>
      </c>
      <c r="N108">
        <f>主c角色库!P402</f>
        <v>0</v>
      </c>
      <c r="O108">
        <f>主c角色库!Q402</f>
        <v>0</v>
      </c>
      <c r="P108">
        <f>主c角色库!R402</f>
        <v>0</v>
      </c>
      <c r="Q108">
        <f>主c角色库!S402</f>
        <v>0</v>
      </c>
      <c r="R108">
        <f>主c角色库!T402</f>
        <v>0</v>
      </c>
      <c r="S108">
        <f>主c角色库!U402</f>
        <v>0</v>
      </c>
      <c r="T108">
        <f>主c角色库!V402</f>
        <v>0</v>
      </c>
      <c r="U108">
        <f>主c角色库!W402</f>
        <v>0</v>
      </c>
      <c r="V108">
        <f>主c角色库!X402</f>
        <v>0</v>
      </c>
      <c r="W108">
        <f>主c角色库!Y402</f>
        <v>0</v>
      </c>
      <c r="X108">
        <f>主c角色库!Z402</f>
        <v>0</v>
      </c>
    </row>
    <row r="109" spans="1:24" x14ac:dyDescent="0.25">
      <c r="A109" t="str">
        <f>主c角色库!C403</f>
        <v>庄方宜大招</v>
      </c>
      <c r="B109" s="22" t="str">
        <f>主c角色库!D403</f>
        <v>N/a</v>
      </c>
      <c r="C109">
        <f>主c角色库!E403</f>
        <v>0</v>
      </c>
      <c r="D109">
        <f>主c角色库!F403</f>
        <v>0</v>
      </c>
      <c r="E109">
        <f>主c角色库!G403</f>
        <v>0</v>
      </c>
      <c r="F109">
        <f>主c角色库!H403</f>
        <v>0</v>
      </c>
      <c r="G109">
        <f>主c角色库!I403</f>
        <v>0</v>
      </c>
      <c r="H109">
        <f>主c角色库!J403</f>
        <v>0</v>
      </c>
      <c r="I109">
        <f>主c角色库!K403</f>
        <v>0</v>
      </c>
      <c r="J109">
        <f>主c角色库!L403</f>
        <v>0</v>
      </c>
      <c r="K109">
        <f>主c角色库!M403</f>
        <v>0</v>
      </c>
      <c r="L109">
        <f>主c角色库!N403</f>
        <v>0</v>
      </c>
      <c r="M109">
        <f>主c角色库!O403</f>
        <v>0</v>
      </c>
      <c r="N109">
        <f>主c角色库!P403</f>
        <v>0</v>
      </c>
      <c r="O109">
        <f>主c角色库!Q403</f>
        <v>0</v>
      </c>
      <c r="P109">
        <f>主c角色库!R403</f>
        <v>0</v>
      </c>
      <c r="Q109">
        <f>主c角色库!S403</f>
        <v>0</v>
      </c>
      <c r="R109">
        <f>主c角色库!T403</f>
        <v>0</v>
      </c>
      <c r="S109">
        <f>主c角色库!U403</f>
        <v>0</v>
      </c>
      <c r="T109">
        <f>主c角色库!V403</f>
        <v>0</v>
      </c>
      <c r="U109">
        <f>主c角色库!W403</f>
        <v>0</v>
      </c>
      <c r="V109">
        <f>主c角色库!X403</f>
        <v>0</v>
      </c>
      <c r="W109">
        <f>主c角色库!Y403</f>
        <v>0</v>
      </c>
      <c r="X109">
        <f>主c角色库!Z403</f>
        <v>0</v>
      </c>
    </row>
    <row r="110" spans="1:24" x14ac:dyDescent="0.25">
      <c r="A110" s="17" t="str">
        <f>主c角色库!C404</f>
        <v>庄方宜大招连携</v>
      </c>
      <c r="B110" s="17" t="str">
        <f>主c角色库!D404</f>
        <v>N/a</v>
      </c>
      <c r="C110" s="17">
        <f>主c角色库!E404</f>
        <v>836</v>
      </c>
      <c r="D110" s="17">
        <f>主c角色库!F404</f>
        <v>0.49</v>
      </c>
      <c r="E110" s="17">
        <f>主c角色库!G404</f>
        <v>0</v>
      </c>
      <c r="F110" s="17">
        <f>主c角色库!H404</f>
        <v>4.9240000000000004</v>
      </c>
      <c r="G110" s="17">
        <f>主c角色库!I404</f>
        <v>7379.1713600000012</v>
      </c>
      <c r="H110" s="17">
        <f>主c角色库!J404</f>
        <v>5.4</v>
      </c>
      <c r="I110" s="17">
        <f>主c角色库!K404</f>
        <v>0.05</v>
      </c>
      <c r="J110" s="17">
        <f>主c角色库!L404</f>
        <v>0.5</v>
      </c>
      <c r="K110" s="17">
        <f>主c角色库!M404</f>
        <v>0</v>
      </c>
      <c r="L110" s="17">
        <f>主c角色库!N404</f>
        <v>0.84599999999999986</v>
      </c>
      <c r="M110" s="17">
        <f>主c角色库!O404</f>
        <v>0</v>
      </c>
      <c r="N110" s="17">
        <f>主c角色库!P404</f>
        <v>0</v>
      </c>
      <c r="O110" s="17">
        <f>主c角色库!Q404</f>
        <v>0</v>
      </c>
      <c r="P110" s="17">
        <f>主c角色库!R404</f>
        <v>0</v>
      </c>
      <c r="Q110" s="17">
        <f>主c角色库!S404</f>
        <v>0</v>
      </c>
      <c r="R110" s="17">
        <f>主c角色库!T404</f>
        <v>0</v>
      </c>
      <c r="S110" s="17">
        <f>主c角色库!U404</f>
        <v>0</v>
      </c>
      <c r="T110" s="17">
        <f>主c角色库!V404</f>
        <v>0</v>
      </c>
      <c r="U110" s="17">
        <f>主c角色库!W404</f>
        <v>0</v>
      </c>
      <c r="V110" s="17">
        <f>主c角色库!X404</f>
        <v>0</v>
      </c>
      <c r="W110" s="17">
        <f>主c角色库!Y404</f>
        <v>0</v>
      </c>
      <c r="X110" s="17">
        <f>主c角色库!Z404</f>
        <v>0</v>
      </c>
    </row>
    <row r="111" spans="1:24" x14ac:dyDescent="0.25">
      <c r="A111" t="str">
        <f>主c角色库!C405</f>
        <v>庄方宜大招普攻</v>
      </c>
      <c r="B111" t="str">
        <f>主c角色库!D405</f>
        <v>N/a</v>
      </c>
      <c r="C111">
        <f>主c角色库!E405</f>
        <v>836</v>
      </c>
      <c r="D111">
        <f>主c角色库!F405</f>
        <v>0.49</v>
      </c>
      <c r="E111">
        <f>主c角色库!G405</f>
        <v>0</v>
      </c>
      <c r="F111">
        <f>主c角色库!H405</f>
        <v>4.9240000000000004</v>
      </c>
      <c r="G111">
        <f>主c角色库!I405</f>
        <v>7379.1713600000012</v>
      </c>
      <c r="H111">
        <f>主c角色库!J405</f>
        <v>6.6</v>
      </c>
      <c r="I111">
        <f>主c角色库!K405</f>
        <v>0.05</v>
      </c>
      <c r="J111">
        <f>主c角色库!L405</f>
        <v>0.5</v>
      </c>
      <c r="K111">
        <f>主c角色库!M405</f>
        <v>0</v>
      </c>
      <c r="L111">
        <f>主c角色库!N405</f>
        <v>0.84599999999999986</v>
      </c>
      <c r="M111">
        <f>主c角色库!O405</f>
        <v>0</v>
      </c>
      <c r="N111">
        <f>主c角色库!P405</f>
        <v>0</v>
      </c>
      <c r="O111">
        <f>主c角色库!Q405</f>
        <v>0</v>
      </c>
      <c r="P111">
        <f>主c角色库!R405</f>
        <v>0</v>
      </c>
      <c r="Q111">
        <f>主c角色库!S405</f>
        <v>0</v>
      </c>
      <c r="R111">
        <f>主c角色库!T405</f>
        <v>0</v>
      </c>
      <c r="S111">
        <f>主c角色库!U405</f>
        <v>0</v>
      </c>
      <c r="T111">
        <f>主c角色库!V405</f>
        <v>0</v>
      </c>
      <c r="U111">
        <f>主c角色库!W405</f>
        <v>0</v>
      </c>
      <c r="V111">
        <f>主c角色库!X405</f>
        <v>0</v>
      </c>
      <c r="W111">
        <f>主c角色库!Y405</f>
        <v>0</v>
      </c>
      <c r="X111">
        <f>主c角色库!Z405</f>
        <v>0</v>
      </c>
    </row>
    <row r="112" spans="1:24" x14ac:dyDescent="0.25">
      <c r="A112" t="str">
        <f>主c角色库!C406</f>
        <v>庄方宜大招九剑一导电战技</v>
      </c>
      <c r="B112" t="str">
        <f>主c角色库!D406</f>
        <v>N/a</v>
      </c>
      <c r="C112">
        <f>主c角色库!E406</f>
        <v>836</v>
      </c>
      <c r="D112">
        <f>主c角色库!F406</f>
        <v>0.49</v>
      </c>
      <c r="E112">
        <f>主c角色库!G406</f>
        <v>0</v>
      </c>
      <c r="F112">
        <f>主c角色库!H406</f>
        <v>4.9240000000000004</v>
      </c>
      <c r="G112">
        <f>主c角色库!I406</f>
        <v>7379.1713600000012</v>
      </c>
      <c r="H112">
        <f>主c角色库!J406</f>
        <v>13.86</v>
      </c>
      <c r="I112">
        <f>主c角色库!K406</f>
        <v>0.05</v>
      </c>
      <c r="J112">
        <f>主c角色库!L406</f>
        <v>0.5</v>
      </c>
      <c r="K112">
        <f>主c角色库!M406</f>
        <v>0</v>
      </c>
      <c r="L112">
        <f>主c角色库!N406</f>
        <v>0.84599999999999986</v>
      </c>
      <c r="M112">
        <f>主c角色库!O406</f>
        <v>0</v>
      </c>
      <c r="N112">
        <f>主c角色库!P406</f>
        <v>0</v>
      </c>
      <c r="O112">
        <f>主c角色库!Q406</f>
        <v>0</v>
      </c>
      <c r="P112">
        <f>主c角色库!R406</f>
        <v>0</v>
      </c>
      <c r="Q112">
        <f>主c角色库!S406</f>
        <v>0</v>
      </c>
      <c r="R112">
        <f>主c角色库!T406</f>
        <v>0</v>
      </c>
      <c r="S112">
        <f>主c角色库!U406</f>
        <v>0</v>
      </c>
      <c r="T112">
        <f>主c角色库!V406</f>
        <v>0</v>
      </c>
      <c r="U112">
        <f>主c角色库!W406</f>
        <v>0</v>
      </c>
      <c r="V112">
        <f>主c角色库!X406</f>
        <v>0</v>
      </c>
      <c r="W112">
        <f>主c角色库!Y406</f>
        <v>0</v>
      </c>
      <c r="X112">
        <f>主c角色库!Z406</f>
        <v>0</v>
      </c>
    </row>
    <row r="113" spans="1:24" x14ac:dyDescent="0.25">
      <c r="A113" t="str">
        <f>主c角色库!C407</f>
        <v>庄方宜大招九剑零导电战技</v>
      </c>
      <c r="B113" t="str">
        <f>主c角色库!D407</f>
        <v>N/a</v>
      </c>
      <c r="C113">
        <f>主c角色库!E407</f>
        <v>836</v>
      </c>
      <c r="D113">
        <f>主c角色库!F407</f>
        <v>0.49</v>
      </c>
      <c r="E113">
        <f>主c角色库!G407</f>
        <v>0</v>
      </c>
      <c r="F113">
        <f>主c角色库!H407</f>
        <v>4.9240000000000004</v>
      </c>
      <c r="G113">
        <f>主c角色库!I407</f>
        <v>7379.1713600000012</v>
      </c>
      <c r="H113">
        <f>主c角色库!J407</f>
        <v>11.34</v>
      </c>
      <c r="I113">
        <f>主c角色库!K407</f>
        <v>0.05</v>
      </c>
      <c r="J113">
        <f>主c角色库!L407</f>
        <v>0.5</v>
      </c>
      <c r="K113">
        <f>主c角色库!M407</f>
        <v>0</v>
      </c>
      <c r="L113">
        <f>主c角色库!N407</f>
        <v>0.84599999999999986</v>
      </c>
      <c r="M113">
        <f>主c角色库!O407</f>
        <v>0</v>
      </c>
      <c r="N113">
        <f>主c角色库!P407</f>
        <v>0</v>
      </c>
      <c r="O113">
        <f>主c角色库!Q407</f>
        <v>0</v>
      </c>
      <c r="P113">
        <f>主c角色库!R407</f>
        <v>0</v>
      </c>
      <c r="Q113">
        <f>主c角色库!S407</f>
        <v>0</v>
      </c>
      <c r="R113">
        <f>主c角色库!T407</f>
        <v>0</v>
      </c>
      <c r="S113">
        <f>主c角色库!U407</f>
        <v>0</v>
      </c>
      <c r="T113">
        <f>主c角色库!V407</f>
        <v>0</v>
      </c>
      <c r="U113">
        <f>主c角色库!W407</f>
        <v>0</v>
      </c>
      <c r="V113">
        <f>主c角色库!X407</f>
        <v>0</v>
      </c>
      <c r="W113">
        <f>主c角色库!Y407</f>
        <v>0</v>
      </c>
      <c r="X113">
        <f>主c角色库!Z407</f>
        <v>0</v>
      </c>
    </row>
    <row r="114" spans="1:24" x14ac:dyDescent="0.25">
      <c r="A114" t="str">
        <f>主c角色库!C408</f>
        <v>庄方宜大招九剑二导电战技</v>
      </c>
      <c r="B114" t="str">
        <f>主c角色库!D408</f>
        <v>N/a</v>
      </c>
      <c r="C114">
        <f>主c角色库!E408</f>
        <v>836</v>
      </c>
      <c r="D114">
        <f>主c角色库!F408</f>
        <v>0.49</v>
      </c>
      <c r="E114">
        <f>主c角色库!G408</f>
        <v>0</v>
      </c>
      <c r="F114">
        <f>主c角色库!H408</f>
        <v>4.9240000000000004</v>
      </c>
      <c r="G114">
        <f>主c角色库!I408</f>
        <v>7379.1713600000012</v>
      </c>
      <c r="H114">
        <f>主c角色库!J408</f>
        <v>16.38</v>
      </c>
      <c r="I114">
        <f>主c角色库!K408</f>
        <v>0.05</v>
      </c>
      <c r="J114">
        <f>主c角色库!L408</f>
        <v>0.5</v>
      </c>
      <c r="K114">
        <f>主c角色库!M408</f>
        <v>0</v>
      </c>
      <c r="L114">
        <f>主c角色库!N408</f>
        <v>0.84599999999999986</v>
      </c>
      <c r="M114">
        <f>主c角色库!O408</f>
        <v>0</v>
      </c>
      <c r="N114">
        <f>主c角色库!P408</f>
        <v>0</v>
      </c>
      <c r="O114">
        <f>主c角色库!Q408</f>
        <v>0</v>
      </c>
      <c r="P114">
        <f>主c角色库!R408</f>
        <v>0</v>
      </c>
      <c r="Q114">
        <f>主c角色库!S408</f>
        <v>0</v>
      </c>
      <c r="R114">
        <f>主c角色库!T408</f>
        <v>0</v>
      </c>
      <c r="S114">
        <f>主c角色库!U408</f>
        <v>0</v>
      </c>
      <c r="T114">
        <f>主c角色库!V408</f>
        <v>0</v>
      </c>
      <c r="U114">
        <f>主c角色库!W408</f>
        <v>0</v>
      </c>
      <c r="V114">
        <f>主c角色库!X408</f>
        <v>0</v>
      </c>
      <c r="W114">
        <f>主c角色库!Y408</f>
        <v>0</v>
      </c>
      <c r="X114">
        <f>主c角色库!Z408</f>
        <v>0</v>
      </c>
    </row>
    <row r="115" spans="1:24" x14ac:dyDescent="0.25">
      <c r="A115" t="str">
        <f>主c角色库!C409</f>
        <v>庄方宜大招三剑零导电战技</v>
      </c>
      <c r="B115" t="str">
        <f>主c角色库!D409</f>
        <v>N/a</v>
      </c>
      <c r="C115">
        <f>主c角色库!E409</f>
        <v>836</v>
      </c>
      <c r="D115">
        <f>主c角色库!F409</f>
        <v>0.49</v>
      </c>
      <c r="E115">
        <f>主c角色库!G409</f>
        <v>0</v>
      </c>
      <c r="F115">
        <f>主c角色库!H409</f>
        <v>4.9240000000000004</v>
      </c>
      <c r="G115">
        <f>主c角色库!I409</f>
        <v>7379.1713600000012</v>
      </c>
      <c r="H115">
        <f>主c角色库!J409</f>
        <v>6.48</v>
      </c>
      <c r="I115">
        <f>主c角色库!K409</f>
        <v>0.05</v>
      </c>
      <c r="J115">
        <f>主c角色库!L409</f>
        <v>0.5</v>
      </c>
      <c r="K115">
        <f>主c角色库!M409</f>
        <v>0</v>
      </c>
      <c r="L115">
        <f>主c角色库!N409</f>
        <v>0.84599999999999986</v>
      </c>
      <c r="M115">
        <f>主c角色库!O409</f>
        <v>0</v>
      </c>
      <c r="N115">
        <f>主c角色库!P409</f>
        <v>0</v>
      </c>
      <c r="O115">
        <f>主c角色库!Q409</f>
        <v>0</v>
      </c>
      <c r="P115">
        <f>主c角色库!R409</f>
        <v>0</v>
      </c>
      <c r="Q115">
        <f>主c角色库!S409</f>
        <v>0</v>
      </c>
      <c r="R115">
        <f>主c角色库!T409</f>
        <v>0</v>
      </c>
      <c r="S115">
        <f>主c角色库!U409</f>
        <v>0</v>
      </c>
      <c r="T115">
        <f>主c角色库!V409</f>
        <v>0</v>
      </c>
      <c r="U115">
        <f>主c角色库!W409</f>
        <v>0</v>
      </c>
      <c r="V115">
        <f>主c角色库!X409</f>
        <v>0</v>
      </c>
      <c r="W115">
        <f>主c角色库!Y409</f>
        <v>0</v>
      </c>
      <c r="X115">
        <f>主c角色库!Z409</f>
        <v>0</v>
      </c>
    </row>
    <row r="116" spans="1:24" x14ac:dyDescent="0.25">
      <c r="A116" t="str">
        <f>主c角色库!C410</f>
        <v>庄方宜大招六剑一导电战技</v>
      </c>
      <c r="B116" t="str">
        <f>主c角色库!D410</f>
        <v>N/a</v>
      </c>
      <c r="C116">
        <f>主c角色库!E410</f>
        <v>836</v>
      </c>
      <c r="D116">
        <f>主c角色库!F410</f>
        <v>0.49</v>
      </c>
      <c r="E116">
        <f>主c角色库!G410</f>
        <v>0</v>
      </c>
      <c r="F116">
        <f>主c角色库!H410</f>
        <v>4.9240000000000004</v>
      </c>
      <c r="G116">
        <f>主c角色库!I410</f>
        <v>7379.1713600000012</v>
      </c>
      <c r="H116">
        <f>主c角色库!J410</f>
        <v>10.89</v>
      </c>
      <c r="I116">
        <f>主c角色库!K410</f>
        <v>0.05</v>
      </c>
      <c r="J116">
        <f>主c角色库!L410</f>
        <v>0.5</v>
      </c>
      <c r="K116">
        <f>主c角色库!M410</f>
        <v>0</v>
      </c>
      <c r="L116">
        <f>主c角色库!N410</f>
        <v>0.84599999999999986</v>
      </c>
      <c r="M116">
        <f>主c角色库!O410</f>
        <v>0</v>
      </c>
      <c r="N116">
        <f>主c角色库!P410</f>
        <v>0</v>
      </c>
      <c r="O116">
        <f>主c角色库!Q410</f>
        <v>0</v>
      </c>
      <c r="P116">
        <f>主c角色库!R410</f>
        <v>0</v>
      </c>
      <c r="Q116">
        <f>主c角色库!S410</f>
        <v>0</v>
      </c>
      <c r="R116">
        <f>主c角色库!T410</f>
        <v>0</v>
      </c>
      <c r="S116">
        <f>主c角色库!U410</f>
        <v>0</v>
      </c>
      <c r="T116">
        <f>主c角色库!V410</f>
        <v>0</v>
      </c>
      <c r="U116">
        <f>主c角色库!W410</f>
        <v>0</v>
      </c>
      <c r="V116">
        <f>主c角色库!X410</f>
        <v>0</v>
      </c>
      <c r="W116">
        <f>主c角色库!Y410</f>
        <v>0</v>
      </c>
      <c r="X116">
        <f>主c角色库!Z410</f>
        <v>0</v>
      </c>
    </row>
    <row r="117" spans="1:24" x14ac:dyDescent="0.25">
      <c r="A117" t="str">
        <f>主c角色库!C411</f>
        <v>N/a</v>
      </c>
      <c r="B117" t="str">
        <f>主c角色库!D411</f>
        <v>庄方宜连携一导电</v>
      </c>
      <c r="C117">
        <f>主c角色库!E411</f>
        <v>0</v>
      </c>
      <c r="D117">
        <f>主c角色库!F411</f>
        <v>0</v>
      </c>
      <c r="E117">
        <f>主c角色库!G411</f>
        <v>0</v>
      </c>
      <c r="F117">
        <f>主c角色库!H411</f>
        <v>0</v>
      </c>
      <c r="G117">
        <f>主c角色库!I411</f>
        <v>0</v>
      </c>
      <c r="H117">
        <f>主c角色库!J411</f>
        <v>0</v>
      </c>
      <c r="I117">
        <f>主c角色库!K411</f>
        <v>0</v>
      </c>
      <c r="J117">
        <f>主c角色库!L411</f>
        <v>0</v>
      </c>
      <c r="K117">
        <f>主c角色库!M411</f>
        <v>0</v>
      </c>
      <c r="L117">
        <f>主c角色库!N411</f>
        <v>0</v>
      </c>
      <c r="M117">
        <f>主c角色库!O411</f>
        <v>0</v>
      </c>
      <c r="N117">
        <f>主c角色库!P411</f>
        <v>0</v>
      </c>
      <c r="O117">
        <f>主c角色库!Q411</f>
        <v>0</v>
      </c>
      <c r="P117">
        <f>主c角色库!R411</f>
        <v>0</v>
      </c>
      <c r="Q117">
        <f>主c角色库!S411</f>
        <v>0</v>
      </c>
      <c r="R117">
        <f>主c角色库!T411</f>
        <v>0</v>
      </c>
      <c r="S117">
        <f>主c角色库!U411</f>
        <v>0</v>
      </c>
      <c r="T117">
        <f>主c角色库!V411</f>
        <v>0.12</v>
      </c>
      <c r="U117">
        <f>主c角色库!W411</f>
        <v>0</v>
      </c>
      <c r="V117">
        <f>主c角色库!X411</f>
        <v>0</v>
      </c>
      <c r="W117">
        <f>主c角色库!Y411</f>
        <v>0</v>
      </c>
      <c r="X117">
        <f>主c角色库!Z411</f>
        <v>0</v>
      </c>
    </row>
    <row r="118" spans="1:24" x14ac:dyDescent="0.25">
      <c r="A118" t="str">
        <f>主c角色库!C412</f>
        <v>N/a</v>
      </c>
      <c r="B118" t="str">
        <f>主c角色库!D412</f>
        <v>庄方宜连携二导电</v>
      </c>
      <c r="C118">
        <f>主c角色库!E412</f>
        <v>0</v>
      </c>
      <c r="D118">
        <f>主c角色库!F412</f>
        <v>0</v>
      </c>
      <c r="E118">
        <f>主c角色库!G412</f>
        <v>0</v>
      </c>
      <c r="F118">
        <f>主c角色库!H412</f>
        <v>0</v>
      </c>
      <c r="G118">
        <f>主c角色库!I412</f>
        <v>0</v>
      </c>
      <c r="H118">
        <f>主c角色库!J412</f>
        <v>0</v>
      </c>
      <c r="I118">
        <f>主c角色库!K412</f>
        <v>0</v>
      </c>
      <c r="J118">
        <f>主c角色库!L412</f>
        <v>0</v>
      </c>
      <c r="K118">
        <f>主c角色库!M412</f>
        <v>0</v>
      </c>
      <c r="L118">
        <f>主c角色库!N412</f>
        <v>0</v>
      </c>
      <c r="M118">
        <f>主c角色库!O412</f>
        <v>0</v>
      </c>
      <c r="N118">
        <f>主c角色库!P412</f>
        <v>0</v>
      </c>
      <c r="O118">
        <f>主c角色库!Q412</f>
        <v>0</v>
      </c>
      <c r="P118">
        <f>主c角色库!R412</f>
        <v>0</v>
      </c>
      <c r="Q118">
        <f>主c角色库!S412</f>
        <v>0</v>
      </c>
      <c r="R118">
        <f>主c角色库!T412</f>
        <v>0</v>
      </c>
      <c r="S118">
        <f>主c角色库!U412</f>
        <v>0</v>
      </c>
      <c r="T118">
        <f>主c角色库!V412</f>
        <v>0.16</v>
      </c>
      <c r="U118">
        <f>主c角色库!W412</f>
        <v>0</v>
      </c>
      <c r="V118">
        <f>主c角色库!X412</f>
        <v>0</v>
      </c>
      <c r="W118">
        <f>主c角色库!Y412</f>
        <v>0</v>
      </c>
      <c r="X118">
        <f>主c角色库!Z412</f>
        <v>0</v>
      </c>
    </row>
    <row r="119" spans="1:24" x14ac:dyDescent="0.25">
      <c r="A119" t="str">
        <f>主c角色库!C413</f>
        <v>N/a</v>
      </c>
      <c r="B119" t="str">
        <f>主c角色库!D413</f>
        <v>庄方宜天赋战技后增幅</v>
      </c>
      <c r="C119">
        <f>主c角色库!E413</f>
        <v>0</v>
      </c>
      <c r="D119">
        <f>主c角色库!F413</f>
        <v>0</v>
      </c>
      <c r="E119">
        <f>主c角色库!G413</f>
        <v>0</v>
      </c>
      <c r="F119">
        <f>主c角色库!H413</f>
        <v>0</v>
      </c>
      <c r="G119">
        <f>主c角色库!I413</f>
        <v>0</v>
      </c>
      <c r="H119">
        <f>主c角色库!J413</f>
        <v>0</v>
      </c>
      <c r="I119">
        <f>主c角色库!K413</f>
        <v>0</v>
      </c>
      <c r="J119">
        <f>主c角色库!L413</f>
        <v>0</v>
      </c>
      <c r="K119">
        <f>主c角色库!M413</f>
        <v>0</v>
      </c>
      <c r="L119">
        <f>主c角色库!N413</f>
        <v>0</v>
      </c>
      <c r="M119">
        <f>主c角色库!O413</f>
        <v>0</v>
      </c>
      <c r="N119">
        <f>主c角色库!P413</f>
        <v>0</v>
      </c>
      <c r="O119">
        <f>主c角色库!Q413</f>
        <v>0</v>
      </c>
      <c r="P119">
        <f>主c角色库!R413</f>
        <v>0</v>
      </c>
      <c r="Q119">
        <f>主c角色库!S413</f>
        <v>0</v>
      </c>
      <c r="R119">
        <f>主c角色库!T413</f>
        <v>0</v>
      </c>
      <c r="S119">
        <f>主c角色库!U413</f>
        <v>0.2</v>
      </c>
      <c r="T119">
        <f>主c角色库!V413</f>
        <v>0</v>
      </c>
      <c r="U119">
        <f>主c角色库!W413</f>
        <v>0</v>
      </c>
      <c r="V119">
        <f>主c角色库!X413</f>
        <v>0</v>
      </c>
      <c r="W119">
        <f>主c角色库!Y413</f>
        <v>0</v>
      </c>
      <c r="X119">
        <f>主c角色库!Z413</f>
        <v>0</v>
      </c>
    </row>
    <row r="120" spans="1:24" x14ac:dyDescent="0.25">
      <c r="A120" t="str">
        <f>主c角色库!C414</f>
        <v>N/a</v>
      </c>
      <c r="B120" t="str">
        <f>主c角色库!D414</f>
        <v>庄方宜壤流套一层</v>
      </c>
      <c r="C120">
        <f>主c角色库!E414</f>
        <v>0</v>
      </c>
      <c r="D120">
        <f>主c角色库!F414</f>
        <v>0</v>
      </c>
      <c r="E120">
        <f>主c角色库!G414</f>
        <v>0</v>
      </c>
      <c r="F120">
        <f>主c角色库!H414</f>
        <v>0</v>
      </c>
      <c r="G120">
        <f>主c角色库!I414</f>
        <v>0</v>
      </c>
      <c r="H120">
        <f>主c角色库!J414</f>
        <v>0</v>
      </c>
      <c r="I120">
        <f>主c角色库!K414</f>
        <v>0</v>
      </c>
      <c r="J120">
        <f>主c角色库!L414</f>
        <v>0</v>
      </c>
      <c r="K120">
        <f>主c角色库!M414</f>
        <v>0</v>
      </c>
      <c r="L120">
        <f>主c角色库!N414</f>
        <v>0.15</v>
      </c>
      <c r="M120">
        <f>主c角色库!O414</f>
        <v>0</v>
      </c>
      <c r="N120">
        <f>主c角色库!P414</f>
        <v>0</v>
      </c>
      <c r="O120">
        <f>主c角色库!Q414</f>
        <v>0</v>
      </c>
      <c r="P120">
        <f>主c角色库!R414</f>
        <v>0</v>
      </c>
      <c r="Q120">
        <f>主c角色库!S414</f>
        <v>0</v>
      </c>
      <c r="R120">
        <f>主c角色库!T414</f>
        <v>0</v>
      </c>
      <c r="S120">
        <f>主c角色库!U414</f>
        <v>0</v>
      </c>
      <c r="T120">
        <f>主c角色库!V414</f>
        <v>0</v>
      </c>
      <c r="U120">
        <f>主c角色库!W414</f>
        <v>0</v>
      </c>
      <c r="V120">
        <f>主c角色库!X414</f>
        <v>0</v>
      </c>
      <c r="W120">
        <f>主c角色库!Y414</f>
        <v>0</v>
      </c>
      <c r="X120">
        <f>主c角色库!Z414</f>
        <v>0</v>
      </c>
    </row>
    <row r="121" spans="1:24" x14ac:dyDescent="0.25">
      <c r="A121" t="str">
        <f>主c角色库!C415</f>
        <v>N/a</v>
      </c>
      <c r="B121" t="str">
        <f>主c角色库!D415</f>
        <v>庄方宜壤流套二层</v>
      </c>
      <c r="C121">
        <f>主c角色库!E415</f>
        <v>0</v>
      </c>
      <c r="D121">
        <f>主c角色库!F415</f>
        <v>0</v>
      </c>
      <c r="E121">
        <f>主c角色库!G415</f>
        <v>0</v>
      </c>
      <c r="F121">
        <f>主c角色库!H415</f>
        <v>0</v>
      </c>
      <c r="G121">
        <f>主c角色库!I415</f>
        <v>0</v>
      </c>
      <c r="H121">
        <f>主c角色库!J415</f>
        <v>0</v>
      </c>
      <c r="I121">
        <f>主c角色库!K415</f>
        <v>0</v>
      </c>
      <c r="J121">
        <f>主c角色库!L415</f>
        <v>0</v>
      </c>
      <c r="K121">
        <f>主c角色库!M415</f>
        <v>0</v>
      </c>
      <c r="L121">
        <f>主c角色库!N415</f>
        <v>0.3</v>
      </c>
      <c r="M121">
        <f>主c角色库!O415</f>
        <v>0</v>
      </c>
      <c r="N121">
        <f>主c角色库!P415</f>
        <v>0</v>
      </c>
      <c r="O121">
        <f>主c角色库!Q415</f>
        <v>0</v>
      </c>
      <c r="P121">
        <f>主c角色库!R415</f>
        <v>0</v>
      </c>
      <c r="Q121">
        <f>主c角色库!S415</f>
        <v>0</v>
      </c>
      <c r="R121">
        <f>主c角色库!T415</f>
        <v>0</v>
      </c>
      <c r="S121">
        <f>主c角色库!U415</f>
        <v>0</v>
      </c>
      <c r="T121">
        <f>主c角色库!V415</f>
        <v>0</v>
      </c>
      <c r="U121">
        <f>主c角色库!W415</f>
        <v>0</v>
      </c>
      <c r="V121">
        <f>主c角色库!X415</f>
        <v>0</v>
      </c>
      <c r="W121">
        <f>主c角色库!Y415</f>
        <v>0</v>
      </c>
      <c r="X121">
        <f>主c角色库!Z415</f>
        <v>0</v>
      </c>
    </row>
    <row r="122" spans="1:24" x14ac:dyDescent="0.25">
      <c r="A122" t="str">
        <f>主c角色库!C416</f>
        <v>N/a</v>
      </c>
      <c r="B122" t="str">
        <f>主c角色库!D416</f>
        <v>庄方宜壤流套三层</v>
      </c>
      <c r="C122">
        <f>主c角色库!E416</f>
        <v>0</v>
      </c>
      <c r="D122">
        <f>主c角色库!F416</f>
        <v>0</v>
      </c>
      <c r="E122">
        <f>主c角色库!G416</f>
        <v>0</v>
      </c>
      <c r="F122">
        <f>主c角色库!H416</f>
        <v>0</v>
      </c>
      <c r="G122">
        <f>主c角色库!I416</f>
        <v>0</v>
      </c>
      <c r="H122">
        <f>主c角色库!J416</f>
        <v>0</v>
      </c>
      <c r="I122">
        <f>主c角色库!K416</f>
        <v>0</v>
      </c>
      <c r="J122">
        <f>主c角色库!L416</f>
        <v>0</v>
      </c>
      <c r="K122">
        <f>主c角色库!M416</f>
        <v>0</v>
      </c>
      <c r="L122">
        <f>主c角色库!N416</f>
        <v>0.44999999999999996</v>
      </c>
      <c r="M122">
        <f>主c角色库!O416</f>
        <v>0</v>
      </c>
      <c r="N122">
        <f>主c角色库!P416</f>
        <v>0</v>
      </c>
      <c r="O122">
        <f>主c角色库!Q416</f>
        <v>0</v>
      </c>
      <c r="P122">
        <f>主c角色库!R416</f>
        <v>0</v>
      </c>
      <c r="Q122">
        <f>主c角色库!S416</f>
        <v>0</v>
      </c>
      <c r="R122">
        <f>主c角色库!T416</f>
        <v>0</v>
      </c>
      <c r="S122">
        <f>主c角色库!U416</f>
        <v>0</v>
      </c>
      <c r="T122">
        <f>主c角色库!V416</f>
        <v>0</v>
      </c>
      <c r="U122">
        <f>主c角色库!W416</f>
        <v>0</v>
      </c>
      <c r="V122">
        <f>主c角色库!X416</f>
        <v>0</v>
      </c>
      <c r="W122">
        <f>主c角色库!Y416</f>
        <v>0</v>
      </c>
      <c r="X122">
        <f>主c角色库!Z416</f>
        <v>0</v>
      </c>
    </row>
    <row r="123" spans="1:24" x14ac:dyDescent="0.25">
      <c r="A123" t="str">
        <f>主c角色库!C417</f>
        <v>N/a</v>
      </c>
      <c r="B123" t="str">
        <f>主c角色库!D417</f>
        <v>庄方宜专武消耗一次导电</v>
      </c>
      <c r="C123">
        <f>主c角色库!E417</f>
        <v>0</v>
      </c>
      <c r="D123">
        <f>主c角色库!F417</f>
        <v>0</v>
      </c>
      <c r="E123">
        <f>主c角色库!G417</f>
        <v>0</v>
      </c>
      <c r="F123">
        <f>主c角色库!H417</f>
        <v>0</v>
      </c>
      <c r="G123">
        <f>主c角色库!I417</f>
        <v>0</v>
      </c>
      <c r="H123">
        <f>主c角色库!J417</f>
        <v>0</v>
      </c>
      <c r="I123">
        <f>主c角色库!K417</f>
        <v>0</v>
      </c>
      <c r="J123">
        <f>主c角色库!L417</f>
        <v>0</v>
      </c>
      <c r="K123">
        <f>主c角色库!M417</f>
        <v>0</v>
      </c>
      <c r="L123">
        <f>主c角色库!N417</f>
        <v>0.56000000000000005</v>
      </c>
      <c r="M123">
        <f>主c角色库!O417</f>
        <v>0</v>
      </c>
      <c r="N123">
        <f>主c角色库!P417</f>
        <v>0</v>
      </c>
      <c r="O123">
        <f>主c角色库!Q417</f>
        <v>0</v>
      </c>
      <c r="P123">
        <f>主c角色库!R417</f>
        <v>0</v>
      </c>
      <c r="Q123">
        <f>主c角色库!S417</f>
        <v>0</v>
      </c>
      <c r="R123">
        <f>主c角色库!T417</f>
        <v>0</v>
      </c>
      <c r="S123">
        <f>主c角色库!U417</f>
        <v>0</v>
      </c>
      <c r="T123">
        <f>主c角色库!V417</f>
        <v>0</v>
      </c>
      <c r="U123">
        <f>主c角色库!W417</f>
        <v>0</v>
      </c>
      <c r="V123">
        <f>主c角色库!X417</f>
        <v>0</v>
      </c>
      <c r="W123">
        <f>主c角色库!Y417</f>
        <v>0</v>
      </c>
      <c r="X123">
        <f>主c角色库!Z417</f>
        <v>0</v>
      </c>
    </row>
    <row r="124" spans="1:24" x14ac:dyDescent="0.25">
      <c r="A124" t="str">
        <f>主c角色库!C418</f>
        <v>N/a</v>
      </c>
      <c r="B124" t="str">
        <f>主c角色库!D418</f>
        <v>庄方宜专武消耗两次导电</v>
      </c>
      <c r="C124">
        <f>主c角色库!E418</f>
        <v>0</v>
      </c>
      <c r="D124">
        <f>主c角色库!F418</f>
        <v>0</v>
      </c>
      <c r="E124">
        <f>主c角色库!G418</f>
        <v>0</v>
      </c>
      <c r="F124">
        <f>主c角色库!H418</f>
        <v>0</v>
      </c>
      <c r="G124">
        <f>主c角色库!I418</f>
        <v>0</v>
      </c>
      <c r="H124">
        <f>主c角色库!J418</f>
        <v>0</v>
      </c>
      <c r="I124">
        <f>主c角色库!K418</f>
        <v>0</v>
      </c>
      <c r="J124">
        <f>主c角色库!L418</f>
        <v>0</v>
      </c>
      <c r="K124">
        <f>主c角色库!M418</f>
        <v>0</v>
      </c>
      <c r="L124">
        <f>主c角色库!N418</f>
        <v>1.1200000000000001</v>
      </c>
      <c r="M124">
        <f>主c角色库!O418</f>
        <v>0</v>
      </c>
      <c r="N124">
        <f>主c角色库!P418</f>
        <v>0</v>
      </c>
      <c r="O124">
        <f>主c角色库!Q418</f>
        <v>0</v>
      </c>
      <c r="P124">
        <f>主c角色库!R418</f>
        <v>0</v>
      </c>
      <c r="Q124">
        <f>主c角色库!S418</f>
        <v>0</v>
      </c>
      <c r="R124">
        <f>主c角色库!T418</f>
        <v>0</v>
      </c>
      <c r="S124">
        <f>主c角色库!U418</f>
        <v>0</v>
      </c>
      <c r="T124">
        <f>主c角色库!V418</f>
        <v>0</v>
      </c>
      <c r="U124">
        <f>主c角色库!W418</f>
        <v>0</v>
      </c>
      <c r="V124">
        <f>主c角色库!X418</f>
        <v>0</v>
      </c>
      <c r="W124">
        <f>主c角色库!Y418</f>
        <v>0</v>
      </c>
      <c r="X124">
        <f>主c角色库!Z418</f>
        <v>0</v>
      </c>
    </row>
    <row r="125" spans="1:24" x14ac:dyDescent="0.25">
      <c r="A125" t="str">
        <f>主c角色库!C419</f>
        <v>N/a</v>
      </c>
      <c r="B125" t="str">
        <f>主c角色库!D419</f>
        <v>庄方宜专武开大</v>
      </c>
      <c r="C125">
        <f>主c角色库!E419</f>
        <v>0</v>
      </c>
      <c r="D125">
        <f>主c角色库!F419</f>
        <v>0</v>
      </c>
      <c r="E125">
        <f>主c角色库!G419</f>
        <v>0</v>
      </c>
      <c r="F125">
        <f>主c角色库!H419</f>
        <v>0</v>
      </c>
      <c r="G125">
        <f>主c角色库!I419</f>
        <v>0</v>
      </c>
      <c r="H125">
        <f>主c角色库!J419</f>
        <v>0</v>
      </c>
      <c r="I125">
        <f>主c角色库!K419</f>
        <v>0</v>
      </c>
      <c r="J125">
        <f>主c角色库!L419</f>
        <v>0</v>
      </c>
      <c r="K125">
        <f>主c角色库!M419</f>
        <v>0</v>
      </c>
      <c r="L125">
        <f>主c角色库!N419</f>
        <v>1.1200000000000001</v>
      </c>
      <c r="M125">
        <f>主c角色库!O419</f>
        <v>0</v>
      </c>
      <c r="N125">
        <f>主c角色库!P419</f>
        <v>0</v>
      </c>
      <c r="O125">
        <f>主c角色库!Q419</f>
        <v>0</v>
      </c>
      <c r="P125">
        <f>主c角色库!R419</f>
        <v>0</v>
      </c>
      <c r="Q125">
        <f>主c角色库!S419</f>
        <v>0</v>
      </c>
      <c r="R125">
        <f>主c角色库!T419</f>
        <v>0</v>
      </c>
      <c r="S125">
        <f>主c角色库!U419</f>
        <v>0</v>
      </c>
      <c r="T125">
        <f>主c角色库!V419</f>
        <v>0</v>
      </c>
      <c r="U125">
        <f>主c角色库!W419</f>
        <v>0</v>
      </c>
      <c r="V125">
        <f>主c角色库!X419</f>
        <v>0</v>
      </c>
      <c r="W125">
        <f>主c角色库!Y419</f>
        <v>0</v>
      </c>
      <c r="X125">
        <f>主c角色库!Z419</f>
        <v>0</v>
      </c>
    </row>
    <row r="126" spans="1:24" x14ac:dyDescent="0.25">
      <c r="A126" t="str">
        <f>主c角色库!C420</f>
        <v>N/a</v>
      </c>
      <c r="B126" t="str">
        <f>主c角色库!D420</f>
        <v>庄方宜月卡武消耗导电</v>
      </c>
      <c r="C126">
        <f>主c角色库!E420</f>
        <v>0</v>
      </c>
      <c r="D126">
        <f>主c角色库!F420</f>
        <v>0</v>
      </c>
      <c r="E126">
        <f>主c角色库!G420</f>
        <v>0</v>
      </c>
      <c r="F126">
        <f>主c角色库!H420</f>
        <v>0</v>
      </c>
      <c r="G126">
        <f>主c角色库!I420</f>
        <v>0</v>
      </c>
      <c r="H126">
        <f>主c角色库!J420</f>
        <v>0</v>
      </c>
      <c r="I126">
        <f>主c角色库!K420</f>
        <v>0</v>
      </c>
      <c r="J126">
        <f>主c角色库!L420</f>
        <v>0</v>
      </c>
      <c r="K126">
        <f>主c角色库!M420</f>
        <v>0</v>
      </c>
      <c r="L126">
        <f>主c角色库!N420</f>
        <v>8.7999999999999995E-2</v>
      </c>
      <c r="M126">
        <f>主c角色库!O420</f>
        <v>0</v>
      </c>
      <c r="N126">
        <f>主c角色库!P420</f>
        <v>0</v>
      </c>
      <c r="O126">
        <f>主c角色库!Q420</f>
        <v>0</v>
      </c>
      <c r="P126">
        <f>主c角色库!R420</f>
        <v>0</v>
      </c>
      <c r="Q126">
        <f>主c角色库!S420</f>
        <v>0</v>
      </c>
      <c r="R126">
        <f>主c角色库!T420</f>
        <v>0</v>
      </c>
      <c r="S126">
        <f>主c角色库!U420</f>
        <v>0</v>
      </c>
      <c r="T126">
        <f>主c角色库!V420</f>
        <v>0</v>
      </c>
      <c r="U126">
        <f>主c角色库!W420</f>
        <v>0</v>
      </c>
      <c r="V126">
        <f>主c角色库!X420</f>
        <v>0</v>
      </c>
      <c r="W126">
        <f>主c角色库!Y420</f>
        <v>0</v>
      </c>
      <c r="X126">
        <f>主c角色库!Z420</f>
        <v>0</v>
      </c>
    </row>
    <row r="127" spans="1:24" x14ac:dyDescent="0.25">
      <c r="A127" t="str">
        <f>拐力角色库!C163</f>
        <v>佩里卡连携</v>
      </c>
      <c r="B127" t="str">
        <f>拐力角色库!D163</f>
        <v>N/a</v>
      </c>
      <c r="C127">
        <f>拐力角色库!E163</f>
        <v>0</v>
      </c>
      <c r="D127">
        <f>拐力角色库!F163</f>
        <v>0</v>
      </c>
      <c r="E127">
        <f>拐力角色库!G163</f>
        <v>0</v>
      </c>
      <c r="F127">
        <f>拐力角色库!H163</f>
        <v>1.625</v>
      </c>
      <c r="G127">
        <f>拐力角色库!I163</f>
        <v>0</v>
      </c>
      <c r="H127">
        <f>拐力角色库!J163</f>
        <v>0</v>
      </c>
      <c r="I127">
        <f>拐力角色库!K163</f>
        <v>0</v>
      </c>
      <c r="J127">
        <f>拐力角色库!L163</f>
        <v>0</v>
      </c>
      <c r="K127">
        <f>拐力角色库!M163</f>
        <v>0</v>
      </c>
      <c r="L127">
        <f>拐力角色库!N163</f>
        <v>0</v>
      </c>
      <c r="M127">
        <f>拐力角色库!O163</f>
        <v>0</v>
      </c>
      <c r="N127">
        <f>拐力角色库!P163</f>
        <v>0</v>
      </c>
      <c r="O127">
        <f>拐力角色库!Q163</f>
        <v>0</v>
      </c>
      <c r="P127">
        <f>拐力角色库!R163</f>
        <v>0</v>
      </c>
      <c r="Q127">
        <f>拐力角色库!S163</f>
        <v>0</v>
      </c>
      <c r="R127">
        <f>拐力角色库!T163</f>
        <v>0</v>
      </c>
      <c r="S127">
        <f>拐力角色库!U163</f>
        <v>0</v>
      </c>
      <c r="T127">
        <f>拐力角色库!V163</f>
        <v>0</v>
      </c>
      <c r="U127">
        <f>拐力角色库!W163</f>
        <v>0</v>
      </c>
      <c r="V127">
        <f>拐力角色库!X163</f>
        <v>0</v>
      </c>
      <c r="W127">
        <f>拐力角色库!Y163</f>
        <v>0</v>
      </c>
      <c r="X127">
        <f>拐力角色库!Z163</f>
        <v>0</v>
      </c>
    </row>
    <row r="128" spans="1:24" x14ac:dyDescent="0.25">
      <c r="A128" t="str">
        <f>拐力角色库!C164</f>
        <v>佩里卡战技</v>
      </c>
      <c r="B128" t="str">
        <f>拐力角色库!D164</f>
        <v>N/a</v>
      </c>
      <c r="C128">
        <f>拐力角色库!E164</f>
        <v>0</v>
      </c>
      <c r="D128">
        <f>拐力角色库!F164</f>
        <v>0</v>
      </c>
      <c r="E128">
        <f>拐力角色库!G164</f>
        <v>0</v>
      </c>
      <c r="F128">
        <f>拐力角色库!H164</f>
        <v>1.625</v>
      </c>
      <c r="G128">
        <f>拐力角色库!I164</f>
        <v>0</v>
      </c>
      <c r="H128">
        <f>拐力角色库!J164</f>
        <v>0</v>
      </c>
      <c r="I128">
        <f>拐力角色库!K164</f>
        <v>0</v>
      </c>
      <c r="J128">
        <f>拐力角色库!L164</f>
        <v>0</v>
      </c>
      <c r="K128">
        <f>拐力角色库!M164</f>
        <v>0</v>
      </c>
      <c r="L128">
        <f>拐力角色库!N164</f>
        <v>0</v>
      </c>
      <c r="M128">
        <f>拐力角色库!O164</f>
        <v>0</v>
      </c>
      <c r="N128">
        <f>拐力角色库!P164</f>
        <v>0</v>
      </c>
      <c r="O128">
        <f>拐力角色库!Q164</f>
        <v>0</v>
      </c>
      <c r="P128">
        <f>拐力角色库!R164</f>
        <v>0</v>
      </c>
      <c r="Q128">
        <f>拐力角色库!S164</f>
        <v>0</v>
      </c>
      <c r="R128">
        <f>拐力角色库!T164</f>
        <v>0</v>
      </c>
      <c r="S128">
        <f>拐力角色库!U164</f>
        <v>0</v>
      </c>
      <c r="T128">
        <f>拐力角色库!V164</f>
        <v>0</v>
      </c>
      <c r="U128">
        <f>拐力角色库!W164</f>
        <v>0</v>
      </c>
      <c r="V128">
        <f>拐力角色库!X164</f>
        <v>0</v>
      </c>
      <c r="W128">
        <f>拐力角色库!Y164</f>
        <v>0</v>
      </c>
      <c r="X128">
        <f>拐力角色库!Z164</f>
        <v>0</v>
      </c>
    </row>
    <row r="129" spans="1:24" s="17" customFormat="1" x14ac:dyDescent="0.25">
      <c r="A129" s="17" t="str">
        <f>拐力角色库!C165</f>
        <v>佩里卡大招</v>
      </c>
      <c r="B129" s="17" t="str">
        <f>拐力角色库!D165</f>
        <v>N/a</v>
      </c>
      <c r="C129" s="17">
        <f>拐力角色库!E165</f>
        <v>0</v>
      </c>
      <c r="D129" s="17">
        <f>拐力角色库!F165</f>
        <v>0</v>
      </c>
      <c r="E129" s="17">
        <f>拐力角色库!G165</f>
        <v>0</v>
      </c>
      <c r="F129" s="17">
        <f>拐力角色库!H165</f>
        <v>1.625</v>
      </c>
      <c r="G129" s="17">
        <f>拐力角色库!I165</f>
        <v>0</v>
      </c>
      <c r="H129" s="17">
        <f>拐力角色库!J165</f>
        <v>0</v>
      </c>
      <c r="I129" s="17">
        <f>拐力角色库!K165</f>
        <v>0</v>
      </c>
      <c r="J129" s="17">
        <f>拐力角色库!L165</f>
        <v>0</v>
      </c>
      <c r="K129" s="17">
        <f>拐力角色库!M165</f>
        <v>0</v>
      </c>
      <c r="L129" s="17">
        <f>拐力角色库!N165</f>
        <v>0</v>
      </c>
      <c r="M129" s="17">
        <f>拐力角色库!O165</f>
        <v>0</v>
      </c>
      <c r="N129" s="17">
        <f>拐力角色库!P165</f>
        <v>0</v>
      </c>
      <c r="O129" s="17">
        <f>拐力角色库!Q165</f>
        <v>0</v>
      </c>
      <c r="P129" s="17">
        <f>拐力角色库!R165</f>
        <v>0</v>
      </c>
      <c r="Q129" s="17">
        <f>拐力角色库!S165</f>
        <v>0</v>
      </c>
      <c r="R129" s="17">
        <f>拐力角色库!T165</f>
        <v>0</v>
      </c>
      <c r="S129" s="17">
        <f>拐力角色库!U165</f>
        <v>0</v>
      </c>
      <c r="T129" s="17">
        <f>拐力角色库!V165</f>
        <v>0</v>
      </c>
      <c r="U129" s="17">
        <f>拐力角色库!W165</f>
        <v>0</v>
      </c>
      <c r="V129" s="17">
        <f>拐力角色库!X165</f>
        <v>0</v>
      </c>
      <c r="W129" s="17">
        <f>拐力角色库!Y165</f>
        <v>0</v>
      </c>
      <c r="X129" s="17">
        <f>拐力角色库!Z165</f>
        <v>0</v>
      </c>
    </row>
    <row r="130" spans="1:24" x14ac:dyDescent="0.25">
      <c r="A130" t="str">
        <f>拐力角色库!C166</f>
        <v>N/a</v>
      </c>
      <c r="B130" t="str">
        <f>拐力角色库!D166</f>
        <v>佩里卡连携导电</v>
      </c>
      <c r="C130">
        <f>拐力角色库!E166</f>
        <v>0</v>
      </c>
      <c r="D130">
        <f>拐力角色库!F166</f>
        <v>0</v>
      </c>
      <c r="E130">
        <f>拐力角色库!G166</f>
        <v>0</v>
      </c>
      <c r="F130">
        <f>拐力角色库!H166</f>
        <v>0</v>
      </c>
      <c r="G130">
        <f>拐力角色库!I166</f>
        <v>0</v>
      </c>
      <c r="H130">
        <f>拐力角色库!J166</f>
        <v>0</v>
      </c>
      <c r="I130">
        <f>拐力角色库!K166</f>
        <v>0</v>
      </c>
      <c r="J130">
        <f>拐力角色库!L166</f>
        <v>0</v>
      </c>
      <c r="K130">
        <f>拐力角色库!M166</f>
        <v>0</v>
      </c>
      <c r="L130">
        <f>拐力角色库!N166</f>
        <v>0</v>
      </c>
      <c r="M130">
        <f>拐力角色库!O166</f>
        <v>0</v>
      </c>
      <c r="N130">
        <f>拐力角色库!P166</f>
        <v>0</v>
      </c>
      <c r="O130">
        <f>拐力角色库!Q166</f>
        <v>0</v>
      </c>
      <c r="P130">
        <f>拐力角色库!R166</f>
        <v>0</v>
      </c>
      <c r="Q130">
        <f>拐力角色库!S166</f>
        <v>0</v>
      </c>
      <c r="R130">
        <f>拐力角色库!T166</f>
        <v>0</v>
      </c>
      <c r="S130">
        <f>拐力角色库!U166</f>
        <v>0</v>
      </c>
      <c r="T130">
        <f>拐力角色库!V166</f>
        <v>0.28534545454545451</v>
      </c>
      <c r="U130">
        <f>拐力角色库!W166</f>
        <v>0</v>
      </c>
      <c r="V130">
        <f>拐力角色库!X166</f>
        <v>0</v>
      </c>
      <c r="W130">
        <f>拐力角色库!Y166</f>
        <v>0</v>
      </c>
      <c r="X130">
        <f>拐力角色库!Z166</f>
        <v>0</v>
      </c>
    </row>
    <row r="131" spans="1:24" x14ac:dyDescent="0.25">
      <c r="A131" t="str">
        <f>拐力角色库!C167</f>
        <v>N/a</v>
      </c>
      <c r="B131" s="22" t="str">
        <f>拐力角色库!D167</f>
        <v>佩里卡悼亡诗大招</v>
      </c>
      <c r="C131">
        <f>拐力角色库!E167</f>
        <v>0</v>
      </c>
      <c r="D131">
        <f>拐力角色库!F167</f>
        <v>0.128</v>
      </c>
      <c r="E131">
        <f>拐力角色库!G167</f>
        <v>0</v>
      </c>
      <c r="F131">
        <f>拐力角色库!H167</f>
        <v>0</v>
      </c>
      <c r="G131">
        <f>拐力角色库!I167</f>
        <v>0</v>
      </c>
      <c r="H131">
        <f>拐力角色库!J167</f>
        <v>0</v>
      </c>
      <c r="I131">
        <f>拐力角色库!K167</f>
        <v>0</v>
      </c>
      <c r="J131">
        <f>拐力角色库!L167</f>
        <v>0</v>
      </c>
      <c r="K131">
        <f>拐力角色库!M167</f>
        <v>0</v>
      </c>
      <c r="L131">
        <f>拐力角色库!N167</f>
        <v>0</v>
      </c>
      <c r="M131">
        <f>拐力角色库!O167</f>
        <v>0</v>
      </c>
      <c r="N131">
        <f>拐力角色库!P167</f>
        <v>0</v>
      </c>
      <c r="O131">
        <f>拐力角色库!Q167</f>
        <v>0</v>
      </c>
      <c r="P131">
        <f>拐力角色库!R167</f>
        <v>0</v>
      </c>
      <c r="Q131">
        <f>拐力角色库!S167</f>
        <v>0</v>
      </c>
      <c r="R131">
        <f>拐力角色库!T167</f>
        <v>0</v>
      </c>
      <c r="S131">
        <f>拐力角色库!U167</f>
        <v>0</v>
      </c>
      <c r="T131">
        <f>拐力角色库!V167</f>
        <v>0</v>
      </c>
      <c r="U131">
        <f>拐力角色库!W167</f>
        <v>0</v>
      </c>
      <c r="V131">
        <f>拐力角色库!X167</f>
        <v>0</v>
      </c>
      <c r="W131">
        <f>拐力角色库!Y167</f>
        <v>0</v>
      </c>
      <c r="X131">
        <f>拐力角色库!Z167</f>
        <v>0</v>
      </c>
    </row>
    <row r="132" spans="1:24" x14ac:dyDescent="0.25">
      <c r="A132" t="str">
        <f>拐力角色库!C168</f>
        <v>N/a</v>
      </c>
      <c r="B132" s="22" t="str">
        <f>拐力角色库!D168</f>
        <v>佩里卡迷失导电后</v>
      </c>
      <c r="C132">
        <f>拐力角色库!E168</f>
        <v>0</v>
      </c>
      <c r="D132">
        <f>拐力角色库!F168</f>
        <v>0</v>
      </c>
      <c r="E132">
        <f>拐力角色库!G168</f>
        <v>0</v>
      </c>
      <c r="F132">
        <f>拐力角色库!H168</f>
        <v>0</v>
      </c>
      <c r="G132">
        <f>拐力角色库!I168</f>
        <v>0</v>
      </c>
      <c r="H132">
        <f>拐力角色库!J168</f>
        <v>0</v>
      </c>
      <c r="I132">
        <f>拐力角色库!K168</f>
        <v>0</v>
      </c>
      <c r="J132">
        <f>拐力角色库!L168</f>
        <v>0</v>
      </c>
      <c r="K132">
        <f>拐力角色库!M168</f>
        <v>0</v>
      </c>
      <c r="L132">
        <f>拐力角色库!N168</f>
        <v>0.128</v>
      </c>
      <c r="M132">
        <f>拐力角色库!O168</f>
        <v>0</v>
      </c>
      <c r="N132">
        <f>拐力角色库!P168</f>
        <v>0</v>
      </c>
      <c r="O132">
        <f>拐力角色库!Q168</f>
        <v>0</v>
      </c>
      <c r="P132">
        <f>拐力角色库!R168</f>
        <v>0</v>
      </c>
      <c r="Q132">
        <f>拐力角色库!S168</f>
        <v>0</v>
      </c>
      <c r="R132">
        <f>拐力角色库!T168</f>
        <v>0</v>
      </c>
      <c r="S132">
        <f>拐力角色库!U168</f>
        <v>0</v>
      </c>
      <c r="T132">
        <f>拐力角色库!V168</f>
        <v>0</v>
      </c>
      <c r="U132">
        <f>拐力角色库!W168</f>
        <v>0</v>
      </c>
      <c r="V132">
        <f>拐力角色库!X168</f>
        <v>0</v>
      </c>
      <c r="W132">
        <f>拐力角色库!Y168</f>
        <v>0</v>
      </c>
      <c r="X132" s="29">
        <f>拐力角色库!Z168</f>
        <v>0</v>
      </c>
    </row>
    <row r="133" spans="1:24" x14ac:dyDescent="0.25">
      <c r="A133" t="str">
        <f>先锋角色库!C71</f>
        <v>弧光战技</v>
      </c>
      <c r="B133" s="22" t="str">
        <f>先锋角色库!D71</f>
        <v>N/a</v>
      </c>
      <c r="C133">
        <f>先锋角色库!E71</f>
        <v>0</v>
      </c>
      <c r="D133">
        <f>先锋角色库!F71</f>
        <v>0</v>
      </c>
      <c r="E133">
        <f>先锋角色库!G71</f>
        <v>0</v>
      </c>
      <c r="F133">
        <f>先锋角色库!H71</f>
        <v>2.6510000000000002</v>
      </c>
      <c r="G133">
        <f>先锋角色库!I71</f>
        <v>0</v>
      </c>
      <c r="H133">
        <f>先锋角色库!J71</f>
        <v>0</v>
      </c>
      <c r="I133">
        <f>先锋角色库!K71</f>
        <v>0</v>
      </c>
      <c r="J133">
        <f>先锋角色库!L71</f>
        <v>0</v>
      </c>
      <c r="K133">
        <f>先锋角色库!M71</f>
        <v>0.78</v>
      </c>
      <c r="L133">
        <f>先锋角色库!N71</f>
        <v>0</v>
      </c>
      <c r="M133">
        <f>先锋角色库!O71</f>
        <v>0</v>
      </c>
      <c r="N133">
        <f>先锋角色库!P71</f>
        <v>0</v>
      </c>
      <c r="O133">
        <f>先锋角色库!Q71</f>
        <v>0</v>
      </c>
      <c r="P133">
        <f>先锋角色库!R71</f>
        <v>0</v>
      </c>
      <c r="Q133">
        <f>先锋角色库!S71</f>
        <v>0</v>
      </c>
      <c r="R133">
        <f>先锋角色库!T71</f>
        <v>0</v>
      </c>
      <c r="S133">
        <f>先锋角色库!U71</f>
        <v>0</v>
      </c>
      <c r="T133">
        <f>先锋角色库!V71</f>
        <v>0</v>
      </c>
      <c r="U133">
        <f>先锋角色库!W71</f>
        <v>0</v>
      </c>
      <c r="V133">
        <f>先锋角色库!X71</f>
        <v>0</v>
      </c>
      <c r="W133">
        <f>先锋角色库!Y71</f>
        <v>0</v>
      </c>
      <c r="X133" s="29">
        <f>先锋角色库!Z71</f>
        <v>0</v>
      </c>
    </row>
    <row r="134" spans="1:24" x14ac:dyDescent="0.25">
      <c r="A134" t="str">
        <f>先锋角色库!C72</f>
        <v>弧光连携</v>
      </c>
      <c r="B134" s="22" t="str">
        <f>先锋角色库!D72</f>
        <v>N/a</v>
      </c>
      <c r="C134">
        <f>先锋角色库!E72</f>
        <v>0</v>
      </c>
      <c r="D134">
        <f>先锋角色库!F72</f>
        <v>0</v>
      </c>
      <c r="E134">
        <f>先锋角色库!G72</f>
        <v>0</v>
      </c>
      <c r="F134">
        <f>先锋角色库!H72</f>
        <v>2.6510000000000002</v>
      </c>
      <c r="G134">
        <f>先锋角色库!I72</f>
        <v>0</v>
      </c>
      <c r="H134">
        <f>先锋角色库!J72</f>
        <v>0</v>
      </c>
      <c r="I134">
        <f>先锋角色库!K72</f>
        <v>0</v>
      </c>
      <c r="J134">
        <f>先锋角色库!L72</f>
        <v>0</v>
      </c>
      <c r="K134">
        <f>先锋角色库!M72</f>
        <v>0.78</v>
      </c>
      <c r="L134">
        <f>先锋角色库!N72</f>
        <v>0</v>
      </c>
      <c r="M134">
        <f>先锋角色库!O72</f>
        <v>0</v>
      </c>
      <c r="N134">
        <f>先锋角色库!P72</f>
        <v>0</v>
      </c>
      <c r="O134">
        <f>先锋角色库!Q72</f>
        <v>0</v>
      </c>
      <c r="P134">
        <f>先锋角色库!R72</f>
        <v>0</v>
      </c>
      <c r="Q134">
        <f>先锋角色库!S72</f>
        <v>0</v>
      </c>
      <c r="R134">
        <f>先锋角色库!T72</f>
        <v>0</v>
      </c>
      <c r="S134">
        <f>先锋角色库!U72</f>
        <v>0</v>
      </c>
      <c r="T134">
        <f>先锋角色库!V72</f>
        <v>0</v>
      </c>
      <c r="U134">
        <f>先锋角色库!W72</f>
        <v>0</v>
      </c>
      <c r="V134">
        <f>先锋角色库!X72</f>
        <v>0</v>
      </c>
      <c r="W134">
        <f>先锋角色库!Y72</f>
        <v>0</v>
      </c>
      <c r="X134" s="29">
        <f>先锋角色库!Z72</f>
        <v>0</v>
      </c>
    </row>
    <row r="135" spans="1:24" x14ac:dyDescent="0.25">
      <c r="A135" t="str">
        <f>先锋角色库!C73</f>
        <v>弧光大招</v>
      </c>
      <c r="B135" s="22" t="str">
        <f>先锋角色库!D73</f>
        <v>N/a</v>
      </c>
      <c r="C135">
        <f>先锋角色库!E73</f>
        <v>0</v>
      </c>
      <c r="D135">
        <f>先锋角色库!F73</f>
        <v>0</v>
      </c>
      <c r="E135">
        <f>先锋角色库!G73</f>
        <v>0</v>
      </c>
      <c r="F135">
        <f>先锋角色库!H73</f>
        <v>2.6510000000000002</v>
      </c>
      <c r="G135">
        <f>先锋角色库!I73</f>
        <v>0</v>
      </c>
      <c r="H135">
        <f>先锋角色库!J73</f>
        <v>0</v>
      </c>
      <c r="I135">
        <f>先锋角色库!K73</f>
        <v>0</v>
      </c>
      <c r="J135">
        <f>先锋角色库!L73</f>
        <v>0</v>
      </c>
      <c r="K135">
        <f>先锋角色库!M73</f>
        <v>0.78</v>
      </c>
      <c r="L135">
        <f>先锋角色库!N73</f>
        <v>0</v>
      </c>
      <c r="M135">
        <f>先锋角色库!O73</f>
        <v>0</v>
      </c>
      <c r="N135">
        <f>先锋角色库!P73</f>
        <v>0</v>
      </c>
      <c r="O135">
        <f>先锋角色库!Q73</f>
        <v>0</v>
      </c>
      <c r="P135">
        <f>先锋角色库!R73</f>
        <v>0</v>
      </c>
      <c r="Q135">
        <f>先锋角色库!S73</f>
        <v>0</v>
      </c>
      <c r="R135">
        <f>先锋角色库!T73</f>
        <v>0</v>
      </c>
      <c r="S135">
        <f>先锋角色库!U73</f>
        <v>0</v>
      </c>
      <c r="T135">
        <f>先锋角色库!V73</f>
        <v>0</v>
      </c>
      <c r="U135">
        <f>先锋角色库!W73</f>
        <v>0</v>
      </c>
      <c r="V135">
        <f>先锋角色库!X73</f>
        <v>0</v>
      </c>
      <c r="W135">
        <f>先锋角色库!Y73</f>
        <v>0</v>
      </c>
      <c r="X135" s="29">
        <f>先锋角色库!Z73</f>
        <v>0</v>
      </c>
    </row>
    <row r="136" spans="1:24" s="17" customFormat="1" x14ac:dyDescent="0.25">
      <c r="A136" s="17" t="str">
        <f>先锋角色库!C74</f>
        <v>N/a</v>
      </c>
      <c r="B136" s="17" t="str">
        <f>先锋角色库!D74</f>
        <v>弧光热熔回技力</v>
      </c>
      <c r="C136" s="17">
        <f>先锋角色库!E74</f>
        <v>0</v>
      </c>
      <c r="D136" s="17">
        <f>先锋角色库!F74</f>
        <v>0.08</v>
      </c>
      <c r="E136" s="17">
        <f>先锋角色库!G74</f>
        <v>0</v>
      </c>
      <c r="F136" s="17">
        <f>先锋角色库!H74</f>
        <v>0</v>
      </c>
      <c r="G136" s="17">
        <f>先锋角色库!I74</f>
        <v>0</v>
      </c>
      <c r="H136" s="17">
        <f>先锋角色库!J74</f>
        <v>0</v>
      </c>
      <c r="I136" s="17">
        <f>先锋角色库!K74</f>
        <v>0</v>
      </c>
      <c r="J136" s="17">
        <f>先锋角色库!L74</f>
        <v>0</v>
      </c>
      <c r="K136" s="17">
        <f>先锋角色库!M74</f>
        <v>0</v>
      </c>
      <c r="L136" s="17">
        <f>先锋角色库!N74</f>
        <v>0</v>
      </c>
      <c r="M136" s="17">
        <f>先锋角色库!O74</f>
        <v>0</v>
      </c>
      <c r="N136" s="17">
        <f>先锋角色库!P74</f>
        <v>0</v>
      </c>
      <c r="O136" s="17">
        <f>先锋角色库!Q74</f>
        <v>0</v>
      </c>
      <c r="P136" s="17">
        <f>先锋角色库!R74</f>
        <v>0</v>
      </c>
      <c r="Q136" s="17">
        <f>先锋角色库!S74</f>
        <v>0</v>
      </c>
      <c r="R136" s="17">
        <f>先锋角色库!T74</f>
        <v>0</v>
      </c>
      <c r="S136" s="17">
        <f>先锋角色库!U74</f>
        <v>0</v>
      </c>
      <c r="T136" s="17">
        <f>先锋角色库!V74</f>
        <v>0</v>
      </c>
      <c r="U136" s="17">
        <f>先锋角色库!W74</f>
        <v>0</v>
      </c>
      <c r="V136" s="17">
        <f>先锋角色库!X74</f>
        <v>0</v>
      </c>
      <c r="W136" s="17">
        <f>先锋角色库!Y74</f>
        <v>0</v>
      </c>
      <c r="X136" s="17">
        <f>先锋角色库!Z74</f>
        <v>0</v>
      </c>
    </row>
    <row r="137" spans="1:24" x14ac:dyDescent="0.25">
      <c r="A137" t="str">
        <f>先锋角色库!C75</f>
        <v>N/a</v>
      </c>
      <c r="B137" s="22" t="str">
        <f>先锋角色库!D75</f>
        <v>弧光轻芒回技力</v>
      </c>
      <c r="C137">
        <f>先锋角色库!E75</f>
        <v>0</v>
      </c>
      <c r="D137">
        <f>先锋角色库!F75</f>
        <v>0</v>
      </c>
      <c r="E137">
        <f>先锋角色库!G75</f>
        <v>0</v>
      </c>
      <c r="F137">
        <f>先锋角色库!H75</f>
        <v>0</v>
      </c>
      <c r="G137">
        <f>先锋角色库!I75</f>
        <v>0</v>
      </c>
      <c r="H137">
        <f>先锋角色库!J75</f>
        <v>0</v>
      </c>
      <c r="I137">
        <f>先锋角色库!K75</f>
        <v>0</v>
      </c>
      <c r="J137">
        <f>先锋角色库!L75</f>
        <v>0</v>
      </c>
      <c r="K137">
        <f>先锋角色库!M75</f>
        <v>0</v>
      </c>
      <c r="L137">
        <f>先锋角色库!N75</f>
        <v>4.8000000000000001E-2</v>
      </c>
      <c r="M137">
        <f>先锋角色库!O75</f>
        <v>0</v>
      </c>
      <c r="N137">
        <f>先锋角色库!P75</f>
        <v>0</v>
      </c>
      <c r="O137">
        <f>先锋角色库!Q75</f>
        <v>0</v>
      </c>
      <c r="P137">
        <f>先锋角色库!R75</f>
        <v>0</v>
      </c>
      <c r="Q137">
        <f>先锋角色库!S75</f>
        <v>0</v>
      </c>
      <c r="R137">
        <f>先锋角色库!T75</f>
        <v>0</v>
      </c>
      <c r="S137">
        <f>先锋角色库!U75</f>
        <v>0</v>
      </c>
      <c r="T137">
        <f>先锋角色库!V75</f>
        <v>0</v>
      </c>
      <c r="U137">
        <f>先锋角色库!W75</f>
        <v>0</v>
      </c>
      <c r="V137">
        <f>先锋角色库!X75</f>
        <v>0</v>
      </c>
      <c r="W137">
        <f>先锋角色库!Y75</f>
        <v>0</v>
      </c>
      <c r="X137" s="29">
        <f>先锋角色库!Z75</f>
        <v>0</v>
      </c>
    </row>
    <row r="138" spans="1:24" x14ac:dyDescent="0.25">
      <c r="A138" t="str">
        <f>拐力角色库!C70</f>
        <v>洁哥战技</v>
      </c>
      <c r="B138" s="22" t="str">
        <f>拐力角色库!D70</f>
        <v>N/a</v>
      </c>
      <c r="C138">
        <f>拐力角色库!E70</f>
        <v>0</v>
      </c>
      <c r="D138">
        <f>拐力角色库!F70</f>
        <v>0</v>
      </c>
      <c r="E138">
        <f>拐力角色库!G70</f>
        <v>0</v>
      </c>
      <c r="F138">
        <f>拐力角色库!H70</f>
        <v>0</v>
      </c>
      <c r="G138">
        <f>拐力角色库!I70</f>
        <v>0</v>
      </c>
      <c r="H138">
        <f>拐力角色库!J70</f>
        <v>0</v>
      </c>
      <c r="I138">
        <f>拐力角色库!K70</f>
        <v>0</v>
      </c>
      <c r="J138">
        <f>拐力角色库!L70</f>
        <v>0</v>
      </c>
      <c r="K138">
        <f>拐力角色库!M70</f>
        <v>0</v>
      </c>
      <c r="L138">
        <f>拐力角色库!N70</f>
        <v>0</v>
      </c>
      <c r="M138">
        <f>拐力角色库!O70</f>
        <v>0</v>
      </c>
      <c r="N138">
        <f>拐力角色库!P70</f>
        <v>0</v>
      </c>
      <c r="O138">
        <f>拐力角色库!Q70</f>
        <v>0</v>
      </c>
      <c r="P138">
        <f>拐力角色库!R70</f>
        <v>0</v>
      </c>
      <c r="Q138">
        <f>拐力角色库!S70</f>
        <v>0</v>
      </c>
      <c r="R138">
        <f>拐力角色库!T70</f>
        <v>0</v>
      </c>
      <c r="S138">
        <f>拐力角色库!U70</f>
        <v>0</v>
      </c>
      <c r="T138">
        <f>拐力角色库!V70</f>
        <v>0</v>
      </c>
      <c r="U138">
        <f>拐力角色库!W70</f>
        <v>0</v>
      </c>
      <c r="V138">
        <f>拐力角色库!X70</f>
        <v>0</v>
      </c>
      <c r="W138">
        <f>拐力角色库!Y70</f>
        <v>0</v>
      </c>
      <c r="X138" s="29">
        <f>拐力角色库!Z70</f>
        <v>0</v>
      </c>
    </row>
    <row r="139" spans="1:24" x14ac:dyDescent="0.25">
      <c r="A139" t="str">
        <f>拐力角色库!C71</f>
        <v>洁哥连携</v>
      </c>
      <c r="B139" t="str">
        <f>拐力角色库!D71</f>
        <v>N/a</v>
      </c>
      <c r="C139">
        <f>拐力角色库!E71</f>
        <v>0</v>
      </c>
      <c r="D139">
        <f>拐力角色库!F71</f>
        <v>0</v>
      </c>
      <c r="E139">
        <f>拐力角色库!G71</f>
        <v>0</v>
      </c>
      <c r="F139">
        <f>拐力角色库!H71</f>
        <v>0</v>
      </c>
      <c r="G139">
        <f>拐力角色库!I71</f>
        <v>0</v>
      </c>
      <c r="H139">
        <f>拐力角色库!J71</f>
        <v>0</v>
      </c>
      <c r="I139">
        <f>拐力角色库!K71</f>
        <v>0</v>
      </c>
      <c r="J139">
        <f>拐力角色库!L71</f>
        <v>0</v>
      </c>
      <c r="K139">
        <f>拐力角色库!M71</f>
        <v>0</v>
      </c>
      <c r="L139">
        <f>拐力角色库!N71</f>
        <v>0</v>
      </c>
      <c r="M139">
        <f>拐力角色库!O71</f>
        <v>0</v>
      </c>
      <c r="N139">
        <f>拐力角色库!P71</f>
        <v>0</v>
      </c>
      <c r="O139">
        <f>拐力角色库!Q71</f>
        <v>0</v>
      </c>
      <c r="P139">
        <f>拐力角色库!R71</f>
        <v>0</v>
      </c>
      <c r="Q139">
        <f>拐力角色库!S71</f>
        <v>0</v>
      </c>
      <c r="R139">
        <f>拐力角色库!T71</f>
        <v>0</v>
      </c>
      <c r="S139">
        <f>拐力角色库!U71</f>
        <v>0</v>
      </c>
      <c r="T139">
        <f>拐力角色库!V71</f>
        <v>0</v>
      </c>
      <c r="U139">
        <f>拐力角色库!W71</f>
        <v>0</v>
      </c>
      <c r="V139">
        <f>拐力角色库!X71</f>
        <v>0</v>
      </c>
      <c r="W139">
        <f>拐力角色库!Y71</f>
        <v>0</v>
      </c>
      <c r="X139">
        <f>拐力角色库!Z71</f>
        <v>0</v>
      </c>
    </row>
    <row r="140" spans="1:24" x14ac:dyDescent="0.25">
      <c r="A140" t="str">
        <f>拐力角色库!C72</f>
        <v>洁哥大招</v>
      </c>
      <c r="B140" t="str">
        <f>拐力角色库!D72</f>
        <v>N/a</v>
      </c>
      <c r="C140">
        <f>拐力角色库!E72</f>
        <v>0</v>
      </c>
      <c r="D140">
        <f>拐力角色库!F72</f>
        <v>0</v>
      </c>
      <c r="E140">
        <f>拐力角色库!G72</f>
        <v>0</v>
      </c>
      <c r="F140">
        <f>拐力角色库!H72</f>
        <v>0</v>
      </c>
      <c r="G140">
        <f>拐力角色库!I72</f>
        <v>0</v>
      </c>
      <c r="H140">
        <f>拐力角色库!J72</f>
        <v>0</v>
      </c>
      <c r="I140">
        <f>拐力角色库!K72</f>
        <v>0</v>
      </c>
      <c r="J140">
        <f>拐力角色库!L72</f>
        <v>0</v>
      </c>
      <c r="K140">
        <f>拐力角色库!M72</f>
        <v>0</v>
      </c>
      <c r="L140">
        <f>拐力角色库!N72</f>
        <v>0</v>
      </c>
      <c r="M140">
        <f>拐力角色库!O72</f>
        <v>0</v>
      </c>
      <c r="N140">
        <f>拐力角色库!P72</f>
        <v>0</v>
      </c>
      <c r="O140">
        <f>拐力角色库!Q72</f>
        <v>0</v>
      </c>
      <c r="P140">
        <f>拐力角色库!R72</f>
        <v>0</v>
      </c>
      <c r="Q140">
        <f>拐力角色库!S72</f>
        <v>0</v>
      </c>
      <c r="R140">
        <f>拐力角色库!T72</f>
        <v>0</v>
      </c>
      <c r="S140">
        <f>拐力角色库!U72</f>
        <v>0</v>
      </c>
      <c r="T140">
        <f>拐力角色库!V72</f>
        <v>0</v>
      </c>
      <c r="U140">
        <f>拐力角色库!W72</f>
        <v>0</v>
      </c>
      <c r="V140">
        <f>拐力角色库!X72</f>
        <v>0</v>
      </c>
      <c r="W140">
        <f>拐力角色库!Y72</f>
        <v>0</v>
      </c>
      <c r="X140">
        <f>拐力角色库!Z72</f>
        <v>0</v>
      </c>
    </row>
    <row r="141" spans="1:24" x14ac:dyDescent="0.25">
      <c r="A141" t="str">
        <f>拐力角色库!C73</f>
        <v>N/a</v>
      </c>
      <c r="B141" t="str">
        <f>拐力角色库!D73</f>
        <v>洁哥大招零破防</v>
      </c>
      <c r="C141">
        <f>拐力角色库!E73</f>
        <v>0</v>
      </c>
      <c r="D141">
        <f>拐力角色库!F73</f>
        <v>0</v>
      </c>
      <c r="E141">
        <f>拐力角色库!G73</f>
        <v>0</v>
      </c>
      <c r="F141">
        <f>拐力角色库!H73</f>
        <v>0</v>
      </c>
      <c r="G141">
        <f>拐力角色库!I73</f>
        <v>0</v>
      </c>
      <c r="H141">
        <f>拐力角色库!J73</f>
        <v>0</v>
      </c>
      <c r="I141">
        <f>拐力角色库!K73</f>
        <v>0</v>
      </c>
      <c r="J141">
        <f>拐力角色库!L73</f>
        <v>0</v>
      </c>
      <c r="K141">
        <f>拐力角色库!M73</f>
        <v>0</v>
      </c>
      <c r="L141">
        <f>拐力角色库!N73</f>
        <v>0</v>
      </c>
      <c r="M141">
        <f>拐力角色库!O73</f>
        <v>0</v>
      </c>
      <c r="N141">
        <f>拐力角色库!P73</f>
        <v>0</v>
      </c>
      <c r="O141">
        <f>拐力角色库!Q73</f>
        <v>0</v>
      </c>
      <c r="P141">
        <f>拐力角色库!R73</f>
        <v>0</v>
      </c>
      <c r="Q141">
        <f>拐力角色库!S73</f>
        <v>0</v>
      </c>
      <c r="R141">
        <f>拐力角色库!T73</f>
        <v>0.3</v>
      </c>
      <c r="S141">
        <f>拐力角色库!U73</f>
        <v>0</v>
      </c>
      <c r="T141">
        <f>拐力角色库!V73</f>
        <v>0</v>
      </c>
      <c r="U141">
        <f>拐力角色库!W73</f>
        <v>0</v>
      </c>
      <c r="V141">
        <f>拐力角色库!X73</f>
        <v>0</v>
      </c>
      <c r="W141">
        <f>拐力角色库!Y73</f>
        <v>0</v>
      </c>
      <c r="X141">
        <f>拐力角色库!Z73</f>
        <v>0</v>
      </c>
    </row>
    <row r="142" spans="1:24" x14ac:dyDescent="0.25">
      <c r="A142" t="str">
        <f>拐力角色库!C74</f>
        <v>N/a</v>
      </c>
      <c r="B142" t="str">
        <f>拐力角色库!D74</f>
        <v>洁哥大招一破防</v>
      </c>
      <c r="C142">
        <f>拐力角色库!E74</f>
        <v>0</v>
      </c>
      <c r="D142">
        <f>拐力角色库!F74</f>
        <v>0</v>
      </c>
      <c r="E142">
        <f>拐力角色库!G74</f>
        <v>0</v>
      </c>
      <c r="F142">
        <f>拐力角色库!H74</f>
        <v>0</v>
      </c>
      <c r="G142">
        <f>拐力角色库!I74</f>
        <v>0</v>
      </c>
      <c r="H142">
        <f>拐力角色库!J74</f>
        <v>0</v>
      </c>
      <c r="I142">
        <f>拐力角色库!K74</f>
        <v>0</v>
      </c>
      <c r="J142">
        <f>拐力角色库!L74</f>
        <v>0</v>
      </c>
      <c r="K142">
        <f>拐力角色库!M74</f>
        <v>0</v>
      </c>
      <c r="L142">
        <f>拐力角色库!N74</f>
        <v>0</v>
      </c>
      <c r="M142">
        <f>拐力角色库!O74</f>
        <v>0</v>
      </c>
      <c r="N142">
        <f>拐力角色库!P74</f>
        <v>0</v>
      </c>
      <c r="O142">
        <f>拐力角色库!Q74</f>
        <v>0</v>
      </c>
      <c r="P142">
        <f>拐力角色库!R74</f>
        <v>0</v>
      </c>
      <c r="Q142">
        <f>拐力角色库!S74</f>
        <v>0</v>
      </c>
      <c r="R142">
        <f>拐力角色库!T74</f>
        <v>0.32999999999999996</v>
      </c>
      <c r="S142">
        <f>拐力角色库!U74</f>
        <v>0</v>
      </c>
      <c r="T142">
        <f>拐力角色库!V74</f>
        <v>0</v>
      </c>
      <c r="U142">
        <f>拐力角色库!W74</f>
        <v>0</v>
      </c>
      <c r="V142">
        <f>拐力角色库!X74</f>
        <v>0</v>
      </c>
      <c r="W142">
        <f>拐力角色库!Y74</f>
        <v>0</v>
      </c>
      <c r="X142">
        <f>拐力角色库!Z74</f>
        <v>0</v>
      </c>
    </row>
    <row r="143" spans="1:24" x14ac:dyDescent="0.25">
      <c r="A143" t="str">
        <f>拐力角色库!C75</f>
        <v>N/a</v>
      </c>
      <c r="B143" t="str">
        <f>拐力角色库!D75</f>
        <v>洁哥大招二破防</v>
      </c>
      <c r="C143">
        <f>拐力角色库!E75</f>
        <v>0</v>
      </c>
      <c r="D143">
        <f>拐力角色库!F75</f>
        <v>0</v>
      </c>
      <c r="E143">
        <f>拐力角色库!G75</f>
        <v>0</v>
      </c>
      <c r="F143">
        <f>拐力角色库!H75</f>
        <v>0</v>
      </c>
      <c r="G143">
        <f>拐力角色库!I75</f>
        <v>0</v>
      </c>
      <c r="H143">
        <f>拐力角色库!J75</f>
        <v>0</v>
      </c>
      <c r="I143">
        <f>拐力角色库!K75</f>
        <v>0</v>
      </c>
      <c r="J143">
        <f>拐力角色库!L75</f>
        <v>0</v>
      </c>
      <c r="K143">
        <f>拐力角色库!M75</f>
        <v>0</v>
      </c>
      <c r="L143">
        <f>拐力角色库!N75</f>
        <v>0</v>
      </c>
      <c r="M143">
        <f>拐力角色库!O75</f>
        <v>0</v>
      </c>
      <c r="N143">
        <f>拐力角色库!P75</f>
        <v>0</v>
      </c>
      <c r="O143">
        <f>拐力角色库!Q75</f>
        <v>0</v>
      </c>
      <c r="P143">
        <f>拐力角色库!R75</f>
        <v>0</v>
      </c>
      <c r="Q143">
        <f>拐力角色库!S75</f>
        <v>0</v>
      </c>
      <c r="R143">
        <f>拐力角色库!T75</f>
        <v>0.36</v>
      </c>
      <c r="S143">
        <f>拐力角色库!U75</f>
        <v>0</v>
      </c>
      <c r="T143">
        <f>拐力角色库!V75</f>
        <v>0</v>
      </c>
      <c r="U143">
        <f>拐力角色库!W75</f>
        <v>0</v>
      </c>
      <c r="V143">
        <f>拐力角色库!X75</f>
        <v>0</v>
      </c>
      <c r="W143">
        <f>拐力角色库!Y75</f>
        <v>0</v>
      </c>
      <c r="X143">
        <f>拐力角色库!Z75</f>
        <v>0</v>
      </c>
    </row>
    <row r="144" spans="1:24" x14ac:dyDescent="0.25">
      <c r="A144" t="str">
        <f>拐力角色库!C76</f>
        <v>N/a</v>
      </c>
      <c r="B144" t="str">
        <f>拐力角色库!D76</f>
        <v>洁哥大招三破防</v>
      </c>
      <c r="C144">
        <f>拐力角色库!E76</f>
        <v>0</v>
      </c>
      <c r="D144">
        <f>拐力角色库!F76</f>
        <v>0</v>
      </c>
      <c r="E144">
        <f>拐力角色库!G76</f>
        <v>0</v>
      </c>
      <c r="F144">
        <f>拐力角色库!H76</f>
        <v>0</v>
      </c>
      <c r="G144">
        <f>拐力角色库!I76</f>
        <v>0</v>
      </c>
      <c r="H144">
        <f>拐力角色库!J76</f>
        <v>0</v>
      </c>
      <c r="I144">
        <f>拐力角色库!K76</f>
        <v>0</v>
      </c>
      <c r="J144">
        <f>拐力角色库!L76</f>
        <v>0</v>
      </c>
      <c r="K144">
        <f>拐力角色库!M76</f>
        <v>0</v>
      </c>
      <c r="L144">
        <f>拐力角色库!N76</f>
        <v>0</v>
      </c>
      <c r="M144">
        <f>拐力角色库!O76</f>
        <v>0</v>
      </c>
      <c r="N144">
        <f>拐力角色库!P76</f>
        <v>0</v>
      </c>
      <c r="O144">
        <f>拐力角色库!Q76</f>
        <v>0</v>
      </c>
      <c r="P144">
        <f>拐力角色库!R76</f>
        <v>0</v>
      </c>
      <c r="Q144">
        <f>拐力角色库!S76</f>
        <v>0</v>
      </c>
      <c r="R144">
        <f>拐力角色库!T76</f>
        <v>0.39</v>
      </c>
      <c r="S144">
        <f>拐力角色库!U76</f>
        <v>0</v>
      </c>
      <c r="T144">
        <f>拐力角色库!V76</f>
        <v>0</v>
      </c>
      <c r="U144">
        <f>拐力角色库!W76</f>
        <v>0</v>
      </c>
      <c r="V144">
        <f>拐力角色库!X76</f>
        <v>0</v>
      </c>
      <c r="W144">
        <f>拐力角色库!Y76</f>
        <v>0</v>
      </c>
      <c r="X144">
        <f>拐力角色库!Z76</f>
        <v>0</v>
      </c>
    </row>
    <row r="145" spans="1:24" x14ac:dyDescent="0.25">
      <c r="A145" t="str">
        <f>拐力角色库!C77</f>
        <v>N/a</v>
      </c>
      <c r="B145" t="str">
        <f>拐力角色库!D77</f>
        <v>洁哥大招四破防</v>
      </c>
      <c r="C145">
        <f>拐力角色库!E77</f>
        <v>0</v>
      </c>
      <c r="D145">
        <f>拐力角色库!F77</f>
        <v>0</v>
      </c>
      <c r="E145">
        <f>拐力角色库!G77</f>
        <v>0</v>
      </c>
      <c r="F145">
        <f>拐力角色库!H77</f>
        <v>0</v>
      </c>
      <c r="G145">
        <f>拐力角色库!I77</f>
        <v>0</v>
      </c>
      <c r="H145">
        <f>拐力角色库!J77</f>
        <v>0</v>
      </c>
      <c r="I145">
        <f>拐力角色库!K77</f>
        <v>0</v>
      </c>
      <c r="J145">
        <f>拐力角色库!L77</f>
        <v>0</v>
      </c>
      <c r="K145">
        <f>拐力角色库!M77</f>
        <v>0</v>
      </c>
      <c r="L145">
        <f>拐力角色库!N77</f>
        <v>0</v>
      </c>
      <c r="M145">
        <f>拐力角色库!O77</f>
        <v>0</v>
      </c>
      <c r="N145">
        <f>拐力角色库!P77</f>
        <v>0</v>
      </c>
      <c r="O145">
        <f>拐力角色库!Q77</f>
        <v>0</v>
      </c>
      <c r="P145">
        <f>拐力角色库!R77</f>
        <v>0</v>
      </c>
      <c r="Q145">
        <f>拐力角色库!S77</f>
        <v>0</v>
      </c>
      <c r="R145">
        <f>拐力角色库!T77</f>
        <v>0.42</v>
      </c>
      <c r="S145">
        <f>拐力角色库!U77</f>
        <v>0</v>
      </c>
      <c r="T145">
        <f>拐力角色库!V77</f>
        <v>0</v>
      </c>
      <c r="U145">
        <f>拐力角色库!W77</f>
        <v>0</v>
      </c>
      <c r="V145">
        <f>拐力角色库!X77</f>
        <v>0</v>
      </c>
      <c r="W145">
        <f>拐力角色库!Y77</f>
        <v>0</v>
      </c>
      <c r="X145">
        <f>拐力角色库!Z77</f>
        <v>0</v>
      </c>
    </row>
    <row r="146" spans="1:24" x14ac:dyDescent="0.25">
      <c r="A146" t="str">
        <f>拐力角色库!C78</f>
        <v>N/a</v>
      </c>
      <c r="B146" t="str">
        <f>拐力角色库!D78</f>
        <v>洁哥一腐蚀未满</v>
      </c>
      <c r="C146">
        <f>拐力角色库!E78</f>
        <v>0</v>
      </c>
      <c r="D146">
        <f>拐力角色库!F78</f>
        <v>0</v>
      </c>
      <c r="E146">
        <f>拐力角色库!G78</f>
        <v>0</v>
      </c>
      <c r="F146">
        <f>拐力角色库!H78</f>
        <v>0</v>
      </c>
      <c r="G146">
        <f>拐力角色库!I78</f>
        <v>0</v>
      </c>
      <c r="H146">
        <f>拐力角色库!J78</f>
        <v>0</v>
      </c>
      <c r="I146">
        <f>拐力角色库!K78</f>
        <v>0</v>
      </c>
      <c r="J146">
        <f>拐力角色库!L78</f>
        <v>0</v>
      </c>
      <c r="K146">
        <f>拐力角色库!M78</f>
        <v>0</v>
      </c>
      <c r="L146">
        <f>拐力角色库!N78</f>
        <v>0</v>
      </c>
      <c r="M146">
        <f>拐力角色库!O78</f>
        <v>0</v>
      </c>
      <c r="N146">
        <f>拐力角色库!P78</f>
        <v>0</v>
      </c>
      <c r="O146">
        <f>拐力角色库!Q78</f>
        <v>0</v>
      </c>
      <c r="P146">
        <f>拐力角色库!R78</f>
        <v>0</v>
      </c>
      <c r="Q146">
        <f>拐力角色库!S78</f>
        <v>0</v>
      </c>
      <c r="R146">
        <f>拐力角色库!T78</f>
        <v>0</v>
      </c>
      <c r="S146">
        <f>拐力角色库!U78</f>
        <v>0</v>
      </c>
      <c r="T146">
        <f>拐力角色库!V78</f>
        <v>0</v>
      </c>
      <c r="U146">
        <f>拐力角色库!W78</f>
        <v>0.11872906403940887</v>
      </c>
      <c r="V146">
        <f>拐力角色库!X78</f>
        <v>0</v>
      </c>
      <c r="W146">
        <f>拐力角色库!Y78</f>
        <v>0</v>
      </c>
      <c r="X146">
        <f>拐力角色库!Z78</f>
        <v>0</v>
      </c>
    </row>
    <row r="147" spans="1:24" x14ac:dyDescent="0.25">
      <c r="A147" t="str">
        <f>拐力角色库!C79</f>
        <v>N/a</v>
      </c>
      <c r="B147" t="str">
        <f>拐力角色库!D79</f>
        <v>洁哥一腐蚀满腐蚀</v>
      </c>
      <c r="C147">
        <f>拐力角色库!E79</f>
        <v>0</v>
      </c>
      <c r="D147">
        <f>拐力角色库!F79</f>
        <v>0</v>
      </c>
      <c r="E147">
        <f>拐力角色库!G79</f>
        <v>0</v>
      </c>
      <c r="F147">
        <f>拐力角色库!H79</f>
        <v>0</v>
      </c>
      <c r="G147">
        <f>拐力角色库!I79</f>
        <v>0</v>
      </c>
      <c r="H147">
        <f>拐力角色库!J79</f>
        <v>0</v>
      </c>
      <c r="I147">
        <f>拐力角色库!K79</f>
        <v>0</v>
      </c>
      <c r="J147">
        <f>拐力角色库!L79</f>
        <v>0</v>
      </c>
      <c r="K147">
        <f>拐力角色库!M79</f>
        <v>0</v>
      </c>
      <c r="L147">
        <f>拐力角色库!N79</f>
        <v>0</v>
      </c>
      <c r="M147">
        <f>拐力角色库!O79</f>
        <v>0</v>
      </c>
      <c r="N147">
        <f>拐力角色库!P79</f>
        <v>0</v>
      </c>
      <c r="O147">
        <f>拐力角色库!Q79</f>
        <v>0</v>
      </c>
      <c r="P147">
        <f>拐力角色库!R79</f>
        <v>0</v>
      </c>
      <c r="Q147">
        <f>拐力角色库!S79</f>
        <v>0</v>
      </c>
      <c r="R147">
        <f>拐力角色库!T79</f>
        <v>0</v>
      </c>
      <c r="S147">
        <f>拐力角色库!U79</f>
        <v>0</v>
      </c>
      <c r="T147">
        <f>拐力角色库!V79</f>
        <v>0</v>
      </c>
      <c r="U147">
        <f>拐力角色库!W79</f>
        <v>0.1826600985221675</v>
      </c>
      <c r="V147">
        <f>拐力角色库!X79</f>
        <v>0</v>
      </c>
      <c r="W147">
        <f>拐力角色库!Y79</f>
        <v>0</v>
      </c>
      <c r="X147">
        <f>拐力角色库!Z79</f>
        <v>0</v>
      </c>
    </row>
    <row r="148" spans="1:24" x14ac:dyDescent="0.25">
      <c r="A148" t="str">
        <f>拐力角色库!C80</f>
        <v>N/a</v>
      </c>
      <c r="B148" t="str">
        <f>拐力角色库!D80</f>
        <v>洁哥一腐蚀未满</v>
      </c>
      <c r="C148">
        <f>拐力角色库!E80</f>
        <v>0</v>
      </c>
      <c r="D148">
        <f>拐力角色库!F80</f>
        <v>0</v>
      </c>
      <c r="E148">
        <f>拐力角色库!G80</f>
        <v>0</v>
      </c>
      <c r="F148">
        <f>拐力角色库!H80</f>
        <v>0</v>
      </c>
      <c r="G148">
        <f>拐力角色库!I80</f>
        <v>0</v>
      </c>
      <c r="H148">
        <f>拐力角色库!J80</f>
        <v>0</v>
      </c>
      <c r="I148">
        <f>拐力角色库!K80</f>
        <v>0</v>
      </c>
      <c r="J148">
        <f>拐力角色库!L80</f>
        <v>0</v>
      </c>
      <c r="K148">
        <f>拐力角色库!M80</f>
        <v>0</v>
      </c>
      <c r="L148">
        <f>拐力角色库!N80</f>
        <v>0</v>
      </c>
      <c r="M148">
        <f>拐力角色库!O80</f>
        <v>0</v>
      </c>
      <c r="N148">
        <f>拐力角色库!P80</f>
        <v>0</v>
      </c>
      <c r="O148">
        <f>拐力角色库!Q80</f>
        <v>0</v>
      </c>
      <c r="P148">
        <f>拐力角色库!R80</f>
        <v>0</v>
      </c>
      <c r="Q148">
        <f>拐力角色库!S80</f>
        <v>0</v>
      </c>
      <c r="R148">
        <f>拐力角色库!T80</f>
        <v>0</v>
      </c>
      <c r="S148">
        <f>拐力角色库!U80</f>
        <v>0</v>
      </c>
      <c r="T148">
        <f>拐力角色库!V80</f>
        <v>0</v>
      </c>
      <c r="U148">
        <f>拐力角色库!W80</f>
        <v>0.15830541871921183</v>
      </c>
      <c r="V148">
        <f>拐力角色库!X80</f>
        <v>0</v>
      </c>
      <c r="W148">
        <f>拐力角色库!Y80</f>
        <v>0</v>
      </c>
      <c r="X148">
        <f>拐力角色库!Z80</f>
        <v>0</v>
      </c>
    </row>
    <row r="149" spans="1:24" x14ac:dyDescent="0.25">
      <c r="A149" t="str">
        <f>拐力角色库!C81</f>
        <v>N/a</v>
      </c>
      <c r="B149" t="str">
        <f>拐力角色库!D81</f>
        <v>洁哥二腐蚀满腐蚀</v>
      </c>
      <c r="C149">
        <f>拐力角色库!E81</f>
        <v>0</v>
      </c>
      <c r="D149">
        <f>拐力角色库!F81</f>
        <v>0</v>
      </c>
      <c r="E149">
        <f>拐力角色库!G81</f>
        <v>0</v>
      </c>
      <c r="F149">
        <f>拐力角色库!H81</f>
        <v>0</v>
      </c>
      <c r="G149">
        <f>拐力角色库!I81</f>
        <v>0</v>
      </c>
      <c r="H149">
        <f>拐力角色库!J81</f>
        <v>0</v>
      </c>
      <c r="I149">
        <f>拐力角色库!K81</f>
        <v>0</v>
      </c>
      <c r="J149">
        <f>拐力角色库!L81</f>
        <v>0</v>
      </c>
      <c r="K149">
        <f>拐力角色库!M81</f>
        <v>0</v>
      </c>
      <c r="L149">
        <f>拐力角色库!N81</f>
        <v>0</v>
      </c>
      <c r="M149">
        <f>拐力角色库!O81</f>
        <v>0</v>
      </c>
      <c r="N149">
        <f>拐力角色库!P81</f>
        <v>0</v>
      </c>
      <c r="O149">
        <f>拐力角色库!Q81</f>
        <v>0</v>
      </c>
      <c r="P149">
        <f>拐力角色库!R81</f>
        <v>0</v>
      </c>
      <c r="Q149">
        <f>拐力角色库!S81</f>
        <v>0</v>
      </c>
      <c r="R149">
        <f>拐力角色库!T81</f>
        <v>0</v>
      </c>
      <c r="S149">
        <f>拐力角色库!U81</f>
        <v>0</v>
      </c>
      <c r="T149">
        <f>拐力角色库!V81</f>
        <v>0</v>
      </c>
      <c r="U149">
        <f>拐力角色库!W81</f>
        <v>0.24354679802955664</v>
      </c>
      <c r="V149">
        <f>拐力角色库!X81</f>
        <v>0</v>
      </c>
      <c r="W149">
        <f>拐力角色库!Y81</f>
        <v>0</v>
      </c>
      <c r="X149">
        <f>拐力角色库!Z81</f>
        <v>0</v>
      </c>
    </row>
    <row r="150" spans="1:24" x14ac:dyDescent="0.25">
      <c r="A150" t="str">
        <f>拐力角色库!C82</f>
        <v>N/a</v>
      </c>
      <c r="B150" t="str">
        <f>拐力角色库!D82</f>
        <v>洁哥三腐蚀未满</v>
      </c>
      <c r="C150">
        <f>拐力角色库!E82</f>
        <v>0</v>
      </c>
      <c r="D150">
        <f>拐力角色库!F82</f>
        <v>0</v>
      </c>
      <c r="E150">
        <f>拐力角色库!G82</f>
        <v>0</v>
      </c>
      <c r="F150">
        <f>拐力角色库!H82</f>
        <v>0</v>
      </c>
      <c r="G150">
        <f>拐力角色库!I82</f>
        <v>0</v>
      </c>
      <c r="H150">
        <f>拐力角色库!J82</f>
        <v>0</v>
      </c>
      <c r="I150">
        <f>拐力角色库!K82</f>
        <v>0</v>
      </c>
      <c r="J150">
        <f>拐力角色库!L82</f>
        <v>0</v>
      </c>
      <c r="K150">
        <f>拐力角色库!M82</f>
        <v>0</v>
      </c>
      <c r="L150">
        <f>拐力角色库!N82</f>
        <v>0</v>
      </c>
      <c r="M150">
        <f>拐力角色库!O82</f>
        <v>0</v>
      </c>
      <c r="N150">
        <f>拐力角色库!P82</f>
        <v>0</v>
      </c>
      <c r="O150">
        <f>拐力角色库!Q82</f>
        <v>0</v>
      </c>
      <c r="P150">
        <f>拐力角色库!R82</f>
        <v>0</v>
      </c>
      <c r="Q150">
        <f>拐力角色库!S82</f>
        <v>0</v>
      </c>
      <c r="R150">
        <f>拐力角色库!T82</f>
        <v>0</v>
      </c>
      <c r="S150">
        <f>拐力角色库!U82</f>
        <v>0</v>
      </c>
      <c r="T150">
        <f>拐力角色库!V82</f>
        <v>0</v>
      </c>
      <c r="U150">
        <f>拐力角色库!W82</f>
        <v>0.19788177339901478</v>
      </c>
      <c r="V150">
        <f>拐力角色库!X82</f>
        <v>0</v>
      </c>
      <c r="W150">
        <f>拐力角色库!Y82</f>
        <v>0</v>
      </c>
      <c r="X150">
        <f>拐力角色库!Z82</f>
        <v>0</v>
      </c>
    </row>
    <row r="151" spans="1:24" x14ac:dyDescent="0.25">
      <c r="A151" t="str">
        <f>拐力角色库!C83</f>
        <v>N/a</v>
      </c>
      <c r="B151" t="str">
        <f>拐力角色库!D83</f>
        <v>洁哥三腐蚀满腐蚀</v>
      </c>
      <c r="C151">
        <f>拐力角色库!E83</f>
        <v>0</v>
      </c>
      <c r="D151">
        <f>拐力角色库!F83</f>
        <v>0</v>
      </c>
      <c r="E151">
        <f>拐力角色库!G83</f>
        <v>0</v>
      </c>
      <c r="F151">
        <f>拐力角色库!H83</f>
        <v>0</v>
      </c>
      <c r="G151">
        <f>拐力角色库!I83</f>
        <v>0</v>
      </c>
      <c r="H151">
        <f>拐力角色库!J83</f>
        <v>0</v>
      </c>
      <c r="I151">
        <f>拐力角色库!K83</f>
        <v>0</v>
      </c>
      <c r="J151">
        <f>拐力角色库!L83</f>
        <v>0</v>
      </c>
      <c r="K151">
        <f>拐力角色库!M83</f>
        <v>0</v>
      </c>
      <c r="L151">
        <f>拐力角色库!N83</f>
        <v>0</v>
      </c>
      <c r="M151">
        <f>拐力角色库!O83</f>
        <v>0</v>
      </c>
      <c r="N151">
        <f>拐力角色库!P83</f>
        <v>0</v>
      </c>
      <c r="O151">
        <f>拐力角色库!Q83</f>
        <v>0</v>
      </c>
      <c r="P151">
        <f>拐力角色库!R83</f>
        <v>0</v>
      </c>
      <c r="Q151">
        <f>拐力角色库!S83</f>
        <v>0</v>
      </c>
      <c r="R151">
        <f>拐力角色库!T83</f>
        <v>0</v>
      </c>
      <c r="S151">
        <f>拐力角色库!U83</f>
        <v>0</v>
      </c>
      <c r="T151">
        <f>拐力角色库!V83</f>
        <v>0</v>
      </c>
      <c r="U151">
        <f>拐力角色库!W83</f>
        <v>0.30443349753694582</v>
      </c>
      <c r="V151">
        <f>拐力角色库!X83</f>
        <v>0</v>
      </c>
      <c r="W151">
        <f>拐力角色库!Y83</f>
        <v>0</v>
      </c>
      <c r="X151">
        <f>拐力角色库!Z83</f>
        <v>0</v>
      </c>
    </row>
    <row r="152" spans="1:24" x14ac:dyDescent="0.25">
      <c r="A152" t="str">
        <f>拐力角色库!C84</f>
        <v>N/a</v>
      </c>
      <c r="B152" t="str">
        <f>拐力角色库!D84</f>
        <v>洁哥四腐蚀未满</v>
      </c>
      <c r="C152">
        <f>拐力角色库!E84</f>
        <v>0</v>
      </c>
      <c r="D152">
        <f>拐力角色库!F84</f>
        <v>0</v>
      </c>
      <c r="E152">
        <f>拐力角色库!G84</f>
        <v>0</v>
      </c>
      <c r="F152">
        <f>拐力角色库!H84</f>
        <v>0</v>
      </c>
      <c r="G152">
        <f>拐力角色库!I84</f>
        <v>0</v>
      </c>
      <c r="H152">
        <f>拐力角色库!J84</f>
        <v>0</v>
      </c>
      <c r="I152">
        <f>拐力角色库!K84</f>
        <v>0</v>
      </c>
      <c r="J152">
        <f>拐力角色库!L84</f>
        <v>0</v>
      </c>
      <c r="K152">
        <f>拐力角色库!M84</f>
        <v>0</v>
      </c>
      <c r="L152">
        <f>拐力角色库!N84</f>
        <v>0</v>
      </c>
      <c r="M152">
        <f>拐力角色库!O84</f>
        <v>0</v>
      </c>
      <c r="N152">
        <f>拐力角色库!P84</f>
        <v>0</v>
      </c>
      <c r="O152">
        <f>拐力角色库!Q84</f>
        <v>0</v>
      </c>
      <c r="P152">
        <f>拐力角色库!R84</f>
        <v>0</v>
      </c>
      <c r="Q152">
        <f>拐力角色库!S84</f>
        <v>0</v>
      </c>
      <c r="R152">
        <f>拐力角色库!T84</f>
        <v>0</v>
      </c>
      <c r="S152">
        <f>拐力角色库!U84</f>
        <v>0</v>
      </c>
      <c r="T152">
        <f>拐力角色库!V84</f>
        <v>0</v>
      </c>
      <c r="U152">
        <f>拐力角色库!W84</f>
        <v>0.23745812807881775</v>
      </c>
      <c r="V152">
        <f>拐力角色库!X84</f>
        <v>0</v>
      </c>
      <c r="W152">
        <f>拐力角色库!Y84</f>
        <v>0</v>
      </c>
      <c r="X152">
        <f>拐力角色库!Z84</f>
        <v>0</v>
      </c>
    </row>
    <row r="153" spans="1:24" x14ac:dyDescent="0.25">
      <c r="A153" t="str">
        <f>拐力角色库!C85</f>
        <v>N/a</v>
      </c>
      <c r="B153" t="str">
        <f>拐力角色库!D85</f>
        <v>洁哥四腐蚀满腐蚀</v>
      </c>
      <c r="C153">
        <f>拐力角色库!E85</f>
        <v>0</v>
      </c>
      <c r="D153">
        <f>拐力角色库!F85</f>
        <v>0</v>
      </c>
      <c r="E153">
        <f>拐力角色库!G85</f>
        <v>0</v>
      </c>
      <c r="F153">
        <f>拐力角色库!H85</f>
        <v>0</v>
      </c>
      <c r="G153">
        <f>拐力角色库!I85</f>
        <v>0</v>
      </c>
      <c r="H153">
        <f>拐力角色库!J85</f>
        <v>0</v>
      </c>
      <c r="I153">
        <f>拐力角色库!K85</f>
        <v>0</v>
      </c>
      <c r="J153">
        <f>拐力角色库!L85</f>
        <v>0</v>
      </c>
      <c r="K153">
        <f>拐力角色库!M85</f>
        <v>0</v>
      </c>
      <c r="L153">
        <f>拐力角色库!N85</f>
        <v>0</v>
      </c>
      <c r="M153">
        <f>拐力角色库!O85</f>
        <v>0</v>
      </c>
      <c r="N153">
        <f>拐力角色库!P85</f>
        <v>0</v>
      </c>
      <c r="O153">
        <f>拐力角色库!Q85</f>
        <v>0</v>
      </c>
      <c r="P153">
        <f>拐力角色库!R85</f>
        <v>0</v>
      </c>
      <c r="Q153">
        <f>拐力角色库!S85</f>
        <v>0</v>
      </c>
      <c r="R153">
        <f>拐力角色库!T85</f>
        <v>0</v>
      </c>
      <c r="S153">
        <f>拐力角色库!U85</f>
        <v>0</v>
      </c>
      <c r="T153">
        <f>拐力角色库!V85</f>
        <v>0</v>
      </c>
      <c r="U153">
        <f>拐力角色库!W85</f>
        <v>0.36532019704433499</v>
      </c>
      <c r="V153">
        <f>拐力角色库!X85</f>
        <v>0</v>
      </c>
      <c r="W153">
        <f>拐力角色库!Y85</f>
        <v>0</v>
      </c>
      <c r="X153">
        <f>拐力角色库!Z85</f>
        <v>0</v>
      </c>
    </row>
    <row r="154" spans="1:24" x14ac:dyDescent="0.25">
      <c r="A154" t="str">
        <f>拐力角色库!C86</f>
        <v>N/a</v>
      </c>
      <c r="B154" t="str">
        <f>拐力角色库!D86</f>
        <v>洁哥悼亡诗</v>
      </c>
      <c r="C154">
        <f>拐力角色库!E86</f>
        <v>0</v>
      </c>
      <c r="D154">
        <f>拐力角色库!F86</f>
        <v>0.128</v>
      </c>
      <c r="E154">
        <f>拐力角色库!G86</f>
        <v>0</v>
      </c>
      <c r="F154">
        <f>拐力角色库!H86</f>
        <v>0</v>
      </c>
      <c r="G154">
        <f>拐力角色库!I86</f>
        <v>0</v>
      </c>
      <c r="H154">
        <f>拐力角色库!J86</f>
        <v>0</v>
      </c>
      <c r="I154">
        <f>拐力角色库!K86</f>
        <v>0</v>
      </c>
      <c r="J154">
        <f>拐力角色库!L86</f>
        <v>0</v>
      </c>
      <c r="K154">
        <f>拐力角色库!M86</f>
        <v>0</v>
      </c>
      <c r="L154">
        <f>拐力角色库!N86</f>
        <v>0</v>
      </c>
      <c r="M154">
        <f>拐力角色库!O86</f>
        <v>0</v>
      </c>
      <c r="N154">
        <f>拐力角色库!P86</f>
        <v>0</v>
      </c>
      <c r="O154">
        <f>拐力角色库!Q86</f>
        <v>0</v>
      </c>
      <c r="P154">
        <f>拐力角色库!R86</f>
        <v>0</v>
      </c>
      <c r="Q154">
        <f>拐力角色库!S86</f>
        <v>0</v>
      </c>
      <c r="R154">
        <f>拐力角色库!T86</f>
        <v>0</v>
      </c>
      <c r="S154">
        <f>拐力角色库!U86</f>
        <v>0</v>
      </c>
      <c r="T154">
        <f>拐力角色库!V86</f>
        <v>0</v>
      </c>
      <c r="U154">
        <f>拐力角色库!W86</f>
        <v>0</v>
      </c>
      <c r="V154">
        <f>拐力角色库!X86</f>
        <v>0</v>
      </c>
      <c r="W154">
        <f>拐力角色库!Y86</f>
        <v>0</v>
      </c>
      <c r="X154">
        <f>拐力角色库!Z86</f>
        <v>0</v>
      </c>
    </row>
    <row r="155" spans="1:24" x14ac:dyDescent="0.25">
      <c r="A155" t="str">
        <f>拐力角色库!C87</f>
        <v>N/a</v>
      </c>
      <c r="B155" t="str">
        <f>拐力角色库!D87</f>
        <v>洁哥专武连携</v>
      </c>
      <c r="C155">
        <f>拐力角色库!E87</f>
        <v>0</v>
      </c>
      <c r="D155">
        <f>拐力角色库!F87</f>
        <v>0</v>
      </c>
      <c r="E155">
        <f>拐力角色库!G87</f>
        <v>0</v>
      </c>
      <c r="F155">
        <f>拐力角色库!H87</f>
        <v>0</v>
      </c>
      <c r="G155">
        <f>拐力角色库!I87</f>
        <v>0</v>
      </c>
      <c r="H155">
        <f>拐力角色库!J87</f>
        <v>0</v>
      </c>
      <c r="I155">
        <f>拐力角色库!K87</f>
        <v>0</v>
      </c>
      <c r="J155">
        <f>拐力角色库!L87</f>
        <v>0</v>
      </c>
      <c r="K155">
        <f>拐力角色库!M87</f>
        <v>0</v>
      </c>
      <c r="L155">
        <f>拐力角色库!N87</f>
        <v>0.44800000000000001</v>
      </c>
      <c r="M155">
        <f>拐力角色库!O87</f>
        <v>0</v>
      </c>
      <c r="N155">
        <f>拐力角色库!P87</f>
        <v>0</v>
      </c>
      <c r="O155">
        <f>拐力角色库!Q87</f>
        <v>0</v>
      </c>
      <c r="P155">
        <f>拐力角色库!R87</f>
        <v>0</v>
      </c>
      <c r="Q155">
        <f>拐力角色库!S87</f>
        <v>0</v>
      </c>
      <c r="R155">
        <f>拐力角色库!T87</f>
        <v>0</v>
      </c>
      <c r="S155">
        <f>拐力角色库!U87</f>
        <v>0</v>
      </c>
      <c r="T155">
        <f>拐力角色库!V87</f>
        <v>0</v>
      </c>
      <c r="U155">
        <f>拐力角色库!W87</f>
        <v>0</v>
      </c>
      <c r="V155">
        <f>拐力角色库!X87</f>
        <v>0</v>
      </c>
      <c r="W155">
        <f>拐力角色库!Y87</f>
        <v>0</v>
      </c>
      <c r="X155">
        <f>拐力角色库!Z87</f>
        <v>0</v>
      </c>
    </row>
    <row r="156" spans="1:24" x14ac:dyDescent="0.25">
      <c r="A156" t="str">
        <f>拐力角色库!C88</f>
        <v>N/a</v>
      </c>
      <c r="B156" t="str">
        <f>拐力角色库!D88</f>
        <v>洁哥obj连携或法术爆发</v>
      </c>
      <c r="C156">
        <f>拐力角色库!E88</f>
        <v>0</v>
      </c>
      <c r="D156">
        <f>拐力角色库!F88</f>
        <v>0</v>
      </c>
      <c r="E156">
        <f>拐力角色库!G88</f>
        <v>0</v>
      </c>
      <c r="F156">
        <f>拐力角色库!H88</f>
        <v>0</v>
      </c>
      <c r="G156">
        <f>拐力角色库!I88</f>
        <v>0</v>
      </c>
      <c r="H156">
        <f>拐力角色库!J88</f>
        <v>0</v>
      </c>
      <c r="I156">
        <f>拐力角色库!K88</f>
        <v>0</v>
      </c>
      <c r="J156">
        <f>拐力角色库!L88</f>
        <v>0</v>
      </c>
      <c r="K156">
        <f>拐力角色库!M88</f>
        <v>0</v>
      </c>
      <c r="L156">
        <f>拐力角色库!N88</f>
        <v>0.224</v>
      </c>
      <c r="M156">
        <f>拐力角色库!O88</f>
        <v>0</v>
      </c>
      <c r="N156">
        <f>拐力角色库!P88</f>
        <v>0</v>
      </c>
      <c r="O156">
        <f>拐力角色库!Q88</f>
        <v>0</v>
      </c>
      <c r="P156">
        <f>拐力角色库!R88</f>
        <v>0</v>
      </c>
      <c r="Q156">
        <f>拐力角色库!S88</f>
        <v>0</v>
      </c>
      <c r="R156">
        <f>拐力角色库!T88</f>
        <v>0</v>
      </c>
      <c r="S156">
        <f>拐力角色库!U88</f>
        <v>0</v>
      </c>
      <c r="T156">
        <f>拐力角色库!V88</f>
        <v>0</v>
      </c>
      <c r="U156">
        <f>拐力角色库!W88</f>
        <v>0</v>
      </c>
      <c r="V156">
        <f>拐力角色库!X88</f>
        <v>0</v>
      </c>
      <c r="W156">
        <f>拐力角色库!Y88</f>
        <v>0</v>
      </c>
      <c r="X156">
        <f>拐力角色库!Z88</f>
        <v>0</v>
      </c>
    </row>
    <row r="157" spans="1:24" x14ac:dyDescent="0.25">
      <c r="A157" t="str">
        <f>药物库!A20</f>
        <v>N/a</v>
      </c>
      <c r="B157" t="str">
        <f>药物库!B20</f>
        <v>清炖兽排参须汤</v>
      </c>
      <c r="C157">
        <f>药物库!C20</f>
        <v>0</v>
      </c>
      <c r="D157">
        <f>药物库!D20</f>
        <v>0</v>
      </c>
      <c r="E157">
        <f>药物库!E20</f>
        <v>180</v>
      </c>
      <c r="F157">
        <f>药物库!F20</f>
        <v>0</v>
      </c>
      <c r="G157">
        <f>药物库!G20</f>
        <v>0</v>
      </c>
      <c r="H157">
        <f>药物库!H20</f>
        <v>0</v>
      </c>
      <c r="I157">
        <f>药物库!I20</f>
        <v>0.11</v>
      </c>
      <c r="J157">
        <f>药物库!J20</f>
        <v>0</v>
      </c>
      <c r="K157">
        <f>药物库!K20</f>
        <v>0</v>
      </c>
      <c r="L157">
        <f>药物库!L20</f>
        <v>0</v>
      </c>
      <c r="M157">
        <f>药物库!M20</f>
        <v>0</v>
      </c>
      <c r="N157">
        <f>药物库!N20</f>
        <v>0</v>
      </c>
      <c r="O157">
        <f>药物库!O20</f>
        <v>0</v>
      </c>
      <c r="P157">
        <f>药物库!P20</f>
        <v>0</v>
      </c>
      <c r="Q157">
        <f>药物库!Q20</f>
        <v>0</v>
      </c>
      <c r="R157">
        <f>药物库!R20</f>
        <v>0</v>
      </c>
      <c r="S157">
        <f>药物库!S20</f>
        <v>0</v>
      </c>
      <c r="T157">
        <f>药物库!T20</f>
        <v>0</v>
      </c>
      <c r="U157">
        <f>药物库!U20</f>
        <v>0</v>
      </c>
      <c r="V157">
        <f>药物库!V20</f>
        <v>0</v>
      </c>
      <c r="W157">
        <f>药物库!W20</f>
        <v>0</v>
      </c>
      <c r="X157">
        <f>药物库!X20</f>
        <v>0</v>
      </c>
    </row>
    <row r="158" spans="1:24" x14ac:dyDescent="0.25">
      <c r="A158" t="str">
        <f>药物库!A21</f>
        <v>N/a</v>
      </c>
      <c r="B158" t="str">
        <f>药物库!B21</f>
        <v>正本补元汤剂</v>
      </c>
      <c r="C158">
        <f>药物库!C21</f>
        <v>0</v>
      </c>
      <c r="D158">
        <f>药物库!D21</f>
        <v>0</v>
      </c>
      <c r="E158">
        <f>药物库!E21</f>
        <v>0</v>
      </c>
      <c r="F158">
        <f>药物库!F21</f>
        <v>0</v>
      </c>
      <c r="G158">
        <f>药物库!G21</f>
        <v>0</v>
      </c>
      <c r="H158">
        <f>药物库!H21</f>
        <v>0</v>
      </c>
      <c r="I158">
        <f>药物库!I21</f>
        <v>0.09</v>
      </c>
      <c r="J158">
        <f>药物库!J21</f>
        <v>0</v>
      </c>
      <c r="K158">
        <f>药物库!K21</f>
        <v>0</v>
      </c>
      <c r="L158">
        <f>药物库!L21</f>
        <v>0.18</v>
      </c>
      <c r="M158">
        <f>药物库!M21</f>
        <v>0</v>
      </c>
      <c r="N158">
        <f>药物库!N21</f>
        <v>0</v>
      </c>
      <c r="O158">
        <f>药物库!O21</f>
        <v>0</v>
      </c>
      <c r="P158">
        <f>药物库!P21</f>
        <v>0</v>
      </c>
      <c r="Q158">
        <f>药物库!Q21</f>
        <v>0</v>
      </c>
      <c r="R158">
        <f>药物库!R21</f>
        <v>0</v>
      </c>
      <c r="S158">
        <f>药物库!S21</f>
        <v>0</v>
      </c>
      <c r="T158">
        <f>药物库!T21</f>
        <v>0</v>
      </c>
      <c r="U158">
        <f>药物库!U21</f>
        <v>0</v>
      </c>
      <c r="V158">
        <f>药物库!V21</f>
        <v>0</v>
      </c>
      <c r="W158">
        <f>药物库!W21</f>
        <v>0</v>
      </c>
      <c r="X158">
        <f>药物库!X21</f>
        <v>0</v>
      </c>
    </row>
    <row r="159" spans="1:24" x14ac:dyDescent="0.25">
      <c r="A159" t="str">
        <f>药物库!A22</f>
        <v>N/a</v>
      </c>
      <c r="B159" t="str">
        <f>药物库!B22</f>
        <v>清炖息壤球</v>
      </c>
      <c r="C159">
        <f>药物库!C22</f>
        <v>0</v>
      </c>
      <c r="D159">
        <f>药物库!D22</f>
        <v>0</v>
      </c>
      <c r="E159">
        <f>药物库!E22</f>
        <v>0</v>
      </c>
      <c r="F159">
        <f>药物库!F22</f>
        <v>0</v>
      </c>
      <c r="G159">
        <f>药物库!G22</f>
        <v>0</v>
      </c>
      <c r="H159">
        <f>药物库!H22</f>
        <v>0</v>
      </c>
      <c r="I159">
        <f>药物库!I22</f>
        <v>0.21</v>
      </c>
      <c r="J159">
        <f>药物库!J22</f>
        <v>0</v>
      </c>
      <c r="K159">
        <f>药物库!K22</f>
        <v>0</v>
      </c>
      <c r="L159">
        <f>药物库!L22</f>
        <v>0</v>
      </c>
      <c r="M159">
        <f>药物库!M22</f>
        <v>0</v>
      </c>
      <c r="N159">
        <f>药物库!N22</f>
        <v>0</v>
      </c>
      <c r="O159">
        <f>药物库!O22</f>
        <v>0</v>
      </c>
      <c r="P159">
        <f>药物库!P22</f>
        <v>0</v>
      </c>
      <c r="Q159">
        <f>药物库!Q22</f>
        <v>0</v>
      </c>
      <c r="R159">
        <f>药物库!R22</f>
        <v>0</v>
      </c>
      <c r="S159">
        <f>药物库!S22</f>
        <v>0</v>
      </c>
      <c r="T159">
        <f>药物库!T22</f>
        <v>0</v>
      </c>
      <c r="U159">
        <f>药物库!U22</f>
        <v>0</v>
      </c>
      <c r="V159">
        <f>药物库!V22</f>
        <v>0</v>
      </c>
      <c r="W159">
        <f>药物库!W22</f>
        <v>0</v>
      </c>
      <c r="X159">
        <f>药物库!X22</f>
        <v>0</v>
      </c>
    </row>
    <row r="160" spans="1:24" x14ac:dyDescent="0.25">
      <c r="A160" t="str">
        <f>药物库!A23</f>
        <v>N/a</v>
      </c>
      <c r="B160" t="str">
        <f>药物库!B23</f>
        <v>附术铁瓶</v>
      </c>
      <c r="C160">
        <f>药物库!C23</f>
        <v>0</v>
      </c>
      <c r="D160">
        <f>药物库!D23</f>
        <v>0</v>
      </c>
      <c r="E160">
        <f>药物库!E23</f>
        <v>0</v>
      </c>
      <c r="F160">
        <f>药物库!F23</f>
        <v>0</v>
      </c>
      <c r="G160">
        <f>药物库!G23</f>
        <v>0</v>
      </c>
      <c r="H160">
        <f>药物库!H23</f>
        <v>0</v>
      </c>
      <c r="I160">
        <f>药物库!I23</f>
        <v>0</v>
      </c>
      <c r="J160">
        <f>药物库!J23</f>
        <v>0</v>
      </c>
      <c r="K160">
        <f>药物库!K23</f>
        <v>0</v>
      </c>
      <c r="L160">
        <f>药物库!L23</f>
        <v>0.25</v>
      </c>
      <c r="M160">
        <f>药物库!M23</f>
        <v>0</v>
      </c>
      <c r="N160">
        <f>药物库!N23</f>
        <v>0</v>
      </c>
      <c r="O160">
        <f>药物库!O23</f>
        <v>0</v>
      </c>
      <c r="P160">
        <f>药物库!P23</f>
        <v>0</v>
      </c>
      <c r="Q160">
        <f>药物库!Q23</f>
        <v>0</v>
      </c>
      <c r="R160">
        <f>药物库!R23</f>
        <v>0</v>
      </c>
      <c r="S160">
        <f>药物库!S23</f>
        <v>0</v>
      </c>
      <c r="T160">
        <f>药物库!T23</f>
        <v>0</v>
      </c>
      <c r="U160">
        <f>药物库!U23</f>
        <v>0</v>
      </c>
      <c r="V160">
        <f>药物库!V23</f>
        <v>0</v>
      </c>
      <c r="W160">
        <f>药物库!W23</f>
        <v>0</v>
      </c>
      <c r="X160">
        <f>药物库!X23</f>
        <v>0</v>
      </c>
    </row>
    <row r="161" spans="1:24" x14ac:dyDescent="0.25">
      <c r="A161" t="str">
        <f>药物库!A24</f>
        <v>N/a</v>
      </c>
      <c r="B161" t="str">
        <f>药物库!B24</f>
        <v>雅各布的遗产</v>
      </c>
      <c r="C161">
        <f>药物库!C24</f>
        <v>0</v>
      </c>
      <c r="D161">
        <f>药物库!D24</f>
        <v>0.27</v>
      </c>
      <c r="E161">
        <f>药物库!E24</f>
        <v>0</v>
      </c>
      <c r="F161">
        <f>药物库!F24</f>
        <v>0</v>
      </c>
      <c r="G161">
        <f>药物库!G24</f>
        <v>0</v>
      </c>
      <c r="H161">
        <f>药物库!H24</f>
        <v>0</v>
      </c>
      <c r="I161">
        <f>药物库!I24</f>
        <v>0</v>
      </c>
      <c r="J161">
        <f>药物库!J24</f>
        <v>0</v>
      </c>
      <c r="K161">
        <f>药物库!K24</f>
        <v>0</v>
      </c>
      <c r="L161">
        <f>药物库!L24</f>
        <v>0</v>
      </c>
      <c r="M161">
        <f>药物库!M24</f>
        <v>0</v>
      </c>
      <c r="N161">
        <f>药物库!N24</f>
        <v>0</v>
      </c>
      <c r="O161">
        <f>药物库!O24</f>
        <v>0</v>
      </c>
      <c r="P161">
        <f>药物库!P24</f>
        <v>0</v>
      </c>
      <c r="Q161">
        <f>药物库!Q24</f>
        <v>0</v>
      </c>
      <c r="R161">
        <f>药物库!R24</f>
        <v>0</v>
      </c>
      <c r="S161">
        <f>药物库!S24</f>
        <v>0</v>
      </c>
      <c r="T161">
        <f>药物库!T24</f>
        <v>0</v>
      </c>
      <c r="U161">
        <f>药物库!U24</f>
        <v>0</v>
      </c>
      <c r="V161">
        <f>药物库!V24</f>
        <v>0</v>
      </c>
      <c r="W161">
        <f>药物库!W24</f>
        <v>0</v>
      </c>
      <c r="X161">
        <f>药物库!X24</f>
        <v>0</v>
      </c>
    </row>
    <row r="162" spans="1:24" x14ac:dyDescent="0.25">
      <c r="A162" t="str">
        <f>药物库!A25</f>
        <v>N/a</v>
      </c>
      <c r="B162" t="str">
        <f>药物库!B25</f>
        <v>可食用巢雕</v>
      </c>
      <c r="C162">
        <f>药物库!C25</f>
        <v>0</v>
      </c>
      <c r="D162">
        <f>药物库!D25</f>
        <v>7.0000000000000007E-2</v>
      </c>
      <c r="E162">
        <f>药物库!E25</f>
        <v>0</v>
      </c>
      <c r="F162">
        <f>药物库!F25</f>
        <v>0</v>
      </c>
      <c r="G162">
        <f>药物库!G25</f>
        <v>0</v>
      </c>
      <c r="H162">
        <f>药物库!H25</f>
        <v>0</v>
      </c>
      <c r="I162">
        <f>药物库!I25</f>
        <v>0.03</v>
      </c>
      <c r="J162">
        <f>药物库!J25</f>
        <v>0</v>
      </c>
      <c r="K162">
        <f>药物库!K25</f>
        <v>0</v>
      </c>
      <c r="L162">
        <f>药物库!L25</f>
        <v>7.0000000000000007E-2</v>
      </c>
      <c r="M162">
        <f>药物库!M25</f>
        <v>0</v>
      </c>
      <c r="N162">
        <f>药物库!N25</f>
        <v>0</v>
      </c>
      <c r="O162">
        <f>药物库!O25</f>
        <v>0</v>
      </c>
      <c r="P162">
        <f>药物库!P25</f>
        <v>0</v>
      </c>
      <c r="Q162">
        <f>药物库!Q25</f>
        <v>0</v>
      </c>
      <c r="R162">
        <f>药物库!R25</f>
        <v>0</v>
      </c>
      <c r="S162">
        <f>药物库!S25</f>
        <v>0</v>
      </c>
      <c r="T162">
        <f>药物库!T25</f>
        <v>0</v>
      </c>
      <c r="U162">
        <f>药物库!U25</f>
        <v>0</v>
      </c>
      <c r="V162">
        <f>药物库!V25</f>
        <v>0</v>
      </c>
      <c r="W162">
        <f>药物库!W25</f>
        <v>0</v>
      </c>
      <c r="X162">
        <f>药物库!X25</f>
        <v>0</v>
      </c>
    </row>
    <row r="163" spans="1:24" x14ac:dyDescent="0.25">
      <c r="A163" t="str">
        <f>药物库!A26</f>
        <v>N/a</v>
      </c>
      <c r="B163" t="str">
        <f>药物库!B26</f>
        <v>小糖画</v>
      </c>
      <c r="C163">
        <f>药物库!C26</f>
        <v>0</v>
      </c>
      <c r="D163">
        <f>药物库!D26</f>
        <v>0.18</v>
      </c>
      <c r="E163">
        <f>药物库!E26</f>
        <v>0</v>
      </c>
      <c r="F163">
        <f>药物库!F26</f>
        <v>0</v>
      </c>
      <c r="G163">
        <f>药物库!G26</f>
        <v>0</v>
      </c>
      <c r="H163">
        <f>药物库!H26</f>
        <v>0</v>
      </c>
      <c r="I163">
        <f>药物库!I26</f>
        <v>0.09</v>
      </c>
      <c r="J163">
        <f>药物库!J26</f>
        <v>0</v>
      </c>
      <c r="K163">
        <f>药物库!K26</f>
        <v>0</v>
      </c>
      <c r="L163">
        <f>药物库!L26</f>
        <v>0</v>
      </c>
      <c r="M163">
        <f>药物库!M26</f>
        <v>0</v>
      </c>
      <c r="N163">
        <f>药物库!N26</f>
        <v>0</v>
      </c>
      <c r="O163">
        <f>药物库!O26</f>
        <v>0</v>
      </c>
      <c r="P163">
        <f>药物库!P26</f>
        <v>0</v>
      </c>
      <c r="Q163">
        <f>药物库!Q26</f>
        <v>0</v>
      </c>
      <c r="R163">
        <f>药物库!R26</f>
        <v>0</v>
      </c>
      <c r="S163">
        <f>药物库!S26</f>
        <v>0</v>
      </c>
      <c r="T163">
        <f>药物库!T26</f>
        <v>0</v>
      </c>
      <c r="U163">
        <f>药物库!U26</f>
        <v>0</v>
      </c>
      <c r="V163">
        <f>药物库!V26</f>
        <v>0</v>
      </c>
      <c r="W163">
        <f>药物库!W26</f>
        <v>0</v>
      </c>
      <c r="X163">
        <f>药物库!X26</f>
        <v>0</v>
      </c>
    </row>
    <row r="164" spans="1:24" x14ac:dyDescent="0.25">
      <c r="A164" t="str">
        <f>药物库!A27</f>
        <v>N/a</v>
      </c>
      <c r="B164" t="str">
        <f>药物库!B27</f>
        <v>开工日肉汤</v>
      </c>
      <c r="C164">
        <f>药物库!C27</f>
        <v>0</v>
      </c>
      <c r="D164">
        <f>药物库!D27</f>
        <v>0.12</v>
      </c>
      <c r="E164">
        <f>药物库!E27</f>
        <v>0</v>
      </c>
      <c r="F164">
        <f>药物库!F27</f>
        <v>0</v>
      </c>
      <c r="G164">
        <f>药物库!G27</f>
        <v>0</v>
      </c>
      <c r="H164">
        <f>药物库!H27</f>
        <v>0</v>
      </c>
      <c r="I164">
        <f>药物库!I27</f>
        <v>0</v>
      </c>
      <c r="J164">
        <f>药物库!J27</f>
        <v>0</v>
      </c>
      <c r="K164">
        <f>药物库!K27</f>
        <v>0</v>
      </c>
      <c r="L164">
        <f>药物库!L27</f>
        <v>0</v>
      </c>
      <c r="M164">
        <f>药物库!M27</f>
        <v>0</v>
      </c>
      <c r="N164">
        <f>药物库!N27</f>
        <v>0</v>
      </c>
      <c r="O164">
        <f>药物库!O27</f>
        <v>0</v>
      </c>
      <c r="P164">
        <f>药物库!P27</f>
        <v>0</v>
      </c>
      <c r="Q164">
        <f>药物库!Q27</f>
        <v>0</v>
      </c>
      <c r="R164">
        <f>药物库!R27</f>
        <v>0</v>
      </c>
      <c r="S164">
        <f>药物库!S27</f>
        <v>0</v>
      </c>
      <c r="T164">
        <f>药物库!T27</f>
        <v>0</v>
      </c>
      <c r="U164">
        <f>药物库!U27</f>
        <v>0</v>
      </c>
      <c r="V164">
        <f>药物库!V27</f>
        <v>0</v>
      </c>
      <c r="W164">
        <f>药物库!W27</f>
        <v>0</v>
      </c>
      <c r="X164">
        <f>药物库!X27</f>
        <v>0</v>
      </c>
    </row>
    <row r="165" spans="1:24" x14ac:dyDescent="0.25">
      <c r="A165" t="str">
        <f>药物库!A28</f>
        <v>N/a</v>
      </c>
      <c r="B165" t="str">
        <f>药物库!B28</f>
        <v>约翰老爹汉堡</v>
      </c>
      <c r="C165">
        <f>药物库!C28</f>
        <v>0</v>
      </c>
      <c r="D165">
        <f>药物库!D28</f>
        <v>0</v>
      </c>
      <c r="E165">
        <f>药物库!E28</f>
        <v>0</v>
      </c>
      <c r="F165">
        <f>药物库!F28</f>
        <v>0</v>
      </c>
      <c r="G165">
        <f>药物库!G28</f>
        <v>0</v>
      </c>
      <c r="H165">
        <f>药物库!H28</f>
        <v>0</v>
      </c>
      <c r="I165">
        <f>药物库!I28</f>
        <v>0</v>
      </c>
      <c r="J165">
        <f>药物库!J28</f>
        <v>0</v>
      </c>
      <c r="K165">
        <f>药物库!K28</f>
        <v>0</v>
      </c>
      <c r="L165">
        <f>药物库!L28</f>
        <v>0.21</v>
      </c>
      <c r="M165">
        <f>药物库!M28</f>
        <v>0</v>
      </c>
      <c r="N165">
        <f>药物库!N28</f>
        <v>0</v>
      </c>
      <c r="O165">
        <f>药物库!O28</f>
        <v>0</v>
      </c>
      <c r="P165">
        <f>药物库!P28</f>
        <v>0</v>
      </c>
      <c r="Q165">
        <f>药物库!Q28</f>
        <v>0</v>
      </c>
      <c r="R165">
        <f>药物库!R28</f>
        <v>0</v>
      </c>
      <c r="S165">
        <f>药物库!S28</f>
        <v>0</v>
      </c>
      <c r="T165">
        <f>药物库!T28</f>
        <v>0</v>
      </c>
      <c r="U165">
        <f>药物库!U28</f>
        <v>0</v>
      </c>
      <c r="V165">
        <f>药物库!V28</f>
        <v>0</v>
      </c>
      <c r="W165">
        <f>药物库!W28</f>
        <v>0</v>
      </c>
      <c r="X165">
        <f>药物库!X28</f>
        <v>0</v>
      </c>
    </row>
    <row r="166" spans="1:24" x14ac:dyDescent="0.25">
      <c r="A166" t="str">
        <f>药物库!A29</f>
        <v>N/a</v>
      </c>
      <c r="B166" t="str">
        <f>药物库!B29</f>
        <v>附术瓶</v>
      </c>
      <c r="C166">
        <f>药物库!C29</f>
        <v>0</v>
      </c>
      <c r="D166">
        <f>药物库!D29</f>
        <v>0</v>
      </c>
      <c r="E166">
        <f>药物库!E29</f>
        <v>0</v>
      </c>
      <c r="F166">
        <f>药物库!F29</f>
        <v>0</v>
      </c>
      <c r="G166">
        <f>药物库!G29</f>
        <v>0</v>
      </c>
      <c r="H166">
        <f>药物库!H29</f>
        <v>0</v>
      </c>
      <c r="I166">
        <f>药物库!I29</f>
        <v>0</v>
      </c>
      <c r="J166">
        <f>药物库!J29</f>
        <v>0</v>
      </c>
      <c r="K166">
        <f>药物库!K29</f>
        <v>0</v>
      </c>
      <c r="L166">
        <f>药物库!L29</f>
        <v>0.18</v>
      </c>
      <c r="M166">
        <f>药物库!M29</f>
        <v>0</v>
      </c>
      <c r="N166">
        <f>药物库!N29</f>
        <v>0</v>
      </c>
      <c r="O166">
        <f>药物库!O29</f>
        <v>0</v>
      </c>
      <c r="P166">
        <f>药物库!P29</f>
        <v>0</v>
      </c>
      <c r="Q166">
        <f>药物库!Q29</f>
        <v>0</v>
      </c>
      <c r="R166">
        <f>药物库!R29</f>
        <v>0</v>
      </c>
      <c r="S166">
        <f>药物库!S29</f>
        <v>0</v>
      </c>
      <c r="T166">
        <f>药物库!T29</f>
        <v>0</v>
      </c>
      <c r="U166">
        <f>药物库!U29</f>
        <v>0</v>
      </c>
      <c r="V166">
        <f>药物库!V29</f>
        <v>0</v>
      </c>
      <c r="W166">
        <f>药物库!W29</f>
        <v>0</v>
      </c>
      <c r="X166">
        <f>药物库!X29</f>
        <v>0</v>
      </c>
    </row>
    <row r="167" spans="1:24" x14ac:dyDescent="0.25">
      <c r="A167" t="str">
        <f>药物库!A30</f>
        <v>N/a</v>
      </c>
      <c r="B167" t="str">
        <f>药物库!B30</f>
        <v>塞什卡风肉排</v>
      </c>
      <c r="C167">
        <f>药物库!C30</f>
        <v>0</v>
      </c>
      <c r="D167">
        <f>药物库!D30</f>
        <v>0</v>
      </c>
      <c r="E167">
        <f>药物库!E30</f>
        <v>0</v>
      </c>
      <c r="F167">
        <f>药物库!F30</f>
        <v>0.105</v>
      </c>
      <c r="G167">
        <f>药物库!G30</f>
        <v>0</v>
      </c>
      <c r="H167">
        <f>药物库!H30</f>
        <v>0</v>
      </c>
      <c r="I167">
        <f>药物库!I30</f>
        <v>0</v>
      </c>
      <c r="J167">
        <f>药物库!J30</f>
        <v>0</v>
      </c>
      <c r="K167">
        <f>药物库!K30</f>
        <v>0</v>
      </c>
      <c r="L167">
        <f>药物库!L30</f>
        <v>0</v>
      </c>
      <c r="M167">
        <f>药物库!M30</f>
        <v>0</v>
      </c>
      <c r="N167">
        <f>药物库!N30</f>
        <v>0</v>
      </c>
      <c r="O167">
        <f>药物库!O30</f>
        <v>0</v>
      </c>
      <c r="P167">
        <f>药物库!P30</f>
        <v>0</v>
      </c>
      <c r="Q167">
        <f>药物库!Q30</f>
        <v>0</v>
      </c>
      <c r="R167">
        <f>药物库!R30</f>
        <v>0</v>
      </c>
      <c r="S167">
        <f>药物库!S30</f>
        <v>0</v>
      </c>
      <c r="T167">
        <f>药物库!T30</f>
        <v>0</v>
      </c>
      <c r="U167">
        <f>药物库!U30</f>
        <v>0</v>
      </c>
      <c r="V167">
        <f>药物库!V30</f>
        <v>0</v>
      </c>
      <c r="W167">
        <f>药物库!W30</f>
        <v>0</v>
      </c>
      <c r="X167">
        <f>药物库!X30</f>
        <v>0</v>
      </c>
    </row>
  </sheetData>
  <mergeCells count="1">
    <mergeCell ref="N4:U4"/>
  </mergeCells>
  <phoneticPr fontId="1" type="noConversion"/>
  <conditionalFormatting sqref="F26:T57">
    <cfRule type="expression" dxfId="68" priority="6">
      <formula>MOD(ROW(),2)=1</formula>
    </cfRule>
  </conditionalFormatting>
  <conditionalFormatting sqref="A26:A57">
    <cfRule type="expression" dxfId="67" priority="5">
      <formula>MOD(ROW(),2)=1</formula>
    </cfRule>
  </conditionalFormatting>
  <conditionalFormatting sqref="AN3:AT19 AD17:AK20 AD16:AH16 AJ16:AK16 AO20:AT20 AD3:AK15">
    <cfRule type="expression" dxfId="66" priority="3">
      <formula>MOD(ROW(),2)=1</formula>
    </cfRule>
  </conditionalFormatting>
  <conditionalFormatting sqref="AN20">
    <cfRule type="expression" dxfId="65" priority="1">
      <formula>MOD(ROW(),2)=1</formula>
    </cfRule>
  </conditionalFormatting>
  <dataValidations count="5">
    <dataValidation type="list" allowBlank="1" showInputMessage="1" showErrorMessage="1" sqref="G27:T57" xr:uid="{064B6F83-7B5D-4031-8E0E-4801CB42063B}">
      <formula1>$B$88:$B$1000</formula1>
    </dataValidation>
    <dataValidation type="list" allowBlank="1" showInputMessage="1" showErrorMessage="1" sqref="A27:A57" xr:uid="{8B19161A-2B4E-481A-AD56-11F1D90DAEAB}">
      <formula1>$A$88:$A$153</formula1>
    </dataValidation>
    <dataValidation type="list" allowBlank="1" showInputMessage="1" showErrorMessage="1" sqref="F27:F61" xr:uid="{928FC8D8-A882-48E8-BC5A-67858525FBB3}">
      <formula1>"是,否"</formula1>
    </dataValidation>
    <dataValidation type="list" allowBlank="1" showInputMessage="1" showErrorMessage="1" sqref="G58:T81" xr:uid="{F9B9740E-F954-44B5-A296-38AA0911FA07}">
      <formula1>$B$87:$B$153</formula1>
    </dataValidation>
    <dataValidation type="list" allowBlank="1" showInputMessage="1" showErrorMessage="1" sqref="A58:A76" xr:uid="{085AD842-E79F-46E1-91C5-B22FA33F0BA0}">
      <formula1>$A$89:$A$122</formula1>
    </dataValidation>
  </dataValidations>
  <pageMargins left="0.7" right="0.7" top="0.75" bottom="0.75" header="0.3" footer="0.3"/>
  <pageSetup paperSize="9" orientation="portrait" r:id="rId1"/>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3746E-E23A-46E3-B9BF-C0B1BB5AF765}">
  <dimension ref="A2:AT138"/>
  <sheetViews>
    <sheetView topLeftCell="A25" workbookViewId="0">
      <selection activeCell="F69" sqref="F69"/>
    </sheetView>
  </sheetViews>
  <sheetFormatPr defaultRowHeight="13.8" x14ac:dyDescent="0.25"/>
  <cols>
    <col min="1" max="1" width="22.5546875" customWidth="1"/>
    <col min="2" max="2" width="20.88671875" customWidth="1"/>
    <col min="3" max="3" width="14.33203125" customWidth="1"/>
    <col min="4" max="4" width="13.77734375" customWidth="1"/>
    <col min="5" max="5" width="12.88671875" customWidth="1"/>
    <col min="6" max="6" width="13.33203125" customWidth="1"/>
    <col min="7" max="7" width="24.21875" customWidth="1"/>
    <col min="8" max="8" width="23.44140625" customWidth="1"/>
    <col min="9" max="9" width="19.33203125" customWidth="1"/>
    <col min="10" max="10" width="23.6640625" hidden="1" customWidth="1"/>
    <col min="11" max="11" width="18.6640625" hidden="1" customWidth="1"/>
    <col min="12" max="12" width="16.33203125" hidden="1" customWidth="1"/>
    <col min="13" max="13" width="15.109375" hidden="1" customWidth="1"/>
    <col min="14" max="14" width="13.33203125" hidden="1" customWidth="1"/>
    <col min="15" max="15" width="20.109375" hidden="1" customWidth="1"/>
    <col min="16" max="16" width="19.77734375" hidden="1" customWidth="1"/>
    <col min="17" max="18" width="8.88671875" hidden="1" customWidth="1"/>
    <col min="19" max="19" width="19.6640625" hidden="1" customWidth="1"/>
    <col min="20" max="20" width="17.6640625" hidden="1" customWidth="1"/>
    <col min="21" max="21" width="14.88671875" customWidth="1"/>
    <col min="25" max="25" width="14.33203125" customWidth="1"/>
    <col min="26" max="26" width="10.88671875" customWidth="1"/>
    <col min="28" max="28" width="9.77734375" customWidth="1"/>
    <col min="29" max="29" width="10.44140625" customWidth="1"/>
    <col min="30" max="30" width="19.5546875" customWidth="1"/>
    <col min="31" max="31" width="19.6640625" customWidth="1"/>
    <col min="32" max="32" width="13.33203125" customWidth="1"/>
    <col min="35" max="35" width="13.88671875" customWidth="1"/>
    <col min="36" max="36" width="14.109375" customWidth="1"/>
    <col min="38" max="38" width="13.33203125" customWidth="1"/>
    <col min="40" max="40" width="13.77734375" customWidth="1"/>
    <col min="42" max="42" width="17.21875" customWidth="1"/>
    <col min="43" max="43" width="10.88671875" customWidth="1"/>
    <col min="44" max="44" width="19.21875" customWidth="1"/>
    <col min="45" max="45" width="10.6640625" customWidth="1"/>
  </cols>
  <sheetData>
    <row r="2" spans="13:46" x14ac:dyDescent="0.25">
      <c r="AD2" t="s">
        <v>1263</v>
      </c>
      <c r="AJ2" s="11" t="s">
        <v>1271</v>
      </c>
      <c r="AK2" s="9"/>
      <c r="AL2" s="9"/>
    </row>
    <row r="3" spans="13:46" x14ac:dyDescent="0.25">
      <c r="AD3" s="140" t="s">
        <v>1053</v>
      </c>
      <c r="AE3" s="140" t="s">
        <v>1251</v>
      </c>
      <c r="AF3" s="140" t="s">
        <v>797</v>
      </c>
      <c r="AG3" s="140" t="s">
        <v>1045</v>
      </c>
      <c r="AH3" s="140" t="s">
        <v>222</v>
      </c>
      <c r="AI3" s="140" t="s">
        <v>1252</v>
      </c>
      <c r="AJ3" s="140" t="s">
        <v>1253</v>
      </c>
      <c r="AK3" s="142" t="s">
        <v>1254</v>
      </c>
      <c r="AN3" s="140" t="s">
        <v>1053</v>
      </c>
      <c r="AO3" s="140" t="s">
        <v>1251</v>
      </c>
      <c r="AP3" s="140" t="s">
        <v>1262</v>
      </c>
      <c r="AQ3" s="140" t="s">
        <v>222</v>
      </c>
      <c r="AR3" s="140" t="s">
        <v>1252</v>
      </c>
      <c r="AS3" s="140" t="s">
        <v>1253</v>
      </c>
      <c r="AT3" s="140" t="s">
        <v>1254</v>
      </c>
    </row>
    <row r="4" spans="13:46" x14ac:dyDescent="0.25">
      <c r="N4" s="158" t="s">
        <v>1052</v>
      </c>
      <c r="O4" s="158"/>
      <c r="P4" s="158"/>
      <c r="Q4" s="158"/>
      <c r="R4" s="158"/>
      <c r="S4" s="158"/>
      <c r="T4" s="158"/>
      <c r="U4" s="158"/>
      <c r="AD4" s="140" t="s">
        <v>1272</v>
      </c>
      <c r="AE4" s="140">
        <v>0</v>
      </c>
      <c r="AF4" s="140">
        <v>1</v>
      </c>
      <c r="AG4" s="140">
        <v>1</v>
      </c>
      <c r="AH4" s="140">
        <v>1</v>
      </c>
      <c r="AI4" s="140">
        <v>110</v>
      </c>
      <c r="AJ4" s="140">
        <f>SUM(AG$13:AH$13)+SUM(AG5:AH5)*10</f>
        <v>105.5</v>
      </c>
      <c r="AK4" s="142">
        <f>AI4/AJ4-1</f>
        <v>4.2654028436019065E-2</v>
      </c>
      <c r="AN4" s="140" t="s">
        <v>1246</v>
      </c>
      <c r="AO4" s="140"/>
      <c r="AP4" s="140"/>
      <c r="AQ4" s="140"/>
      <c r="AR4" s="140"/>
      <c r="AS4" s="140">
        <f>SUM(AP$13:AQ$13)+SUM(AP5:AQ5)*10</f>
        <v>0</v>
      </c>
      <c r="AT4" s="142" t="e">
        <f>AR4/AS4-1</f>
        <v>#DIV/0!</v>
      </c>
    </row>
    <row r="5" spans="13:46" x14ac:dyDescent="0.25">
      <c r="N5" t="s">
        <v>1053</v>
      </c>
      <c r="O5" t="s">
        <v>1046</v>
      </c>
      <c r="P5" t="s">
        <v>797</v>
      </c>
      <c r="Q5" t="s">
        <v>1045</v>
      </c>
      <c r="R5" t="s">
        <v>222</v>
      </c>
      <c r="S5" t="s">
        <v>1049</v>
      </c>
      <c r="T5" t="s">
        <v>1050</v>
      </c>
      <c r="U5" t="s">
        <v>1051</v>
      </c>
      <c r="AD5" s="140" t="s">
        <v>1247</v>
      </c>
      <c r="AE5" s="143"/>
      <c r="AF5" s="143">
        <v>3</v>
      </c>
      <c r="AG5" s="143">
        <v>3</v>
      </c>
      <c r="AH5" s="143">
        <v>3</v>
      </c>
      <c r="AI5" s="143"/>
      <c r="AJ5" s="143"/>
      <c r="AK5" s="144"/>
      <c r="AN5" s="140" t="s">
        <v>1247</v>
      </c>
      <c r="AO5" s="140"/>
      <c r="AP5" s="140"/>
      <c r="AQ5" s="140"/>
      <c r="AR5" s="140"/>
      <c r="AS5" s="140"/>
      <c r="AT5" s="142"/>
    </row>
    <row r="6" spans="13:46" x14ac:dyDescent="0.25">
      <c r="M6" t="s">
        <v>1039</v>
      </c>
      <c r="N6" t="s">
        <v>1041</v>
      </c>
      <c r="O6">
        <f>0</f>
        <v>0</v>
      </c>
      <c r="S6">
        <v>90</v>
      </c>
      <c r="T6">
        <f>SUM($Q$15:$R$15)+SUM(Q7:R7)*10</f>
        <v>0</v>
      </c>
      <c r="U6" s="36" t="e">
        <f>S6/T6-1</f>
        <v>#DIV/0!</v>
      </c>
      <c r="AD6" s="140" t="s">
        <v>1273</v>
      </c>
      <c r="AE6" s="143"/>
      <c r="AF6" s="143">
        <v>1</v>
      </c>
      <c r="AG6" s="143">
        <v>1</v>
      </c>
      <c r="AH6" s="143">
        <v>1</v>
      </c>
      <c r="AI6" s="143">
        <v>80</v>
      </c>
      <c r="AJ6" s="143">
        <f t="shared" ref="AJ6:AJ10" si="0">SUM(AG$13:AH$13)+SUM(AG7:AH7)*10</f>
        <v>65.5</v>
      </c>
      <c r="AK6" s="144">
        <f t="shared" ref="AK6:AK10" si="1">AI6/AJ6-1</f>
        <v>0.22137404580152675</v>
      </c>
      <c r="AN6" s="140" t="s">
        <v>1248</v>
      </c>
      <c r="AO6" s="140"/>
      <c r="AP6" s="140"/>
      <c r="AQ6" s="140"/>
      <c r="AR6" s="140"/>
      <c r="AS6" s="140">
        <f t="shared" ref="AS6" si="2">SUM(AP$13:AQ$13)+SUM(AP7:AQ7)*10</f>
        <v>0</v>
      </c>
      <c r="AT6" s="142" t="e">
        <f t="shared" ref="AT6" si="3">AR6/AS6-1</f>
        <v>#DIV/0!</v>
      </c>
    </row>
    <row r="7" spans="13:46" x14ac:dyDescent="0.25">
      <c r="M7" t="s">
        <v>1040</v>
      </c>
      <c r="N7" t="s">
        <v>77</v>
      </c>
      <c r="U7" s="36"/>
      <c r="AD7" s="140" t="s">
        <v>1247</v>
      </c>
      <c r="AE7" s="143"/>
      <c r="AF7" s="143">
        <v>1</v>
      </c>
      <c r="AG7" s="143">
        <v>1</v>
      </c>
      <c r="AH7" s="143">
        <v>1</v>
      </c>
      <c r="AI7" s="143"/>
      <c r="AJ7" s="143"/>
      <c r="AK7" s="144"/>
      <c r="AN7" s="140" t="s">
        <v>1247</v>
      </c>
      <c r="AO7" s="140"/>
      <c r="AP7" s="140"/>
      <c r="AQ7" s="140"/>
      <c r="AR7" s="140"/>
      <c r="AS7" s="140"/>
      <c r="AT7" s="142"/>
    </row>
    <row r="8" spans="13:46" x14ac:dyDescent="0.25">
      <c r="N8" t="s">
        <v>1042</v>
      </c>
      <c r="O8">
        <f>0</f>
        <v>0</v>
      </c>
      <c r="T8">
        <f>SUM($Q$15:$R$15)+SUM(Q9:R9)*10</f>
        <v>0</v>
      </c>
      <c r="U8" s="36" t="e">
        <f t="shared" ref="U8:U12" si="4">S8/T8-1</f>
        <v>#DIV/0!</v>
      </c>
      <c r="AD8" s="140" t="s">
        <v>1274</v>
      </c>
      <c r="AE8" s="143"/>
      <c r="AF8" s="143">
        <v>1</v>
      </c>
      <c r="AG8" s="143">
        <v>0</v>
      </c>
      <c r="AH8" s="143">
        <v>1</v>
      </c>
      <c r="AI8" s="143">
        <v>90</v>
      </c>
      <c r="AJ8" s="143">
        <f t="shared" si="0"/>
        <v>65.5</v>
      </c>
      <c r="AK8" s="144">
        <f t="shared" si="1"/>
        <v>0.37404580152671763</v>
      </c>
      <c r="AN8" s="140" t="s">
        <v>1249</v>
      </c>
      <c r="AO8" s="140"/>
      <c r="AP8" s="140"/>
      <c r="AQ8" s="140"/>
      <c r="AR8" s="140"/>
      <c r="AS8" s="140">
        <f t="shared" ref="AS8" si="5">SUM(AP$13:AQ$13)+SUM(AP9:AQ9)*10</f>
        <v>0</v>
      </c>
      <c r="AT8" s="142" t="e">
        <f t="shared" ref="AT8" si="6">AR8/AS8-1</f>
        <v>#DIV/0!</v>
      </c>
    </row>
    <row r="9" spans="13:46" x14ac:dyDescent="0.25">
      <c r="N9" t="s">
        <v>77</v>
      </c>
      <c r="U9" s="36"/>
      <c r="AD9" s="140" t="s">
        <v>1247</v>
      </c>
      <c r="AE9" s="143"/>
      <c r="AF9" s="143">
        <v>1</v>
      </c>
      <c r="AG9" s="143">
        <v>1</v>
      </c>
      <c r="AH9" s="143">
        <v>1</v>
      </c>
      <c r="AI9" s="143"/>
      <c r="AJ9" s="143"/>
      <c r="AK9" s="144"/>
      <c r="AN9" s="140" t="s">
        <v>1247</v>
      </c>
      <c r="AO9" s="140"/>
      <c r="AP9" s="140"/>
      <c r="AQ9" s="140"/>
      <c r="AR9" s="140"/>
      <c r="AS9" s="140"/>
      <c r="AT9" s="142"/>
    </row>
    <row r="10" spans="13:46" x14ac:dyDescent="0.25">
      <c r="N10" t="s">
        <v>1043</v>
      </c>
      <c r="O10">
        <f>0</f>
        <v>0</v>
      </c>
      <c r="T10">
        <f>SUM($Q$15:$R$15)+SUM(Q11:R11)*10</f>
        <v>0</v>
      </c>
      <c r="U10" s="36" t="e">
        <f t="shared" si="4"/>
        <v>#DIV/0!</v>
      </c>
      <c r="AD10" s="140" t="s">
        <v>1275</v>
      </c>
      <c r="AE10" s="140"/>
      <c r="AF10" s="140">
        <v>1</v>
      </c>
      <c r="AG10" s="140">
        <v>1</v>
      </c>
      <c r="AH10" s="140">
        <v>1</v>
      </c>
      <c r="AI10" s="140">
        <v>90</v>
      </c>
      <c r="AJ10" s="140">
        <f t="shared" si="0"/>
        <v>65.5</v>
      </c>
      <c r="AK10" s="142">
        <f t="shared" si="1"/>
        <v>0.37404580152671763</v>
      </c>
      <c r="AN10" s="140" t="s">
        <v>1250</v>
      </c>
      <c r="AO10" s="140"/>
      <c r="AP10" s="140"/>
      <c r="AQ10" s="140"/>
      <c r="AR10" s="140"/>
      <c r="AS10" s="140">
        <f t="shared" ref="AS10" si="7">SUM(AP$13:AQ$13)+SUM(AP11:AQ11)*10</f>
        <v>0</v>
      </c>
      <c r="AT10" s="142" t="e">
        <f t="shared" ref="AT10" si="8">AR10/AS10-1</f>
        <v>#DIV/0!</v>
      </c>
    </row>
    <row r="11" spans="13:46" x14ac:dyDescent="0.25">
      <c r="N11" t="s">
        <v>77</v>
      </c>
      <c r="U11" s="36"/>
      <c r="AD11" s="140" t="s">
        <v>1247</v>
      </c>
      <c r="AE11" s="140"/>
      <c r="AF11" s="140">
        <v>1</v>
      </c>
      <c r="AG11" s="140">
        <v>1</v>
      </c>
      <c r="AH11" s="140">
        <v>1</v>
      </c>
      <c r="AI11" s="140"/>
      <c r="AJ11" s="140"/>
      <c r="AK11" s="142"/>
      <c r="AN11" s="140" t="s">
        <v>1247</v>
      </c>
      <c r="AO11" s="140"/>
      <c r="AP11" s="140"/>
      <c r="AQ11" s="140"/>
      <c r="AR11" s="140"/>
      <c r="AS11" s="140"/>
      <c r="AT11" s="142"/>
    </row>
    <row r="12" spans="13:46" x14ac:dyDescent="0.25">
      <c r="N12" t="s">
        <v>1044</v>
      </c>
      <c r="O12">
        <f>0</f>
        <v>0</v>
      </c>
      <c r="T12">
        <f>SUM($Q$15:$R$15)+SUM(Q13:R13)*10</f>
        <v>0</v>
      </c>
      <c r="U12" s="36" t="e">
        <f t="shared" si="4"/>
        <v>#DIV/0!</v>
      </c>
      <c r="AD12" s="70" t="s">
        <v>1037</v>
      </c>
      <c r="AE12" s="70"/>
      <c r="AF12" s="70">
        <f>SUM(AF4*(100-$AE$4),AF6*(100-$AE$6),AF8*(100-$AE$8),AF10*(100-$AE$10))-200</f>
        <v>200</v>
      </c>
      <c r="AG12" s="70">
        <f t="shared" ref="AG12:AH12" si="9">SUM(AG4*(100-$AE$4),AG6*(100-$AE$6),AG8*(100-$AE$8),AG10*(100-$AE$10))</f>
        <v>300</v>
      </c>
      <c r="AH12" s="70">
        <f t="shared" si="9"/>
        <v>400</v>
      </c>
      <c r="AI12" s="70"/>
      <c r="AJ12" s="70"/>
      <c r="AK12" s="145"/>
      <c r="AN12" s="140" t="s">
        <v>1037</v>
      </c>
      <c r="AO12" s="140"/>
      <c r="AP12" s="140">
        <f t="shared" ref="AP12:AQ12" si="10">SUM(AP4*(100-$AE$4),AP6*(100-$AE$6),AP8*(100-$AE$8),AP10*(100-$AE$10))</f>
        <v>0</v>
      </c>
      <c r="AQ12" s="140">
        <f t="shared" si="10"/>
        <v>0</v>
      </c>
      <c r="AR12" s="140"/>
      <c r="AS12" s="140"/>
      <c r="AT12" s="142"/>
    </row>
    <row r="13" spans="13:46" x14ac:dyDescent="0.25">
      <c r="N13" t="s">
        <v>77</v>
      </c>
      <c r="U13" s="36"/>
      <c r="AD13" s="146" t="s">
        <v>1255</v>
      </c>
      <c r="AE13" s="146"/>
      <c r="AF13" s="146">
        <f>AF12*6.5/100</f>
        <v>13</v>
      </c>
      <c r="AG13" s="146">
        <f t="shared" ref="AG13:AH13" si="11">AG12*6.5/100</f>
        <v>19.5</v>
      </c>
      <c r="AH13" s="146">
        <f t="shared" si="11"/>
        <v>26</v>
      </c>
      <c r="AI13" s="146"/>
      <c r="AJ13" s="146"/>
      <c r="AK13" s="147"/>
      <c r="AN13" s="140" t="s">
        <v>1255</v>
      </c>
      <c r="AO13" s="140"/>
      <c r="AP13" s="140">
        <f t="shared" ref="AP13:AQ13" si="12">AP12*6.5/100</f>
        <v>0</v>
      </c>
      <c r="AQ13" s="140">
        <f t="shared" si="12"/>
        <v>0</v>
      </c>
      <c r="AR13" s="140"/>
      <c r="AS13" s="140"/>
      <c r="AT13" s="142"/>
    </row>
    <row r="14" spans="13:46" x14ac:dyDescent="0.25">
      <c r="O14" t="s">
        <v>1047</v>
      </c>
      <c r="P14">
        <f>SUM(P6*(100-$O$6),P8*(100-$O$8),P10*(100-$O$10),P12*(100-$O$12))</f>
        <v>0</v>
      </c>
      <c r="Q14">
        <f>SUM(Q6*(100-$O$6),Q8*(100-$O$8),Q10*(100-$O$10),Q12*(100-$O$12))</f>
        <v>0</v>
      </c>
      <c r="R14">
        <f>SUM(R6*(100-$O$6),R8*(100-$O$8),R10*(100-$O$10),R12*(100-$O$12))</f>
        <v>0</v>
      </c>
      <c r="AD14" s="148" t="s">
        <v>1256</v>
      </c>
      <c r="AE14" s="148"/>
      <c r="AF14" s="148">
        <f>21</f>
        <v>21</v>
      </c>
      <c r="AG14" s="148">
        <f>21</f>
        <v>21</v>
      </c>
      <c r="AH14" s="148">
        <f>21</f>
        <v>21</v>
      </c>
      <c r="AI14" s="148"/>
      <c r="AJ14" s="148"/>
      <c r="AK14" s="149"/>
      <c r="AN14" s="140" t="s">
        <v>1256</v>
      </c>
      <c r="AO14" s="140"/>
      <c r="AP14" s="140">
        <f>25</f>
        <v>25</v>
      </c>
      <c r="AQ14" s="140">
        <f>25</f>
        <v>25</v>
      </c>
      <c r="AR14" s="140"/>
      <c r="AS14" s="140"/>
      <c r="AT14" s="142"/>
    </row>
    <row r="15" spans="13:46" x14ac:dyDescent="0.25">
      <c r="O15" t="s">
        <v>1048</v>
      </c>
      <c r="P15">
        <f>P14*6.5/100</f>
        <v>0</v>
      </c>
      <c r="Q15">
        <f t="shared" ref="Q15:R15" si="13">Q14*6.5/100</f>
        <v>0</v>
      </c>
      <c r="R15">
        <f t="shared" si="13"/>
        <v>0</v>
      </c>
      <c r="AD15" s="148" t="s">
        <v>1259</v>
      </c>
      <c r="AE15" s="148"/>
      <c r="AF15" s="148">
        <f>4.8</f>
        <v>4.8</v>
      </c>
      <c r="AG15" s="148">
        <f t="shared" ref="AG15:AH15" si="14">4.8</f>
        <v>4.8</v>
      </c>
      <c r="AH15" s="148">
        <f t="shared" si="14"/>
        <v>4.8</v>
      </c>
      <c r="AI15" s="148"/>
      <c r="AJ15" s="148"/>
      <c r="AK15" s="149"/>
      <c r="AN15" s="140" t="s">
        <v>1259</v>
      </c>
      <c r="AO15" s="140"/>
      <c r="AP15" s="140">
        <f>4</f>
        <v>4</v>
      </c>
      <c r="AQ15" s="140">
        <f>4</f>
        <v>4</v>
      </c>
      <c r="AR15" s="140"/>
      <c r="AS15" s="140"/>
      <c r="AT15" s="142"/>
    </row>
    <row r="16" spans="13:46" x14ac:dyDescent="0.25">
      <c r="AD16" s="150" t="s">
        <v>1269</v>
      </c>
      <c r="AE16" s="148"/>
      <c r="AF16" s="148">
        <v>3</v>
      </c>
      <c r="AG16" s="148">
        <v>5</v>
      </c>
      <c r="AH16" s="148">
        <v>6</v>
      </c>
      <c r="AI16" t="s">
        <v>1266</v>
      </c>
      <c r="AJ16" s="148">
        <f>SUM(AF16:AH16)</f>
        <v>14</v>
      </c>
      <c r="AK16" s="149"/>
      <c r="AN16" s="141" t="s">
        <v>1257</v>
      </c>
      <c r="AO16" s="140"/>
      <c r="AP16" s="140">
        <v>4</v>
      </c>
      <c r="AQ16" s="140">
        <v>4</v>
      </c>
      <c r="AR16" s="140"/>
      <c r="AS16" s="140"/>
      <c r="AT16" s="142"/>
    </row>
    <row r="17" spans="1:46" x14ac:dyDescent="0.25">
      <c r="AD17" s="148" t="s">
        <v>1258</v>
      </c>
      <c r="AE17" s="148"/>
      <c r="AF17" s="148">
        <v>1</v>
      </c>
      <c r="AG17" s="148">
        <v>3</v>
      </c>
      <c r="AH17" s="148">
        <v>3</v>
      </c>
      <c r="AI17" s="148"/>
      <c r="AJ17" s="148"/>
      <c r="AK17" s="149"/>
      <c r="AN17" s="140" t="s">
        <v>1258</v>
      </c>
      <c r="AO17" s="140"/>
      <c r="AP17" s="140">
        <v>2</v>
      </c>
      <c r="AQ17" s="140">
        <v>2</v>
      </c>
      <c r="AR17" s="140"/>
      <c r="AS17" s="140"/>
      <c r="AT17" s="142"/>
    </row>
    <row r="18" spans="1:46" x14ac:dyDescent="0.25">
      <c r="AD18" s="148" t="s">
        <v>1261</v>
      </c>
      <c r="AE18" s="148"/>
      <c r="AF18" s="148">
        <v>10</v>
      </c>
      <c r="AG18" s="148"/>
      <c r="AH18" s="148">
        <v>10</v>
      </c>
      <c r="AI18" s="148"/>
      <c r="AJ18" s="148"/>
      <c r="AK18" s="149"/>
      <c r="AN18" s="140" t="s">
        <v>1261</v>
      </c>
      <c r="AO18" s="140"/>
      <c r="AP18" s="140">
        <v>4</v>
      </c>
      <c r="AQ18" s="140">
        <v>4</v>
      </c>
      <c r="AR18" s="140"/>
      <c r="AS18" s="140"/>
      <c r="AT18" s="142"/>
    </row>
    <row r="19" spans="1:46" x14ac:dyDescent="0.25">
      <c r="AD19" s="148" t="s">
        <v>1260</v>
      </c>
      <c r="AE19" s="148"/>
      <c r="AF19" s="148">
        <f>AF16*(AF14+AF15*8)+AF17*7.5</f>
        <v>185.7</v>
      </c>
      <c r="AG19" s="148">
        <f t="shared" ref="AG19:AH19" si="15">AG16*(AG14+AG15*8)+AG17*7.5</f>
        <v>319.5</v>
      </c>
      <c r="AH19" s="148">
        <f t="shared" si="15"/>
        <v>378.9</v>
      </c>
      <c r="AI19" s="148" t="s">
        <v>1267</v>
      </c>
      <c r="AJ19" s="148" t="s">
        <v>1268</v>
      </c>
      <c r="AK19" s="149"/>
      <c r="AN19" s="140" t="s">
        <v>1260</v>
      </c>
      <c r="AO19" s="140"/>
      <c r="AP19" s="140">
        <f t="shared" ref="AP19:AQ19" si="16">AP16*(AP14+AP15*8)+AP17*7.5</f>
        <v>243</v>
      </c>
      <c r="AQ19" s="140">
        <f t="shared" si="16"/>
        <v>243</v>
      </c>
      <c r="AR19" s="140"/>
      <c r="AS19" s="140"/>
      <c r="AT19" s="142"/>
    </row>
    <row r="20" spans="1:46" x14ac:dyDescent="0.25">
      <c r="AD20" s="148" t="s">
        <v>1265</v>
      </c>
      <c r="AE20" s="148"/>
      <c r="AF20" s="148">
        <f>IF(AF12-AF19&gt;0,AF12-AF19,0)/8+SUM(AF4,AF6,AF8,AF10,AF17)/2+AF18+AF15*AF16</f>
        <v>28.6875</v>
      </c>
      <c r="AG20" s="148">
        <f t="shared" ref="AG20:AH20" si="17">IF(AG12-AG19&gt;0,AG12-AG19,0)/8+SUM(AG4,AG6,AG8,AG10,AG17)/2+AG18+AG15*AG16</f>
        <v>27</v>
      </c>
      <c r="AH20" s="148">
        <f t="shared" si="17"/>
        <v>44.9375</v>
      </c>
      <c r="AI20" s="148">
        <f>SUM(AF20:AH20)</f>
        <v>100.625</v>
      </c>
      <c r="AJ20" s="148">
        <f>SUM(AG20:AH20)</f>
        <v>71.9375</v>
      </c>
      <c r="AK20" s="149"/>
      <c r="AN20" s="148" t="s">
        <v>1265</v>
      </c>
      <c r="AO20" s="140"/>
      <c r="AP20" s="140">
        <f t="shared" ref="AP20:AQ20" si="18">IF(AP12-AP19&gt;0,AP12-AP19,0)/8+SUM(AP4,AP6,AP8,AP10,AP17)/2+AP18+AP15*AP16</f>
        <v>21</v>
      </c>
      <c r="AQ20" s="140">
        <f t="shared" si="18"/>
        <v>21</v>
      </c>
      <c r="AR20" s="140"/>
      <c r="AS20" s="140"/>
      <c r="AT20" s="142"/>
    </row>
    <row r="21" spans="1:46" x14ac:dyDescent="0.25">
      <c r="AD21" t="s">
        <v>1270</v>
      </c>
      <c r="AN21" t="s">
        <v>1270</v>
      </c>
    </row>
    <row r="22" spans="1:46" x14ac:dyDescent="0.25">
      <c r="B22" t="s">
        <v>1244</v>
      </c>
    </row>
    <row r="23" spans="1:46" x14ac:dyDescent="0.25">
      <c r="S23" t="s">
        <v>1245</v>
      </c>
      <c r="T23">
        <v>1</v>
      </c>
    </row>
    <row r="24" spans="1:46" ht="14.4" thickBot="1" x14ac:dyDescent="0.3">
      <c r="A24" s="11" t="s">
        <v>686</v>
      </c>
      <c r="B24" t="s">
        <v>808</v>
      </c>
      <c r="C24" t="s">
        <v>809</v>
      </c>
      <c r="D24" t="s">
        <v>810</v>
      </c>
      <c r="E24" t="s">
        <v>811</v>
      </c>
      <c r="F24" s="109" t="s">
        <v>784</v>
      </c>
      <c r="G24" s="110" t="s">
        <v>812</v>
      </c>
      <c r="H24" s="110" t="s">
        <v>813</v>
      </c>
      <c r="I24" s="110" t="s">
        <v>814</v>
      </c>
      <c r="J24" s="110" t="s">
        <v>815</v>
      </c>
      <c r="K24" s="110" t="s">
        <v>816</v>
      </c>
      <c r="L24" s="110" t="s">
        <v>817</v>
      </c>
      <c r="M24" s="110" t="s">
        <v>818</v>
      </c>
      <c r="N24" s="110" t="s">
        <v>819</v>
      </c>
      <c r="O24" s="110" t="s">
        <v>820</v>
      </c>
      <c r="P24" s="110" t="s">
        <v>821</v>
      </c>
      <c r="Q24" s="110" t="s">
        <v>822</v>
      </c>
      <c r="R24" s="110" t="s">
        <v>823</v>
      </c>
      <c r="S24" s="110" t="s">
        <v>824</v>
      </c>
      <c r="T24" s="110" t="s">
        <v>825</v>
      </c>
      <c r="U24" s="46" t="s">
        <v>755</v>
      </c>
      <c r="V24" s="46" t="s">
        <v>826</v>
      </c>
      <c r="W24" s="46" t="s">
        <v>827</v>
      </c>
      <c r="X24" s="46" t="s">
        <v>828</v>
      </c>
      <c r="Y24" s="46" t="s">
        <v>829</v>
      </c>
      <c r="Z24" s="53" t="s">
        <v>785</v>
      </c>
      <c r="AA24" s="53" t="s">
        <v>830</v>
      </c>
      <c r="AB24" s="53" t="s">
        <v>831</v>
      </c>
      <c r="AC24" s="53" t="s">
        <v>832</v>
      </c>
      <c r="AD24" s="54" t="s">
        <v>154</v>
      </c>
      <c r="AE24" s="54" t="s">
        <v>833</v>
      </c>
      <c r="AF24" s="54" t="s">
        <v>834</v>
      </c>
      <c r="AG24" s="54" t="s">
        <v>835</v>
      </c>
      <c r="AH24" s="54" t="s">
        <v>836</v>
      </c>
      <c r="AI24" s="54" t="s">
        <v>837</v>
      </c>
      <c r="AJ24" s="47" t="s">
        <v>161</v>
      </c>
      <c r="AK24" s="47" t="s">
        <v>838</v>
      </c>
      <c r="AL24" s="47" t="s">
        <v>839</v>
      </c>
      <c r="AM24" s="47" t="s">
        <v>840</v>
      </c>
      <c r="AN24" s="47" t="s">
        <v>841</v>
      </c>
      <c r="AO24" s="47" t="s">
        <v>842</v>
      </c>
      <c r="AP24" s="47" t="s">
        <v>843</v>
      </c>
      <c r="AQ24" s="57" t="s">
        <v>796</v>
      </c>
      <c r="AR24" s="57" t="s">
        <v>844</v>
      </c>
      <c r="AS24" s="57" t="s">
        <v>845</v>
      </c>
    </row>
    <row r="25" spans="1:46" x14ac:dyDescent="0.25">
      <c r="A25" s="136" t="s">
        <v>704</v>
      </c>
      <c r="B25" t="s">
        <v>793</v>
      </c>
      <c r="C25" t="s">
        <v>792</v>
      </c>
      <c r="D25" t="s">
        <v>794</v>
      </c>
      <c r="E25" s="36" t="s">
        <v>786</v>
      </c>
      <c r="F25" s="137" t="s">
        <v>197</v>
      </c>
      <c r="G25" s="137" t="s">
        <v>781</v>
      </c>
      <c r="H25" s="137" t="s">
        <v>782</v>
      </c>
      <c r="I25" s="137" t="s">
        <v>783</v>
      </c>
      <c r="J25" s="138" t="s">
        <v>770</v>
      </c>
      <c r="K25" s="139" t="s">
        <v>771</v>
      </c>
      <c r="L25" s="139" t="s">
        <v>772</v>
      </c>
      <c r="M25" s="139" t="s">
        <v>773</v>
      </c>
      <c r="N25" s="139" t="s">
        <v>774</v>
      </c>
      <c r="O25" s="139" t="s">
        <v>775</v>
      </c>
      <c r="P25" s="139" t="s">
        <v>776</v>
      </c>
      <c r="Q25" s="139" t="s">
        <v>777</v>
      </c>
      <c r="R25" s="139" t="s">
        <v>778</v>
      </c>
      <c r="S25" s="139" t="s">
        <v>779</v>
      </c>
      <c r="T25" s="139" t="s">
        <v>780</v>
      </c>
      <c r="U25" s="130" t="s">
        <v>92</v>
      </c>
      <c r="V25" s="130" t="s">
        <v>94</v>
      </c>
      <c r="W25" s="130" t="s">
        <v>95</v>
      </c>
      <c r="X25" s="130" t="s">
        <v>93</v>
      </c>
      <c r="Y25" s="130" t="s">
        <v>807</v>
      </c>
      <c r="Z25" s="131" t="s">
        <v>688</v>
      </c>
      <c r="AA25" s="131" t="s">
        <v>689</v>
      </c>
      <c r="AB25" s="131" t="s">
        <v>690</v>
      </c>
      <c r="AC25" s="131" t="s">
        <v>163</v>
      </c>
      <c r="AD25" s="132" t="s">
        <v>707</v>
      </c>
      <c r="AE25" s="131" t="s">
        <v>153</v>
      </c>
      <c r="AF25" s="131" t="s">
        <v>76</v>
      </c>
      <c r="AG25" s="131" t="s">
        <v>77</v>
      </c>
      <c r="AH25" s="131" t="s">
        <v>78</v>
      </c>
      <c r="AI25" s="131" t="s">
        <v>703</v>
      </c>
      <c r="AJ25" s="131" t="s">
        <v>83</v>
      </c>
      <c r="AK25" s="131" t="s">
        <v>80</v>
      </c>
      <c r="AL25" s="131" t="s">
        <v>79</v>
      </c>
      <c r="AM25" s="131" t="s">
        <v>691</v>
      </c>
      <c r="AN25" s="131" t="s">
        <v>694</v>
      </c>
      <c r="AO25" s="131" t="s">
        <v>693</v>
      </c>
      <c r="AP25" s="133" t="s">
        <v>692</v>
      </c>
      <c r="AQ25" s="134" t="s">
        <v>789</v>
      </c>
      <c r="AR25" s="135" t="s">
        <v>790</v>
      </c>
      <c r="AS25" s="135" t="s">
        <v>795</v>
      </c>
    </row>
    <row r="26" spans="1:46" x14ac:dyDescent="0.25">
      <c r="E26" s="36"/>
    </row>
    <row r="27" spans="1:46" x14ac:dyDescent="0.25">
      <c r="A27" t="s">
        <v>846</v>
      </c>
      <c r="B27">
        <f>PRODUCT(Y27:Z27,AC27,AI27:AS27)</f>
        <v>3292.8090796800002</v>
      </c>
      <c r="C27">
        <f>B27*(1+AA27*(AB27-1))</f>
        <v>3918.4428048191999</v>
      </c>
      <c r="D27">
        <f>PRODUCT(Y27:Z27,AB27:AC27,AI27:AS27)</f>
        <v>4939.2136195200001</v>
      </c>
      <c r="E27" s="36" t="e">
        <f>表2_5464[[#This Row],[列3]]/$C$62</f>
        <v>#DIV/0!</v>
      </c>
      <c r="F27" t="s">
        <v>791</v>
      </c>
      <c r="U27">
        <f xml:space="preserve"> IFERROR(VLOOKUP($A27,$A$86:$X$1000,MATCH(U$25,$A$87:$J$87,0), FALSE), 0) *
    (LEN($A27) &gt; 0)</f>
        <v>828</v>
      </c>
      <c r="V27" cm="1">
        <f t="array" ref="V27" xml:space="preserve"> IFERROR(VLOOKUP($A27,$A$86:$X$1000,MATCH(V$25,$A$87:$J$87,0), FALSE), 0) *
    (LEN($A27) &gt; 0)+SUMPRODUCT(
    IFERROR(VLOOKUP($G27:$T27, $B$87:$X$1000,MATCH(V$25,$B$87:$X$87,0), FALSE), 0) *
    (LEN($G27:$T27) &gt; 0)
)</f>
        <v>0.25600000000000001</v>
      </c>
      <c r="W27">
        <f xml:space="preserve"> IFERROR(VLOOKUP($A27,$A$86:$X$1000,MATCH(W$25,$A$87:$J$87,0), FALSE), 0) *
    (LEN($A27) &gt; 0)</f>
        <v>0</v>
      </c>
      <c r="X27">
        <f xml:space="preserve"> IFERROR(VLOOKUP($A27,$A$86:$X$1000,MATCH(X$25,$A$87:$J$87,0), FALSE), 0) *
    (LEN($A27) &gt; 0)</f>
        <v>4.6040000000000001</v>
      </c>
      <c r="Y27">
        <f>(U27*(1+V27)+W27)*(1+X27)</f>
        <v>5827.9806720000006</v>
      </c>
      <c r="Z27">
        <f xml:space="preserve"> IFERROR(VLOOKUP($A27,$A$86:$X$1000,MATCH(Z$25,$A$87:$J$87,0), FALSE), 0) *
    (LEN($A27) &gt; 0)</f>
        <v>1.1299999999999999</v>
      </c>
      <c r="AA27" cm="1">
        <f t="array" ref="AA27" xml:space="preserve"> IFERROR(VLOOKUP($A27,$A$86:$X$1000,MATCH(AA$25,$A$87:$J$87,0), FALSE), 0) *
    (LEN($A27) &gt; 0)+SUMPRODUCT(
    IFERROR(VLOOKUP($G27:$T27, $B$87:$X$1000,MATCH(AA$25,$B$87:$X$87,0), FALSE), 0) *
    (LEN($G27:$T27) &gt; 0)
)</f>
        <v>0.38</v>
      </c>
      <c r="AB27" cm="1">
        <f t="array" ref="AB27">1+SUMPRODUCT(
    IFERROR(VLOOKUP($G27:$T27, $B$87:$X$1000,MATCH(AB$25,$B$87:$X$87,0), FALSE), 0) *
    (LEN($G27:$T27) &gt; 0)
)+IFERROR(VLOOKUP($A27,$A$87:$X$1000,MATCH(AB$25,$A$87:$J$87,0), FALSE), 0) *
    (LEN($A27) &gt; 0)</f>
        <v>1.5</v>
      </c>
      <c r="AC27" cm="1">
        <f t="array" ref="AC27">1+SUMPRODUCT(
    IFERROR(VLOOKUP($G27:$T27, $B$87:$X$1000,MATCH(AC$25,$B$87:$X$87,0), FALSE), 0) *
    (LEN($G27:$T27) &gt; 0)
)</f>
        <v>1</v>
      </c>
      <c r="AD27" cm="1">
        <f t="array" ref="AD27">SUMPRODUCT(
    IFERROR(VLOOKUP($G27:$T27, $B$87:$X$1000,MATCH(AD$25,$B$87:$X$87,0), FALSE), 0) *
    (LEN($G27:$T27) &gt; 0)
)+IFERROR(VLOOKUP($A27,$A$88:$X$1000,MATCH(AD$25,$A$87:$X$87,0), FALSE), 0) *
    (LEN($A27) &gt; 0)</f>
        <v>0</v>
      </c>
      <c r="AE27" cm="1">
        <f t="array" ref="AE27">SUMPRODUCT(
    IFERROR(VLOOKUP($G27:$T27, $B$87:$X$1000,MATCH(AE$25,$B$87:$X$87,0), FALSE), 0) *
    (LEN($G27:$T27) &gt; 0)
)+IFERROR(VLOOKUP($A27,$A$88:$X$1000,MATCH(AE$25,$A$87:$X$87,0), FALSE), 0) *
    (LEN($A27) &gt; 0)</f>
        <v>0</v>
      </c>
      <c r="AF27" cm="1">
        <f t="array" ref="AF27">SUMPRODUCT(
    IFERROR(VLOOKUP($G27:$T27, $B$87:$X$1000,MATCH(AF$25,$B$87:$X$87,0), FALSE), 0) *
    (LEN($G27:$T27) &gt; 0)
)+IFERROR(VLOOKUP($A27,$A$88:$X$1000,MATCH(AF$25,$A$87:$X$87,0), FALSE), 0) *
    (LEN($A27) &gt; 0)</f>
        <v>0</v>
      </c>
      <c r="AG27" cm="1">
        <f t="array" ref="AG27">SUMPRODUCT(
    IFERROR(VLOOKUP($G27:$T27, $B$87:$X$1000,MATCH(AG$25,$B$87:$X$87,0), FALSE), 0) *
    (LEN($G27:$T27) &gt; 0)
)+IFERROR(VLOOKUP($A27,$A$88:$X$1000,MATCH(AG$25,$A$87:$X$87,0), FALSE), 0) *
    (LEN($A27) &gt; 0)</f>
        <v>0</v>
      </c>
      <c r="AH27" cm="1">
        <f t="array" ref="AH27">SUMPRODUCT(
    IFERROR(VLOOKUP($G27:$T27, $B$87:$X$1000,MATCH(AH$25,$B$87:$X$87,0), FALSE), 0) *
    (LEN($G27:$T27) &gt; 0)
)+IFERROR(VLOOKUP($A27,$A$88:$X$1000,MATCH(AH$25,$A$87:$X$87,0), FALSE), 0) *
    (LEN($A27) &gt; 0)</f>
        <v>0.56100000000000005</v>
      </c>
      <c r="AI27">
        <f t="shared" ref="AI27:AI36" si="19">1 + AD27 + IF(
    LEN($A27) &gt; 0,
    IFERROR(
        HLOOKUP(RIGHT($A27,2), $AE$25:$AH$80, ROW()-ROW($AE$25) + 1, FALSE),
        0
    ),
    0
)</f>
        <v>1</v>
      </c>
      <c r="AJ27" cm="1">
        <f t="array" ref="AJ27">1+SUMPRODUCT(
    IFERROR(VLOOKUP($G27:$T27, $B$87:$X$1000,MATCH(AJ$25,$B$87:$X$87,0), FALSE), 0) *
    (LEN($G27:$T27) &gt; 0)
)</f>
        <v>1</v>
      </c>
      <c r="AK27" cm="1">
        <f t="array" ref="AK27">1+SUMPRODUCT(
    IFERROR(VLOOKUP($G27:$T27, $B$87:$X$1000,MATCH(AK$25,$B$87:$X$87,0), FALSE), 0) *
    (LEN($G27:$T27) &gt; 0)
)</f>
        <v>1</v>
      </c>
      <c r="AL27" cm="1">
        <f t="array" ref="AL27">1+SUMPRODUCT(
    IFERROR(VLOOKUP($G27:$T27, $B$87:$X$1000,MATCH(AL$25,$B$87:$X$87,0), FALSE), 0) *
    (LEN($G27:$T27) &gt; 0)
)</f>
        <v>1</v>
      </c>
      <c r="AM27" cm="1">
        <f t="array" ref="AM27">1+SUMPRODUCT(
    IFERROR(VLOOKUP($G27:$T27, $B$87:$X$1000,MATCH(AM$25,$B$87:$X$87,0), FALSE), 0) *
    (LEN($G27:$T27) &gt; 0)
)</f>
        <v>1</v>
      </c>
      <c r="AN27" cm="1">
        <f t="array" ref="AN27">1+SUMPRODUCT(
    IFERROR(VLOOKUP($G27:$T27, $B$87:$X$1000,MATCH(AN$25,$B$87:$X$87,0), FALSE), 0) *
    (LEN($G27:$T27) &gt; 0)
)</f>
        <v>1</v>
      </c>
      <c r="AO27">
        <f>IF($F27="是",1.3,1)</f>
        <v>1</v>
      </c>
      <c r="AQ27">
        <f>0.5</f>
        <v>0.5</v>
      </c>
    </row>
    <row r="28" spans="1:46" x14ac:dyDescent="0.25">
      <c r="A28" t="s">
        <v>1158</v>
      </c>
      <c r="B28">
        <f t="shared" ref="B28:B36" si="20">PRODUCT(Y28:Z28,AC28,AI28:AS28)</f>
        <v>0</v>
      </c>
      <c r="C28">
        <f t="shared" ref="C28:C57" si="21">B28*(1+AA28*(AB28-1))</f>
        <v>0</v>
      </c>
      <c r="D28">
        <f t="shared" ref="D28:D36" si="22">PRODUCT(Y28:Z28,AB28:AC28,AI28:AS28)</f>
        <v>0</v>
      </c>
      <c r="E28" s="36" t="e">
        <f>表2_5464[[#This Row],[列3]]/$C$62</f>
        <v>#DIV/0!</v>
      </c>
      <c r="F28" t="s">
        <v>791</v>
      </c>
      <c r="U28">
        <f t="shared" ref="U28:U57" si="23" xml:space="preserve"> IFERROR(VLOOKUP($A28,$A$86:$X$1000,MATCH(U$25,$A$87:$J$87,0), FALSE), 0) *
    (LEN($A28) &gt; 0)</f>
        <v>0</v>
      </c>
      <c r="V28" cm="1">
        <f t="array" ref="V28" xml:space="preserve"> IFERROR(VLOOKUP($A28,$A$86:$X$1000,MATCH(V$25,$A$87:$J$87,0), FALSE), 0) *
    (LEN($A28) &gt; 0)+SUMPRODUCT(
    IFERROR(VLOOKUP($G28:$T28, $B$87:$X$1000,MATCH(V$25,$B$87:$X$87,0), FALSE), 0) *
    (LEN($G28:$T28) &gt; 0)
)</f>
        <v>0</v>
      </c>
      <c r="W28">
        <f t="shared" ref="W28:X57" si="24" xml:space="preserve"> IFERROR(VLOOKUP($A28,$A$86:$X$1000,MATCH(W$25,$A$87:$J$87,0), FALSE), 0) *
    (LEN($A28) &gt; 0)</f>
        <v>0</v>
      </c>
      <c r="X28">
        <f t="shared" si="24"/>
        <v>0</v>
      </c>
      <c r="Y28">
        <f t="shared" ref="Y28:Y36" si="25">(U28*(1+V28)+W28)*(1+X28)</f>
        <v>0</v>
      </c>
      <c r="Z28">
        <f t="shared" ref="Z28:Z57" si="26" xml:space="preserve"> IFERROR(VLOOKUP($A28,$A$86:$X$1000,MATCH(Z$25,$A$87:$J$87,0), FALSE), 0) *
    (LEN($A28) &gt; 0)</f>
        <v>0</v>
      </c>
      <c r="AA28" cm="1">
        <f t="array" ref="AA28" xml:space="preserve"> IFERROR(VLOOKUP($A28,$A$86:$X$1000,MATCH(AA$25,$A$87:$J$87,0), FALSE), 0) *
    (LEN($A28) &gt; 0)+SUMPRODUCT(
    IFERROR(VLOOKUP($G28:$T28, $B$87:$X$1000,MATCH(AA$25,$B$87:$X$87,0), FALSE), 0) *
    (LEN($G28:$T28) &gt; 0)
)</f>
        <v>0</v>
      </c>
      <c r="AB28" cm="1">
        <f t="array" ref="AB28">1+SUMPRODUCT(
    IFERROR(VLOOKUP($G28:$T28, $B$87:$X$1000,MATCH(AB$25,$B$87:$X$87,0), FALSE), 0) *
    (LEN($G28:$T28) &gt; 0)
)+IFERROR(VLOOKUP($A28,$A$87:$X$1000,MATCH(AB$25,$A$87:$J$87,0), FALSE), 0) *
    (LEN($A28) &gt; 0)</f>
        <v>1</v>
      </c>
      <c r="AC28" cm="1">
        <f t="array" ref="AC28">1+SUMPRODUCT(
    IFERROR(VLOOKUP($G28:$T28, $B$87:$X$1000,MATCH(AC$25,$B$87:$X$87,0), FALSE), 0) *
    (LEN($G28:$T28) &gt; 0)
)</f>
        <v>1</v>
      </c>
      <c r="AD28" cm="1">
        <f t="array" ref="AD28">SUMPRODUCT(
    IFERROR(VLOOKUP($G28:$T28, $B$87:$X$1000,MATCH(AD$25,$B$87:$X$87,0), FALSE), 0) *
    (LEN($G28:$T28) &gt; 0)
)+IFERROR(VLOOKUP($A28,$A$88:$X$1000,MATCH(AD$25,$A$87:$X$87,0), FALSE), 0) *
    (LEN($A28) &gt; 0)</f>
        <v>0</v>
      </c>
      <c r="AE28" cm="1">
        <f t="array" ref="AE28">SUMPRODUCT(
    IFERROR(VLOOKUP($G28:$T28, $B$87:$X$1000,MATCH(AE$25,$B$87:$X$87,0), FALSE), 0) *
    (LEN($G28:$T28) &gt; 0)
)+IFERROR(VLOOKUP($A28,$A$88:$X$1000,MATCH(AE$25,$A$87:$X$87,0), FALSE), 0) *
    (LEN($A28) &gt; 0)</f>
        <v>0</v>
      </c>
      <c r="AF28" cm="1">
        <f t="array" ref="AF28">SUMPRODUCT(
    IFERROR(VLOOKUP($G28:$T28, $B$87:$X$1000,MATCH(AF$25,$B$87:$X$87,0), FALSE), 0) *
    (LEN($G28:$T28) &gt; 0)
)+IFERROR(VLOOKUP($A28,$A$88:$X$1000,MATCH(AF$25,$A$87:$X$87,0), FALSE), 0) *
    (LEN($A28) &gt; 0)</f>
        <v>0</v>
      </c>
      <c r="AG28" cm="1">
        <f t="array" ref="AG28">SUMPRODUCT(
    IFERROR(VLOOKUP($G28:$T28, $B$87:$X$1000,MATCH(AG$25,$B$87:$X$87,0), FALSE), 0) *
    (LEN($G28:$T28) &gt; 0)
)+IFERROR(VLOOKUP($A28,$A$88:$X$1000,MATCH(AG$25,$A$87:$X$87,0), FALSE), 0) *
    (LEN($A28) &gt; 0)</f>
        <v>0</v>
      </c>
      <c r="AH28" cm="1">
        <f t="array" ref="AH28">SUMPRODUCT(
    IFERROR(VLOOKUP($G28:$T28, $B$87:$X$1000,MATCH(AH$25,$B$87:$X$87,0), FALSE), 0) *
    (LEN($G28:$T28) &gt; 0)
)+IFERROR(VLOOKUP($A28,$A$88:$X$1000,MATCH(AH$25,$A$87:$X$87,0), FALSE), 0) *
    (LEN($A28) &gt; 0)</f>
        <v>0</v>
      </c>
      <c r="AI28">
        <f t="shared" si="19"/>
        <v>1</v>
      </c>
      <c r="AJ28" cm="1">
        <f t="array" ref="AJ28">1+SUMPRODUCT(
    IFERROR(VLOOKUP($G28:$T28, $B$87:$X$1000,MATCH(AJ$25,$B$87:$X$87,0), FALSE), 0) *
    (LEN($G28:$T28) &gt; 0)
)</f>
        <v>1</v>
      </c>
      <c r="AK28" cm="1">
        <f t="array" ref="AK28">1+SUMPRODUCT(
    IFERROR(VLOOKUP($G28:$T28, $B$87:$X$1000,MATCH(AK$25,$B$87:$X$87,0), FALSE), 0) *
    (LEN($G28:$T28) &gt; 0)
)</f>
        <v>1</v>
      </c>
      <c r="AL28" cm="1">
        <f t="array" ref="AL28">1+SUMPRODUCT(
    IFERROR(VLOOKUP($G28:$T28, $B$87:$X$1000,MATCH(AL$25,$B$87:$X$87,0), FALSE), 0) *
    (LEN($G28:$T28) &gt; 0)
)</f>
        <v>1</v>
      </c>
      <c r="AM28" cm="1">
        <f t="array" ref="AM28">1+SUMPRODUCT(
    IFERROR(VLOOKUP($G28:$T28, $B$87:$X$1000,MATCH(AM$25,$B$87:$X$87,0), FALSE), 0) *
    (LEN($G28:$T28) &gt; 0)
)</f>
        <v>1</v>
      </c>
      <c r="AN28" cm="1">
        <f t="array" ref="AN28">1+SUMPRODUCT(
    IFERROR(VLOOKUP($G28:$T28, $B$87:$X$1000,MATCH(AN$25,$B$87:$X$87,0), FALSE), 0) *
    (LEN($G28:$T28) &gt; 0)
)</f>
        <v>1</v>
      </c>
      <c r="AO28">
        <f t="shared" ref="AO28:AO36" si="27">IF($F28="是",1.3,1)</f>
        <v>1</v>
      </c>
      <c r="AQ28">
        <f t="shared" ref="AQ28:AQ36" si="28">0.5</f>
        <v>0.5</v>
      </c>
    </row>
    <row r="29" spans="1:46" x14ac:dyDescent="0.25">
      <c r="A29" t="s">
        <v>747</v>
      </c>
      <c r="B29">
        <f t="shared" si="20"/>
        <v>72779.822631936011</v>
      </c>
      <c r="C29">
        <f t="shared" si="21"/>
        <v>103201.78849208528</v>
      </c>
      <c r="D29">
        <f t="shared" si="22"/>
        <v>152837.62752706563</v>
      </c>
      <c r="E29" s="36" t="e">
        <f>表2_5464[[#This Row],[列3]]/$C$62</f>
        <v>#DIV/0!</v>
      </c>
      <c r="F29" t="s">
        <v>791</v>
      </c>
      <c r="U29">
        <f t="shared" si="23"/>
        <v>828</v>
      </c>
      <c r="V29" cm="1">
        <f t="array" ref="V29" xml:space="preserve"> IFERROR(VLOOKUP($A29,$A$86:$X$1000,MATCH(V$25,$A$87:$J$87,0), FALSE), 0) *
    (LEN($A29) &gt; 0)+SUMPRODUCT(
    IFERROR(VLOOKUP($G29:$T29, $B$87:$X$1000,MATCH(V$25,$B$87:$X$87,0), FALSE), 0) *
    (LEN($G29:$T29) &gt; 0)
)</f>
        <v>0.25600000000000001</v>
      </c>
      <c r="W29">
        <f t="shared" si="24"/>
        <v>0</v>
      </c>
      <c r="X29">
        <f t="shared" si="24"/>
        <v>4.6040000000000001</v>
      </c>
      <c r="Y29">
        <f t="shared" si="25"/>
        <v>5827.9806720000006</v>
      </c>
      <c r="Z29">
        <f t="shared" si="26"/>
        <v>16</v>
      </c>
      <c r="AA29" cm="1">
        <f t="array" ref="AA29" xml:space="preserve"> IFERROR(VLOOKUP($A29,$A$86:$X$1000,MATCH(AA$25,$A$87:$J$87,0), FALSE), 0) *
    (LEN($A29) &gt; 0)+SUMPRODUCT(
    IFERROR(VLOOKUP($G29:$T29, $B$87:$X$1000,MATCH(AA$25,$B$87:$X$87,0), FALSE), 0) *
    (LEN($G29:$T29) &gt; 0)
)</f>
        <v>0.38</v>
      </c>
      <c r="AB29" cm="1">
        <f t="array" ref="AB29">1+SUMPRODUCT(
    IFERROR(VLOOKUP($G29:$T29, $B$87:$X$1000,MATCH(AB$25,$B$87:$X$87,0), FALSE), 0) *
    (LEN($G29:$T29) &gt; 0)
)+IFERROR(VLOOKUP($A29,$A$87:$X$1000,MATCH(AB$25,$A$87:$J$87,0), FALSE), 0) *
    (LEN($A29) &gt; 0)</f>
        <v>2.1</v>
      </c>
      <c r="AC29" cm="1">
        <f t="array" ref="AC29">1+SUMPRODUCT(
    IFERROR(VLOOKUP($G29:$T29, $B$87:$X$1000,MATCH(AC$25,$B$87:$X$87,0), FALSE), 0) *
    (LEN($G29:$T29) &gt; 0)
)</f>
        <v>1</v>
      </c>
      <c r="AD29" cm="1">
        <f t="array" ref="AD29">SUMPRODUCT(
    IFERROR(VLOOKUP($G29:$T29, $B$87:$X$1000,MATCH(AD$25,$B$87:$X$87,0), FALSE), 0) *
    (LEN($G29:$T29) &gt; 0)
)+IFERROR(VLOOKUP($A29,$A$88:$X$1000,MATCH(AD$25,$A$87:$X$87,0), FALSE), 0) *
    (LEN($A29) &gt; 0)</f>
        <v>0</v>
      </c>
      <c r="AE29" cm="1">
        <f t="array" ref="AE29">SUMPRODUCT(
    IFERROR(VLOOKUP($G29:$T29, $B$87:$X$1000,MATCH(AE$25,$B$87:$X$87,0), FALSE), 0) *
    (LEN($G29:$T29) &gt; 0)
)+IFERROR(VLOOKUP($A29,$A$88:$X$1000,MATCH(AE$25,$A$87:$X$87,0), FALSE), 0) *
    (LEN($A29) &gt; 0)</f>
        <v>0</v>
      </c>
      <c r="AF29" cm="1">
        <f t="array" ref="AF29">SUMPRODUCT(
    IFERROR(VLOOKUP($G29:$T29, $B$87:$X$1000,MATCH(AF$25,$B$87:$X$87,0), FALSE), 0) *
    (LEN($G29:$T29) &gt; 0)
)+IFERROR(VLOOKUP($A29,$A$88:$X$1000,MATCH(AF$25,$A$87:$X$87,0), FALSE), 0) *
    (LEN($A29) &gt; 0)</f>
        <v>0</v>
      </c>
      <c r="AG29" cm="1">
        <f t="array" ref="AG29">SUMPRODUCT(
    IFERROR(VLOOKUP($G29:$T29, $B$87:$X$1000,MATCH(AG$25,$B$87:$X$87,0), FALSE), 0) *
    (LEN($G29:$T29) &gt; 0)
)+IFERROR(VLOOKUP($A29,$A$88:$X$1000,MATCH(AG$25,$A$87:$X$87,0), FALSE), 0) *
    (LEN($A29) &gt; 0)</f>
        <v>0</v>
      </c>
      <c r="AH29" cm="1">
        <f t="array" ref="AH29">SUMPRODUCT(
    IFERROR(VLOOKUP($G29:$T29, $B$87:$X$1000,MATCH(AH$25,$B$87:$X$87,0), FALSE), 0) *
    (LEN($G29:$T29) &gt; 0)
)+IFERROR(VLOOKUP($A29,$A$88:$X$1000,MATCH(AH$25,$A$87:$X$87,0), FALSE), 0) *
    (LEN($A29) &gt; 0)</f>
        <v>0.56100000000000005</v>
      </c>
      <c r="AI29">
        <f t="shared" si="19"/>
        <v>1.5609999999999999</v>
      </c>
      <c r="AJ29" cm="1">
        <f t="array" ref="AJ29">1+SUMPRODUCT(
    IFERROR(VLOOKUP($G29:$T29, $B$87:$X$1000,MATCH(AJ$25,$B$87:$X$87,0), FALSE), 0) *
    (LEN($G29:$T29) &gt; 0)
)</f>
        <v>1</v>
      </c>
      <c r="AK29" cm="1">
        <f t="array" ref="AK29">1+SUMPRODUCT(
    IFERROR(VLOOKUP($G29:$T29, $B$87:$X$1000,MATCH(AK$25,$B$87:$X$87,0), FALSE), 0) *
    (LEN($G29:$T29) &gt; 0)
)</f>
        <v>1</v>
      </c>
      <c r="AL29" cm="1">
        <f t="array" ref="AL29">1+SUMPRODUCT(
    IFERROR(VLOOKUP($G29:$T29, $B$87:$X$1000,MATCH(AL$25,$B$87:$X$87,0), FALSE), 0) *
    (LEN($G29:$T29) &gt; 0)
)</f>
        <v>1</v>
      </c>
      <c r="AM29" cm="1">
        <f t="array" ref="AM29">1+SUMPRODUCT(
    IFERROR(VLOOKUP($G29:$T29, $B$87:$X$1000,MATCH(AM$25,$B$87:$X$87,0), FALSE), 0) *
    (LEN($G29:$T29) &gt; 0)
)</f>
        <v>1</v>
      </c>
      <c r="AN29" cm="1">
        <f t="array" ref="AN29">1+SUMPRODUCT(
    IFERROR(VLOOKUP($G29:$T29, $B$87:$X$1000,MATCH(AN$25,$B$87:$X$87,0), FALSE), 0) *
    (LEN($G29:$T29) &gt; 0)
)</f>
        <v>1</v>
      </c>
      <c r="AO29">
        <f t="shared" si="27"/>
        <v>1</v>
      </c>
      <c r="AQ29">
        <f t="shared" si="28"/>
        <v>0.5</v>
      </c>
    </row>
    <row r="30" spans="1:46" x14ac:dyDescent="0.25">
      <c r="B30">
        <f t="shared" si="20"/>
        <v>0</v>
      </c>
      <c r="C30">
        <f t="shared" si="21"/>
        <v>0</v>
      </c>
      <c r="D30">
        <f t="shared" si="22"/>
        <v>0</v>
      </c>
      <c r="E30" s="36" t="e">
        <f>表2_5464[[#This Row],[列3]]/$C$62</f>
        <v>#DIV/0!</v>
      </c>
      <c r="F30" t="s">
        <v>791</v>
      </c>
      <c r="U30">
        <f t="shared" si="23"/>
        <v>0</v>
      </c>
      <c r="V30" cm="1">
        <f t="array" ref="V30" xml:space="preserve"> IFERROR(VLOOKUP($A30,$A$86:$X$1000,MATCH(V$25,$A$87:$J$87,0), FALSE), 0) *
    (LEN($A30) &gt; 0)+SUMPRODUCT(
    IFERROR(VLOOKUP($G30:$T30, $B$87:$X$1000,MATCH(V$25,$B$87:$X$87,0), FALSE), 0) *
    (LEN($G30:$T30) &gt; 0)
)</f>
        <v>0</v>
      </c>
      <c r="W30">
        <f t="shared" si="24"/>
        <v>0</v>
      </c>
      <c r="X30">
        <f t="shared" si="24"/>
        <v>0</v>
      </c>
      <c r="Y30">
        <f t="shared" si="25"/>
        <v>0</v>
      </c>
      <c r="Z30">
        <f t="shared" si="26"/>
        <v>0</v>
      </c>
      <c r="AA30" cm="1">
        <f t="array" ref="AA30" xml:space="preserve"> IFERROR(VLOOKUP($A30,$A$86:$X$1000,MATCH(AA$25,$A$87:$J$87,0), FALSE), 0) *
    (LEN($A30) &gt; 0)+SUMPRODUCT(
    IFERROR(VLOOKUP($G30:$T30, $B$87:$X$1000,MATCH(AA$25,$B$87:$X$87,0), FALSE), 0) *
    (LEN($G30:$T30) &gt; 0)
)</f>
        <v>0</v>
      </c>
      <c r="AB30" cm="1">
        <f t="array" ref="AB30">1+SUMPRODUCT(
    IFERROR(VLOOKUP($G30:$T30, $B$87:$X$1000,MATCH(AB$25,$B$87:$X$87,0), FALSE), 0) *
    (LEN($G30:$T30) &gt; 0)
)+IFERROR(VLOOKUP($A30,$A$87:$X$1000,MATCH(AB$25,$A$87:$J$87,0), FALSE), 0) *
    (LEN($A30) &gt; 0)</f>
        <v>1</v>
      </c>
      <c r="AC30" cm="1">
        <f t="array" ref="AC30">1+SUMPRODUCT(
    IFERROR(VLOOKUP($G30:$T30, $B$87:$X$1000,MATCH(AC$25,$B$87:$X$87,0), FALSE), 0) *
    (LEN($G30:$T30) &gt; 0)
)</f>
        <v>1</v>
      </c>
      <c r="AD30" cm="1">
        <f t="array" ref="AD30">SUMPRODUCT(
    IFERROR(VLOOKUP($G30:$T30, $B$87:$X$1000,MATCH(AD$25,$B$87:$X$87,0), FALSE), 0) *
    (LEN($G30:$T30) &gt; 0)
)+IFERROR(VLOOKUP($A30,$A$88:$X$1000,MATCH(AD$25,$A$87:$X$87,0), FALSE), 0) *
    (LEN($A30) &gt; 0)</f>
        <v>0</v>
      </c>
      <c r="AE30" cm="1">
        <f t="array" ref="AE30">SUMPRODUCT(
    IFERROR(VLOOKUP($G30:$T30, $B$87:$X$1000,MATCH(AE$25,$B$87:$X$87,0), FALSE), 0) *
    (LEN($G30:$T30) &gt; 0)
)+IFERROR(VLOOKUP($A30,$A$88:$X$1000,MATCH(AE$25,$A$87:$X$87,0), FALSE), 0) *
    (LEN($A30) &gt; 0)</f>
        <v>0</v>
      </c>
      <c r="AF30" cm="1">
        <f t="array" ref="AF30">SUMPRODUCT(
    IFERROR(VLOOKUP($G30:$T30, $B$87:$X$1000,MATCH(AF$25,$B$87:$X$87,0), FALSE), 0) *
    (LEN($G30:$T30) &gt; 0)
)+IFERROR(VLOOKUP($A30,$A$88:$X$1000,MATCH(AF$25,$A$87:$X$87,0), FALSE), 0) *
    (LEN($A30) &gt; 0)</f>
        <v>0</v>
      </c>
      <c r="AG30" cm="1">
        <f t="array" ref="AG30">SUMPRODUCT(
    IFERROR(VLOOKUP($G30:$T30, $B$87:$X$1000,MATCH(AG$25,$B$87:$X$87,0), FALSE), 0) *
    (LEN($G30:$T30) &gt; 0)
)+IFERROR(VLOOKUP($A30,$A$88:$X$1000,MATCH(AG$25,$A$87:$X$87,0), FALSE), 0) *
    (LEN($A30) &gt; 0)</f>
        <v>0</v>
      </c>
      <c r="AH30" cm="1">
        <f t="array" ref="AH30">SUMPRODUCT(
    IFERROR(VLOOKUP($G30:$T30, $B$87:$X$1000,MATCH(AH$25,$B$87:$X$87,0), FALSE), 0) *
    (LEN($G30:$T30) &gt; 0)
)+IFERROR(VLOOKUP($A30,$A$88:$X$1000,MATCH(AH$25,$A$87:$X$87,0), FALSE), 0) *
    (LEN($A30) &gt; 0)</f>
        <v>0</v>
      </c>
      <c r="AI30">
        <f t="shared" si="19"/>
        <v>1</v>
      </c>
      <c r="AJ30" cm="1">
        <f t="array" ref="AJ30">1+SUMPRODUCT(
    IFERROR(VLOOKUP($G30:$T30, $B$87:$X$1000,MATCH(AJ$25,$B$87:$X$87,0), FALSE), 0) *
    (LEN($G30:$T30) &gt; 0)
)</f>
        <v>1</v>
      </c>
      <c r="AK30" cm="1">
        <f t="array" ref="AK30">1+SUMPRODUCT(
    IFERROR(VLOOKUP($G30:$T30, $B$87:$X$1000,MATCH(AK$25,$B$87:$X$87,0), FALSE), 0) *
    (LEN($G30:$T30) &gt; 0)
)</f>
        <v>1</v>
      </c>
      <c r="AL30" cm="1">
        <f t="array" ref="AL30">1+SUMPRODUCT(
    IFERROR(VLOOKUP($G30:$T30, $B$87:$X$1000,MATCH(AL$25,$B$87:$X$87,0), FALSE), 0) *
    (LEN($G30:$T30) &gt; 0)
)</f>
        <v>1</v>
      </c>
      <c r="AM30" cm="1">
        <f t="array" ref="AM30">1+SUMPRODUCT(
    IFERROR(VLOOKUP($G30:$T30, $B$87:$X$1000,MATCH(AM$25,$B$87:$X$87,0), FALSE), 0) *
    (LEN($G30:$T30) &gt; 0)
)</f>
        <v>1</v>
      </c>
      <c r="AN30" cm="1">
        <f t="array" ref="AN30">1+SUMPRODUCT(
    IFERROR(VLOOKUP($G30:$T30, $B$87:$X$1000,MATCH(AN$25,$B$87:$X$87,0), FALSE), 0) *
    (LEN($G30:$T30) &gt; 0)
)</f>
        <v>1</v>
      </c>
      <c r="AO30">
        <f t="shared" si="27"/>
        <v>1</v>
      </c>
      <c r="AQ30">
        <f t="shared" si="28"/>
        <v>0.5</v>
      </c>
    </row>
    <row r="31" spans="1:46" ht="14.4" customHeight="1" x14ac:dyDescent="0.25">
      <c r="B31">
        <f t="shared" si="20"/>
        <v>0</v>
      </c>
      <c r="C31">
        <f t="shared" si="21"/>
        <v>0</v>
      </c>
      <c r="D31">
        <f t="shared" si="22"/>
        <v>0</v>
      </c>
      <c r="E31" s="36" t="e">
        <f>表2_5464[[#This Row],[列3]]/$C$62</f>
        <v>#DIV/0!</v>
      </c>
      <c r="F31" t="s">
        <v>791</v>
      </c>
      <c r="U31">
        <f t="shared" si="23"/>
        <v>0</v>
      </c>
      <c r="V31" cm="1">
        <f t="array" ref="V31" xml:space="preserve"> IFERROR(VLOOKUP($A31,$A$86:$X$1000,MATCH(V$25,$A$87:$J$87,0), FALSE), 0) *
    (LEN($A31) &gt; 0)+SUMPRODUCT(
    IFERROR(VLOOKUP($G31:$T31, $B$87:$X$1000,MATCH(V$25,$B$87:$X$87,0), FALSE), 0) *
    (LEN($G31:$T31) &gt; 0)
)</f>
        <v>0</v>
      </c>
      <c r="W31">
        <f t="shared" si="24"/>
        <v>0</v>
      </c>
      <c r="X31">
        <f t="shared" si="24"/>
        <v>0</v>
      </c>
      <c r="Y31">
        <f t="shared" si="25"/>
        <v>0</v>
      </c>
      <c r="Z31">
        <f t="shared" si="26"/>
        <v>0</v>
      </c>
      <c r="AA31" cm="1">
        <f t="array" ref="AA31" xml:space="preserve"> IFERROR(VLOOKUP($A31,$A$86:$X$1000,MATCH(AA$25,$A$87:$J$87,0), FALSE), 0) *
    (LEN($A31) &gt; 0)+SUMPRODUCT(
    IFERROR(VLOOKUP($G31:$T31, $B$87:$X$1000,MATCH(AA$25,$B$87:$X$87,0), FALSE), 0) *
    (LEN($G31:$T31) &gt; 0)
)</f>
        <v>0</v>
      </c>
      <c r="AB31" cm="1">
        <f t="array" ref="AB31">1+SUMPRODUCT(
    IFERROR(VLOOKUP($G31:$T31, $B$87:$X$1000,MATCH(AB$25,$B$87:$X$87,0), FALSE), 0) *
    (LEN($G31:$T31) &gt; 0)
)+IFERROR(VLOOKUP($A31,$A$87:$X$1000,MATCH(AB$25,$A$87:$J$87,0), FALSE), 0) *
    (LEN($A31) &gt; 0)</f>
        <v>1</v>
      </c>
      <c r="AC31" cm="1">
        <f t="array" ref="AC31">1+SUMPRODUCT(
    IFERROR(VLOOKUP($G31:$T31, $B$87:$X$1000,MATCH(AC$25,$B$87:$X$87,0), FALSE), 0) *
    (LEN($G31:$T31) &gt; 0)
)</f>
        <v>1</v>
      </c>
      <c r="AD31" cm="1">
        <f t="array" ref="AD31">SUMPRODUCT(
    IFERROR(VLOOKUP($G31:$T31, $B$87:$X$1000,MATCH(AD$25,$B$87:$X$87,0), FALSE), 0) *
    (LEN($G31:$T31) &gt; 0)
)+IFERROR(VLOOKUP($A31,$A$88:$X$1000,MATCH(AD$25,$A$87:$X$87,0), FALSE), 0) *
    (LEN($A31) &gt; 0)</f>
        <v>0</v>
      </c>
      <c r="AE31" cm="1">
        <f t="array" ref="AE31">SUMPRODUCT(
    IFERROR(VLOOKUP($G31:$T31, $B$87:$X$1000,MATCH(AE$25,$B$87:$X$87,0), FALSE), 0) *
    (LEN($G31:$T31) &gt; 0)
)+IFERROR(VLOOKUP($A31,$A$88:$X$1000,MATCH(AE$25,$A$87:$X$87,0), FALSE), 0) *
    (LEN($A31) &gt; 0)</f>
        <v>0</v>
      </c>
      <c r="AF31" cm="1">
        <f t="array" ref="AF31">SUMPRODUCT(
    IFERROR(VLOOKUP($G31:$T31, $B$87:$X$1000,MATCH(AF$25,$B$87:$X$87,0), FALSE), 0) *
    (LEN($G31:$T31) &gt; 0)
)+IFERROR(VLOOKUP($A31,$A$88:$X$1000,MATCH(AF$25,$A$87:$X$87,0), FALSE), 0) *
    (LEN($A31) &gt; 0)</f>
        <v>0</v>
      </c>
      <c r="AG31" cm="1">
        <f t="array" ref="AG31">SUMPRODUCT(
    IFERROR(VLOOKUP($G31:$T31, $B$87:$X$1000,MATCH(AG$25,$B$87:$X$87,0), FALSE), 0) *
    (LEN($G31:$T31) &gt; 0)
)+IFERROR(VLOOKUP($A31,$A$88:$X$1000,MATCH(AG$25,$A$87:$X$87,0), FALSE), 0) *
    (LEN($A31) &gt; 0)</f>
        <v>0</v>
      </c>
      <c r="AH31" cm="1">
        <f t="array" ref="AH31">SUMPRODUCT(
    IFERROR(VLOOKUP($G31:$T31, $B$87:$X$1000,MATCH(AH$25,$B$87:$X$87,0), FALSE), 0) *
    (LEN($G31:$T31) &gt; 0)
)+IFERROR(VLOOKUP($A31,$A$88:$X$1000,MATCH(AH$25,$A$87:$X$87,0), FALSE), 0) *
    (LEN($A31) &gt; 0)</f>
        <v>0</v>
      </c>
      <c r="AI31">
        <f t="shared" si="19"/>
        <v>1</v>
      </c>
      <c r="AJ31" cm="1">
        <f t="array" ref="AJ31">1+SUMPRODUCT(
    IFERROR(VLOOKUP($G31:$T31, $B$87:$X$1000,MATCH(AJ$25,$B$87:$X$87,0), FALSE), 0) *
    (LEN($G31:$T31) &gt; 0)
)</f>
        <v>1</v>
      </c>
      <c r="AK31" cm="1">
        <f t="array" ref="AK31">1+SUMPRODUCT(
    IFERROR(VLOOKUP($G31:$T31, $B$87:$X$1000,MATCH(AK$25,$B$87:$X$87,0), FALSE), 0) *
    (LEN($G31:$T31) &gt; 0)
)</f>
        <v>1</v>
      </c>
      <c r="AL31" cm="1">
        <f t="array" ref="AL31">1+SUMPRODUCT(
    IFERROR(VLOOKUP($G31:$T31, $B$87:$X$1000,MATCH(AL$25,$B$87:$X$87,0), FALSE), 0) *
    (LEN($G31:$T31) &gt; 0)
)</f>
        <v>1</v>
      </c>
      <c r="AM31" cm="1">
        <f t="array" ref="AM31">1+SUMPRODUCT(
    IFERROR(VLOOKUP($G31:$T31, $B$87:$X$1000,MATCH(AM$25,$B$87:$X$87,0), FALSE), 0) *
    (LEN($G31:$T31) &gt; 0)
)</f>
        <v>1</v>
      </c>
      <c r="AN31" cm="1">
        <f t="array" ref="AN31">1+SUMPRODUCT(
    IFERROR(VLOOKUP($G31:$T31, $B$87:$X$1000,MATCH(AN$25,$B$87:$X$87,0), FALSE), 0) *
    (LEN($G31:$T31) &gt; 0)
)</f>
        <v>1</v>
      </c>
      <c r="AO31">
        <f t="shared" si="27"/>
        <v>1</v>
      </c>
      <c r="AQ31">
        <f t="shared" si="28"/>
        <v>0.5</v>
      </c>
    </row>
    <row r="32" spans="1:46" x14ac:dyDescent="0.25">
      <c r="B32">
        <f t="shared" si="20"/>
        <v>0</v>
      </c>
      <c r="C32">
        <f t="shared" si="21"/>
        <v>0</v>
      </c>
      <c r="D32">
        <f t="shared" si="22"/>
        <v>0</v>
      </c>
      <c r="E32" s="36" t="e">
        <f>表2_5464[[#This Row],[列3]]/$C$62</f>
        <v>#DIV/0!</v>
      </c>
      <c r="F32" t="s">
        <v>791</v>
      </c>
      <c r="U32">
        <f t="shared" si="23"/>
        <v>0</v>
      </c>
      <c r="V32" cm="1">
        <f t="array" ref="V32" xml:space="preserve"> IFERROR(VLOOKUP($A32,$A$86:$X$1000,MATCH(V$25,$A$87:$J$87,0), FALSE), 0) *
    (LEN($A32) &gt; 0)+SUMPRODUCT(
    IFERROR(VLOOKUP($G32:$T32, $B$87:$X$1000,MATCH(V$25,$B$87:$X$87,0), FALSE), 0) *
    (LEN($G32:$T32) &gt; 0)
)</f>
        <v>0</v>
      </c>
      <c r="W32">
        <f t="shared" si="24"/>
        <v>0</v>
      </c>
      <c r="X32">
        <f t="shared" si="24"/>
        <v>0</v>
      </c>
      <c r="Y32">
        <f t="shared" si="25"/>
        <v>0</v>
      </c>
      <c r="Z32">
        <f t="shared" si="26"/>
        <v>0</v>
      </c>
      <c r="AA32" cm="1">
        <f t="array" ref="AA32" xml:space="preserve"> IFERROR(VLOOKUP($A32,$A$86:$X$1000,MATCH(AA$25,$A$87:$J$87,0), FALSE), 0) *
    (LEN($A32) &gt; 0)+SUMPRODUCT(
    IFERROR(VLOOKUP($G32:$T32, $B$87:$X$1000,MATCH(AA$25,$B$87:$X$87,0), FALSE), 0) *
    (LEN($G32:$T32) &gt; 0)
)</f>
        <v>0</v>
      </c>
      <c r="AB32" cm="1">
        <f t="array" ref="AB32">1+SUMPRODUCT(
    IFERROR(VLOOKUP($G32:$T32, $B$87:$X$1000,MATCH(AB$25,$B$87:$X$87,0), FALSE), 0) *
    (LEN($G32:$T32) &gt; 0)
)+IFERROR(VLOOKUP($A32,$A$87:$X$1000,MATCH(AB$25,$A$87:$J$87,0), FALSE), 0) *
    (LEN($A32) &gt; 0)</f>
        <v>1</v>
      </c>
      <c r="AC32" cm="1">
        <f t="array" ref="AC32">1+SUMPRODUCT(
    IFERROR(VLOOKUP($G32:$T32, $B$87:$X$1000,MATCH(AC$25,$B$87:$X$87,0), FALSE), 0) *
    (LEN($G32:$T32) &gt; 0)
)</f>
        <v>1</v>
      </c>
      <c r="AD32" cm="1">
        <f t="array" ref="AD32">SUMPRODUCT(
    IFERROR(VLOOKUP($G32:$T32, $B$87:$X$1000,MATCH(AD$25,$B$87:$X$87,0), FALSE), 0) *
    (LEN($G32:$T32) &gt; 0)
)+IFERROR(VLOOKUP($A32,$A$88:$X$1000,MATCH(AD$25,$A$87:$X$87,0), FALSE), 0) *
    (LEN($A32) &gt; 0)</f>
        <v>0</v>
      </c>
      <c r="AE32" cm="1">
        <f t="array" ref="AE32">SUMPRODUCT(
    IFERROR(VLOOKUP($G32:$T32, $B$87:$X$1000,MATCH(AE$25,$B$87:$X$87,0), FALSE), 0) *
    (LEN($G32:$T32) &gt; 0)
)+IFERROR(VLOOKUP($A32,$A$88:$X$1000,MATCH(AE$25,$A$87:$X$87,0), FALSE), 0) *
    (LEN($A32) &gt; 0)</f>
        <v>0</v>
      </c>
      <c r="AF32" cm="1">
        <f t="array" ref="AF32">SUMPRODUCT(
    IFERROR(VLOOKUP($G32:$T32, $B$87:$X$1000,MATCH(AF$25,$B$87:$X$87,0), FALSE), 0) *
    (LEN($G32:$T32) &gt; 0)
)+IFERROR(VLOOKUP($A32,$A$88:$X$1000,MATCH(AF$25,$A$87:$X$87,0), FALSE), 0) *
    (LEN($A32) &gt; 0)</f>
        <v>0</v>
      </c>
      <c r="AG32" cm="1">
        <f t="array" ref="AG32">SUMPRODUCT(
    IFERROR(VLOOKUP($G32:$T32, $B$87:$X$1000,MATCH(AG$25,$B$87:$X$87,0), FALSE), 0) *
    (LEN($G32:$T32) &gt; 0)
)+IFERROR(VLOOKUP($A32,$A$88:$X$1000,MATCH(AG$25,$A$87:$X$87,0), FALSE), 0) *
    (LEN($A32) &gt; 0)</f>
        <v>0</v>
      </c>
      <c r="AH32" cm="1">
        <f t="array" ref="AH32">SUMPRODUCT(
    IFERROR(VLOOKUP($G32:$T32, $B$87:$X$1000,MATCH(AH$25,$B$87:$X$87,0), FALSE), 0) *
    (LEN($G32:$T32) &gt; 0)
)+IFERROR(VLOOKUP($A32,$A$88:$X$1000,MATCH(AH$25,$A$87:$X$87,0), FALSE), 0) *
    (LEN($A32) &gt; 0)</f>
        <v>0</v>
      </c>
      <c r="AI32">
        <f t="shared" si="19"/>
        <v>1</v>
      </c>
      <c r="AJ32" cm="1">
        <f t="array" ref="AJ32">1+SUMPRODUCT(
    IFERROR(VLOOKUP($G32:$T32, $B$87:$X$1000,MATCH(AJ$25,$B$87:$X$87,0), FALSE), 0) *
    (LEN($G32:$T32) &gt; 0)
)</f>
        <v>1</v>
      </c>
      <c r="AK32" cm="1">
        <f t="array" ref="AK32">1+SUMPRODUCT(
    IFERROR(VLOOKUP($G32:$T32, $B$87:$X$1000,MATCH(AK$25,$B$87:$X$87,0), FALSE), 0) *
    (LEN($G32:$T32) &gt; 0)
)</f>
        <v>1</v>
      </c>
      <c r="AL32" cm="1">
        <f t="array" ref="AL32">1+SUMPRODUCT(
    IFERROR(VLOOKUP($G32:$T32, $B$87:$X$1000,MATCH(AL$25,$B$87:$X$87,0), FALSE), 0) *
    (LEN($G32:$T32) &gt; 0)
)</f>
        <v>1</v>
      </c>
      <c r="AM32" cm="1">
        <f t="array" ref="AM32">1+SUMPRODUCT(
    IFERROR(VLOOKUP($G32:$T32, $B$87:$X$1000,MATCH(AM$25,$B$87:$X$87,0), FALSE), 0) *
    (LEN($G32:$T32) &gt; 0)
)</f>
        <v>1</v>
      </c>
      <c r="AN32" cm="1">
        <f t="array" ref="AN32">1+SUMPRODUCT(
    IFERROR(VLOOKUP($G32:$T32, $B$87:$X$1000,MATCH(AN$25,$B$87:$X$87,0), FALSE), 0) *
    (LEN($G32:$T32) &gt; 0)
)</f>
        <v>1</v>
      </c>
      <c r="AO32">
        <f t="shared" si="27"/>
        <v>1</v>
      </c>
      <c r="AQ32">
        <f t="shared" si="28"/>
        <v>0.5</v>
      </c>
    </row>
    <row r="33" spans="2:43" x14ac:dyDescent="0.25">
      <c r="B33">
        <f t="shared" si="20"/>
        <v>0</v>
      </c>
      <c r="C33">
        <f t="shared" si="21"/>
        <v>0</v>
      </c>
      <c r="D33">
        <f t="shared" si="22"/>
        <v>0</v>
      </c>
      <c r="E33" s="36" t="e">
        <f>表2_5464[[#This Row],[列3]]/$C$62</f>
        <v>#DIV/0!</v>
      </c>
      <c r="F33" t="s">
        <v>791</v>
      </c>
      <c r="U33">
        <f t="shared" si="23"/>
        <v>0</v>
      </c>
      <c r="V33" cm="1">
        <f t="array" ref="V33" xml:space="preserve"> IFERROR(VLOOKUP($A33,$A$86:$X$1000,MATCH(V$25,$A$87:$J$87,0), FALSE), 0) *
    (LEN($A33) &gt; 0)+SUMPRODUCT(
    IFERROR(VLOOKUP($G33:$T33, $B$87:$X$1000,MATCH(V$25,$B$87:$X$87,0), FALSE), 0) *
    (LEN($G33:$T33) &gt; 0)
)</f>
        <v>0</v>
      </c>
      <c r="W33">
        <f t="shared" si="24"/>
        <v>0</v>
      </c>
      <c r="X33">
        <f t="shared" si="24"/>
        <v>0</v>
      </c>
      <c r="Y33">
        <f t="shared" si="25"/>
        <v>0</v>
      </c>
      <c r="Z33">
        <f t="shared" si="26"/>
        <v>0</v>
      </c>
      <c r="AA33" cm="1">
        <f t="array" ref="AA33" xml:space="preserve"> IFERROR(VLOOKUP($A33,$A$86:$X$1000,MATCH(AA$25,$A$87:$J$87,0), FALSE), 0) *
    (LEN($A33) &gt; 0)+SUMPRODUCT(
    IFERROR(VLOOKUP($G33:$T33, $B$87:$X$1000,MATCH(AA$25,$B$87:$X$87,0), FALSE), 0) *
    (LEN($G33:$T33) &gt; 0)
)</f>
        <v>0</v>
      </c>
      <c r="AB33" cm="1">
        <f t="array" ref="AB33">1+SUMPRODUCT(
    IFERROR(VLOOKUP($G33:$T33, $B$87:$X$1000,MATCH(AB$25,$B$87:$X$87,0), FALSE), 0) *
    (LEN($G33:$T33) &gt; 0)
)+IFERROR(VLOOKUP($A33,$A$87:$X$1000,MATCH(AB$25,$A$87:$J$87,0), FALSE), 0) *
    (LEN($A33) &gt; 0)</f>
        <v>1</v>
      </c>
      <c r="AC33" cm="1">
        <f t="array" ref="AC33">1+SUMPRODUCT(
    IFERROR(VLOOKUP($G33:$T33, $B$87:$X$1000,MATCH(AC$25,$B$87:$X$87,0), FALSE), 0) *
    (LEN($G33:$T33) &gt; 0)
)</f>
        <v>1</v>
      </c>
      <c r="AD33" cm="1">
        <f t="array" ref="AD33">SUMPRODUCT(
    IFERROR(VLOOKUP($G33:$T33, $B$87:$X$1000,MATCH(AD$25,$B$87:$X$87,0), FALSE), 0) *
    (LEN($G33:$T33) &gt; 0)
)+IFERROR(VLOOKUP($A33,$A$88:$X$1000,MATCH(AD$25,$A$87:$X$87,0), FALSE), 0) *
    (LEN($A33) &gt; 0)</f>
        <v>0</v>
      </c>
      <c r="AE33" cm="1">
        <f t="array" ref="AE33">SUMPRODUCT(
    IFERROR(VLOOKUP($G33:$T33, $B$87:$X$1000,MATCH(AE$25,$B$87:$X$87,0), FALSE), 0) *
    (LEN($G33:$T33) &gt; 0)
)+IFERROR(VLOOKUP($A33,$A$88:$X$1000,MATCH(AE$25,$A$87:$X$87,0), FALSE), 0) *
    (LEN($A33) &gt; 0)</f>
        <v>0</v>
      </c>
      <c r="AF33" cm="1">
        <f t="array" ref="AF33">SUMPRODUCT(
    IFERROR(VLOOKUP($G33:$T33, $B$87:$X$1000,MATCH(AF$25,$B$87:$X$87,0), FALSE), 0) *
    (LEN($G33:$T33) &gt; 0)
)+IFERROR(VLOOKUP($A33,$A$88:$X$1000,MATCH(AF$25,$A$87:$X$87,0), FALSE), 0) *
    (LEN($A33) &gt; 0)</f>
        <v>0</v>
      </c>
      <c r="AG33" cm="1">
        <f t="array" ref="AG33">SUMPRODUCT(
    IFERROR(VLOOKUP($G33:$T33, $B$87:$X$1000,MATCH(AG$25,$B$87:$X$87,0), FALSE), 0) *
    (LEN($G33:$T33) &gt; 0)
)+IFERROR(VLOOKUP($A33,$A$88:$X$1000,MATCH(AG$25,$A$87:$X$87,0), FALSE), 0) *
    (LEN($A33) &gt; 0)</f>
        <v>0</v>
      </c>
      <c r="AH33" cm="1">
        <f t="array" ref="AH33">SUMPRODUCT(
    IFERROR(VLOOKUP($G33:$T33, $B$87:$X$1000,MATCH(AH$25,$B$87:$X$87,0), FALSE), 0) *
    (LEN($G33:$T33) &gt; 0)
)+IFERROR(VLOOKUP($A33,$A$88:$X$1000,MATCH(AH$25,$A$87:$X$87,0), FALSE), 0) *
    (LEN($A33) &gt; 0)</f>
        <v>0</v>
      </c>
      <c r="AI33">
        <f t="shared" si="19"/>
        <v>1</v>
      </c>
      <c r="AJ33" cm="1">
        <f t="array" ref="AJ33">1+SUMPRODUCT(
    IFERROR(VLOOKUP($G33:$T33, $B$87:$X$1000,MATCH(AJ$25,$B$87:$X$87,0), FALSE), 0) *
    (LEN($G33:$T33) &gt; 0)
)</f>
        <v>1</v>
      </c>
      <c r="AK33" cm="1">
        <f t="array" ref="AK33">1+SUMPRODUCT(
    IFERROR(VLOOKUP($G33:$T33, $B$87:$X$1000,MATCH(AK$25,$B$87:$X$87,0), FALSE), 0) *
    (LEN($G33:$T33) &gt; 0)
)</f>
        <v>1</v>
      </c>
      <c r="AL33" cm="1">
        <f t="array" ref="AL33">1+SUMPRODUCT(
    IFERROR(VLOOKUP($G33:$T33, $B$87:$X$1000,MATCH(AL$25,$B$87:$X$87,0), FALSE), 0) *
    (LEN($G33:$T33) &gt; 0)
)</f>
        <v>1</v>
      </c>
      <c r="AM33" cm="1">
        <f t="array" ref="AM33">1+SUMPRODUCT(
    IFERROR(VLOOKUP($G33:$T33, $B$87:$X$1000,MATCH(AM$25,$B$87:$X$87,0), FALSE), 0) *
    (LEN($G33:$T33) &gt; 0)
)</f>
        <v>1</v>
      </c>
      <c r="AN33" cm="1">
        <f t="array" ref="AN33">1+SUMPRODUCT(
    IFERROR(VLOOKUP($G33:$T33, $B$87:$X$1000,MATCH(AN$25,$B$87:$X$87,0), FALSE), 0) *
    (LEN($G33:$T33) &gt; 0)
)</f>
        <v>1</v>
      </c>
      <c r="AO33">
        <f t="shared" si="27"/>
        <v>1</v>
      </c>
      <c r="AQ33">
        <f t="shared" si="28"/>
        <v>0.5</v>
      </c>
    </row>
    <row r="34" spans="2:43" x14ac:dyDescent="0.25">
      <c r="B34">
        <f t="shared" si="20"/>
        <v>0</v>
      </c>
      <c r="C34">
        <f t="shared" si="21"/>
        <v>0</v>
      </c>
      <c r="D34">
        <f t="shared" si="22"/>
        <v>0</v>
      </c>
      <c r="E34" s="36" t="e">
        <f>表2_5464[[#This Row],[列3]]/$C$62</f>
        <v>#DIV/0!</v>
      </c>
      <c r="F34" t="s">
        <v>791</v>
      </c>
      <c r="U34">
        <f t="shared" si="23"/>
        <v>0</v>
      </c>
      <c r="V34" cm="1">
        <f t="array" ref="V34" xml:space="preserve"> IFERROR(VLOOKUP($A34,$A$86:$X$1000,MATCH(V$25,$A$87:$J$87,0), FALSE), 0) *
    (LEN($A34) &gt; 0)+SUMPRODUCT(
    IFERROR(VLOOKUP($G34:$T34, $B$87:$X$1000,MATCH(V$25,$B$87:$X$87,0), FALSE), 0) *
    (LEN($G34:$T34) &gt; 0)
)</f>
        <v>0</v>
      </c>
      <c r="W34">
        <f t="shared" si="24"/>
        <v>0</v>
      </c>
      <c r="X34">
        <f t="shared" si="24"/>
        <v>0</v>
      </c>
      <c r="Y34">
        <f t="shared" si="25"/>
        <v>0</v>
      </c>
      <c r="Z34">
        <f t="shared" si="26"/>
        <v>0</v>
      </c>
      <c r="AA34" cm="1">
        <f t="array" ref="AA34" xml:space="preserve"> IFERROR(VLOOKUP($A34,$A$86:$X$1000,MATCH(AA$25,$A$87:$J$87,0), FALSE), 0) *
    (LEN($A34) &gt; 0)+SUMPRODUCT(
    IFERROR(VLOOKUP($G34:$T34, $B$87:$X$1000,MATCH(AA$25,$B$87:$X$87,0), FALSE), 0) *
    (LEN($G34:$T34) &gt; 0)
)</f>
        <v>0</v>
      </c>
      <c r="AB34" cm="1">
        <f t="array" ref="AB34">1+SUMPRODUCT(
    IFERROR(VLOOKUP($G34:$T34, $B$87:$X$1000,MATCH(AB$25,$B$87:$X$87,0), FALSE), 0) *
    (LEN($G34:$T34) &gt; 0)
)+IFERROR(VLOOKUP($A34,$A$87:$X$1000,MATCH(AB$25,$A$87:$J$87,0), FALSE), 0) *
    (LEN($A34) &gt; 0)</f>
        <v>1</v>
      </c>
      <c r="AC34" cm="1">
        <f t="array" ref="AC34">1+SUMPRODUCT(
    IFERROR(VLOOKUP($G34:$T34, $B$87:$X$1000,MATCH(AC$25,$B$87:$X$87,0), FALSE), 0) *
    (LEN($G34:$T34) &gt; 0)
)</f>
        <v>1</v>
      </c>
      <c r="AD34" cm="1">
        <f t="array" ref="AD34">SUMPRODUCT(
    IFERROR(VLOOKUP($G34:$T34, $B$87:$X$1000,MATCH(AD$25,$B$87:$X$87,0), FALSE), 0) *
    (LEN($G34:$T34) &gt; 0)
)+IFERROR(VLOOKUP($A34,$A$88:$X$1000,MATCH(AD$25,$A$87:$X$87,0), FALSE), 0) *
    (LEN($A34) &gt; 0)</f>
        <v>0</v>
      </c>
      <c r="AE34" cm="1">
        <f t="array" ref="AE34">SUMPRODUCT(
    IFERROR(VLOOKUP($G34:$T34, $B$87:$X$1000,MATCH(AE$25,$B$87:$X$87,0), FALSE), 0) *
    (LEN($G34:$T34) &gt; 0)
)+IFERROR(VLOOKUP($A34,$A$88:$X$1000,MATCH(AE$25,$A$87:$X$87,0), FALSE), 0) *
    (LEN($A34) &gt; 0)</f>
        <v>0</v>
      </c>
      <c r="AF34" cm="1">
        <f t="array" ref="AF34">SUMPRODUCT(
    IFERROR(VLOOKUP($G34:$T34, $B$87:$X$1000,MATCH(AF$25,$B$87:$X$87,0), FALSE), 0) *
    (LEN($G34:$T34) &gt; 0)
)+IFERROR(VLOOKUP($A34,$A$88:$X$1000,MATCH(AF$25,$A$87:$X$87,0), FALSE), 0) *
    (LEN($A34) &gt; 0)</f>
        <v>0</v>
      </c>
      <c r="AG34" cm="1">
        <f t="array" ref="AG34">SUMPRODUCT(
    IFERROR(VLOOKUP($G34:$T34, $B$87:$X$1000,MATCH(AG$25,$B$87:$X$87,0), FALSE), 0) *
    (LEN($G34:$T34) &gt; 0)
)+IFERROR(VLOOKUP($A34,$A$88:$X$1000,MATCH(AG$25,$A$87:$X$87,0), FALSE), 0) *
    (LEN($A34) &gt; 0)</f>
        <v>0</v>
      </c>
      <c r="AH34" cm="1">
        <f t="array" ref="AH34">SUMPRODUCT(
    IFERROR(VLOOKUP($G34:$T34, $B$87:$X$1000,MATCH(AH$25,$B$87:$X$87,0), FALSE), 0) *
    (LEN($G34:$T34) &gt; 0)
)+IFERROR(VLOOKUP($A34,$A$88:$X$1000,MATCH(AH$25,$A$87:$X$87,0), FALSE), 0) *
    (LEN($A34) &gt; 0)</f>
        <v>0</v>
      </c>
      <c r="AI34">
        <f t="shared" si="19"/>
        <v>1</v>
      </c>
      <c r="AJ34" cm="1">
        <f t="array" ref="AJ34">1+SUMPRODUCT(
    IFERROR(VLOOKUP($G34:$T34, $B$87:$X$1000,MATCH(AJ$25,$B$87:$X$87,0), FALSE), 0) *
    (LEN($G34:$T34) &gt; 0)
)</f>
        <v>1</v>
      </c>
      <c r="AK34" cm="1">
        <f t="array" ref="AK34">1+SUMPRODUCT(
    IFERROR(VLOOKUP($G34:$T34, $B$87:$X$1000,MATCH(AK$25,$B$87:$X$87,0), FALSE), 0) *
    (LEN($G34:$T34) &gt; 0)
)</f>
        <v>1</v>
      </c>
      <c r="AL34" cm="1">
        <f t="array" ref="AL34">1+SUMPRODUCT(
    IFERROR(VLOOKUP($G34:$T34, $B$87:$X$1000,MATCH(AL$25,$B$87:$X$87,0), FALSE), 0) *
    (LEN($G34:$T34) &gt; 0)
)</f>
        <v>1</v>
      </c>
      <c r="AM34" cm="1">
        <f t="array" ref="AM34">1+SUMPRODUCT(
    IFERROR(VLOOKUP($G34:$T34, $B$87:$X$1000,MATCH(AM$25,$B$87:$X$87,0), FALSE), 0) *
    (LEN($G34:$T34) &gt; 0)
)</f>
        <v>1</v>
      </c>
      <c r="AN34" cm="1">
        <f t="array" ref="AN34">1+SUMPRODUCT(
    IFERROR(VLOOKUP($G34:$T34, $B$87:$X$1000,MATCH(AN$25,$B$87:$X$87,0), FALSE), 0) *
    (LEN($G34:$T34) &gt; 0)
)</f>
        <v>1</v>
      </c>
      <c r="AO34">
        <f t="shared" si="27"/>
        <v>1</v>
      </c>
      <c r="AQ34">
        <f t="shared" si="28"/>
        <v>0.5</v>
      </c>
    </row>
    <row r="35" spans="2:43" x14ac:dyDescent="0.25">
      <c r="B35">
        <f t="shared" si="20"/>
        <v>0</v>
      </c>
      <c r="C35">
        <f t="shared" si="21"/>
        <v>0</v>
      </c>
      <c r="D35">
        <f t="shared" si="22"/>
        <v>0</v>
      </c>
      <c r="E35" s="36" t="e">
        <f>表2_5464[[#This Row],[列3]]/$C$62</f>
        <v>#DIV/0!</v>
      </c>
      <c r="F35" t="s">
        <v>791</v>
      </c>
      <c r="U35">
        <f t="shared" si="23"/>
        <v>0</v>
      </c>
      <c r="V35" cm="1">
        <f t="array" ref="V35" xml:space="preserve"> IFERROR(VLOOKUP($A35,$A$86:$X$1000,MATCH(V$25,$A$87:$J$87,0), FALSE), 0) *
    (LEN($A35) &gt; 0)+SUMPRODUCT(
    IFERROR(VLOOKUP($G35:$T35, $B$87:$X$1000,MATCH(V$25,$B$87:$X$87,0), FALSE), 0) *
    (LEN($G35:$T35) &gt; 0)
)</f>
        <v>0</v>
      </c>
      <c r="W35">
        <f t="shared" si="24"/>
        <v>0</v>
      </c>
      <c r="X35">
        <f t="shared" si="24"/>
        <v>0</v>
      </c>
      <c r="Y35">
        <f t="shared" si="25"/>
        <v>0</v>
      </c>
      <c r="Z35">
        <f t="shared" si="26"/>
        <v>0</v>
      </c>
      <c r="AA35" cm="1">
        <f t="array" ref="AA35" xml:space="preserve"> IFERROR(VLOOKUP($A35,$A$86:$X$1000,MATCH(AA$25,$A$87:$J$87,0), FALSE), 0) *
    (LEN($A35) &gt; 0)+SUMPRODUCT(
    IFERROR(VLOOKUP($G35:$T35, $B$87:$X$1000,MATCH(AA$25,$B$87:$X$87,0), FALSE), 0) *
    (LEN($G35:$T35) &gt; 0)
)</f>
        <v>0</v>
      </c>
      <c r="AB35" cm="1">
        <f t="array" ref="AB35">1+SUMPRODUCT(
    IFERROR(VLOOKUP($G35:$T35, $B$87:$X$1000,MATCH(AB$25,$B$87:$X$87,0), FALSE), 0) *
    (LEN($G35:$T35) &gt; 0)
)+IFERROR(VLOOKUP($A35,$A$87:$X$1000,MATCH(AB$25,$A$87:$J$87,0), FALSE), 0) *
    (LEN($A35) &gt; 0)</f>
        <v>1</v>
      </c>
      <c r="AC35" cm="1">
        <f t="array" ref="AC35">1+SUMPRODUCT(
    IFERROR(VLOOKUP($G35:$T35, $B$87:$X$1000,MATCH(AC$25,$B$87:$X$87,0), FALSE), 0) *
    (LEN($G35:$T35) &gt; 0)
)</f>
        <v>1</v>
      </c>
      <c r="AD35" cm="1">
        <f t="array" ref="AD35">SUMPRODUCT(
    IFERROR(VLOOKUP($G35:$T35, $B$87:$X$1000,MATCH(AD$25,$B$87:$X$87,0), FALSE), 0) *
    (LEN($G35:$T35) &gt; 0)
)+IFERROR(VLOOKUP($A35,$A$88:$X$1000,MATCH(AD$25,$A$87:$X$87,0), FALSE), 0) *
    (LEN($A35) &gt; 0)</f>
        <v>0</v>
      </c>
      <c r="AE35" cm="1">
        <f t="array" ref="AE35">SUMPRODUCT(
    IFERROR(VLOOKUP($G35:$T35, $B$87:$X$1000,MATCH(AE$25,$B$87:$X$87,0), FALSE), 0) *
    (LEN($G35:$T35) &gt; 0)
)+IFERROR(VLOOKUP($A35,$A$88:$X$1000,MATCH(AE$25,$A$87:$X$87,0), FALSE), 0) *
    (LEN($A35) &gt; 0)</f>
        <v>0</v>
      </c>
      <c r="AF35" cm="1">
        <f t="array" ref="AF35">SUMPRODUCT(
    IFERROR(VLOOKUP($G35:$T35, $B$87:$X$1000,MATCH(AF$25,$B$87:$X$87,0), FALSE), 0) *
    (LEN($G35:$T35) &gt; 0)
)+IFERROR(VLOOKUP($A35,$A$88:$X$1000,MATCH(AF$25,$A$87:$X$87,0), FALSE), 0) *
    (LEN($A35) &gt; 0)</f>
        <v>0</v>
      </c>
      <c r="AG35" cm="1">
        <f t="array" ref="AG35">SUMPRODUCT(
    IFERROR(VLOOKUP($G35:$T35, $B$87:$X$1000,MATCH(AG$25,$B$87:$X$87,0), FALSE), 0) *
    (LEN($G35:$T35) &gt; 0)
)+IFERROR(VLOOKUP($A35,$A$88:$X$1000,MATCH(AG$25,$A$87:$X$87,0), FALSE), 0) *
    (LEN($A35) &gt; 0)</f>
        <v>0</v>
      </c>
      <c r="AH35" cm="1">
        <f t="array" ref="AH35">SUMPRODUCT(
    IFERROR(VLOOKUP($G35:$T35, $B$87:$X$1000,MATCH(AH$25,$B$87:$X$87,0), FALSE), 0) *
    (LEN($G35:$T35) &gt; 0)
)+IFERROR(VLOOKUP($A35,$A$88:$X$1000,MATCH(AH$25,$A$87:$X$87,0), FALSE), 0) *
    (LEN($A35) &gt; 0)</f>
        <v>0</v>
      </c>
      <c r="AI35">
        <f t="shared" si="19"/>
        <v>1</v>
      </c>
      <c r="AJ35" cm="1">
        <f t="array" ref="AJ35">1+SUMPRODUCT(
    IFERROR(VLOOKUP($G35:$T35, $B$87:$X$1000,MATCH(AJ$25,$B$87:$X$87,0), FALSE), 0) *
    (LEN($G35:$T35) &gt; 0)
)</f>
        <v>1</v>
      </c>
      <c r="AK35" cm="1">
        <f t="array" ref="AK35">1+SUMPRODUCT(
    IFERROR(VLOOKUP($G35:$T35, $B$87:$X$1000,MATCH(AK$25,$B$87:$X$87,0), FALSE), 0) *
    (LEN($G35:$T35) &gt; 0)
)</f>
        <v>1</v>
      </c>
      <c r="AL35" cm="1">
        <f t="array" ref="AL35">1+SUMPRODUCT(
    IFERROR(VLOOKUP($G35:$T35, $B$87:$X$1000,MATCH(AL$25,$B$87:$X$87,0), FALSE), 0) *
    (LEN($G35:$T35) &gt; 0)
)</f>
        <v>1</v>
      </c>
      <c r="AM35" cm="1">
        <f t="array" ref="AM35">1+SUMPRODUCT(
    IFERROR(VLOOKUP($G35:$T35, $B$87:$X$1000,MATCH(AM$25,$B$87:$X$87,0), FALSE), 0) *
    (LEN($G35:$T35) &gt; 0)
)</f>
        <v>1</v>
      </c>
      <c r="AN35" cm="1">
        <f t="array" ref="AN35">1+SUMPRODUCT(
    IFERROR(VLOOKUP($G35:$T35, $B$87:$X$1000,MATCH(AN$25,$B$87:$X$87,0), FALSE), 0) *
    (LEN($G35:$T35) &gt; 0)
)</f>
        <v>1</v>
      </c>
      <c r="AO35">
        <f t="shared" si="27"/>
        <v>1</v>
      </c>
      <c r="AQ35">
        <f t="shared" si="28"/>
        <v>0.5</v>
      </c>
    </row>
    <row r="36" spans="2:43" x14ac:dyDescent="0.25">
      <c r="B36">
        <f t="shared" si="20"/>
        <v>0</v>
      </c>
      <c r="C36">
        <f t="shared" si="21"/>
        <v>0</v>
      </c>
      <c r="D36">
        <f t="shared" si="22"/>
        <v>0</v>
      </c>
      <c r="E36" s="36" t="e">
        <f>表2_5464[[#This Row],[列3]]/$C$62</f>
        <v>#DIV/0!</v>
      </c>
      <c r="F36" t="s">
        <v>791</v>
      </c>
      <c r="U36">
        <f t="shared" si="23"/>
        <v>0</v>
      </c>
      <c r="V36" cm="1">
        <f t="array" ref="V36" xml:space="preserve"> IFERROR(VLOOKUP($A36,$A$86:$X$1000,MATCH(V$25,$A$87:$J$87,0), FALSE), 0) *
    (LEN($A36) &gt; 0)+SUMPRODUCT(
    IFERROR(VLOOKUP($G36:$T36, $B$87:$X$1000,MATCH(V$25,$B$87:$X$87,0), FALSE), 0) *
    (LEN($G36:$T36) &gt; 0)
)</f>
        <v>0</v>
      </c>
      <c r="W36">
        <f t="shared" si="24"/>
        <v>0</v>
      </c>
      <c r="X36">
        <f t="shared" si="24"/>
        <v>0</v>
      </c>
      <c r="Y36">
        <f t="shared" si="25"/>
        <v>0</v>
      </c>
      <c r="Z36">
        <f t="shared" si="26"/>
        <v>0</v>
      </c>
      <c r="AA36" cm="1">
        <f t="array" ref="AA36" xml:space="preserve"> IFERROR(VLOOKUP($A36,$A$86:$X$1000,MATCH(AA$25,$A$87:$J$87,0), FALSE), 0) *
    (LEN($A36) &gt; 0)+SUMPRODUCT(
    IFERROR(VLOOKUP($G36:$T36, $B$87:$X$1000,MATCH(AA$25,$B$87:$X$87,0), FALSE), 0) *
    (LEN($G36:$T36) &gt; 0)
)</f>
        <v>0</v>
      </c>
      <c r="AB36" cm="1">
        <f t="array" ref="AB36">1+SUMPRODUCT(
    IFERROR(VLOOKUP($G36:$T36, $B$87:$X$1000,MATCH(AB$25,$B$87:$X$87,0), FALSE), 0) *
    (LEN($G36:$T36) &gt; 0)
)+IFERROR(VLOOKUP($A36,$A$87:$X$1000,MATCH(AB$25,$A$87:$J$87,0), FALSE), 0) *
    (LEN($A36) &gt; 0)</f>
        <v>1</v>
      </c>
      <c r="AC36" cm="1">
        <f t="array" ref="AC36">1+SUMPRODUCT(
    IFERROR(VLOOKUP($G36:$T36, $B$87:$X$1000,MATCH(AC$25,$B$87:$X$87,0), FALSE), 0) *
    (LEN($G36:$T36) &gt; 0)
)</f>
        <v>1</v>
      </c>
      <c r="AD36" cm="1">
        <f t="array" ref="AD36">SUMPRODUCT(
    IFERROR(VLOOKUP($G36:$T36, $B$87:$X$1000,MATCH(AD$25,$B$87:$X$87,0), FALSE), 0) *
    (LEN($G36:$T36) &gt; 0)
)+IFERROR(VLOOKUP($A36,$A$88:$X$1000,MATCH(AD$25,$A$87:$X$87,0), FALSE), 0) *
    (LEN($A36) &gt; 0)</f>
        <v>0</v>
      </c>
      <c r="AE36" cm="1">
        <f t="array" ref="AE36">SUMPRODUCT(
    IFERROR(VLOOKUP($G36:$T36, $B$87:$X$1000,MATCH(AE$25,$B$87:$X$87,0), FALSE), 0) *
    (LEN($G36:$T36) &gt; 0)
)+IFERROR(VLOOKUP($A36,$A$88:$X$1000,MATCH(AE$25,$A$87:$X$87,0), FALSE), 0) *
    (LEN($A36) &gt; 0)</f>
        <v>0</v>
      </c>
      <c r="AF36" cm="1">
        <f t="array" ref="AF36">SUMPRODUCT(
    IFERROR(VLOOKUP($G36:$T36, $B$87:$X$1000,MATCH(AF$25,$B$87:$X$87,0), FALSE), 0) *
    (LEN($G36:$T36) &gt; 0)
)+IFERROR(VLOOKUP($A36,$A$88:$X$1000,MATCH(AF$25,$A$87:$X$87,0), FALSE), 0) *
    (LEN($A36) &gt; 0)</f>
        <v>0</v>
      </c>
      <c r="AG36" cm="1">
        <f t="array" ref="AG36">SUMPRODUCT(
    IFERROR(VLOOKUP($G36:$T36, $B$87:$X$1000,MATCH(AG$25,$B$87:$X$87,0), FALSE), 0) *
    (LEN($G36:$T36) &gt; 0)
)+IFERROR(VLOOKUP($A36,$A$88:$X$1000,MATCH(AG$25,$A$87:$X$87,0), FALSE), 0) *
    (LEN($A36) &gt; 0)</f>
        <v>0</v>
      </c>
      <c r="AH36" cm="1">
        <f t="array" ref="AH36">SUMPRODUCT(
    IFERROR(VLOOKUP($G36:$T36, $B$87:$X$1000,MATCH(AH$25,$B$87:$X$87,0), FALSE), 0) *
    (LEN($G36:$T36) &gt; 0)
)+IFERROR(VLOOKUP($A36,$A$88:$X$1000,MATCH(AH$25,$A$87:$X$87,0), FALSE), 0) *
    (LEN($A36) &gt; 0)</f>
        <v>0</v>
      </c>
      <c r="AI36">
        <f t="shared" si="19"/>
        <v>1</v>
      </c>
      <c r="AJ36" cm="1">
        <f t="array" ref="AJ36">1+SUMPRODUCT(
    IFERROR(VLOOKUP($G36:$T36, $B$87:$X$1000,MATCH(AJ$25,$B$87:$X$87,0), FALSE), 0) *
    (LEN($G36:$T36) &gt; 0)
)</f>
        <v>1</v>
      </c>
      <c r="AK36" cm="1">
        <f t="array" ref="AK36">1+SUMPRODUCT(
    IFERROR(VLOOKUP($G36:$T36, $B$87:$X$1000,MATCH(AK$25,$B$87:$X$87,0), FALSE), 0) *
    (LEN($G36:$T36) &gt; 0)
)</f>
        <v>1</v>
      </c>
      <c r="AL36" cm="1">
        <f t="array" ref="AL36">1+SUMPRODUCT(
    IFERROR(VLOOKUP($G36:$T36, $B$87:$X$1000,MATCH(AL$25,$B$87:$X$87,0), FALSE), 0) *
    (LEN($G36:$T36) &gt; 0)
)</f>
        <v>1</v>
      </c>
      <c r="AM36" cm="1">
        <f t="array" ref="AM36">1+SUMPRODUCT(
    IFERROR(VLOOKUP($G36:$T36, $B$87:$X$1000,MATCH(AM$25,$B$87:$X$87,0), FALSE), 0) *
    (LEN($G36:$T36) &gt; 0)
)</f>
        <v>1</v>
      </c>
      <c r="AN36" cm="1">
        <f t="array" ref="AN36">1+SUMPRODUCT(
    IFERROR(VLOOKUP($G36:$T36, $B$87:$X$1000,MATCH(AN$25,$B$87:$X$87,0), FALSE), 0) *
    (LEN($G36:$T36) &gt; 0)
)</f>
        <v>1</v>
      </c>
      <c r="AO36">
        <f t="shared" si="27"/>
        <v>1</v>
      </c>
      <c r="AQ36">
        <f t="shared" si="28"/>
        <v>0.5</v>
      </c>
    </row>
    <row r="37" spans="2:43" x14ac:dyDescent="0.25">
      <c r="B37">
        <f>PRODUCT(Y37:Z37,AC37,AI37:AS37)</f>
        <v>0</v>
      </c>
      <c r="C37">
        <f t="shared" si="21"/>
        <v>0</v>
      </c>
      <c r="D37">
        <f>PRODUCT(Y37:Z37,AB37:AC37,AI37:AS37)</f>
        <v>0</v>
      </c>
      <c r="E37" s="36" t="e">
        <f>表2_5464[[#This Row],[列3]]/$C$62</f>
        <v>#DIV/0!</v>
      </c>
      <c r="F37" t="s">
        <v>791</v>
      </c>
      <c r="U37">
        <f t="shared" si="23"/>
        <v>0</v>
      </c>
      <c r="V37" cm="1">
        <f t="array" ref="V37" xml:space="preserve"> IFERROR(VLOOKUP($A37,$A$86:$X$1000,MATCH(V$25,$A$87:$J$87,0), FALSE), 0) *
    (LEN($A37) &gt; 0)+SUMPRODUCT(
    IFERROR(VLOOKUP($G37:$T37, $B$87:$X$1000,MATCH(V$25,$B$87:$X$87,0), FALSE), 0) *
    (LEN($G37:$T37) &gt; 0)
)</f>
        <v>0</v>
      </c>
      <c r="W37">
        <f t="shared" si="24"/>
        <v>0</v>
      </c>
      <c r="X37">
        <f t="shared" si="24"/>
        <v>0</v>
      </c>
      <c r="Y37">
        <f>(U37*(1+V37)+W37)*(1+X37)</f>
        <v>0</v>
      </c>
      <c r="Z37">
        <f t="shared" si="26"/>
        <v>0</v>
      </c>
      <c r="AA37" cm="1">
        <f t="array" ref="AA37" xml:space="preserve"> IFERROR(VLOOKUP($A37,$A$86:$X$1000,MATCH(AA$25,$A$87:$J$87,0), FALSE), 0) *
    (LEN($A37) &gt; 0)+SUMPRODUCT(
    IFERROR(VLOOKUP($G37:$T37, $B$87:$X$1000,MATCH(AA$25,$B$87:$X$87,0), FALSE), 0) *
    (LEN($G37:$T37) &gt; 0)
)</f>
        <v>0</v>
      </c>
      <c r="AB37" cm="1">
        <f t="array" ref="AB37">1+SUMPRODUCT(
    IFERROR(VLOOKUP($G37:$T37, $B$87:$X$1000,MATCH(AB$25,$B$87:$X$87,0), FALSE), 0) *
    (LEN($G37:$T37) &gt; 0)
)+IFERROR(VLOOKUP($A37,$A$87:$X$1000,MATCH(AB$25,$A$87:$J$87,0), FALSE), 0) *
    (LEN($A37) &gt; 0)</f>
        <v>1</v>
      </c>
      <c r="AC37" cm="1">
        <f t="array" ref="AC37">1+SUMPRODUCT(
    IFERROR(VLOOKUP($G37:$T37, $B$87:$X$1000,MATCH(AC$25,$B$87:$X$87,0), FALSE), 0) *
    (LEN($G37:$T37) &gt; 0)
)</f>
        <v>1</v>
      </c>
      <c r="AD37" cm="1">
        <f t="array" ref="AD37">SUMPRODUCT(
    IFERROR(VLOOKUP($G37:$T37, $B$87:$X$1000,MATCH(AD$25,$B$87:$X$87,0), FALSE), 0) *
    (LEN($G37:$T37) &gt; 0)
)+IFERROR(VLOOKUP($A37,$A$88:$X$1000,MATCH(AD$25,$A$87:$X$87,0), FALSE), 0) *
    (LEN($A37) &gt; 0)</f>
        <v>0</v>
      </c>
      <c r="AE37" cm="1">
        <f t="array" ref="AE37">SUMPRODUCT(
    IFERROR(VLOOKUP($G37:$T37, $B$87:$X$1000,MATCH(AE$25,$B$87:$X$87,0), FALSE), 0) *
    (LEN($G37:$T37) &gt; 0)
)+IFERROR(VLOOKUP($A37,$A$88:$X$1000,MATCH(AE$25,$A$87:$X$87,0), FALSE), 0) *
    (LEN($A37) &gt; 0)</f>
        <v>0</v>
      </c>
      <c r="AF37" cm="1">
        <f t="array" ref="AF37">SUMPRODUCT(
    IFERROR(VLOOKUP($G37:$T37, $B$87:$X$1000,MATCH(AF$25,$B$87:$X$87,0), FALSE), 0) *
    (LEN($G37:$T37) &gt; 0)
)+IFERROR(VLOOKUP($A37,$A$88:$X$1000,MATCH(AF$25,$A$87:$X$87,0), FALSE), 0) *
    (LEN($A37) &gt; 0)</f>
        <v>0</v>
      </c>
      <c r="AG37" cm="1">
        <f t="array" ref="AG37">SUMPRODUCT(
    IFERROR(VLOOKUP($G37:$T37, $B$87:$X$1000,MATCH(AG$25,$B$87:$X$87,0), FALSE), 0) *
    (LEN($G37:$T37) &gt; 0)
)+IFERROR(VLOOKUP($A37,$A$88:$X$1000,MATCH(AG$25,$A$87:$X$87,0), FALSE), 0) *
    (LEN($A37) &gt; 0)</f>
        <v>0</v>
      </c>
      <c r="AH37" cm="1">
        <f t="array" ref="AH37">SUMPRODUCT(
    IFERROR(VLOOKUP($G37:$T37, $B$87:$X$1000,MATCH(AH$25,$B$87:$X$87,0), FALSE), 0) *
    (LEN($G37:$T37) &gt; 0)
)+IFERROR(VLOOKUP($A37,$A$88:$X$1000,MATCH(AH$25,$A$87:$X$87,0), FALSE), 0) *
    (LEN($A37) &gt; 0)</f>
        <v>0</v>
      </c>
      <c r="AI37">
        <f>1+AD37+IFERROR(HLOOKUP(RIGHT($A37,2),$AE$25:$AH$80,ROW()-1, FALSE), 0) *
    (LEN($A37) &gt; 0)</f>
        <v>1</v>
      </c>
      <c r="AJ37" cm="1">
        <f t="array" ref="AJ37">1+SUMPRODUCT(
    IFERROR(VLOOKUP($G37:$T37, $B$87:$X$1000,MATCH(AJ$25,$B$87:$X$87,0), FALSE), 0) *
    (LEN($G37:$T37) &gt; 0)
)</f>
        <v>1</v>
      </c>
      <c r="AK37" cm="1">
        <f t="array" ref="AK37">1+SUMPRODUCT(
    IFERROR(VLOOKUP($G37:$T37, $B$87:$X$1000,MATCH(AK$25,$B$87:$X$87,0), FALSE), 0) *
    (LEN($G37:$T37) &gt; 0)
)</f>
        <v>1</v>
      </c>
      <c r="AL37" cm="1">
        <f t="array" ref="AL37">1+SUMPRODUCT(
    IFERROR(VLOOKUP($G37:$T37, $B$87:$X$1000,MATCH(AL$25,$B$87:$X$87,0), FALSE), 0) *
    (LEN($G37:$T37) &gt; 0)
)</f>
        <v>1</v>
      </c>
      <c r="AM37" cm="1">
        <f t="array" ref="AM37">1+SUMPRODUCT(
    IFERROR(VLOOKUP($G37:$T37, $B$87:$X$1000,MATCH(AM$25,$B$87:$X$87,0), FALSE), 0) *
    (LEN($G37:$T37) &gt; 0)
)</f>
        <v>1</v>
      </c>
      <c r="AN37" cm="1">
        <f t="array" ref="AN37">1+SUMPRODUCT(
    IFERROR(VLOOKUP($G37:$T37, $B$87:$X$1000,MATCH(AN$25,$B$87:$X$87,0), FALSE), 0) *
    (LEN($G37:$T37) &gt; 0)
)</f>
        <v>1</v>
      </c>
      <c r="AO37">
        <f>IF($F37="是",1.3,1)</f>
        <v>1</v>
      </c>
      <c r="AQ37">
        <f>0.5</f>
        <v>0.5</v>
      </c>
    </row>
    <row r="38" spans="2:43" ht="14.4" customHeight="1" x14ac:dyDescent="0.25">
      <c r="B38">
        <f t="shared" ref="B38:B57" si="29">PRODUCT(Y38:Z38,AC38,AI38:AS38)</f>
        <v>0</v>
      </c>
      <c r="C38">
        <f t="shared" si="21"/>
        <v>0</v>
      </c>
      <c r="D38">
        <f t="shared" ref="D38:D57" si="30">PRODUCT(Y38:Z38,AB38:AC38,AI38:AS38)</f>
        <v>0</v>
      </c>
      <c r="E38" s="36" t="e">
        <f>表2_5464[[#This Row],[列3]]/$C$62</f>
        <v>#DIV/0!</v>
      </c>
      <c r="F38" t="s">
        <v>791</v>
      </c>
      <c r="U38">
        <f t="shared" si="23"/>
        <v>0</v>
      </c>
      <c r="V38" cm="1">
        <f t="array" ref="V38" xml:space="preserve"> IFERROR(VLOOKUP($A38,$A$86:$X$1000,MATCH(V$25,$A$87:$J$87,0), FALSE), 0) *
    (LEN($A38) &gt; 0)+SUMPRODUCT(
    IFERROR(VLOOKUP($G38:$T38, $B$87:$X$1000,MATCH(V$25,$B$87:$X$87,0), FALSE), 0) *
    (LEN($G38:$T38) &gt; 0)
)</f>
        <v>0</v>
      </c>
      <c r="W38">
        <f t="shared" si="24"/>
        <v>0</v>
      </c>
      <c r="X38">
        <f t="shared" si="24"/>
        <v>0</v>
      </c>
      <c r="Y38">
        <f t="shared" ref="Y38:Y57" si="31">(U38*(1+V38)+W38)*(1+X38)</f>
        <v>0</v>
      </c>
      <c r="Z38">
        <f t="shared" si="26"/>
        <v>0</v>
      </c>
      <c r="AA38" cm="1">
        <f t="array" ref="AA38" xml:space="preserve"> IFERROR(VLOOKUP($A38,$A$86:$X$1000,MATCH(AA$25,$A$87:$J$87,0), FALSE), 0) *
    (LEN($A38) &gt; 0)+SUMPRODUCT(
    IFERROR(VLOOKUP($G38:$T38, $B$87:$X$1000,MATCH(AA$25,$B$87:$X$87,0), FALSE), 0) *
    (LEN($G38:$T38) &gt; 0)
)</f>
        <v>0</v>
      </c>
      <c r="AB38" cm="1">
        <f t="array" ref="AB38">1+SUMPRODUCT(
    IFERROR(VLOOKUP($G38:$T38, $B$87:$X$1000,MATCH(AB$25,$B$87:$X$87,0), FALSE), 0) *
    (LEN($G38:$T38) &gt; 0)
)+IFERROR(VLOOKUP($A38,$A$87:$X$1000,MATCH(AB$25,$A$87:$J$87,0), FALSE), 0) *
    (LEN($A38) &gt; 0)</f>
        <v>1</v>
      </c>
      <c r="AC38" cm="1">
        <f t="array" ref="AC38">1+SUMPRODUCT(
    IFERROR(VLOOKUP($G38:$T38, $B$87:$X$1000,MATCH(AC$25,$B$87:$X$87,0), FALSE), 0) *
    (LEN($G38:$T38) &gt; 0)
)</f>
        <v>1</v>
      </c>
      <c r="AD38" cm="1">
        <f t="array" ref="AD38">SUMPRODUCT(
    IFERROR(VLOOKUP($G38:$T38, $B$87:$X$1000,MATCH(AD$25,$B$87:$X$87,0), FALSE), 0) *
    (LEN($G38:$T38) &gt; 0)
)+IFERROR(VLOOKUP($A38,$A$88:$X$1000,MATCH(AD$25,$A$87:$X$87,0), FALSE), 0) *
    (LEN($A38) &gt; 0)</f>
        <v>0</v>
      </c>
      <c r="AE38" cm="1">
        <f t="array" ref="AE38">SUMPRODUCT(
    IFERROR(VLOOKUP($G38:$T38, $B$87:$X$1000,MATCH(AE$25,$B$87:$X$87,0), FALSE), 0) *
    (LEN($G38:$T38) &gt; 0)
)+IFERROR(VLOOKUP($A38,$A$88:$X$1000,MATCH(AE$25,$A$87:$X$87,0), FALSE), 0) *
    (LEN($A38) &gt; 0)</f>
        <v>0</v>
      </c>
      <c r="AF38" cm="1">
        <f t="array" ref="AF38">SUMPRODUCT(
    IFERROR(VLOOKUP($G38:$T38, $B$87:$X$1000,MATCH(AF$25,$B$87:$X$87,0), FALSE), 0) *
    (LEN($G38:$T38) &gt; 0)
)+IFERROR(VLOOKUP($A38,$A$88:$X$1000,MATCH(AF$25,$A$87:$X$87,0), FALSE), 0) *
    (LEN($A38) &gt; 0)</f>
        <v>0</v>
      </c>
      <c r="AG38" cm="1">
        <f t="array" ref="AG38">SUMPRODUCT(
    IFERROR(VLOOKUP($G38:$T38, $B$87:$X$1000,MATCH(AG$25,$B$87:$X$87,0), FALSE), 0) *
    (LEN($G38:$T38) &gt; 0)
)+IFERROR(VLOOKUP($A38,$A$88:$X$1000,MATCH(AG$25,$A$87:$X$87,0), FALSE), 0) *
    (LEN($A38) &gt; 0)</f>
        <v>0</v>
      </c>
      <c r="AH38" cm="1">
        <f t="array" ref="AH38">SUMPRODUCT(
    IFERROR(VLOOKUP($G38:$T38, $B$87:$X$1000,MATCH(AH$25,$B$87:$X$87,0), FALSE), 0) *
    (LEN($G38:$T38) &gt; 0)
)+IFERROR(VLOOKUP($A38,$A$88:$X$1000,MATCH(AH$25,$A$87:$X$87,0), FALSE), 0) *
    (LEN($A38) &gt; 0)</f>
        <v>0</v>
      </c>
      <c r="AI38">
        <f t="shared" ref="AI38:AI57" si="32">1 + AD38 + IF(
    LEN($A38) &gt; 0,
    IFERROR(
        HLOOKUP(RIGHT($A38,2), $AE$25:$AH$80, ROW()-ROW($AE$25) + 1, FALSE),
        0
    ),
    0
)</f>
        <v>1</v>
      </c>
      <c r="AJ38" cm="1">
        <f t="array" ref="AJ38">1+SUMPRODUCT(
    IFERROR(VLOOKUP($G38:$T38, $B$87:$X$1000,MATCH(AJ$25,$B$87:$X$87,0), FALSE), 0) *
    (LEN($G38:$T38) &gt; 0)
)</f>
        <v>1</v>
      </c>
      <c r="AK38" cm="1">
        <f t="array" ref="AK38">1+SUMPRODUCT(
    IFERROR(VLOOKUP($G38:$T38, $B$87:$X$1000,MATCH(AK$25,$B$87:$X$87,0), FALSE), 0) *
    (LEN($G38:$T38) &gt; 0)
)</f>
        <v>1</v>
      </c>
      <c r="AL38" cm="1">
        <f t="array" ref="AL38">1+SUMPRODUCT(
    IFERROR(VLOOKUP($G38:$T38, $B$87:$X$1000,MATCH(AL$25,$B$87:$X$87,0), FALSE), 0) *
    (LEN($G38:$T38) &gt; 0)
)</f>
        <v>1</v>
      </c>
      <c r="AM38" cm="1">
        <f t="array" ref="AM38">1+SUMPRODUCT(
    IFERROR(VLOOKUP($G38:$T38, $B$87:$X$1000,MATCH(AM$25,$B$87:$X$87,0), FALSE), 0) *
    (LEN($G38:$T38) &gt; 0)
)</f>
        <v>1</v>
      </c>
      <c r="AN38" cm="1">
        <f t="array" ref="AN38">1+SUMPRODUCT(
    IFERROR(VLOOKUP($G38:$T38, $B$87:$X$1000,MATCH(AN$25,$B$87:$X$87,0), FALSE), 0) *
    (LEN($G38:$T38) &gt; 0)
)</f>
        <v>1</v>
      </c>
      <c r="AO38">
        <f t="shared" ref="AO38:AO57" si="33">IF($F38="是",1.3,1)</f>
        <v>1</v>
      </c>
      <c r="AQ38">
        <f t="shared" ref="AQ38:AQ57" si="34">0.5</f>
        <v>0.5</v>
      </c>
    </row>
    <row r="39" spans="2:43" x14ac:dyDescent="0.25">
      <c r="B39">
        <f t="shared" si="29"/>
        <v>0</v>
      </c>
      <c r="C39">
        <f t="shared" si="21"/>
        <v>0</v>
      </c>
      <c r="D39">
        <f t="shared" si="30"/>
        <v>0</v>
      </c>
      <c r="E39" s="36" t="e">
        <f>表2_5464[[#This Row],[列3]]/$C$62</f>
        <v>#DIV/0!</v>
      </c>
      <c r="F39" t="s">
        <v>791</v>
      </c>
      <c r="U39">
        <f t="shared" si="23"/>
        <v>0</v>
      </c>
      <c r="V39" cm="1">
        <f t="array" ref="V39" xml:space="preserve"> IFERROR(VLOOKUP($A39,$A$86:$X$1000,MATCH(V$25,$A$87:$J$87,0), FALSE), 0) *
    (LEN($A39) &gt; 0)+SUMPRODUCT(
    IFERROR(VLOOKUP($G39:$T39, $B$87:$X$1000,MATCH(V$25,$B$87:$X$87,0), FALSE), 0) *
    (LEN($G39:$T39) &gt; 0)
)</f>
        <v>0</v>
      </c>
      <c r="W39">
        <f t="shared" si="24"/>
        <v>0</v>
      </c>
      <c r="X39">
        <f t="shared" si="24"/>
        <v>0</v>
      </c>
      <c r="Y39">
        <f t="shared" si="31"/>
        <v>0</v>
      </c>
      <c r="Z39">
        <f t="shared" si="26"/>
        <v>0</v>
      </c>
      <c r="AA39" cm="1">
        <f t="array" ref="AA39" xml:space="preserve"> IFERROR(VLOOKUP($A39,$A$86:$X$1000,MATCH(AA$25,$A$87:$J$87,0), FALSE), 0) *
    (LEN($A39) &gt; 0)+SUMPRODUCT(
    IFERROR(VLOOKUP($G39:$T39, $B$87:$X$1000,MATCH(AA$25,$B$87:$X$87,0), FALSE), 0) *
    (LEN($G39:$T39) &gt; 0)
)</f>
        <v>0</v>
      </c>
      <c r="AB39" cm="1">
        <f t="array" ref="AB39">1+SUMPRODUCT(
    IFERROR(VLOOKUP($G39:$T39, $B$87:$X$1000,MATCH(AB$25,$B$87:$X$87,0), FALSE), 0) *
    (LEN($G39:$T39) &gt; 0)
)+IFERROR(VLOOKUP($A39,$A$87:$X$1000,MATCH(AB$25,$A$87:$J$87,0), FALSE), 0) *
    (LEN($A39) &gt; 0)</f>
        <v>1</v>
      </c>
      <c r="AC39" cm="1">
        <f t="array" ref="AC39">1+SUMPRODUCT(
    IFERROR(VLOOKUP($G39:$T39, $B$87:$X$1000,MATCH(AC$25,$B$87:$X$87,0), FALSE), 0) *
    (LEN($G39:$T39) &gt; 0)
)</f>
        <v>1</v>
      </c>
      <c r="AD39" cm="1">
        <f t="array" ref="AD39">SUMPRODUCT(
    IFERROR(VLOOKUP($G39:$T39, $B$87:$X$1000,MATCH(AD$25,$B$87:$X$87,0), FALSE), 0) *
    (LEN($G39:$T39) &gt; 0)
)+IFERROR(VLOOKUP($A39,$A$88:$X$1000,MATCH(AD$25,$A$87:$X$87,0), FALSE), 0) *
    (LEN($A39) &gt; 0)</f>
        <v>0</v>
      </c>
      <c r="AE39" cm="1">
        <f t="array" ref="AE39">SUMPRODUCT(
    IFERROR(VLOOKUP($G39:$T39, $B$87:$X$1000,MATCH(AE$25,$B$87:$X$87,0), FALSE), 0) *
    (LEN($G39:$T39) &gt; 0)
)+IFERROR(VLOOKUP($A39,$A$88:$X$1000,MATCH(AE$25,$A$87:$X$87,0), FALSE), 0) *
    (LEN($A39) &gt; 0)</f>
        <v>0</v>
      </c>
      <c r="AF39" cm="1">
        <f t="array" ref="AF39">SUMPRODUCT(
    IFERROR(VLOOKUP($G39:$T39, $B$87:$X$1000,MATCH(AF$25,$B$87:$X$87,0), FALSE), 0) *
    (LEN($G39:$T39) &gt; 0)
)+IFERROR(VLOOKUP($A39,$A$88:$X$1000,MATCH(AF$25,$A$87:$X$87,0), FALSE), 0) *
    (LEN($A39) &gt; 0)</f>
        <v>0</v>
      </c>
      <c r="AG39" cm="1">
        <f t="array" ref="AG39">SUMPRODUCT(
    IFERROR(VLOOKUP($G39:$T39, $B$87:$X$1000,MATCH(AG$25,$B$87:$X$87,0), FALSE), 0) *
    (LEN($G39:$T39) &gt; 0)
)+IFERROR(VLOOKUP($A39,$A$88:$X$1000,MATCH(AG$25,$A$87:$X$87,0), FALSE), 0) *
    (LEN($A39) &gt; 0)</f>
        <v>0</v>
      </c>
      <c r="AH39" cm="1">
        <f t="array" ref="AH39">SUMPRODUCT(
    IFERROR(VLOOKUP($G39:$T39, $B$87:$X$1000,MATCH(AH$25,$B$87:$X$87,0), FALSE), 0) *
    (LEN($G39:$T39) &gt; 0)
)+IFERROR(VLOOKUP($A39,$A$88:$X$1000,MATCH(AH$25,$A$87:$X$87,0), FALSE), 0) *
    (LEN($A39) &gt; 0)</f>
        <v>0</v>
      </c>
      <c r="AI39">
        <f t="shared" si="32"/>
        <v>1</v>
      </c>
      <c r="AJ39" cm="1">
        <f t="array" ref="AJ39">1+SUMPRODUCT(
    IFERROR(VLOOKUP($G39:$T39, $B$87:$X$1000,MATCH(AJ$25,$B$87:$X$87,0), FALSE), 0) *
    (LEN($G39:$T39) &gt; 0)
)</f>
        <v>1</v>
      </c>
      <c r="AK39" cm="1">
        <f t="array" ref="AK39">1+SUMPRODUCT(
    IFERROR(VLOOKUP($G39:$T39, $B$87:$X$1000,MATCH(AK$25,$B$87:$X$87,0), FALSE), 0) *
    (LEN($G39:$T39) &gt; 0)
)</f>
        <v>1</v>
      </c>
      <c r="AL39" cm="1">
        <f t="array" ref="AL39">1+SUMPRODUCT(
    IFERROR(VLOOKUP($G39:$T39, $B$87:$X$1000,MATCH(AL$25,$B$87:$X$87,0), FALSE), 0) *
    (LEN($G39:$T39) &gt; 0)
)</f>
        <v>1</v>
      </c>
      <c r="AM39" cm="1">
        <f t="array" ref="AM39">1+SUMPRODUCT(
    IFERROR(VLOOKUP($G39:$T39, $B$87:$X$1000,MATCH(AM$25,$B$87:$X$87,0), FALSE), 0) *
    (LEN($G39:$T39) &gt; 0)
)</f>
        <v>1</v>
      </c>
      <c r="AN39" cm="1">
        <f t="array" ref="AN39">1+SUMPRODUCT(
    IFERROR(VLOOKUP($G39:$T39, $B$87:$X$1000,MATCH(AN$25,$B$87:$X$87,0), FALSE), 0) *
    (LEN($G39:$T39) &gt; 0)
)</f>
        <v>1</v>
      </c>
      <c r="AO39">
        <f t="shared" si="33"/>
        <v>1</v>
      </c>
      <c r="AQ39">
        <f t="shared" si="34"/>
        <v>0.5</v>
      </c>
    </row>
    <row r="40" spans="2:43" x14ac:dyDescent="0.25">
      <c r="B40">
        <f t="shared" si="29"/>
        <v>0</v>
      </c>
      <c r="C40">
        <f t="shared" si="21"/>
        <v>0</v>
      </c>
      <c r="D40">
        <f t="shared" si="30"/>
        <v>0</v>
      </c>
      <c r="E40" s="36" t="e">
        <f>表2_5464[[#This Row],[列3]]/$C$62</f>
        <v>#DIV/0!</v>
      </c>
      <c r="F40" t="s">
        <v>791</v>
      </c>
      <c r="U40">
        <f t="shared" si="23"/>
        <v>0</v>
      </c>
      <c r="V40" cm="1">
        <f t="array" ref="V40" xml:space="preserve"> IFERROR(VLOOKUP($A40,$A$86:$X$1000,MATCH(V$25,$A$87:$J$87,0), FALSE), 0) *
    (LEN($A40) &gt; 0)+SUMPRODUCT(
    IFERROR(VLOOKUP($G40:$T40, $B$87:$X$1000,MATCH(V$25,$B$87:$X$87,0), FALSE), 0) *
    (LEN($G40:$T40) &gt; 0)
)</f>
        <v>0</v>
      </c>
      <c r="W40">
        <f t="shared" si="24"/>
        <v>0</v>
      </c>
      <c r="X40">
        <f t="shared" si="24"/>
        <v>0</v>
      </c>
      <c r="Y40">
        <f t="shared" si="31"/>
        <v>0</v>
      </c>
      <c r="Z40">
        <f t="shared" si="26"/>
        <v>0</v>
      </c>
      <c r="AA40" cm="1">
        <f t="array" ref="AA40" xml:space="preserve"> IFERROR(VLOOKUP($A40,$A$86:$X$1000,MATCH(AA$25,$A$87:$J$87,0), FALSE), 0) *
    (LEN($A40) &gt; 0)+SUMPRODUCT(
    IFERROR(VLOOKUP($G40:$T40, $B$87:$X$1000,MATCH(AA$25,$B$87:$X$87,0), FALSE), 0) *
    (LEN($G40:$T40) &gt; 0)
)</f>
        <v>0</v>
      </c>
      <c r="AB40" cm="1">
        <f t="array" ref="AB40">1+SUMPRODUCT(
    IFERROR(VLOOKUP($G40:$T40, $B$87:$X$1000,MATCH(AB$25,$B$87:$X$87,0), FALSE), 0) *
    (LEN($G40:$T40) &gt; 0)
)+IFERROR(VLOOKUP($A40,$A$87:$X$1000,MATCH(AB$25,$A$87:$J$87,0), FALSE), 0) *
    (LEN($A40) &gt; 0)</f>
        <v>1</v>
      </c>
      <c r="AC40" cm="1">
        <f t="array" ref="AC40">1+SUMPRODUCT(
    IFERROR(VLOOKUP($G40:$T40, $B$87:$X$1000,MATCH(AC$25,$B$87:$X$87,0), FALSE), 0) *
    (LEN($G40:$T40) &gt; 0)
)</f>
        <v>1</v>
      </c>
      <c r="AD40" cm="1">
        <f t="array" ref="AD40">SUMPRODUCT(
    IFERROR(VLOOKUP($G40:$T40, $B$87:$X$1000,MATCH(AD$25,$B$87:$X$87,0), FALSE), 0) *
    (LEN($G40:$T40) &gt; 0)
)+IFERROR(VLOOKUP($A40,$A$88:$X$1000,MATCH(AD$25,$A$87:$X$87,0), FALSE), 0) *
    (LEN($A40) &gt; 0)</f>
        <v>0</v>
      </c>
      <c r="AE40" cm="1">
        <f t="array" ref="AE40">SUMPRODUCT(
    IFERROR(VLOOKUP($G40:$T40, $B$87:$X$1000,MATCH(AE$25,$B$87:$X$87,0), FALSE), 0) *
    (LEN($G40:$T40) &gt; 0)
)+IFERROR(VLOOKUP($A40,$A$88:$X$1000,MATCH(AE$25,$A$87:$X$87,0), FALSE), 0) *
    (LEN($A40) &gt; 0)</f>
        <v>0</v>
      </c>
      <c r="AF40" cm="1">
        <f t="array" ref="AF40">SUMPRODUCT(
    IFERROR(VLOOKUP($G40:$T40, $B$87:$X$1000,MATCH(AF$25,$B$87:$X$87,0), FALSE), 0) *
    (LEN($G40:$T40) &gt; 0)
)+IFERROR(VLOOKUP($A40,$A$88:$X$1000,MATCH(AF$25,$A$87:$X$87,0), FALSE), 0) *
    (LEN($A40) &gt; 0)</f>
        <v>0</v>
      </c>
      <c r="AG40" cm="1">
        <f t="array" ref="AG40">SUMPRODUCT(
    IFERROR(VLOOKUP($G40:$T40, $B$87:$X$1000,MATCH(AG$25,$B$87:$X$87,0), FALSE), 0) *
    (LEN($G40:$T40) &gt; 0)
)+IFERROR(VLOOKUP($A40,$A$88:$X$1000,MATCH(AG$25,$A$87:$X$87,0), FALSE), 0) *
    (LEN($A40) &gt; 0)</f>
        <v>0</v>
      </c>
      <c r="AH40" cm="1">
        <f t="array" ref="AH40">SUMPRODUCT(
    IFERROR(VLOOKUP($G40:$T40, $B$87:$X$1000,MATCH(AH$25,$B$87:$X$87,0), FALSE), 0) *
    (LEN($G40:$T40) &gt; 0)
)+IFERROR(VLOOKUP($A40,$A$88:$X$1000,MATCH(AH$25,$A$87:$X$87,0), FALSE), 0) *
    (LEN($A40) &gt; 0)</f>
        <v>0</v>
      </c>
      <c r="AI40">
        <f t="shared" si="32"/>
        <v>1</v>
      </c>
      <c r="AJ40" cm="1">
        <f t="array" ref="AJ40">1+SUMPRODUCT(
    IFERROR(VLOOKUP($G40:$T40, $B$87:$X$1000,MATCH(AJ$25,$B$87:$X$87,0), FALSE), 0) *
    (LEN($G40:$T40) &gt; 0)
)</f>
        <v>1</v>
      </c>
      <c r="AK40" cm="1">
        <f t="array" ref="AK40">1+SUMPRODUCT(
    IFERROR(VLOOKUP($G40:$T40, $B$87:$X$1000,MATCH(AK$25,$B$87:$X$87,0), FALSE), 0) *
    (LEN($G40:$T40) &gt; 0)
)</f>
        <v>1</v>
      </c>
      <c r="AL40" cm="1">
        <f t="array" ref="AL40">1+SUMPRODUCT(
    IFERROR(VLOOKUP($G40:$T40, $B$87:$X$1000,MATCH(AL$25,$B$87:$X$87,0), FALSE), 0) *
    (LEN($G40:$T40) &gt; 0)
)</f>
        <v>1</v>
      </c>
      <c r="AM40" cm="1">
        <f t="array" ref="AM40">1+SUMPRODUCT(
    IFERROR(VLOOKUP($G40:$T40, $B$87:$X$1000,MATCH(AM$25,$B$87:$X$87,0), FALSE), 0) *
    (LEN($G40:$T40) &gt; 0)
)</f>
        <v>1</v>
      </c>
      <c r="AN40" cm="1">
        <f t="array" ref="AN40">1+SUMPRODUCT(
    IFERROR(VLOOKUP($G40:$T40, $B$87:$X$1000,MATCH(AN$25,$B$87:$X$87,0), FALSE), 0) *
    (LEN($G40:$T40) &gt; 0)
)</f>
        <v>1</v>
      </c>
      <c r="AO40">
        <f t="shared" si="33"/>
        <v>1</v>
      </c>
      <c r="AQ40">
        <f t="shared" si="34"/>
        <v>0.5</v>
      </c>
    </row>
    <row r="41" spans="2:43" x14ac:dyDescent="0.25">
      <c r="B41">
        <f t="shared" si="29"/>
        <v>0</v>
      </c>
      <c r="C41">
        <f t="shared" si="21"/>
        <v>0</v>
      </c>
      <c r="D41">
        <f t="shared" si="30"/>
        <v>0</v>
      </c>
      <c r="E41" s="36" t="e">
        <f>表2_5464[[#This Row],[列3]]/$C$62</f>
        <v>#DIV/0!</v>
      </c>
      <c r="F41" t="s">
        <v>791</v>
      </c>
      <c r="U41">
        <f t="shared" si="23"/>
        <v>0</v>
      </c>
      <c r="V41" cm="1">
        <f t="array" ref="V41" xml:space="preserve"> IFERROR(VLOOKUP($A41,$A$86:$X$1000,MATCH(V$25,$A$87:$J$87,0), FALSE), 0) *
    (LEN($A41) &gt; 0)+SUMPRODUCT(
    IFERROR(VLOOKUP($G41:$T41, $B$87:$X$1000,MATCH(V$25,$B$87:$X$87,0), FALSE), 0) *
    (LEN($G41:$T41) &gt; 0)
)</f>
        <v>0</v>
      </c>
      <c r="W41">
        <f t="shared" si="24"/>
        <v>0</v>
      </c>
      <c r="X41">
        <f t="shared" si="24"/>
        <v>0</v>
      </c>
      <c r="Y41">
        <f t="shared" si="31"/>
        <v>0</v>
      </c>
      <c r="Z41">
        <f t="shared" si="26"/>
        <v>0</v>
      </c>
      <c r="AA41" cm="1">
        <f t="array" ref="AA41" xml:space="preserve"> IFERROR(VLOOKUP($A41,$A$86:$X$1000,MATCH(AA$25,$A$87:$J$87,0), FALSE), 0) *
    (LEN($A41) &gt; 0)+SUMPRODUCT(
    IFERROR(VLOOKUP($G41:$T41, $B$87:$X$1000,MATCH(AA$25,$B$87:$X$87,0), FALSE), 0) *
    (LEN($G41:$T41) &gt; 0)
)</f>
        <v>0</v>
      </c>
      <c r="AB41" cm="1">
        <f t="array" ref="AB41">1+SUMPRODUCT(
    IFERROR(VLOOKUP($G41:$T41, $B$87:$X$1000,MATCH(AB$25,$B$87:$X$87,0), FALSE), 0) *
    (LEN($G41:$T41) &gt; 0)
)+IFERROR(VLOOKUP($A41,$A$87:$X$1000,MATCH(AB$25,$A$87:$J$87,0), FALSE), 0) *
    (LEN($A41) &gt; 0)</f>
        <v>1</v>
      </c>
      <c r="AC41" cm="1">
        <f t="array" ref="AC41">1+SUMPRODUCT(
    IFERROR(VLOOKUP($G41:$T41, $B$87:$X$1000,MATCH(AC$25,$B$87:$X$87,0), FALSE), 0) *
    (LEN($G41:$T41) &gt; 0)
)</f>
        <v>1</v>
      </c>
      <c r="AD41" cm="1">
        <f t="array" ref="AD41">SUMPRODUCT(
    IFERROR(VLOOKUP($G41:$T41, $B$87:$X$1000,MATCH(AD$25,$B$87:$X$87,0), FALSE), 0) *
    (LEN($G41:$T41) &gt; 0)
)+IFERROR(VLOOKUP($A41,$A$88:$X$1000,MATCH(AD$25,$A$87:$X$87,0), FALSE), 0) *
    (LEN($A41) &gt; 0)</f>
        <v>0</v>
      </c>
      <c r="AE41" cm="1">
        <f t="array" ref="AE41">SUMPRODUCT(
    IFERROR(VLOOKUP($G41:$T41, $B$87:$X$1000,MATCH(AE$25,$B$87:$X$87,0), FALSE), 0) *
    (LEN($G41:$T41) &gt; 0)
)+IFERROR(VLOOKUP($A41,$A$88:$X$1000,MATCH(AE$25,$A$87:$X$87,0), FALSE), 0) *
    (LEN($A41) &gt; 0)</f>
        <v>0</v>
      </c>
      <c r="AF41" cm="1">
        <f t="array" ref="AF41">SUMPRODUCT(
    IFERROR(VLOOKUP($G41:$T41, $B$87:$X$1000,MATCH(AF$25,$B$87:$X$87,0), FALSE), 0) *
    (LEN($G41:$T41) &gt; 0)
)+IFERROR(VLOOKUP($A41,$A$88:$X$1000,MATCH(AF$25,$A$87:$X$87,0), FALSE), 0) *
    (LEN($A41) &gt; 0)</f>
        <v>0</v>
      </c>
      <c r="AG41" cm="1">
        <f t="array" ref="AG41">SUMPRODUCT(
    IFERROR(VLOOKUP($G41:$T41, $B$87:$X$1000,MATCH(AG$25,$B$87:$X$87,0), FALSE), 0) *
    (LEN($G41:$T41) &gt; 0)
)+IFERROR(VLOOKUP($A41,$A$88:$X$1000,MATCH(AG$25,$A$87:$X$87,0), FALSE), 0) *
    (LEN($A41) &gt; 0)</f>
        <v>0</v>
      </c>
      <c r="AH41" cm="1">
        <f t="array" ref="AH41">SUMPRODUCT(
    IFERROR(VLOOKUP($G41:$T41, $B$87:$X$1000,MATCH(AH$25,$B$87:$X$87,0), FALSE), 0) *
    (LEN($G41:$T41) &gt; 0)
)+IFERROR(VLOOKUP($A41,$A$88:$X$1000,MATCH(AH$25,$A$87:$X$87,0), FALSE), 0) *
    (LEN($A41) &gt; 0)</f>
        <v>0</v>
      </c>
      <c r="AI41">
        <f t="shared" si="32"/>
        <v>1</v>
      </c>
      <c r="AJ41" cm="1">
        <f t="array" ref="AJ41">1+SUMPRODUCT(
    IFERROR(VLOOKUP($G41:$T41, $B$87:$X$1000,MATCH(AJ$25,$B$87:$X$87,0), FALSE), 0) *
    (LEN($G41:$T41) &gt; 0)
)</f>
        <v>1</v>
      </c>
      <c r="AK41" cm="1">
        <f t="array" ref="AK41">1+SUMPRODUCT(
    IFERROR(VLOOKUP($G41:$T41, $B$87:$X$1000,MATCH(AK$25,$B$87:$X$87,0), FALSE), 0) *
    (LEN($G41:$T41) &gt; 0)
)</f>
        <v>1</v>
      </c>
      <c r="AL41" cm="1">
        <f t="array" ref="AL41">1+SUMPRODUCT(
    IFERROR(VLOOKUP($G41:$T41, $B$87:$X$1000,MATCH(AL$25,$B$87:$X$87,0), FALSE), 0) *
    (LEN($G41:$T41) &gt; 0)
)</f>
        <v>1</v>
      </c>
      <c r="AM41" cm="1">
        <f t="array" ref="AM41">1+SUMPRODUCT(
    IFERROR(VLOOKUP($G41:$T41, $B$87:$X$1000,MATCH(AM$25,$B$87:$X$87,0), FALSE), 0) *
    (LEN($G41:$T41) &gt; 0)
)</f>
        <v>1</v>
      </c>
      <c r="AN41" cm="1">
        <f t="array" ref="AN41">1+SUMPRODUCT(
    IFERROR(VLOOKUP($G41:$T41, $B$87:$X$1000,MATCH(AN$25,$B$87:$X$87,0), FALSE), 0) *
    (LEN($G41:$T41) &gt; 0)
)</f>
        <v>1</v>
      </c>
      <c r="AO41">
        <f t="shared" si="33"/>
        <v>1</v>
      </c>
      <c r="AQ41">
        <f t="shared" si="34"/>
        <v>0.5</v>
      </c>
    </row>
    <row r="42" spans="2:43" x14ac:dyDescent="0.25">
      <c r="B42">
        <f t="shared" si="29"/>
        <v>0</v>
      </c>
      <c r="C42">
        <f t="shared" si="21"/>
        <v>0</v>
      </c>
      <c r="D42">
        <f t="shared" si="30"/>
        <v>0</v>
      </c>
      <c r="E42" s="36" t="e">
        <f>表2_5464[[#This Row],[列3]]/$C$62</f>
        <v>#DIV/0!</v>
      </c>
      <c r="F42" t="s">
        <v>791</v>
      </c>
      <c r="U42">
        <f t="shared" si="23"/>
        <v>0</v>
      </c>
      <c r="V42" cm="1">
        <f t="array" ref="V42" xml:space="preserve"> IFERROR(VLOOKUP($A42,$A$86:$X$1000,MATCH(V$25,$A$87:$J$87,0), FALSE), 0) *
    (LEN($A42) &gt; 0)+SUMPRODUCT(
    IFERROR(VLOOKUP($G42:$T42, $B$87:$X$1000,MATCH(V$25,$B$87:$X$87,0), FALSE), 0) *
    (LEN($G42:$T42) &gt; 0)
)</f>
        <v>0</v>
      </c>
      <c r="W42">
        <f t="shared" si="24"/>
        <v>0</v>
      </c>
      <c r="X42">
        <f t="shared" si="24"/>
        <v>0</v>
      </c>
      <c r="Y42">
        <f t="shared" si="31"/>
        <v>0</v>
      </c>
      <c r="Z42">
        <f t="shared" si="26"/>
        <v>0</v>
      </c>
      <c r="AA42" cm="1">
        <f t="array" ref="AA42" xml:space="preserve"> IFERROR(VLOOKUP($A42,$A$86:$X$1000,MATCH(AA$25,$A$87:$J$87,0), FALSE), 0) *
    (LEN($A42) &gt; 0)+SUMPRODUCT(
    IFERROR(VLOOKUP($G42:$T42, $B$87:$X$1000,MATCH(AA$25,$B$87:$X$87,0), FALSE), 0) *
    (LEN($G42:$T42) &gt; 0)
)</f>
        <v>0</v>
      </c>
      <c r="AB42" cm="1">
        <f t="array" ref="AB42">1+SUMPRODUCT(
    IFERROR(VLOOKUP($G42:$T42, $B$87:$X$1000,MATCH(AB$25,$B$87:$X$87,0), FALSE), 0) *
    (LEN($G42:$T42) &gt; 0)
)+IFERROR(VLOOKUP($A42,$A$87:$X$1000,MATCH(AB$25,$A$87:$J$87,0), FALSE), 0) *
    (LEN($A42) &gt; 0)</f>
        <v>1</v>
      </c>
      <c r="AC42" cm="1">
        <f t="array" ref="AC42">1+SUMPRODUCT(
    IFERROR(VLOOKUP($G42:$T42, $B$87:$X$1000,MATCH(AC$25,$B$87:$X$87,0), FALSE), 0) *
    (LEN($G42:$T42) &gt; 0)
)</f>
        <v>1</v>
      </c>
      <c r="AD42" cm="1">
        <f t="array" ref="AD42">SUMPRODUCT(
    IFERROR(VLOOKUP($G42:$T42, $B$87:$X$1000,MATCH(AD$25,$B$87:$X$87,0), FALSE), 0) *
    (LEN($G42:$T42) &gt; 0)
)+IFERROR(VLOOKUP($A42,$A$88:$X$1000,MATCH(AD$25,$A$87:$X$87,0), FALSE), 0) *
    (LEN($A42) &gt; 0)</f>
        <v>0</v>
      </c>
      <c r="AE42" cm="1">
        <f t="array" ref="AE42">SUMPRODUCT(
    IFERROR(VLOOKUP($G42:$T42, $B$87:$X$1000,MATCH(AE$25,$B$87:$X$87,0), FALSE), 0) *
    (LEN($G42:$T42) &gt; 0)
)+IFERROR(VLOOKUP($A42,$A$88:$X$1000,MATCH(AE$25,$A$87:$X$87,0), FALSE), 0) *
    (LEN($A42) &gt; 0)</f>
        <v>0</v>
      </c>
      <c r="AF42" cm="1">
        <f t="array" ref="AF42">SUMPRODUCT(
    IFERROR(VLOOKUP($G42:$T42, $B$87:$X$1000,MATCH(AF$25,$B$87:$X$87,0), FALSE), 0) *
    (LEN($G42:$T42) &gt; 0)
)+IFERROR(VLOOKUP($A42,$A$88:$X$1000,MATCH(AF$25,$A$87:$X$87,0), FALSE), 0) *
    (LEN($A42) &gt; 0)</f>
        <v>0</v>
      </c>
      <c r="AG42" cm="1">
        <f t="array" ref="AG42">SUMPRODUCT(
    IFERROR(VLOOKUP($G42:$T42, $B$87:$X$1000,MATCH(AG$25,$B$87:$X$87,0), FALSE), 0) *
    (LEN($G42:$T42) &gt; 0)
)+IFERROR(VLOOKUP($A42,$A$88:$X$1000,MATCH(AG$25,$A$87:$X$87,0), FALSE), 0) *
    (LEN($A42) &gt; 0)</f>
        <v>0</v>
      </c>
      <c r="AH42" cm="1">
        <f t="array" ref="AH42">SUMPRODUCT(
    IFERROR(VLOOKUP($G42:$T42, $B$87:$X$1000,MATCH(AH$25,$B$87:$X$87,0), FALSE), 0) *
    (LEN($G42:$T42) &gt; 0)
)+IFERROR(VLOOKUP($A42,$A$88:$X$1000,MATCH(AH$25,$A$87:$X$87,0), FALSE), 0) *
    (LEN($A42) &gt; 0)</f>
        <v>0</v>
      </c>
      <c r="AI42">
        <f t="shared" si="32"/>
        <v>1</v>
      </c>
      <c r="AJ42" cm="1">
        <f t="array" ref="AJ42">1+SUMPRODUCT(
    IFERROR(VLOOKUP($G42:$T42, $B$87:$X$1000,MATCH(AJ$25,$B$87:$X$87,0), FALSE), 0) *
    (LEN($G42:$T42) &gt; 0)
)</f>
        <v>1</v>
      </c>
      <c r="AK42" cm="1">
        <f t="array" ref="AK42">1+SUMPRODUCT(
    IFERROR(VLOOKUP($G42:$T42, $B$87:$X$1000,MATCH(AK$25,$B$87:$X$87,0), FALSE), 0) *
    (LEN($G42:$T42) &gt; 0)
)</f>
        <v>1</v>
      </c>
      <c r="AL42" cm="1">
        <f t="array" ref="AL42">1+SUMPRODUCT(
    IFERROR(VLOOKUP($G42:$T42, $B$87:$X$1000,MATCH(AL$25,$B$87:$X$87,0), FALSE), 0) *
    (LEN($G42:$T42) &gt; 0)
)</f>
        <v>1</v>
      </c>
      <c r="AM42" cm="1">
        <f t="array" ref="AM42">1+SUMPRODUCT(
    IFERROR(VLOOKUP($G42:$T42, $B$87:$X$1000,MATCH(AM$25,$B$87:$X$87,0), FALSE), 0) *
    (LEN($G42:$T42) &gt; 0)
)</f>
        <v>1</v>
      </c>
      <c r="AN42" cm="1">
        <f t="array" ref="AN42">1+SUMPRODUCT(
    IFERROR(VLOOKUP($G42:$T42, $B$87:$X$1000,MATCH(AN$25,$B$87:$X$87,0), FALSE), 0) *
    (LEN($G42:$T42) &gt; 0)
)</f>
        <v>1</v>
      </c>
      <c r="AO42">
        <f t="shared" si="33"/>
        <v>1</v>
      </c>
      <c r="AQ42">
        <f t="shared" si="34"/>
        <v>0.5</v>
      </c>
    </row>
    <row r="43" spans="2:43" x14ac:dyDescent="0.25">
      <c r="B43">
        <f t="shared" si="29"/>
        <v>0</v>
      </c>
      <c r="C43">
        <f t="shared" si="21"/>
        <v>0</v>
      </c>
      <c r="D43">
        <f t="shared" si="30"/>
        <v>0</v>
      </c>
      <c r="E43" s="36" t="e">
        <f>表2_5464[[#This Row],[列3]]/$C$62</f>
        <v>#DIV/0!</v>
      </c>
      <c r="F43" t="s">
        <v>791</v>
      </c>
      <c r="U43">
        <f t="shared" si="23"/>
        <v>0</v>
      </c>
      <c r="V43" cm="1">
        <f t="array" ref="V43" xml:space="preserve"> IFERROR(VLOOKUP($A43,$A$86:$X$1000,MATCH(V$25,$A$87:$J$87,0), FALSE), 0) *
    (LEN($A43) &gt; 0)+SUMPRODUCT(
    IFERROR(VLOOKUP($G43:$T43, $B$87:$X$1000,MATCH(V$25,$B$87:$X$87,0), FALSE), 0) *
    (LEN($G43:$T43) &gt; 0)
)</f>
        <v>0</v>
      </c>
      <c r="W43">
        <f t="shared" si="24"/>
        <v>0</v>
      </c>
      <c r="X43">
        <f t="shared" si="24"/>
        <v>0</v>
      </c>
      <c r="Y43">
        <f t="shared" si="31"/>
        <v>0</v>
      </c>
      <c r="Z43">
        <f t="shared" si="26"/>
        <v>0</v>
      </c>
      <c r="AA43" cm="1">
        <f t="array" ref="AA43" xml:space="preserve"> IFERROR(VLOOKUP($A43,$A$86:$X$1000,MATCH(AA$25,$A$87:$J$87,0), FALSE), 0) *
    (LEN($A43) &gt; 0)+SUMPRODUCT(
    IFERROR(VLOOKUP($G43:$T43, $B$87:$X$1000,MATCH(AA$25,$B$87:$X$87,0), FALSE), 0) *
    (LEN($G43:$T43) &gt; 0)
)</f>
        <v>0</v>
      </c>
      <c r="AB43" cm="1">
        <f t="array" ref="AB43">1+SUMPRODUCT(
    IFERROR(VLOOKUP($G43:$T43, $B$87:$X$1000,MATCH(AB$25,$B$87:$X$87,0), FALSE), 0) *
    (LEN($G43:$T43) &gt; 0)
)+IFERROR(VLOOKUP($A43,$A$87:$X$1000,MATCH(AB$25,$A$87:$J$87,0), FALSE), 0) *
    (LEN($A43) &gt; 0)</f>
        <v>1</v>
      </c>
      <c r="AC43" cm="1">
        <f t="array" ref="AC43">1+SUMPRODUCT(
    IFERROR(VLOOKUP($G43:$T43, $B$87:$X$1000,MATCH(AC$25,$B$87:$X$87,0), FALSE), 0) *
    (LEN($G43:$T43) &gt; 0)
)</f>
        <v>1</v>
      </c>
      <c r="AD43" cm="1">
        <f t="array" ref="AD43">SUMPRODUCT(
    IFERROR(VLOOKUP($G43:$T43, $B$87:$X$1000,MATCH(AD$25,$B$87:$X$87,0), FALSE), 0) *
    (LEN($G43:$T43) &gt; 0)
)+IFERROR(VLOOKUP($A43,$A$88:$X$1000,MATCH(AD$25,$A$87:$X$87,0), FALSE), 0) *
    (LEN($A43) &gt; 0)</f>
        <v>0</v>
      </c>
      <c r="AE43" cm="1">
        <f t="array" ref="AE43">SUMPRODUCT(
    IFERROR(VLOOKUP($G43:$T43, $B$87:$X$1000,MATCH(AE$25,$B$87:$X$87,0), FALSE), 0) *
    (LEN($G43:$T43) &gt; 0)
)+IFERROR(VLOOKUP($A43,$A$88:$X$1000,MATCH(AE$25,$A$87:$X$87,0), FALSE), 0) *
    (LEN($A43) &gt; 0)</f>
        <v>0</v>
      </c>
      <c r="AF43" cm="1">
        <f t="array" ref="AF43">SUMPRODUCT(
    IFERROR(VLOOKUP($G43:$T43, $B$87:$X$1000,MATCH(AF$25,$B$87:$X$87,0), FALSE), 0) *
    (LEN($G43:$T43) &gt; 0)
)+IFERROR(VLOOKUP($A43,$A$88:$X$1000,MATCH(AF$25,$A$87:$X$87,0), FALSE), 0) *
    (LEN($A43) &gt; 0)</f>
        <v>0</v>
      </c>
      <c r="AG43" cm="1">
        <f t="array" ref="AG43">SUMPRODUCT(
    IFERROR(VLOOKUP($G43:$T43, $B$87:$X$1000,MATCH(AG$25,$B$87:$X$87,0), FALSE), 0) *
    (LEN($G43:$T43) &gt; 0)
)+IFERROR(VLOOKUP($A43,$A$88:$X$1000,MATCH(AG$25,$A$87:$X$87,0), FALSE), 0) *
    (LEN($A43) &gt; 0)</f>
        <v>0</v>
      </c>
      <c r="AH43" cm="1">
        <f t="array" ref="AH43">SUMPRODUCT(
    IFERROR(VLOOKUP($G43:$T43, $B$87:$X$1000,MATCH(AH$25,$B$87:$X$87,0), FALSE), 0) *
    (LEN($G43:$T43) &gt; 0)
)+IFERROR(VLOOKUP($A43,$A$88:$X$1000,MATCH(AH$25,$A$87:$X$87,0), FALSE), 0) *
    (LEN($A43) &gt; 0)</f>
        <v>0</v>
      </c>
      <c r="AI43">
        <f t="shared" si="32"/>
        <v>1</v>
      </c>
      <c r="AJ43" cm="1">
        <f t="array" ref="AJ43">1+SUMPRODUCT(
    IFERROR(VLOOKUP($G43:$T43, $B$87:$X$1000,MATCH(AJ$25,$B$87:$X$87,0), FALSE), 0) *
    (LEN($G43:$T43) &gt; 0)
)</f>
        <v>1</v>
      </c>
      <c r="AK43" cm="1">
        <f t="array" ref="AK43">1+SUMPRODUCT(
    IFERROR(VLOOKUP($G43:$T43, $B$87:$X$1000,MATCH(AK$25,$B$87:$X$87,0), FALSE), 0) *
    (LEN($G43:$T43) &gt; 0)
)</f>
        <v>1</v>
      </c>
      <c r="AL43" cm="1">
        <f t="array" ref="AL43">1+SUMPRODUCT(
    IFERROR(VLOOKUP($G43:$T43, $B$87:$X$1000,MATCH(AL$25,$B$87:$X$87,0), FALSE), 0) *
    (LEN($G43:$T43) &gt; 0)
)</f>
        <v>1</v>
      </c>
      <c r="AM43" cm="1">
        <f t="array" ref="AM43">1+SUMPRODUCT(
    IFERROR(VLOOKUP($G43:$T43, $B$87:$X$1000,MATCH(AM$25,$B$87:$X$87,0), FALSE), 0) *
    (LEN($G43:$T43) &gt; 0)
)</f>
        <v>1</v>
      </c>
      <c r="AN43" cm="1">
        <f t="array" ref="AN43">1+SUMPRODUCT(
    IFERROR(VLOOKUP($G43:$T43, $B$87:$X$1000,MATCH(AN$25,$B$87:$X$87,0), FALSE), 0) *
    (LEN($G43:$T43) &gt; 0)
)</f>
        <v>1</v>
      </c>
      <c r="AO43">
        <f t="shared" si="33"/>
        <v>1</v>
      </c>
      <c r="AQ43">
        <f t="shared" si="34"/>
        <v>0.5</v>
      </c>
    </row>
    <row r="44" spans="2:43" x14ac:dyDescent="0.25">
      <c r="B44">
        <f t="shared" si="29"/>
        <v>0</v>
      </c>
      <c r="C44">
        <f t="shared" si="21"/>
        <v>0</v>
      </c>
      <c r="D44">
        <f t="shared" si="30"/>
        <v>0</v>
      </c>
      <c r="E44" s="36" t="e">
        <f>表2_5464[[#This Row],[列3]]/$C$62</f>
        <v>#DIV/0!</v>
      </c>
      <c r="F44" t="s">
        <v>791</v>
      </c>
      <c r="U44">
        <f t="shared" si="23"/>
        <v>0</v>
      </c>
      <c r="V44" cm="1">
        <f t="array" ref="V44" xml:space="preserve"> IFERROR(VLOOKUP($A44,$A$86:$X$1000,MATCH(V$25,$A$87:$J$87,0), FALSE), 0) *
    (LEN($A44) &gt; 0)+SUMPRODUCT(
    IFERROR(VLOOKUP($G44:$T44, $B$87:$X$1000,MATCH(V$25,$B$87:$X$87,0), FALSE), 0) *
    (LEN($G44:$T44) &gt; 0)
)</f>
        <v>0</v>
      </c>
      <c r="W44">
        <f t="shared" si="24"/>
        <v>0</v>
      </c>
      <c r="X44">
        <f t="shared" si="24"/>
        <v>0</v>
      </c>
      <c r="Y44">
        <f t="shared" si="31"/>
        <v>0</v>
      </c>
      <c r="Z44">
        <f t="shared" si="26"/>
        <v>0</v>
      </c>
      <c r="AA44" cm="1">
        <f t="array" ref="AA44" xml:space="preserve"> IFERROR(VLOOKUP($A44,$A$86:$X$1000,MATCH(AA$25,$A$87:$J$87,0), FALSE), 0) *
    (LEN($A44) &gt; 0)+SUMPRODUCT(
    IFERROR(VLOOKUP($G44:$T44, $B$87:$X$1000,MATCH(AA$25,$B$87:$X$87,0), FALSE), 0) *
    (LEN($G44:$T44) &gt; 0)
)</f>
        <v>0</v>
      </c>
      <c r="AB44" cm="1">
        <f t="array" ref="AB44">1+SUMPRODUCT(
    IFERROR(VLOOKUP($G44:$T44, $B$87:$X$1000,MATCH(AB$25,$B$87:$X$87,0), FALSE), 0) *
    (LEN($G44:$T44) &gt; 0)
)+IFERROR(VLOOKUP($A44,$A$87:$X$1000,MATCH(AB$25,$A$87:$J$87,0), FALSE), 0) *
    (LEN($A44) &gt; 0)</f>
        <v>1</v>
      </c>
      <c r="AC44" cm="1">
        <f t="array" ref="AC44">1+SUMPRODUCT(
    IFERROR(VLOOKUP($G44:$T44, $B$87:$X$1000,MATCH(AC$25,$B$87:$X$87,0), FALSE), 0) *
    (LEN($G44:$T44) &gt; 0)
)</f>
        <v>1</v>
      </c>
      <c r="AD44" cm="1">
        <f t="array" ref="AD44">SUMPRODUCT(
    IFERROR(VLOOKUP($G44:$T44, $B$87:$X$1000,MATCH(AD$25,$B$87:$X$87,0), FALSE), 0) *
    (LEN($G44:$T44) &gt; 0)
)+IFERROR(VLOOKUP($A44,$A$88:$X$1000,MATCH(AD$25,$A$87:$X$87,0), FALSE), 0) *
    (LEN($A44) &gt; 0)</f>
        <v>0</v>
      </c>
      <c r="AE44" cm="1">
        <f t="array" ref="AE44">SUMPRODUCT(
    IFERROR(VLOOKUP($G44:$T44, $B$87:$X$1000,MATCH(AE$25,$B$87:$X$87,0), FALSE), 0) *
    (LEN($G44:$T44) &gt; 0)
)+IFERROR(VLOOKUP($A44,$A$88:$X$1000,MATCH(AE$25,$A$87:$X$87,0), FALSE), 0) *
    (LEN($A44) &gt; 0)</f>
        <v>0</v>
      </c>
      <c r="AF44" cm="1">
        <f t="array" ref="AF44">SUMPRODUCT(
    IFERROR(VLOOKUP($G44:$T44, $B$87:$X$1000,MATCH(AF$25,$B$87:$X$87,0), FALSE), 0) *
    (LEN($G44:$T44) &gt; 0)
)+IFERROR(VLOOKUP($A44,$A$88:$X$1000,MATCH(AF$25,$A$87:$X$87,0), FALSE), 0) *
    (LEN($A44) &gt; 0)</f>
        <v>0</v>
      </c>
      <c r="AG44" cm="1">
        <f t="array" ref="AG44">SUMPRODUCT(
    IFERROR(VLOOKUP($G44:$T44, $B$87:$X$1000,MATCH(AG$25,$B$87:$X$87,0), FALSE), 0) *
    (LEN($G44:$T44) &gt; 0)
)+IFERROR(VLOOKUP($A44,$A$88:$X$1000,MATCH(AG$25,$A$87:$X$87,0), FALSE), 0) *
    (LEN($A44) &gt; 0)</f>
        <v>0</v>
      </c>
      <c r="AH44" cm="1">
        <f t="array" ref="AH44">SUMPRODUCT(
    IFERROR(VLOOKUP($G44:$T44, $B$87:$X$1000,MATCH(AH$25,$B$87:$X$87,0), FALSE), 0) *
    (LEN($G44:$T44) &gt; 0)
)+IFERROR(VLOOKUP($A44,$A$88:$X$1000,MATCH(AH$25,$A$87:$X$87,0), FALSE), 0) *
    (LEN($A44) &gt; 0)</f>
        <v>0</v>
      </c>
      <c r="AI44">
        <f t="shared" si="32"/>
        <v>1</v>
      </c>
      <c r="AJ44" cm="1">
        <f t="array" ref="AJ44">1+SUMPRODUCT(
    IFERROR(VLOOKUP($G44:$T44, $B$87:$X$1000,MATCH(AJ$25,$B$87:$X$87,0), FALSE), 0) *
    (LEN($G44:$T44) &gt; 0)
)</f>
        <v>1</v>
      </c>
      <c r="AK44" cm="1">
        <f t="array" ref="AK44">1+SUMPRODUCT(
    IFERROR(VLOOKUP($G44:$T44, $B$87:$X$1000,MATCH(AK$25,$B$87:$X$87,0), FALSE), 0) *
    (LEN($G44:$T44) &gt; 0)
)</f>
        <v>1</v>
      </c>
      <c r="AL44" cm="1">
        <f t="array" ref="AL44">1+SUMPRODUCT(
    IFERROR(VLOOKUP($G44:$T44, $B$87:$X$1000,MATCH(AL$25,$B$87:$X$87,0), FALSE), 0) *
    (LEN($G44:$T44) &gt; 0)
)</f>
        <v>1</v>
      </c>
      <c r="AM44" cm="1">
        <f t="array" ref="AM44">1+SUMPRODUCT(
    IFERROR(VLOOKUP($G44:$T44, $B$87:$X$1000,MATCH(AM$25,$B$87:$X$87,0), FALSE), 0) *
    (LEN($G44:$T44) &gt; 0)
)</f>
        <v>1</v>
      </c>
      <c r="AN44" cm="1">
        <f t="array" ref="AN44">1+SUMPRODUCT(
    IFERROR(VLOOKUP($G44:$T44, $B$87:$X$1000,MATCH(AN$25,$B$87:$X$87,0), FALSE), 0) *
    (LEN($G44:$T44) &gt; 0)
)</f>
        <v>1</v>
      </c>
      <c r="AO44">
        <f t="shared" si="33"/>
        <v>1</v>
      </c>
      <c r="AQ44">
        <f t="shared" si="34"/>
        <v>0.5</v>
      </c>
    </row>
    <row r="45" spans="2:43" x14ac:dyDescent="0.25">
      <c r="B45">
        <f t="shared" si="29"/>
        <v>0</v>
      </c>
      <c r="C45">
        <f t="shared" si="21"/>
        <v>0</v>
      </c>
      <c r="D45">
        <f t="shared" si="30"/>
        <v>0</v>
      </c>
      <c r="E45" s="36" t="e">
        <f>表2_5464[[#This Row],[列3]]/$C$62</f>
        <v>#DIV/0!</v>
      </c>
      <c r="F45" t="s">
        <v>791</v>
      </c>
      <c r="U45">
        <f t="shared" si="23"/>
        <v>0</v>
      </c>
      <c r="V45" cm="1">
        <f t="array" ref="V45" xml:space="preserve"> IFERROR(VLOOKUP($A45,$A$86:$X$1000,MATCH(V$25,$A$87:$J$87,0), FALSE), 0) *
    (LEN($A45) &gt; 0)+SUMPRODUCT(
    IFERROR(VLOOKUP($G45:$T45, $B$87:$X$1000,MATCH(V$25,$B$87:$X$87,0), FALSE), 0) *
    (LEN($G45:$T45) &gt; 0)
)</f>
        <v>0</v>
      </c>
      <c r="W45">
        <f t="shared" si="24"/>
        <v>0</v>
      </c>
      <c r="X45">
        <f t="shared" si="24"/>
        <v>0</v>
      </c>
      <c r="Y45">
        <f t="shared" si="31"/>
        <v>0</v>
      </c>
      <c r="Z45">
        <f t="shared" si="26"/>
        <v>0</v>
      </c>
      <c r="AA45" cm="1">
        <f t="array" ref="AA45" xml:space="preserve"> IFERROR(VLOOKUP($A45,$A$86:$X$1000,MATCH(AA$25,$A$87:$J$87,0), FALSE), 0) *
    (LEN($A45) &gt; 0)+SUMPRODUCT(
    IFERROR(VLOOKUP($G45:$T45, $B$87:$X$1000,MATCH(AA$25,$B$87:$X$87,0), FALSE), 0) *
    (LEN($G45:$T45) &gt; 0)
)</f>
        <v>0</v>
      </c>
      <c r="AB45" cm="1">
        <f t="array" ref="AB45">1+SUMPRODUCT(
    IFERROR(VLOOKUP($G45:$T45, $B$87:$X$1000,MATCH(AB$25,$B$87:$X$87,0), FALSE), 0) *
    (LEN($G45:$T45) &gt; 0)
)+IFERROR(VLOOKUP($A45,$A$87:$X$1000,MATCH(AB$25,$A$87:$J$87,0), FALSE), 0) *
    (LEN($A45) &gt; 0)</f>
        <v>1</v>
      </c>
      <c r="AC45" cm="1">
        <f t="array" ref="AC45">1+SUMPRODUCT(
    IFERROR(VLOOKUP($G45:$T45, $B$87:$X$1000,MATCH(AC$25,$B$87:$X$87,0), FALSE), 0) *
    (LEN($G45:$T45) &gt; 0)
)</f>
        <v>1</v>
      </c>
      <c r="AD45" cm="1">
        <f t="array" ref="AD45">SUMPRODUCT(
    IFERROR(VLOOKUP($G45:$T45, $B$87:$X$1000,MATCH(AD$25,$B$87:$X$87,0), FALSE), 0) *
    (LEN($G45:$T45) &gt; 0)
)+IFERROR(VLOOKUP($A45,$A$88:$X$1000,MATCH(AD$25,$A$87:$X$87,0), FALSE), 0) *
    (LEN($A45) &gt; 0)</f>
        <v>0</v>
      </c>
      <c r="AE45" cm="1">
        <f t="array" ref="AE45">SUMPRODUCT(
    IFERROR(VLOOKUP($G45:$T45, $B$87:$X$1000,MATCH(AE$25,$B$87:$X$87,0), FALSE), 0) *
    (LEN($G45:$T45) &gt; 0)
)+IFERROR(VLOOKUP($A45,$A$88:$X$1000,MATCH(AE$25,$A$87:$X$87,0), FALSE), 0) *
    (LEN($A45) &gt; 0)</f>
        <v>0</v>
      </c>
      <c r="AF45" cm="1">
        <f t="array" ref="AF45">SUMPRODUCT(
    IFERROR(VLOOKUP($G45:$T45, $B$87:$X$1000,MATCH(AF$25,$B$87:$X$87,0), FALSE), 0) *
    (LEN($G45:$T45) &gt; 0)
)+IFERROR(VLOOKUP($A45,$A$88:$X$1000,MATCH(AF$25,$A$87:$X$87,0), FALSE), 0) *
    (LEN($A45) &gt; 0)</f>
        <v>0</v>
      </c>
      <c r="AG45" cm="1">
        <f t="array" ref="AG45">SUMPRODUCT(
    IFERROR(VLOOKUP($G45:$T45, $B$87:$X$1000,MATCH(AG$25,$B$87:$X$87,0), FALSE), 0) *
    (LEN($G45:$T45) &gt; 0)
)+IFERROR(VLOOKUP($A45,$A$88:$X$1000,MATCH(AG$25,$A$87:$X$87,0), FALSE), 0) *
    (LEN($A45) &gt; 0)</f>
        <v>0</v>
      </c>
      <c r="AH45" cm="1">
        <f t="array" ref="AH45">SUMPRODUCT(
    IFERROR(VLOOKUP($G45:$T45, $B$87:$X$1000,MATCH(AH$25,$B$87:$X$87,0), FALSE), 0) *
    (LEN($G45:$T45) &gt; 0)
)+IFERROR(VLOOKUP($A45,$A$88:$X$1000,MATCH(AH$25,$A$87:$X$87,0), FALSE), 0) *
    (LEN($A45) &gt; 0)</f>
        <v>0</v>
      </c>
      <c r="AI45">
        <f t="shared" si="32"/>
        <v>1</v>
      </c>
      <c r="AJ45" cm="1">
        <f t="array" ref="AJ45">1+SUMPRODUCT(
    IFERROR(VLOOKUP($G45:$T45, $B$87:$X$1000,MATCH(AJ$25,$B$87:$X$87,0), FALSE), 0) *
    (LEN($G45:$T45) &gt; 0)
)</f>
        <v>1</v>
      </c>
      <c r="AK45" cm="1">
        <f t="array" ref="AK45">1+SUMPRODUCT(
    IFERROR(VLOOKUP($G45:$T45, $B$87:$X$1000,MATCH(AK$25,$B$87:$X$87,0), FALSE), 0) *
    (LEN($G45:$T45) &gt; 0)
)</f>
        <v>1</v>
      </c>
      <c r="AL45" cm="1">
        <f t="array" ref="AL45">1+SUMPRODUCT(
    IFERROR(VLOOKUP($G45:$T45, $B$87:$X$1000,MATCH(AL$25,$B$87:$X$87,0), FALSE), 0) *
    (LEN($G45:$T45) &gt; 0)
)</f>
        <v>1</v>
      </c>
      <c r="AM45" cm="1">
        <f t="array" ref="AM45">1+SUMPRODUCT(
    IFERROR(VLOOKUP($G45:$T45, $B$87:$X$1000,MATCH(AM$25,$B$87:$X$87,0), FALSE), 0) *
    (LEN($G45:$T45) &gt; 0)
)</f>
        <v>1</v>
      </c>
      <c r="AN45" cm="1">
        <f t="array" ref="AN45">1+SUMPRODUCT(
    IFERROR(VLOOKUP($G45:$T45, $B$87:$X$1000,MATCH(AN$25,$B$87:$X$87,0), FALSE), 0) *
    (LEN($G45:$T45) &gt; 0)
)</f>
        <v>1</v>
      </c>
      <c r="AO45">
        <f t="shared" si="33"/>
        <v>1</v>
      </c>
      <c r="AQ45">
        <f t="shared" si="34"/>
        <v>0.5</v>
      </c>
    </row>
    <row r="46" spans="2:43" x14ac:dyDescent="0.25">
      <c r="B46">
        <f t="shared" si="29"/>
        <v>0</v>
      </c>
      <c r="C46">
        <f t="shared" si="21"/>
        <v>0</v>
      </c>
      <c r="D46">
        <f t="shared" si="30"/>
        <v>0</v>
      </c>
      <c r="E46" s="36" t="e">
        <f>表2_5464[[#This Row],[列3]]/$C$62</f>
        <v>#DIV/0!</v>
      </c>
      <c r="F46" t="s">
        <v>791</v>
      </c>
      <c r="U46">
        <f t="shared" si="23"/>
        <v>0</v>
      </c>
      <c r="V46" cm="1">
        <f t="array" ref="V46" xml:space="preserve"> IFERROR(VLOOKUP($A46,$A$86:$X$1000,MATCH(V$25,$A$87:$J$87,0), FALSE), 0) *
    (LEN($A46) &gt; 0)+SUMPRODUCT(
    IFERROR(VLOOKUP($G46:$T46, $B$87:$X$1000,MATCH(V$25,$B$87:$X$87,0), FALSE), 0) *
    (LEN($G46:$T46) &gt; 0)
)</f>
        <v>0</v>
      </c>
      <c r="W46">
        <f t="shared" si="24"/>
        <v>0</v>
      </c>
      <c r="X46">
        <f t="shared" si="24"/>
        <v>0</v>
      </c>
      <c r="Y46">
        <f t="shared" si="31"/>
        <v>0</v>
      </c>
      <c r="Z46">
        <f t="shared" si="26"/>
        <v>0</v>
      </c>
      <c r="AA46" cm="1">
        <f t="array" ref="AA46" xml:space="preserve"> IFERROR(VLOOKUP($A46,$A$86:$X$1000,MATCH(AA$25,$A$87:$J$87,0), FALSE), 0) *
    (LEN($A46) &gt; 0)+SUMPRODUCT(
    IFERROR(VLOOKUP($G46:$T46, $B$87:$X$1000,MATCH(AA$25,$B$87:$X$87,0), FALSE), 0) *
    (LEN($G46:$T46) &gt; 0)
)</f>
        <v>0</v>
      </c>
      <c r="AB46" cm="1">
        <f t="array" ref="AB46">1+SUMPRODUCT(
    IFERROR(VLOOKUP($G46:$T46, $B$87:$X$1000,MATCH(AB$25,$B$87:$X$87,0), FALSE), 0) *
    (LEN($G46:$T46) &gt; 0)
)+IFERROR(VLOOKUP($A46,$A$87:$X$1000,MATCH(AB$25,$A$87:$J$87,0), FALSE), 0) *
    (LEN($A46) &gt; 0)</f>
        <v>1</v>
      </c>
      <c r="AC46" cm="1">
        <f t="array" ref="AC46">1+SUMPRODUCT(
    IFERROR(VLOOKUP($G46:$T46, $B$87:$X$1000,MATCH(AC$25,$B$87:$X$87,0), FALSE), 0) *
    (LEN($G46:$T46) &gt; 0)
)</f>
        <v>1</v>
      </c>
      <c r="AD46" cm="1">
        <f t="array" ref="AD46">SUMPRODUCT(
    IFERROR(VLOOKUP($G46:$T46, $B$87:$X$1000,MATCH(AD$25,$B$87:$X$87,0), FALSE), 0) *
    (LEN($G46:$T46) &gt; 0)
)+IFERROR(VLOOKUP($A46,$A$88:$X$1000,MATCH(AD$25,$A$87:$X$87,0), FALSE), 0) *
    (LEN($A46) &gt; 0)</f>
        <v>0</v>
      </c>
      <c r="AE46" cm="1">
        <f t="array" ref="AE46">SUMPRODUCT(
    IFERROR(VLOOKUP($G46:$T46, $B$87:$X$1000,MATCH(AE$25,$B$87:$X$87,0), FALSE), 0) *
    (LEN($G46:$T46) &gt; 0)
)+IFERROR(VLOOKUP($A46,$A$88:$X$1000,MATCH(AE$25,$A$87:$X$87,0), FALSE), 0) *
    (LEN($A46) &gt; 0)</f>
        <v>0</v>
      </c>
      <c r="AF46" cm="1">
        <f t="array" ref="AF46">SUMPRODUCT(
    IFERROR(VLOOKUP($G46:$T46, $B$87:$X$1000,MATCH(AF$25,$B$87:$X$87,0), FALSE), 0) *
    (LEN($G46:$T46) &gt; 0)
)+IFERROR(VLOOKUP($A46,$A$88:$X$1000,MATCH(AF$25,$A$87:$X$87,0), FALSE), 0) *
    (LEN($A46) &gt; 0)</f>
        <v>0</v>
      </c>
      <c r="AG46" cm="1">
        <f t="array" ref="AG46">SUMPRODUCT(
    IFERROR(VLOOKUP($G46:$T46, $B$87:$X$1000,MATCH(AG$25,$B$87:$X$87,0), FALSE), 0) *
    (LEN($G46:$T46) &gt; 0)
)+IFERROR(VLOOKUP($A46,$A$88:$X$1000,MATCH(AG$25,$A$87:$X$87,0), FALSE), 0) *
    (LEN($A46) &gt; 0)</f>
        <v>0</v>
      </c>
      <c r="AH46" cm="1">
        <f t="array" ref="AH46">SUMPRODUCT(
    IFERROR(VLOOKUP($G46:$T46, $B$87:$X$1000,MATCH(AH$25,$B$87:$X$87,0), FALSE), 0) *
    (LEN($G46:$T46) &gt; 0)
)+IFERROR(VLOOKUP($A46,$A$88:$X$1000,MATCH(AH$25,$A$87:$X$87,0), FALSE), 0) *
    (LEN($A46) &gt; 0)</f>
        <v>0</v>
      </c>
      <c r="AI46">
        <f t="shared" si="32"/>
        <v>1</v>
      </c>
      <c r="AJ46" cm="1">
        <f t="array" ref="AJ46">1+SUMPRODUCT(
    IFERROR(VLOOKUP($G46:$T46, $B$87:$X$1000,MATCH(AJ$25,$B$87:$X$87,0), FALSE), 0) *
    (LEN($G46:$T46) &gt; 0)
)</f>
        <v>1</v>
      </c>
      <c r="AK46" cm="1">
        <f t="array" ref="AK46">1+SUMPRODUCT(
    IFERROR(VLOOKUP($G46:$T46, $B$87:$X$1000,MATCH(AK$25,$B$87:$X$87,0), FALSE), 0) *
    (LEN($G46:$T46) &gt; 0)
)</f>
        <v>1</v>
      </c>
      <c r="AL46" cm="1">
        <f t="array" ref="AL46">1+SUMPRODUCT(
    IFERROR(VLOOKUP($G46:$T46, $B$87:$X$1000,MATCH(AL$25,$B$87:$X$87,0), FALSE), 0) *
    (LEN($G46:$T46) &gt; 0)
)</f>
        <v>1</v>
      </c>
      <c r="AM46" cm="1">
        <f t="array" ref="AM46">1+SUMPRODUCT(
    IFERROR(VLOOKUP($G46:$T46, $B$87:$X$1000,MATCH(AM$25,$B$87:$X$87,0), FALSE), 0) *
    (LEN($G46:$T46) &gt; 0)
)</f>
        <v>1</v>
      </c>
      <c r="AN46" cm="1">
        <f t="array" ref="AN46">1+SUMPRODUCT(
    IFERROR(VLOOKUP($G46:$T46, $B$87:$X$1000,MATCH(AN$25,$B$87:$X$87,0), FALSE), 0) *
    (LEN($G46:$T46) &gt; 0)
)</f>
        <v>1</v>
      </c>
      <c r="AO46">
        <f t="shared" si="33"/>
        <v>1</v>
      </c>
      <c r="AQ46">
        <f t="shared" si="34"/>
        <v>0.5</v>
      </c>
    </row>
    <row r="47" spans="2:43" x14ac:dyDescent="0.25">
      <c r="B47">
        <f t="shared" si="29"/>
        <v>0</v>
      </c>
      <c r="C47">
        <f t="shared" si="21"/>
        <v>0</v>
      </c>
      <c r="D47">
        <f t="shared" si="30"/>
        <v>0</v>
      </c>
      <c r="E47" s="36" t="e">
        <f>表2_5464[[#This Row],[列3]]/$C$62</f>
        <v>#DIV/0!</v>
      </c>
      <c r="F47" t="s">
        <v>791</v>
      </c>
      <c r="U47">
        <f t="shared" si="23"/>
        <v>0</v>
      </c>
      <c r="V47" cm="1">
        <f t="array" ref="V47" xml:space="preserve"> IFERROR(VLOOKUP($A47,$A$86:$X$1000,MATCH(V$25,$A$87:$J$87,0), FALSE), 0) *
    (LEN($A47) &gt; 0)+SUMPRODUCT(
    IFERROR(VLOOKUP($G47:$T47, $B$87:$X$1000,MATCH(V$25,$B$87:$X$87,0), FALSE), 0) *
    (LEN($G47:$T47) &gt; 0)
)</f>
        <v>0</v>
      </c>
      <c r="W47">
        <f t="shared" si="24"/>
        <v>0</v>
      </c>
      <c r="X47">
        <f t="shared" si="24"/>
        <v>0</v>
      </c>
      <c r="Y47">
        <f t="shared" si="31"/>
        <v>0</v>
      </c>
      <c r="Z47">
        <f t="shared" si="26"/>
        <v>0</v>
      </c>
      <c r="AA47" cm="1">
        <f t="array" ref="AA47" xml:space="preserve"> IFERROR(VLOOKUP($A47,$A$86:$X$1000,MATCH(AA$25,$A$87:$J$87,0), FALSE), 0) *
    (LEN($A47) &gt; 0)+SUMPRODUCT(
    IFERROR(VLOOKUP($G47:$T47, $B$87:$X$1000,MATCH(AA$25,$B$87:$X$87,0), FALSE), 0) *
    (LEN($G47:$T47) &gt; 0)
)</f>
        <v>0</v>
      </c>
      <c r="AB47" cm="1">
        <f t="array" ref="AB47">1+SUMPRODUCT(
    IFERROR(VLOOKUP($G47:$T47, $B$87:$X$1000,MATCH(AB$25,$B$87:$X$87,0), FALSE), 0) *
    (LEN($G47:$T47) &gt; 0)
)+IFERROR(VLOOKUP($A47,$A$87:$X$1000,MATCH(AB$25,$A$87:$J$87,0), FALSE), 0) *
    (LEN($A47) &gt; 0)</f>
        <v>1</v>
      </c>
      <c r="AC47" cm="1">
        <f t="array" ref="AC47">1+SUMPRODUCT(
    IFERROR(VLOOKUP($G47:$T47, $B$87:$X$1000,MATCH(AC$25,$B$87:$X$87,0), FALSE), 0) *
    (LEN($G47:$T47) &gt; 0)
)</f>
        <v>1</v>
      </c>
      <c r="AD47" cm="1">
        <f t="array" ref="AD47">SUMPRODUCT(
    IFERROR(VLOOKUP($G47:$T47, $B$87:$X$1000,MATCH(AD$25,$B$87:$X$87,0), FALSE), 0) *
    (LEN($G47:$T47) &gt; 0)
)+IFERROR(VLOOKUP($A47,$A$88:$X$1000,MATCH(AD$25,$A$87:$X$87,0), FALSE), 0) *
    (LEN($A47) &gt; 0)</f>
        <v>0</v>
      </c>
      <c r="AE47" cm="1">
        <f t="array" ref="AE47">SUMPRODUCT(
    IFERROR(VLOOKUP($G47:$T47, $B$87:$X$1000,MATCH(AE$25,$B$87:$X$87,0), FALSE), 0) *
    (LEN($G47:$T47) &gt; 0)
)+IFERROR(VLOOKUP($A47,$A$88:$X$1000,MATCH(AE$25,$A$87:$X$87,0), FALSE), 0) *
    (LEN($A47) &gt; 0)</f>
        <v>0</v>
      </c>
      <c r="AF47" cm="1">
        <f t="array" ref="AF47">SUMPRODUCT(
    IFERROR(VLOOKUP($G47:$T47, $B$87:$X$1000,MATCH(AF$25,$B$87:$X$87,0), FALSE), 0) *
    (LEN($G47:$T47) &gt; 0)
)+IFERROR(VLOOKUP($A47,$A$88:$X$1000,MATCH(AF$25,$A$87:$X$87,0), FALSE), 0) *
    (LEN($A47) &gt; 0)</f>
        <v>0</v>
      </c>
      <c r="AG47" cm="1">
        <f t="array" ref="AG47">SUMPRODUCT(
    IFERROR(VLOOKUP($G47:$T47, $B$87:$X$1000,MATCH(AG$25,$B$87:$X$87,0), FALSE), 0) *
    (LEN($G47:$T47) &gt; 0)
)+IFERROR(VLOOKUP($A47,$A$88:$X$1000,MATCH(AG$25,$A$87:$X$87,0), FALSE), 0) *
    (LEN($A47) &gt; 0)</f>
        <v>0</v>
      </c>
      <c r="AH47" cm="1">
        <f t="array" ref="AH47">SUMPRODUCT(
    IFERROR(VLOOKUP($G47:$T47, $B$87:$X$1000,MATCH(AH$25,$B$87:$X$87,0), FALSE), 0) *
    (LEN($G47:$T47) &gt; 0)
)+IFERROR(VLOOKUP($A47,$A$88:$X$1000,MATCH(AH$25,$A$87:$X$87,0), FALSE), 0) *
    (LEN($A47) &gt; 0)</f>
        <v>0</v>
      </c>
      <c r="AI47">
        <f t="shared" si="32"/>
        <v>1</v>
      </c>
      <c r="AJ47" cm="1">
        <f t="array" ref="AJ47">1+SUMPRODUCT(
    IFERROR(VLOOKUP($G47:$T47, $B$87:$X$1000,MATCH(AJ$25,$B$87:$X$87,0), FALSE), 0) *
    (LEN($G47:$T47) &gt; 0)
)</f>
        <v>1</v>
      </c>
      <c r="AK47" cm="1">
        <f t="array" ref="AK47">1+SUMPRODUCT(
    IFERROR(VLOOKUP($G47:$T47, $B$87:$X$1000,MATCH(AK$25,$B$87:$X$87,0), FALSE), 0) *
    (LEN($G47:$T47) &gt; 0)
)</f>
        <v>1</v>
      </c>
      <c r="AL47" cm="1">
        <f t="array" ref="AL47">1+SUMPRODUCT(
    IFERROR(VLOOKUP($G47:$T47, $B$87:$X$1000,MATCH(AL$25,$B$87:$X$87,0), FALSE), 0) *
    (LEN($G47:$T47) &gt; 0)
)</f>
        <v>1</v>
      </c>
      <c r="AM47" cm="1">
        <f t="array" ref="AM47">1+SUMPRODUCT(
    IFERROR(VLOOKUP($G47:$T47, $B$87:$X$1000,MATCH(AM$25,$B$87:$X$87,0), FALSE), 0) *
    (LEN($G47:$T47) &gt; 0)
)</f>
        <v>1</v>
      </c>
      <c r="AN47" cm="1">
        <f t="array" ref="AN47">1+SUMPRODUCT(
    IFERROR(VLOOKUP($G47:$T47, $B$87:$X$1000,MATCH(AN$25,$B$87:$X$87,0), FALSE), 0) *
    (LEN($G47:$T47) &gt; 0)
)</f>
        <v>1</v>
      </c>
      <c r="AO47">
        <f t="shared" si="33"/>
        <v>1</v>
      </c>
      <c r="AQ47">
        <f t="shared" si="34"/>
        <v>0.5</v>
      </c>
    </row>
    <row r="48" spans="2:43" x14ac:dyDescent="0.25">
      <c r="B48">
        <f t="shared" si="29"/>
        <v>0</v>
      </c>
      <c r="C48">
        <f t="shared" si="21"/>
        <v>0</v>
      </c>
      <c r="D48">
        <f t="shared" si="30"/>
        <v>0</v>
      </c>
      <c r="E48" s="36" t="e">
        <f>表2_5464[[#This Row],[列3]]/$C$62</f>
        <v>#DIV/0!</v>
      </c>
      <c r="F48" t="s">
        <v>791</v>
      </c>
      <c r="U48">
        <f t="shared" si="23"/>
        <v>0</v>
      </c>
      <c r="V48" cm="1">
        <f t="array" ref="V48" xml:space="preserve"> IFERROR(VLOOKUP($A48,$A$86:$X$1000,MATCH(V$25,$A$87:$J$87,0), FALSE), 0) *
    (LEN($A48) &gt; 0)+SUMPRODUCT(
    IFERROR(VLOOKUP($G48:$T48, $B$87:$X$1000,MATCH(V$25,$B$87:$X$87,0), FALSE), 0) *
    (LEN($G48:$T48) &gt; 0)
)</f>
        <v>0</v>
      </c>
      <c r="W48">
        <f t="shared" si="24"/>
        <v>0</v>
      </c>
      <c r="X48">
        <f t="shared" si="24"/>
        <v>0</v>
      </c>
      <c r="Y48">
        <f t="shared" si="31"/>
        <v>0</v>
      </c>
      <c r="Z48">
        <f t="shared" si="26"/>
        <v>0</v>
      </c>
      <c r="AA48" cm="1">
        <f t="array" ref="AA48" xml:space="preserve"> IFERROR(VLOOKUP($A48,$A$86:$X$1000,MATCH(AA$25,$A$87:$J$87,0), FALSE), 0) *
    (LEN($A48) &gt; 0)+SUMPRODUCT(
    IFERROR(VLOOKUP($G48:$T48, $B$87:$X$1000,MATCH(AA$25,$B$87:$X$87,0), FALSE), 0) *
    (LEN($G48:$T48) &gt; 0)
)</f>
        <v>0</v>
      </c>
      <c r="AB48" cm="1">
        <f t="array" ref="AB48">1+SUMPRODUCT(
    IFERROR(VLOOKUP($G48:$T48, $B$87:$X$1000,MATCH(AB$25,$B$87:$X$87,0), FALSE), 0) *
    (LEN($G48:$T48) &gt; 0)
)+IFERROR(VLOOKUP($A48,$A$87:$X$1000,MATCH(AB$25,$A$87:$J$87,0), FALSE), 0) *
    (LEN($A48) &gt; 0)</f>
        <v>1</v>
      </c>
      <c r="AC48" cm="1">
        <f t="array" ref="AC48">1+SUMPRODUCT(
    IFERROR(VLOOKUP($G48:$T48, $B$87:$X$1000,MATCH(AC$25,$B$87:$X$87,0), FALSE), 0) *
    (LEN($G48:$T48) &gt; 0)
)</f>
        <v>1</v>
      </c>
      <c r="AD48" cm="1">
        <f t="array" ref="AD48">SUMPRODUCT(
    IFERROR(VLOOKUP($G48:$T48, $B$87:$X$1000,MATCH(AD$25,$B$87:$X$87,0), FALSE), 0) *
    (LEN($G48:$T48) &gt; 0)
)+IFERROR(VLOOKUP($A48,$A$88:$X$1000,MATCH(AD$25,$A$87:$X$87,0), FALSE), 0) *
    (LEN($A48) &gt; 0)</f>
        <v>0</v>
      </c>
      <c r="AE48" cm="1">
        <f t="array" ref="AE48">SUMPRODUCT(
    IFERROR(VLOOKUP($G48:$T48, $B$87:$X$1000,MATCH(AE$25,$B$87:$X$87,0), FALSE), 0) *
    (LEN($G48:$T48) &gt; 0)
)+IFERROR(VLOOKUP($A48,$A$88:$X$1000,MATCH(AE$25,$A$87:$X$87,0), FALSE), 0) *
    (LEN($A48) &gt; 0)</f>
        <v>0</v>
      </c>
      <c r="AF48" cm="1">
        <f t="array" ref="AF48">SUMPRODUCT(
    IFERROR(VLOOKUP($G48:$T48, $B$87:$X$1000,MATCH(AF$25,$B$87:$X$87,0), FALSE), 0) *
    (LEN($G48:$T48) &gt; 0)
)+IFERROR(VLOOKUP($A48,$A$88:$X$1000,MATCH(AF$25,$A$87:$X$87,0), FALSE), 0) *
    (LEN($A48) &gt; 0)</f>
        <v>0</v>
      </c>
      <c r="AG48" cm="1">
        <f t="array" ref="AG48">SUMPRODUCT(
    IFERROR(VLOOKUP($G48:$T48, $B$87:$X$1000,MATCH(AG$25,$B$87:$X$87,0), FALSE), 0) *
    (LEN($G48:$T48) &gt; 0)
)+IFERROR(VLOOKUP($A48,$A$88:$X$1000,MATCH(AG$25,$A$87:$X$87,0), FALSE), 0) *
    (LEN($A48) &gt; 0)</f>
        <v>0</v>
      </c>
      <c r="AH48" cm="1">
        <f t="array" ref="AH48">SUMPRODUCT(
    IFERROR(VLOOKUP($G48:$T48, $B$87:$X$1000,MATCH(AH$25,$B$87:$X$87,0), FALSE), 0) *
    (LEN($G48:$T48) &gt; 0)
)+IFERROR(VLOOKUP($A48,$A$88:$X$1000,MATCH(AH$25,$A$87:$X$87,0), FALSE), 0) *
    (LEN($A48) &gt; 0)</f>
        <v>0</v>
      </c>
      <c r="AI48">
        <f t="shared" si="32"/>
        <v>1</v>
      </c>
      <c r="AJ48" cm="1">
        <f t="array" ref="AJ48">1+SUMPRODUCT(
    IFERROR(VLOOKUP($G48:$T48, $B$87:$X$1000,MATCH(AJ$25,$B$87:$X$87,0), FALSE), 0) *
    (LEN($G48:$T48) &gt; 0)
)</f>
        <v>1</v>
      </c>
      <c r="AK48" cm="1">
        <f t="array" ref="AK48">1+SUMPRODUCT(
    IFERROR(VLOOKUP($G48:$T48, $B$87:$X$1000,MATCH(AK$25,$B$87:$X$87,0), FALSE), 0) *
    (LEN($G48:$T48) &gt; 0)
)</f>
        <v>1</v>
      </c>
      <c r="AL48" cm="1">
        <f t="array" ref="AL48">1+SUMPRODUCT(
    IFERROR(VLOOKUP($G48:$T48, $B$87:$X$1000,MATCH(AL$25,$B$87:$X$87,0), FALSE), 0) *
    (LEN($G48:$T48) &gt; 0)
)</f>
        <v>1</v>
      </c>
      <c r="AM48" cm="1">
        <f t="array" ref="AM48">1+SUMPRODUCT(
    IFERROR(VLOOKUP($G48:$T48, $B$87:$X$1000,MATCH(AM$25,$B$87:$X$87,0), FALSE), 0) *
    (LEN($G48:$T48) &gt; 0)
)</f>
        <v>1</v>
      </c>
      <c r="AN48" cm="1">
        <f t="array" ref="AN48">1+SUMPRODUCT(
    IFERROR(VLOOKUP($G48:$T48, $B$87:$X$1000,MATCH(AN$25,$B$87:$X$87,0), FALSE), 0) *
    (LEN($G48:$T48) &gt; 0)
)</f>
        <v>1</v>
      </c>
      <c r="AO48">
        <f t="shared" si="33"/>
        <v>1</v>
      </c>
      <c r="AQ48">
        <f t="shared" si="34"/>
        <v>0.5</v>
      </c>
    </row>
    <row r="49" spans="2:43" x14ac:dyDescent="0.25">
      <c r="B49">
        <f t="shared" si="29"/>
        <v>0</v>
      </c>
      <c r="C49">
        <f t="shared" si="21"/>
        <v>0</v>
      </c>
      <c r="D49">
        <f t="shared" si="30"/>
        <v>0</v>
      </c>
      <c r="E49" s="36" t="e">
        <f>表2_5464[[#This Row],[列3]]/$C$62</f>
        <v>#DIV/0!</v>
      </c>
      <c r="F49" t="s">
        <v>791</v>
      </c>
      <c r="U49">
        <f t="shared" si="23"/>
        <v>0</v>
      </c>
      <c r="V49" cm="1">
        <f t="array" ref="V49" xml:space="preserve"> IFERROR(VLOOKUP($A49,$A$86:$X$1000,MATCH(V$25,$A$87:$J$87,0), FALSE), 0) *
    (LEN($A49) &gt; 0)+SUMPRODUCT(
    IFERROR(VLOOKUP($G49:$T49, $B$87:$X$1000,MATCH(V$25,$B$87:$X$87,0), FALSE), 0) *
    (LEN($G49:$T49) &gt; 0)
)</f>
        <v>0</v>
      </c>
      <c r="W49">
        <f t="shared" si="24"/>
        <v>0</v>
      </c>
      <c r="X49">
        <f t="shared" si="24"/>
        <v>0</v>
      </c>
      <c r="Y49">
        <f t="shared" si="31"/>
        <v>0</v>
      </c>
      <c r="Z49">
        <f t="shared" si="26"/>
        <v>0</v>
      </c>
      <c r="AA49" cm="1">
        <f t="array" ref="AA49" xml:space="preserve"> IFERROR(VLOOKUP($A49,$A$86:$X$1000,MATCH(AA$25,$A$87:$J$87,0), FALSE), 0) *
    (LEN($A49) &gt; 0)+SUMPRODUCT(
    IFERROR(VLOOKUP($G49:$T49, $B$87:$X$1000,MATCH(AA$25,$B$87:$X$87,0), FALSE), 0) *
    (LEN($G49:$T49) &gt; 0)
)</f>
        <v>0</v>
      </c>
      <c r="AB49" cm="1">
        <f t="array" ref="AB49">1+SUMPRODUCT(
    IFERROR(VLOOKUP($G49:$T49, $B$87:$X$1000,MATCH(AB$25,$B$87:$X$87,0), FALSE), 0) *
    (LEN($G49:$T49) &gt; 0)
)+IFERROR(VLOOKUP($A49,$A$87:$X$1000,MATCH(AB$25,$A$87:$J$87,0), FALSE), 0) *
    (LEN($A49) &gt; 0)</f>
        <v>1</v>
      </c>
      <c r="AC49" cm="1">
        <f t="array" ref="AC49">1+SUMPRODUCT(
    IFERROR(VLOOKUP($G49:$T49, $B$87:$X$1000,MATCH(AC$25,$B$87:$X$87,0), FALSE), 0) *
    (LEN($G49:$T49) &gt; 0)
)</f>
        <v>1</v>
      </c>
      <c r="AD49" cm="1">
        <f t="array" ref="AD49">SUMPRODUCT(
    IFERROR(VLOOKUP($G49:$T49, $B$87:$X$1000,MATCH(AD$25,$B$87:$X$87,0), FALSE), 0) *
    (LEN($G49:$T49) &gt; 0)
)+IFERROR(VLOOKUP($A49,$A$88:$X$1000,MATCH(AD$25,$A$87:$X$87,0), FALSE), 0) *
    (LEN($A49) &gt; 0)</f>
        <v>0</v>
      </c>
      <c r="AE49" cm="1">
        <f t="array" ref="AE49">SUMPRODUCT(
    IFERROR(VLOOKUP($G49:$T49, $B$87:$X$1000,MATCH(AE$25,$B$87:$X$87,0), FALSE), 0) *
    (LEN($G49:$T49) &gt; 0)
)+IFERROR(VLOOKUP($A49,$A$88:$X$1000,MATCH(AE$25,$A$87:$X$87,0), FALSE), 0) *
    (LEN($A49) &gt; 0)</f>
        <v>0</v>
      </c>
      <c r="AF49" cm="1">
        <f t="array" ref="AF49">SUMPRODUCT(
    IFERROR(VLOOKUP($G49:$T49, $B$87:$X$1000,MATCH(AF$25,$B$87:$X$87,0), FALSE), 0) *
    (LEN($G49:$T49) &gt; 0)
)+IFERROR(VLOOKUP($A49,$A$88:$X$1000,MATCH(AF$25,$A$87:$X$87,0), FALSE), 0) *
    (LEN($A49) &gt; 0)</f>
        <v>0</v>
      </c>
      <c r="AG49" cm="1">
        <f t="array" ref="AG49">SUMPRODUCT(
    IFERROR(VLOOKUP($G49:$T49, $B$87:$X$1000,MATCH(AG$25,$B$87:$X$87,0), FALSE), 0) *
    (LEN($G49:$T49) &gt; 0)
)+IFERROR(VLOOKUP($A49,$A$88:$X$1000,MATCH(AG$25,$A$87:$X$87,0), FALSE), 0) *
    (LEN($A49) &gt; 0)</f>
        <v>0</v>
      </c>
      <c r="AH49" cm="1">
        <f t="array" ref="AH49">SUMPRODUCT(
    IFERROR(VLOOKUP($G49:$T49, $B$87:$X$1000,MATCH(AH$25,$B$87:$X$87,0), FALSE), 0) *
    (LEN($G49:$T49) &gt; 0)
)+IFERROR(VLOOKUP($A49,$A$88:$X$1000,MATCH(AH$25,$A$87:$X$87,0), FALSE), 0) *
    (LEN($A49) &gt; 0)</f>
        <v>0</v>
      </c>
      <c r="AI49">
        <f t="shared" si="32"/>
        <v>1</v>
      </c>
      <c r="AJ49" cm="1">
        <f t="array" ref="AJ49">1+SUMPRODUCT(
    IFERROR(VLOOKUP($G49:$T49, $B$87:$X$1000,MATCH(AJ$25,$B$87:$X$87,0), FALSE), 0) *
    (LEN($G49:$T49) &gt; 0)
)</f>
        <v>1</v>
      </c>
      <c r="AK49" cm="1">
        <f t="array" ref="AK49">1+SUMPRODUCT(
    IFERROR(VLOOKUP($G49:$T49, $B$87:$X$1000,MATCH(AK$25,$B$87:$X$87,0), FALSE), 0) *
    (LEN($G49:$T49) &gt; 0)
)</f>
        <v>1</v>
      </c>
      <c r="AL49" cm="1">
        <f t="array" ref="AL49">1+SUMPRODUCT(
    IFERROR(VLOOKUP($G49:$T49, $B$87:$X$1000,MATCH(AL$25,$B$87:$X$87,0), FALSE), 0) *
    (LEN($G49:$T49) &gt; 0)
)</f>
        <v>1</v>
      </c>
      <c r="AM49" cm="1">
        <f t="array" ref="AM49">1+SUMPRODUCT(
    IFERROR(VLOOKUP($G49:$T49, $B$87:$X$1000,MATCH(AM$25,$B$87:$X$87,0), FALSE), 0) *
    (LEN($G49:$T49) &gt; 0)
)</f>
        <v>1</v>
      </c>
      <c r="AN49" cm="1">
        <f t="array" ref="AN49">1+SUMPRODUCT(
    IFERROR(VLOOKUP($G49:$T49, $B$87:$X$1000,MATCH(AN$25,$B$87:$X$87,0), FALSE), 0) *
    (LEN($G49:$T49) &gt; 0)
)</f>
        <v>1</v>
      </c>
      <c r="AO49">
        <f t="shared" si="33"/>
        <v>1</v>
      </c>
      <c r="AQ49">
        <f t="shared" si="34"/>
        <v>0.5</v>
      </c>
    </row>
    <row r="50" spans="2:43" x14ac:dyDescent="0.25">
      <c r="B50">
        <f t="shared" si="29"/>
        <v>0</v>
      </c>
      <c r="C50">
        <f t="shared" si="21"/>
        <v>0</v>
      </c>
      <c r="D50">
        <f t="shared" si="30"/>
        <v>0</v>
      </c>
      <c r="E50" s="36" t="e">
        <f>表2_5464[[#This Row],[列3]]/$C$62</f>
        <v>#DIV/0!</v>
      </c>
      <c r="F50" t="s">
        <v>791</v>
      </c>
      <c r="U50">
        <f t="shared" si="23"/>
        <v>0</v>
      </c>
      <c r="V50" cm="1">
        <f t="array" ref="V50" xml:space="preserve"> IFERROR(VLOOKUP($A50,$A$86:$X$1000,MATCH(V$25,$A$87:$J$87,0), FALSE), 0) *
    (LEN($A50) &gt; 0)+SUMPRODUCT(
    IFERROR(VLOOKUP($G50:$T50, $B$87:$X$1000,MATCH(V$25,$B$87:$X$87,0), FALSE), 0) *
    (LEN($G50:$T50) &gt; 0)
)</f>
        <v>0</v>
      </c>
      <c r="W50">
        <f t="shared" si="24"/>
        <v>0</v>
      </c>
      <c r="X50">
        <f t="shared" si="24"/>
        <v>0</v>
      </c>
      <c r="Y50">
        <f t="shared" si="31"/>
        <v>0</v>
      </c>
      <c r="Z50">
        <f t="shared" si="26"/>
        <v>0</v>
      </c>
      <c r="AA50" cm="1">
        <f t="array" ref="AA50" xml:space="preserve"> IFERROR(VLOOKUP($A50,$A$86:$X$1000,MATCH(AA$25,$A$87:$J$87,0), FALSE), 0) *
    (LEN($A50) &gt; 0)+SUMPRODUCT(
    IFERROR(VLOOKUP($G50:$T50, $B$87:$X$1000,MATCH(AA$25,$B$87:$X$87,0), FALSE), 0) *
    (LEN($G50:$T50) &gt; 0)
)</f>
        <v>0</v>
      </c>
      <c r="AB50" cm="1">
        <f t="array" ref="AB50">1+SUMPRODUCT(
    IFERROR(VLOOKUP($G50:$T50, $B$87:$X$1000,MATCH(AB$25,$B$87:$X$87,0), FALSE), 0) *
    (LEN($G50:$T50) &gt; 0)
)+IFERROR(VLOOKUP($A50,$A$87:$X$1000,MATCH(AB$25,$A$87:$J$87,0), FALSE), 0) *
    (LEN($A50) &gt; 0)</f>
        <v>1</v>
      </c>
      <c r="AC50" cm="1">
        <f t="array" ref="AC50">1+SUMPRODUCT(
    IFERROR(VLOOKUP($G50:$T50, $B$87:$X$1000,MATCH(AC$25,$B$87:$X$87,0), FALSE), 0) *
    (LEN($G50:$T50) &gt; 0)
)</f>
        <v>1</v>
      </c>
      <c r="AD50" cm="1">
        <f t="array" ref="AD50">SUMPRODUCT(
    IFERROR(VLOOKUP($G50:$T50, $B$87:$X$1000,MATCH(AD$25,$B$87:$X$87,0), FALSE), 0) *
    (LEN($G50:$T50) &gt; 0)
)+IFERROR(VLOOKUP($A50,$A$88:$X$1000,MATCH(AD$25,$A$87:$X$87,0), FALSE), 0) *
    (LEN($A50) &gt; 0)</f>
        <v>0</v>
      </c>
      <c r="AE50" cm="1">
        <f t="array" ref="AE50">SUMPRODUCT(
    IFERROR(VLOOKUP($G50:$T50, $B$87:$X$1000,MATCH(AE$25,$B$87:$X$87,0), FALSE), 0) *
    (LEN($G50:$T50) &gt; 0)
)+IFERROR(VLOOKUP($A50,$A$88:$X$1000,MATCH(AE$25,$A$87:$X$87,0), FALSE), 0) *
    (LEN($A50) &gt; 0)</f>
        <v>0</v>
      </c>
      <c r="AF50" cm="1">
        <f t="array" ref="AF50">SUMPRODUCT(
    IFERROR(VLOOKUP($G50:$T50, $B$87:$X$1000,MATCH(AF$25,$B$87:$X$87,0), FALSE), 0) *
    (LEN($G50:$T50) &gt; 0)
)+IFERROR(VLOOKUP($A50,$A$88:$X$1000,MATCH(AF$25,$A$87:$X$87,0), FALSE), 0) *
    (LEN($A50) &gt; 0)</f>
        <v>0</v>
      </c>
      <c r="AG50" cm="1">
        <f t="array" ref="AG50">SUMPRODUCT(
    IFERROR(VLOOKUP($G50:$T50, $B$87:$X$1000,MATCH(AG$25,$B$87:$X$87,0), FALSE), 0) *
    (LEN($G50:$T50) &gt; 0)
)+IFERROR(VLOOKUP($A50,$A$88:$X$1000,MATCH(AG$25,$A$87:$X$87,0), FALSE), 0) *
    (LEN($A50) &gt; 0)</f>
        <v>0</v>
      </c>
      <c r="AH50" cm="1">
        <f t="array" ref="AH50">SUMPRODUCT(
    IFERROR(VLOOKUP($G50:$T50, $B$87:$X$1000,MATCH(AH$25,$B$87:$X$87,0), FALSE), 0) *
    (LEN($G50:$T50) &gt; 0)
)+IFERROR(VLOOKUP($A50,$A$88:$X$1000,MATCH(AH$25,$A$87:$X$87,0), FALSE), 0) *
    (LEN($A50) &gt; 0)</f>
        <v>0</v>
      </c>
      <c r="AI50">
        <f t="shared" si="32"/>
        <v>1</v>
      </c>
      <c r="AJ50" cm="1">
        <f t="array" ref="AJ50">1+SUMPRODUCT(
    IFERROR(VLOOKUP($G50:$T50, $B$87:$X$1000,MATCH(AJ$25,$B$87:$X$87,0), FALSE), 0) *
    (LEN($G50:$T50) &gt; 0)
)</f>
        <v>1</v>
      </c>
      <c r="AK50" cm="1">
        <f t="array" ref="AK50">1+SUMPRODUCT(
    IFERROR(VLOOKUP($G50:$T50, $B$87:$X$1000,MATCH(AK$25,$B$87:$X$87,0), FALSE), 0) *
    (LEN($G50:$T50) &gt; 0)
)</f>
        <v>1</v>
      </c>
      <c r="AL50" cm="1">
        <f t="array" ref="AL50">1+SUMPRODUCT(
    IFERROR(VLOOKUP($G50:$T50, $B$87:$X$1000,MATCH(AL$25,$B$87:$X$87,0), FALSE), 0) *
    (LEN($G50:$T50) &gt; 0)
)</f>
        <v>1</v>
      </c>
      <c r="AM50" cm="1">
        <f t="array" ref="AM50">1+SUMPRODUCT(
    IFERROR(VLOOKUP($G50:$T50, $B$87:$X$1000,MATCH(AM$25,$B$87:$X$87,0), FALSE), 0) *
    (LEN($G50:$T50) &gt; 0)
)</f>
        <v>1</v>
      </c>
      <c r="AN50" cm="1">
        <f t="array" ref="AN50">1+SUMPRODUCT(
    IFERROR(VLOOKUP($G50:$T50, $B$87:$X$1000,MATCH(AN$25,$B$87:$X$87,0), FALSE), 0) *
    (LEN($G50:$T50) &gt; 0)
)</f>
        <v>1</v>
      </c>
      <c r="AO50">
        <f t="shared" si="33"/>
        <v>1</v>
      </c>
      <c r="AQ50">
        <f t="shared" si="34"/>
        <v>0.5</v>
      </c>
    </row>
    <row r="51" spans="2:43" x14ac:dyDescent="0.25">
      <c r="B51">
        <f t="shared" si="29"/>
        <v>0</v>
      </c>
      <c r="C51">
        <f t="shared" si="21"/>
        <v>0</v>
      </c>
      <c r="D51">
        <f t="shared" si="30"/>
        <v>0</v>
      </c>
      <c r="E51" s="36" t="e">
        <f>表2_5464[[#This Row],[列3]]/$C$62</f>
        <v>#DIV/0!</v>
      </c>
      <c r="F51" t="s">
        <v>791</v>
      </c>
      <c r="U51">
        <f t="shared" si="23"/>
        <v>0</v>
      </c>
      <c r="V51" cm="1">
        <f t="array" ref="V51" xml:space="preserve"> IFERROR(VLOOKUP($A51,$A$86:$X$1000,MATCH(V$25,$A$87:$J$87,0), FALSE), 0) *
    (LEN($A51) &gt; 0)+SUMPRODUCT(
    IFERROR(VLOOKUP($G51:$T51, $B$87:$X$1000,MATCH(V$25,$B$87:$X$87,0), FALSE), 0) *
    (LEN($G51:$T51) &gt; 0)
)</f>
        <v>0</v>
      </c>
      <c r="W51">
        <f t="shared" si="24"/>
        <v>0</v>
      </c>
      <c r="X51">
        <f t="shared" si="24"/>
        <v>0</v>
      </c>
      <c r="Y51">
        <f t="shared" si="31"/>
        <v>0</v>
      </c>
      <c r="Z51">
        <f t="shared" si="26"/>
        <v>0</v>
      </c>
      <c r="AA51" cm="1">
        <f t="array" ref="AA51" xml:space="preserve"> IFERROR(VLOOKUP($A51,$A$86:$X$1000,MATCH(AA$25,$A$87:$J$87,0), FALSE), 0) *
    (LEN($A51) &gt; 0)+SUMPRODUCT(
    IFERROR(VLOOKUP($G51:$T51, $B$87:$X$1000,MATCH(AA$25,$B$87:$X$87,0), FALSE), 0) *
    (LEN($G51:$T51) &gt; 0)
)</f>
        <v>0</v>
      </c>
      <c r="AB51" cm="1">
        <f t="array" ref="AB51">1+SUMPRODUCT(
    IFERROR(VLOOKUP($G51:$T51, $B$87:$X$1000,MATCH(AB$25,$B$87:$X$87,0), FALSE), 0) *
    (LEN($G51:$T51) &gt; 0)
)+IFERROR(VLOOKUP($A51,$A$87:$X$1000,MATCH(AB$25,$A$87:$J$87,0), FALSE), 0) *
    (LEN($A51) &gt; 0)</f>
        <v>1</v>
      </c>
      <c r="AC51" cm="1">
        <f t="array" ref="AC51">1+SUMPRODUCT(
    IFERROR(VLOOKUP($G51:$T51, $B$87:$X$1000,MATCH(AC$25,$B$87:$X$87,0), FALSE), 0) *
    (LEN($G51:$T51) &gt; 0)
)</f>
        <v>1</v>
      </c>
      <c r="AD51" cm="1">
        <f t="array" ref="AD51">SUMPRODUCT(
    IFERROR(VLOOKUP($G51:$T51, $B$87:$X$1000,MATCH(AD$25,$B$87:$X$87,0), FALSE), 0) *
    (LEN($G51:$T51) &gt; 0)
)+IFERROR(VLOOKUP($A51,$A$88:$X$1000,MATCH(AD$25,$A$87:$X$87,0), FALSE), 0) *
    (LEN($A51) &gt; 0)</f>
        <v>0</v>
      </c>
      <c r="AE51" cm="1">
        <f t="array" ref="AE51">SUMPRODUCT(
    IFERROR(VLOOKUP($G51:$T51, $B$87:$X$1000,MATCH(AE$25,$B$87:$X$87,0), FALSE), 0) *
    (LEN($G51:$T51) &gt; 0)
)+IFERROR(VLOOKUP($A51,$A$88:$X$1000,MATCH(AE$25,$A$87:$X$87,0), FALSE), 0) *
    (LEN($A51) &gt; 0)</f>
        <v>0</v>
      </c>
      <c r="AF51" cm="1">
        <f t="array" ref="AF51">SUMPRODUCT(
    IFERROR(VLOOKUP($G51:$T51, $B$87:$X$1000,MATCH(AF$25,$B$87:$X$87,0), FALSE), 0) *
    (LEN($G51:$T51) &gt; 0)
)+IFERROR(VLOOKUP($A51,$A$88:$X$1000,MATCH(AF$25,$A$87:$X$87,0), FALSE), 0) *
    (LEN($A51) &gt; 0)</f>
        <v>0</v>
      </c>
      <c r="AG51" cm="1">
        <f t="array" ref="AG51">SUMPRODUCT(
    IFERROR(VLOOKUP($G51:$T51, $B$87:$X$1000,MATCH(AG$25,$B$87:$X$87,0), FALSE), 0) *
    (LEN($G51:$T51) &gt; 0)
)+IFERROR(VLOOKUP($A51,$A$88:$X$1000,MATCH(AG$25,$A$87:$X$87,0), FALSE), 0) *
    (LEN($A51) &gt; 0)</f>
        <v>0</v>
      </c>
      <c r="AH51" cm="1">
        <f t="array" ref="AH51">SUMPRODUCT(
    IFERROR(VLOOKUP($G51:$T51, $B$87:$X$1000,MATCH(AH$25,$B$87:$X$87,0), FALSE), 0) *
    (LEN($G51:$T51) &gt; 0)
)+IFERROR(VLOOKUP($A51,$A$88:$X$1000,MATCH(AH$25,$A$87:$X$87,0), FALSE), 0) *
    (LEN($A51) &gt; 0)</f>
        <v>0</v>
      </c>
      <c r="AI51">
        <f t="shared" si="32"/>
        <v>1</v>
      </c>
      <c r="AJ51" cm="1">
        <f t="array" ref="AJ51">1+SUMPRODUCT(
    IFERROR(VLOOKUP($G51:$T51, $B$87:$X$1000,MATCH(AJ$25,$B$87:$X$87,0), FALSE), 0) *
    (LEN($G51:$T51) &gt; 0)
)</f>
        <v>1</v>
      </c>
      <c r="AK51" cm="1">
        <f t="array" ref="AK51">1+SUMPRODUCT(
    IFERROR(VLOOKUP($G51:$T51, $B$87:$X$1000,MATCH(AK$25,$B$87:$X$87,0), FALSE), 0) *
    (LEN($G51:$T51) &gt; 0)
)</f>
        <v>1</v>
      </c>
      <c r="AL51" cm="1">
        <f t="array" ref="AL51">1+SUMPRODUCT(
    IFERROR(VLOOKUP($G51:$T51, $B$87:$X$1000,MATCH(AL$25,$B$87:$X$87,0), FALSE), 0) *
    (LEN($G51:$T51) &gt; 0)
)</f>
        <v>1</v>
      </c>
      <c r="AM51" cm="1">
        <f t="array" ref="AM51">1+SUMPRODUCT(
    IFERROR(VLOOKUP($G51:$T51, $B$87:$X$1000,MATCH(AM$25,$B$87:$X$87,0), FALSE), 0) *
    (LEN($G51:$T51) &gt; 0)
)</f>
        <v>1</v>
      </c>
      <c r="AN51" cm="1">
        <f t="array" ref="AN51">1+SUMPRODUCT(
    IFERROR(VLOOKUP($G51:$T51, $B$87:$X$1000,MATCH(AN$25,$B$87:$X$87,0), FALSE), 0) *
    (LEN($G51:$T51) &gt; 0)
)</f>
        <v>1</v>
      </c>
      <c r="AO51">
        <f t="shared" si="33"/>
        <v>1</v>
      </c>
      <c r="AQ51">
        <f t="shared" si="34"/>
        <v>0.5</v>
      </c>
    </row>
    <row r="52" spans="2:43" x14ac:dyDescent="0.25">
      <c r="B52">
        <f t="shared" si="29"/>
        <v>0</v>
      </c>
      <c r="C52">
        <f t="shared" si="21"/>
        <v>0</v>
      </c>
      <c r="D52">
        <f t="shared" si="30"/>
        <v>0</v>
      </c>
      <c r="E52" s="36" t="e">
        <f>表2_5464[[#This Row],[列3]]/$C$62</f>
        <v>#DIV/0!</v>
      </c>
      <c r="F52" t="s">
        <v>791</v>
      </c>
      <c r="U52">
        <f t="shared" si="23"/>
        <v>0</v>
      </c>
      <c r="V52" cm="1">
        <f t="array" ref="V52" xml:space="preserve"> IFERROR(VLOOKUP($A52,$A$86:$X$1000,MATCH(V$25,$A$87:$J$87,0), FALSE), 0) *
    (LEN($A52) &gt; 0)+SUMPRODUCT(
    IFERROR(VLOOKUP($G52:$T52, $B$87:$X$1000,MATCH(V$25,$B$87:$X$87,0), FALSE), 0) *
    (LEN($G52:$T52) &gt; 0)
)</f>
        <v>0</v>
      </c>
      <c r="W52">
        <f t="shared" si="24"/>
        <v>0</v>
      </c>
      <c r="X52">
        <f t="shared" si="24"/>
        <v>0</v>
      </c>
      <c r="Y52">
        <f t="shared" si="31"/>
        <v>0</v>
      </c>
      <c r="Z52">
        <f t="shared" si="26"/>
        <v>0</v>
      </c>
      <c r="AA52" cm="1">
        <f t="array" ref="AA52" xml:space="preserve"> IFERROR(VLOOKUP($A52,$A$86:$X$1000,MATCH(AA$25,$A$87:$J$87,0), FALSE), 0) *
    (LEN($A52) &gt; 0)+SUMPRODUCT(
    IFERROR(VLOOKUP($G52:$T52, $B$87:$X$1000,MATCH(AA$25,$B$87:$X$87,0), FALSE), 0) *
    (LEN($G52:$T52) &gt; 0)
)</f>
        <v>0</v>
      </c>
      <c r="AB52" cm="1">
        <f t="array" ref="AB52">1+SUMPRODUCT(
    IFERROR(VLOOKUP($G52:$T52, $B$87:$X$1000,MATCH(AB$25,$B$87:$X$87,0), FALSE), 0) *
    (LEN($G52:$T52) &gt; 0)
)+IFERROR(VLOOKUP($A52,$A$87:$X$1000,MATCH(AB$25,$A$87:$J$87,0), FALSE), 0) *
    (LEN($A52) &gt; 0)</f>
        <v>1</v>
      </c>
      <c r="AC52" cm="1">
        <f t="array" ref="AC52">1+SUMPRODUCT(
    IFERROR(VLOOKUP($G52:$T52, $B$87:$X$1000,MATCH(AC$25,$B$87:$X$87,0), FALSE), 0) *
    (LEN($G52:$T52) &gt; 0)
)</f>
        <v>1</v>
      </c>
      <c r="AD52" cm="1">
        <f t="array" ref="AD52">SUMPRODUCT(
    IFERROR(VLOOKUP($G52:$T52, $B$87:$X$1000,MATCH(AD$25,$B$87:$X$87,0), FALSE), 0) *
    (LEN($G52:$T52) &gt; 0)
)+IFERROR(VLOOKUP($A52,$A$88:$X$1000,MATCH(AD$25,$A$87:$X$87,0), FALSE), 0) *
    (LEN($A52) &gt; 0)</f>
        <v>0</v>
      </c>
      <c r="AE52" cm="1">
        <f t="array" ref="AE52">SUMPRODUCT(
    IFERROR(VLOOKUP($G52:$T52, $B$87:$X$1000,MATCH(AE$25,$B$87:$X$87,0), FALSE), 0) *
    (LEN($G52:$T52) &gt; 0)
)+IFERROR(VLOOKUP($A52,$A$88:$X$1000,MATCH(AE$25,$A$87:$X$87,0), FALSE), 0) *
    (LEN($A52) &gt; 0)</f>
        <v>0</v>
      </c>
      <c r="AF52" cm="1">
        <f t="array" ref="AF52">SUMPRODUCT(
    IFERROR(VLOOKUP($G52:$T52, $B$87:$X$1000,MATCH(AF$25,$B$87:$X$87,0), FALSE), 0) *
    (LEN($G52:$T52) &gt; 0)
)+IFERROR(VLOOKUP($A52,$A$88:$X$1000,MATCH(AF$25,$A$87:$X$87,0), FALSE), 0) *
    (LEN($A52) &gt; 0)</f>
        <v>0</v>
      </c>
      <c r="AG52" cm="1">
        <f t="array" ref="AG52">SUMPRODUCT(
    IFERROR(VLOOKUP($G52:$T52, $B$87:$X$1000,MATCH(AG$25,$B$87:$X$87,0), FALSE), 0) *
    (LEN($G52:$T52) &gt; 0)
)+IFERROR(VLOOKUP($A52,$A$88:$X$1000,MATCH(AG$25,$A$87:$X$87,0), FALSE), 0) *
    (LEN($A52) &gt; 0)</f>
        <v>0</v>
      </c>
      <c r="AH52" cm="1">
        <f t="array" ref="AH52">SUMPRODUCT(
    IFERROR(VLOOKUP($G52:$T52, $B$87:$X$1000,MATCH(AH$25,$B$87:$X$87,0), FALSE), 0) *
    (LEN($G52:$T52) &gt; 0)
)+IFERROR(VLOOKUP($A52,$A$88:$X$1000,MATCH(AH$25,$A$87:$X$87,0), FALSE), 0) *
    (LEN($A52) &gt; 0)</f>
        <v>0</v>
      </c>
      <c r="AI52">
        <f t="shared" si="32"/>
        <v>1</v>
      </c>
      <c r="AJ52" cm="1">
        <f t="array" ref="AJ52">1+SUMPRODUCT(
    IFERROR(VLOOKUP($G52:$T52, $B$87:$X$1000,MATCH(AJ$25,$B$87:$X$87,0), FALSE), 0) *
    (LEN($G52:$T52) &gt; 0)
)</f>
        <v>1</v>
      </c>
      <c r="AK52" cm="1">
        <f t="array" ref="AK52">1+SUMPRODUCT(
    IFERROR(VLOOKUP($G52:$T52, $B$87:$X$1000,MATCH(AK$25,$B$87:$X$87,0), FALSE), 0) *
    (LEN($G52:$T52) &gt; 0)
)</f>
        <v>1</v>
      </c>
      <c r="AL52" cm="1">
        <f t="array" ref="AL52">1+SUMPRODUCT(
    IFERROR(VLOOKUP($G52:$T52, $B$87:$X$1000,MATCH(AL$25,$B$87:$X$87,0), FALSE), 0) *
    (LEN($G52:$T52) &gt; 0)
)</f>
        <v>1</v>
      </c>
      <c r="AM52" cm="1">
        <f t="array" ref="AM52">1+SUMPRODUCT(
    IFERROR(VLOOKUP($G52:$T52, $B$87:$X$1000,MATCH(AM$25,$B$87:$X$87,0), FALSE), 0) *
    (LEN($G52:$T52) &gt; 0)
)</f>
        <v>1</v>
      </c>
      <c r="AN52" cm="1">
        <f t="array" ref="AN52">1+SUMPRODUCT(
    IFERROR(VLOOKUP($G52:$T52, $B$87:$X$1000,MATCH(AN$25,$B$87:$X$87,0), FALSE), 0) *
    (LEN($G52:$T52) &gt; 0)
)</f>
        <v>1</v>
      </c>
      <c r="AO52">
        <f t="shared" si="33"/>
        <v>1</v>
      </c>
      <c r="AQ52">
        <f t="shared" si="34"/>
        <v>0.5</v>
      </c>
    </row>
    <row r="53" spans="2:43" x14ac:dyDescent="0.25">
      <c r="B53">
        <f t="shared" si="29"/>
        <v>0</v>
      </c>
      <c r="C53">
        <f t="shared" si="21"/>
        <v>0</v>
      </c>
      <c r="D53">
        <f t="shared" si="30"/>
        <v>0</v>
      </c>
      <c r="E53" s="36" t="e">
        <f>表2_5464[[#This Row],[列3]]/$C$62</f>
        <v>#DIV/0!</v>
      </c>
      <c r="F53" t="s">
        <v>791</v>
      </c>
      <c r="U53">
        <f t="shared" si="23"/>
        <v>0</v>
      </c>
      <c r="V53" cm="1">
        <f t="array" ref="V53" xml:space="preserve"> IFERROR(VLOOKUP($A53,$A$86:$X$1000,MATCH(V$25,$A$87:$J$87,0), FALSE), 0) *
    (LEN($A53) &gt; 0)+SUMPRODUCT(
    IFERROR(VLOOKUP($G53:$T53, $B$87:$X$1000,MATCH(V$25,$B$87:$X$87,0), FALSE), 0) *
    (LEN($G53:$T53) &gt; 0)
)</f>
        <v>0</v>
      </c>
      <c r="W53">
        <f t="shared" si="24"/>
        <v>0</v>
      </c>
      <c r="X53">
        <f t="shared" si="24"/>
        <v>0</v>
      </c>
      <c r="Y53">
        <f t="shared" si="31"/>
        <v>0</v>
      </c>
      <c r="Z53">
        <f t="shared" si="26"/>
        <v>0</v>
      </c>
      <c r="AA53" cm="1">
        <f t="array" ref="AA53" xml:space="preserve"> IFERROR(VLOOKUP($A53,$A$86:$X$1000,MATCH(AA$25,$A$87:$J$87,0), FALSE), 0) *
    (LEN($A53) &gt; 0)+SUMPRODUCT(
    IFERROR(VLOOKUP($G53:$T53, $B$87:$X$1000,MATCH(AA$25,$B$87:$X$87,0), FALSE), 0) *
    (LEN($G53:$T53) &gt; 0)
)</f>
        <v>0</v>
      </c>
      <c r="AB53" cm="1">
        <f t="array" ref="AB53">1+SUMPRODUCT(
    IFERROR(VLOOKUP($G53:$T53, $B$87:$X$1000,MATCH(AB$25,$B$87:$X$87,0), FALSE), 0) *
    (LEN($G53:$T53) &gt; 0)
)+IFERROR(VLOOKUP($A53,$A$87:$X$1000,MATCH(AB$25,$A$87:$J$87,0), FALSE), 0) *
    (LEN($A53) &gt; 0)</f>
        <v>1</v>
      </c>
      <c r="AC53" cm="1">
        <f t="array" ref="AC53">1+SUMPRODUCT(
    IFERROR(VLOOKUP($G53:$T53, $B$87:$X$1000,MATCH(AC$25,$B$87:$X$87,0), FALSE), 0) *
    (LEN($G53:$T53) &gt; 0)
)</f>
        <v>1</v>
      </c>
      <c r="AD53" cm="1">
        <f t="array" ref="AD53">SUMPRODUCT(
    IFERROR(VLOOKUP($G53:$T53, $B$87:$X$1000,MATCH(AD$25,$B$87:$X$87,0), FALSE), 0) *
    (LEN($G53:$T53) &gt; 0)
)+IFERROR(VLOOKUP($A53,$A$88:$X$1000,MATCH(AD$25,$A$87:$X$87,0), FALSE), 0) *
    (LEN($A53) &gt; 0)</f>
        <v>0</v>
      </c>
      <c r="AE53" cm="1">
        <f t="array" ref="AE53">SUMPRODUCT(
    IFERROR(VLOOKUP($G53:$T53, $B$87:$X$1000,MATCH(AE$25,$B$87:$X$87,0), FALSE), 0) *
    (LEN($G53:$T53) &gt; 0)
)+IFERROR(VLOOKUP($A53,$A$88:$X$1000,MATCH(AE$25,$A$87:$X$87,0), FALSE), 0) *
    (LEN($A53) &gt; 0)</f>
        <v>0</v>
      </c>
      <c r="AF53" cm="1">
        <f t="array" ref="AF53">SUMPRODUCT(
    IFERROR(VLOOKUP($G53:$T53, $B$87:$X$1000,MATCH(AF$25,$B$87:$X$87,0), FALSE), 0) *
    (LEN($G53:$T53) &gt; 0)
)+IFERROR(VLOOKUP($A53,$A$88:$X$1000,MATCH(AF$25,$A$87:$X$87,0), FALSE), 0) *
    (LEN($A53) &gt; 0)</f>
        <v>0</v>
      </c>
      <c r="AG53" cm="1">
        <f t="array" ref="AG53">SUMPRODUCT(
    IFERROR(VLOOKUP($G53:$T53, $B$87:$X$1000,MATCH(AG$25,$B$87:$X$87,0), FALSE), 0) *
    (LEN($G53:$T53) &gt; 0)
)+IFERROR(VLOOKUP($A53,$A$88:$X$1000,MATCH(AG$25,$A$87:$X$87,0), FALSE), 0) *
    (LEN($A53) &gt; 0)</f>
        <v>0</v>
      </c>
      <c r="AH53" cm="1">
        <f t="array" ref="AH53">SUMPRODUCT(
    IFERROR(VLOOKUP($G53:$T53, $B$87:$X$1000,MATCH(AH$25,$B$87:$X$87,0), FALSE), 0) *
    (LEN($G53:$T53) &gt; 0)
)+IFERROR(VLOOKUP($A53,$A$88:$X$1000,MATCH(AH$25,$A$87:$X$87,0), FALSE), 0) *
    (LEN($A53) &gt; 0)</f>
        <v>0</v>
      </c>
      <c r="AI53">
        <f t="shared" si="32"/>
        <v>1</v>
      </c>
      <c r="AJ53" cm="1">
        <f t="array" ref="AJ53">1+SUMPRODUCT(
    IFERROR(VLOOKUP($G53:$T53, $B$87:$X$1000,MATCH(AJ$25,$B$87:$X$87,0), FALSE), 0) *
    (LEN($G53:$T53) &gt; 0)
)</f>
        <v>1</v>
      </c>
      <c r="AK53" cm="1">
        <f t="array" ref="AK53">1+SUMPRODUCT(
    IFERROR(VLOOKUP($G53:$T53, $B$87:$X$1000,MATCH(AK$25,$B$87:$X$87,0), FALSE), 0) *
    (LEN($G53:$T53) &gt; 0)
)</f>
        <v>1</v>
      </c>
      <c r="AL53" cm="1">
        <f t="array" ref="AL53">1+SUMPRODUCT(
    IFERROR(VLOOKUP($G53:$T53, $B$87:$X$1000,MATCH(AL$25,$B$87:$X$87,0), FALSE), 0) *
    (LEN($G53:$T53) &gt; 0)
)</f>
        <v>1</v>
      </c>
      <c r="AM53" cm="1">
        <f t="array" ref="AM53">1+SUMPRODUCT(
    IFERROR(VLOOKUP($G53:$T53, $B$87:$X$1000,MATCH(AM$25,$B$87:$X$87,0), FALSE), 0) *
    (LEN($G53:$T53) &gt; 0)
)</f>
        <v>1</v>
      </c>
      <c r="AN53" cm="1">
        <f t="array" ref="AN53">1+SUMPRODUCT(
    IFERROR(VLOOKUP($G53:$T53, $B$87:$X$1000,MATCH(AN$25,$B$87:$X$87,0), FALSE), 0) *
    (LEN($G53:$T53) &gt; 0)
)</f>
        <v>1</v>
      </c>
      <c r="AO53">
        <f t="shared" si="33"/>
        <v>1</v>
      </c>
      <c r="AQ53">
        <f t="shared" si="34"/>
        <v>0.5</v>
      </c>
    </row>
    <row r="54" spans="2:43" x14ac:dyDescent="0.25">
      <c r="B54">
        <f t="shared" si="29"/>
        <v>0</v>
      </c>
      <c r="C54">
        <f t="shared" si="21"/>
        <v>0</v>
      </c>
      <c r="D54">
        <f t="shared" si="30"/>
        <v>0</v>
      </c>
      <c r="E54" s="36" t="e">
        <f>表2_5464[[#This Row],[列3]]/$C$62</f>
        <v>#DIV/0!</v>
      </c>
      <c r="F54" t="s">
        <v>791</v>
      </c>
      <c r="U54">
        <f t="shared" si="23"/>
        <v>0</v>
      </c>
      <c r="V54" cm="1">
        <f t="array" ref="V54" xml:space="preserve"> IFERROR(VLOOKUP($A54,$A$86:$X$1000,MATCH(V$25,$A$87:$J$87,0), FALSE), 0) *
    (LEN($A54) &gt; 0)+SUMPRODUCT(
    IFERROR(VLOOKUP($G54:$T54, $B$87:$X$1000,MATCH(V$25,$B$87:$X$87,0), FALSE), 0) *
    (LEN($G54:$T54) &gt; 0)
)</f>
        <v>0</v>
      </c>
      <c r="W54">
        <f t="shared" si="24"/>
        <v>0</v>
      </c>
      <c r="X54">
        <f t="shared" si="24"/>
        <v>0</v>
      </c>
      <c r="Y54">
        <f t="shared" si="31"/>
        <v>0</v>
      </c>
      <c r="Z54">
        <f t="shared" si="26"/>
        <v>0</v>
      </c>
      <c r="AA54" cm="1">
        <f t="array" ref="AA54" xml:space="preserve"> IFERROR(VLOOKUP($A54,$A$86:$X$1000,MATCH(AA$25,$A$87:$J$87,0), FALSE), 0) *
    (LEN($A54) &gt; 0)+SUMPRODUCT(
    IFERROR(VLOOKUP($G54:$T54, $B$87:$X$1000,MATCH(AA$25,$B$87:$X$87,0), FALSE), 0) *
    (LEN($G54:$T54) &gt; 0)
)</f>
        <v>0</v>
      </c>
      <c r="AB54" cm="1">
        <f t="array" ref="AB54">1+SUMPRODUCT(
    IFERROR(VLOOKUP($G54:$T54, $B$87:$X$1000,MATCH(AB$25,$B$87:$X$87,0), FALSE), 0) *
    (LEN($G54:$T54) &gt; 0)
)+IFERROR(VLOOKUP($A54,$A$87:$X$1000,MATCH(AB$25,$A$87:$J$87,0), FALSE), 0) *
    (LEN($A54) &gt; 0)</f>
        <v>1</v>
      </c>
      <c r="AC54" cm="1">
        <f t="array" ref="AC54">1+SUMPRODUCT(
    IFERROR(VLOOKUP($G54:$T54, $B$87:$X$1000,MATCH(AC$25,$B$87:$X$87,0), FALSE), 0) *
    (LEN($G54:$T54) &gt; 0)
)</f>
        <v>1</v>
      </c>
      <c r="AD54" cm="1">
        <f t="array" ref="AD54">SUMPRODUCT(
    IFERROR(VLOOKUP($G54:$T54, $B$87:$X$1000,MATCH(AD$25,$B$87:$X$87,0), FALSE), 0) *
    (LEN($G54:$T54) &gt; 0)
)+IFERROR(VLOOKUP($A54,$A$88:$X$1000,MATCH(AD$25,$A$87:$X$87,0), FALSE), 0) *
    (LEN($A54) &gt; 0)</f>
        <v>0</v>
      </c>
      <c r="AE54" cm="1">
        <f t="array" ref="AE54">SUMPRODUCT(
    IFERROR(VLOOKUP($G54:$T54, $B$87:$X$1000,MATCH(AE$25,$B$87:$X$87,0), FALSE), 0) *
    (LEN($G54:$T54) &gt; 0)
)+IFERROR(VLOOKUP($A54,$A$88:$X$1000,MATCH(AE$25,$A$87:$X$87,0), FALSE), 0) *
    (LEN($A54) &gt; 0)</f>
        <v>0</v>
      </c>
      <c r="AF54" cm="1">
        <f t="array" ref="AF54">SUMPRODUCT(
    IFERROR(VLOOKUP($G54:$T54, $B$87:$X$1000,MATCH(AF$25,$B$87:$X$87,0), FALSE), 0) *
    (LEN($G54:$T54) &gt; 0)
)+IFERROR(VLOOKUP($A54,$A$88:$X$1000,MATCH(AF$25,$A$87:$X$87,0), FALSE), 0) *
    (LEN($A54) &gt; 0)</f>
        <v>0</v>
      </c>
      <c r="AG54" cm="1">
        <f t="array" ref="AG54">SUMPRODUCT(
    IFERROR(VLOOKUP($G54:$T54, $B$87:$X$1000,MATCH(AG$25,$B$87:$X$87,0), FALSE), 0) *
    (LEN($G54:$T54) &gt; 0)
)+IFERROR(VLOOKUP($A54,$A$88:$X$1000,MATCH(AG$25,$A$87:$X$87,0), FALSE), 0) *
    (LEN($A54) &gt; 0)</f>
        <v>0</v>
      </c>
      <c r="AH54" cm="1">
        <f t="array" ref="AH54">SUMPRODUCT(
    IFERROR(VLOOKUP($G54:$T54, $B$87:$X$1000,MATCH(AH$25,$B$87:$X$87,0), FALSE), 0) *
    (LEN($G54:$T54) &gt; 0)
)+IFERROR(VLOOKUP($A54,$A$88:$X$1000,MATCH(AH$25,$A$87:$X$87,0), FALSE), 0) *
    (LEN($A54) &gt; 0)</f>
        <v>0</v>
      </c>
      <c r="AI54">
        <f t="shared" si="32"/>
        <v>1</v>
      </c>
      <c r="AJ54" cm="1">
        <f t="array" ref="AJ54">1+SUMPRODUCT(
    IFERROR(VLOOKUP($G54:$T54, $B$87:$X$1000,MATCH(AJ$25,$B$87:$X$87,0), FALSE), 0) *
    (LEN($G54:$T54) &gt; 0)
)</f>
        <v>1</v>
      </c>
      <c r="AK54" cm="1">
        <f t="array" ref="AK54">1+SUMPRODUCT(
    IFERROR(VLOOKUP($G54:$T54, $B$87:$X$1000,MATCH(AK$25,$B$87:$X$87,0), FALSE), 0) *
    (LEN($G54:$T54) &gt; 0)
)</f>
        <v>1</v>
      </c>
      <c r="AL54" cm="1">
        <f t="array" ref="AL54">1+SUMPRODUCT(
    IFERROR(VLOOKUP($G54:$T54, $B$87:$X$1000,MATCH(AL$25,$B$87:$X$87,0), FALSE), 0) *
    (LEN($G54:$T54) &gt; 0)
)</f>
        <v>1</v>
      </c>
      <c r="AM54" cm="1">
        <f t="array" ref="AM54">1+SUMPRODUCT(
    IFERROR(VLOOKUP($G54:$T54, $B$87:$X$1000,MATCH(AM$25,$B$87:$X$87,0), FALSE), 0) *
    (LEN($G54:$T54) &gt; 0)
)</f>
        <v>1</v>
      </c>
      <c r="AN54" cm="1">
        <f t="array" ref="AN54">1+SUMPRODUCT(
    IFERROR(VLOOKUP($G54:$T54, $B$87:$X$1000,MATCH(AN$25,$B$87:$X$87,0), FALSE), 0) *
    (LEN($G54:$T54) &gt; 0)
)</f>
        <v>1</v>
      </c>
      <c r="AO54">
        <f t="shared" si="33"/>
        <v>1</v>
      </c>
      <c r="AQ54">
        <f t="shared" si="34"/>
        <v>0.5</v>
      </c>
    </row>
    <row r="55" spans="2:43" x14ac:dyDescent="0.25">
      <c r="B55">
        <f t="shared" si="29"/>
        <v>0</v>
      </c>
      <c r="C55">
        <f t="shared" si="21"/>
        <v>0</v>
      </c>
      <c r="D55">
        <f t="shared" si="30"/>
        <v>0</v>
      </c>
      <c r="E55" s="36" t="e">
        <f>表2_5464[[#This Row],[列3]]/$C$62</f>
        <v>#DIV/0!</v>
      </c>
      <c r="F55" t="s">
        <v>791</v>
      </c>
      <c r="U55">
        <f t="shared" si="23"/>
        <v>0</v>
      </c>
      <c r="V55" cm="1">
        <f t="array" ref="V55" xml:space="preserve"> IFERROR(VLOOKUP($A55,$A$86:$X$1000,MATCH(V$25,$A$87:$J$87,0), FALSE), 0) *
    (LEN($A55) &gt; 0)+SUMPRODUCT(
    IFERROR(VLOOKUP($G55:$T55, $B$87:$X$1000,MATCH(V$25,$B$87:$X$87,0), FALSE), 0) *
    (LEN($G55:$T55) &gt; 0)
)</f>
        <v>0</v>
      </c>
      <c r="W55">
        <f t="shared" si="24"/>
        <v>0</v>
      </c>
      <c r="X55">
        <f t="shared" si="24"/>
        <v>0</v>
      </c>
      <c r="Y55">
        <f t="shared" si="31"/>
        <v>0</v>
      </c>
      <c r="Z55">
        <f t="shared" si="26"/>
        <v>0</v>
      </c>
      <c r="AA55" cm="1">
        <f t="array" ref="AA55" xml:space="preserve"> IFERROR(VLOOKUP($A55,$A$86:$X$1000,MATCH(AA$25,$A$87:$J$87,0), FALSE), 0) *
    (LEN($A55) &gt; 0)+SUMPRODUCT(
    IFERROR(VLOOKUP($G55:$T55, $B$87:$X$1000,MATCH(AA$25,$B$87:$X$87,0), FALSE), 0) *
    (LEN($G55:$T55) &gt; 0)
)</f>
        <v>0</v>
      </c>
      <c r="AB55" cm="1">
        <f t="array" ref="AB55">1+SUMPRODUCT(
    IFERROR(VLOOKUP($G55:$T55, $B$87:$X$1000,MATCH(AB$25,$B$87:$X$87,0), FALSE), 0) *
    (LEN($G55:$T55) &gt; 0)
)+IFERROR(VLOOKUP($A55,$A$87:$X$1000,MATCH(AB$25,$A$87:$J$87,0), FALSE), 0) *
    (LEN($A55) &gt; 0)</f>
        <v>1</v>
      </c>
      <c r="AC55" cm="1">
        <f t="array" ref="AC55">1+SUMPRODUCT(
    IFERROR(VLOOKUP($G55:$T55, $B$87:$X$1000,MATCH(AC$25,$B$87:$X$87,0), FALSE), 0) *
    (LEN($G55:$T55) &gt; 0)
)</f>
        <v>1</v>
      </c>
      <c r="AD55" cm="1">
        <f t="array" ref="AD55">SUMPRODUCT(
    IFERROR(VLOOKUP($G55:$T55, $B$87:$X$1000,MATCH(AD$25,$B$87:$X$87,0), FALSE), 0) *
    (LEN($G55:$T55) &gt; 0)
)+IFERROR(VLOOKUP($A55,$A$88:$X$1000,MATCH(AD$25,$A$87:$X$87,0), FALSE), 0) *
    (LEN($A55) &gt; 0)</f>
        <v>0</v>
      </c>
      <c r="AE55" cm="1">
        <f t="array" ref="AE55">SUMPRODUCT(
    IFERROR(VLOOKUP($G55:$T55, $B$87:$X$1000,MATCH(AE$25,$B$87:$X$87,0), FALSE), 0) *
    (LEN($G55:$T55) &gt; 0)
)+IFERROR(VLOOKUP($A55,$A$88:$X$1000,MATCH(AE$25,$A$87:$X$87,0), FALSE), 0) *
    (LEN($A55) &gt; 0)</f>
        <v>0</v>
      </c>
      <c r="AF55" cm="1">
        <f t="array" ref="AF55">SUMPRODUCT(
    IFERROR(VLOOKUP($G55:$T55, $B$87:$X$1000,MATCH(AF$25,$B$87:$X$87,0), FALSE), 0) *
    (LEN($G55:$T55) &gt; 0)
)+IFERROR(VLOOKUP($A55,$A$88:$X$1000,MATCH(AF$25,$A$87:$X$87,0), FALSE), 0) *
    (LEN($A55) &gt; 0)</f>
        <v>0</v>
      </c>
      <c r="AG55" cm="1">
        <f t="array" ref="AG55">SUMPRODUCT(
    IFERROR(VLOOKUP($G55:$T55, $B$87:$X$1000,MATCH(AG$25,$B$87:$X$87,0), FALSE), 0) *
    (LEN($G55:$T55) &gt; 0)
)+IFERROR(VLOOKUP($A55,$A$88:$X$1000,MATCH(AG$25,$A$87:$X$87,0), FALSE), 0) *
    (LEN($A55) &gt; 0)</f>
        <v>0</v>
      </c>
      <c r="AH55" cm="1">
        <f t="array" ref="AH55">SUMPRODUCT(
    IFERROR(VLOOKUP($G55:$T55, $B$87:$X$1000,MATCH(AH$25,$B$87:$X$87,0), FALSE), 0) *
    (LEN($G55:$T55) &gt; 0)
)+IFERROR(VLOOKUP($A55,$A$88:$X$1000,MATCH(AH$25,$A$87:$X$87,0), FALSE), 0) *
    (LEN($A55) &gt; 0)</f>
        <v>0</v>
      </c>
      <c r="AI55">
        <f t="shared" si="32"/>
        <v>1</v>
      </c>
      <c r="AJ55" cm="1">
        <f t="array" ref="AJ55">1+SUMPRODUCT(
    IFERROR(VLOOKUP($G55:$T55, $B$87:$X$1000,MATCH(AJ$25,$B$87:$X$87,0), FALSE), 0) *
    (LEN($G55:$T55) &gt; 0)
)</f>
        <v>1</v>
      </c>
      <c r="AK55" cm="1">
        <f t="array" ref="AK55">1+SUMPRODUCT(
    IFERROR(VLOOKUP($G55:$T55, $B$87:$X$1000,MATCH(AK$25,$B$87:$X$87,0), FALSE), 0) *
    (LEN($G55:$T55) &gt; 0)
)</f>
        <v>1</v>
      </c>
      <c r="AL55" cm="1">
        <f t="array" ref="AL55">1+SUMPRODUCT(
    IFERROR(VLOOKUP($G55:$T55, $B$87:$X$1000,MATCH(AL$25,$B$87:$X$87,0), FALSE), 0) *
    (LEN($G55:$T55) &gt; 0)
)</f>
        <v>1</v>
      </c>
      <c r="AM55" cm="1">
        <f t="array" ref="AM55">1+SUMPRODUCT(
    IFERROR(VLOOKUP($G55:$T55, $B$87:$X$1000,MATCH(AM$25,$B$87:$X$87,0), FALSE), 0) *
    (LEN($G55:$T55) &gt; 0)
)</f>
        <v>1</v>
      </c>
      <c r="AN55" cm="1">
        <f t="array" ref="AN55">1+SUMPRODUCT(
    IFERROR(VLOOKUP($G55:$T55, $B$87:$X$1000,MATCH(AN$25,$B$87:$X$87,0), FALSE), 0) *
    (LEN($G55:$T55) &gt; 0)
)</f>
        <v>1</v>
      </c>
      <c r="AO55">
        <f t="shared" si="33"/>
        <v>1</v>
      </c>
      <c r="AQ55">
        <f t="shared" si="34"/>
        <v>0.5</v>
      </c>
    </row>
    <row r="56" spans="2:43" x14ac:dyDescent="0.25">
      <c r="B56">
        <f t="shared" si="29"/>
        <v>0</v>
      </c>
      <c r="C56">
        <f t="shared" si="21"/>
        <v>0</v>
      </c>
      <c r="D56">
        <f t="shared" si="30"/>
        <v>0</v>
      </c>
      <c r="E56" s="36" t="e">
        <f>表2_5464[[#This Row],[列3]]/$C$62</f>
        <v>#DIV/0!</v>
      </c>
      <c r="F56" t="s">
        <v>791</v>
      </c>
      <c r="U56">
        <f t="shared" si="23"/>
        <v>0</v>
      </c>
      <c r="V56" cm="1">
        <f t="array" ref="V56" xml:space="preserve"> IFERROR(VLOOKUP($A56,$A$86:$X$1000,MATCH(V$25,$A$87:$J$87,0), FALSE), 0) *
    (LEN($A56) &gt; 0)+SUMPRODUCT(
    IFERROR(VLOOKUP($G56:$T56, $B$87:$X$1000,MATCH(V$25,$B$87:$X$87,0), FALSE), 0) *
    (LEN($G56:$T56) &gt; 0)
)</f>
        <v>0</v>
      </c>
      <c r="W56">
        <f t="shared" si="24"/>
        <v>0</v>
      </c>
      <c r="X56">
        <f t="shared" si="24"/>
        <v>0</v>
      </c>
      <c r="Y56">
        <f t="shared" si="31"/>
        <v>0</v>
      </c>
      <c r="Z56">
        <f t="shared" si="26"/>
        <v>0</v>
      </c>
      <c r="AA56" cm="1">
        <f t="array" ref="AA56" xml:space="preserve"> IFERROR(VLOOKUP($A56,$A$86:$X$1000,MATCH(AA$25,$A$87:$J$87,0), FALSE), 0) *
    (LEN($A56) &gt; 0)+SUMPRODUCT(
    IFERROR(VLOOKUP($G56:$T56, $B$87:$X$1000,MATCH(AA$25,$B$87:$X$87,0), FALSE), 0) *
    (LEN($G56:$T56) &gt; 0)
)</f>
        <v>0</v>
      </c>
      <c r="AB56" cm="1">
        <f t="array" ref="AB56">1+SUMPRODUCT(
    IFERROR(VLOOKUP($G56:$T56, $B$87:$X$1000,MATCH(AB$25,$B$87:$X$87,0), FALSE), 0) *
    (LEN($G56:$T56) &gt; 0)
)+IFERROR(VLOOKUP($A56,$A$87:$X$1000,MATCH(AB$25,$A$87:$J$87,0), FALSE), 0) *
    (LEN($A56) &gt; 0)</f>
        <v>1</v>
      </c>
      <c r="AC56" cm="1">
        <f t="array" ref="AC56">1+SUMPRODUCT(
    IFERROR(VLOOKUP($G56:$T56, $B$87:$X$1000,MATCH(AC$25,$B$87:$X$87,0), FALSE), 0) *
    (LEN($G56:$T56) &gt; 0)
)</f>
        <v>1</v>
      </c>
      <c r="AD56" cm="1">
        <f t="array" ref="AD56">SUMPRODUCT(
    IFERROR(VLOOKUP($G56:$T56, $B$87:$X$1000,MATCH(AD$25,$B$87:$X$87,0), FALSE), 0) *
    (LEN($G56:$T56) &gt; 0)
)+IFERROR(VLOOKUP($A56,$A$88:$X$1000,MATCH(AD$25,$A$87:$X$87,0), FALSE), 0) *
    (LEN($A56) &gt; 0)</f>
        <v>0</v>
      </c>
      <c r="AE56" cm="1">
        <f t="array" ref="AE56">SUMPRODUCT(
    IFERROR(VLOOKUP($G56:$T56, $B$87:$X$1000,MATCH(AE$25,$B$87:$X$87,0), FALSE), 0) *
    (LEN($G56:$T56) &gt; 0)
)+IFERROR(VLOOKUP($A56,$A$88:$X$1000,MATCH(AE$25,$A$87:$X$87,0), FALSE), 0) *
    (LEN($A56) &gt; 0)</f>
        <v>0</v>
      </c>
      <c r="AF56" cm="1">
        <f t="array" ref="AF56">SUMPRODUCT(
    IFERROR(VLOOKUP($G56:$T56, $B$87:$X$1000,MATCH(AF$25,$B$87:$X$87,0), FALSE), 0) *
    (LEN($G56:$T56) &gt; 0)
)+IFERROR(VLOOKUP($A56,$A$88:$X$1000,MATCH(AF$25,$A$87:$X$87,0), FALSE), 0) *
    (LEN($A56) &gt; 0)</f>
        <v>0</v>
      </c>
      <c r="AG56" cm="1">
        <f t="array" ref="AG56">SUMPRODUCT(
    IFERROR(VLOOKUP($G56:$T56, $B$87:$X$1000,MATCH(AG$25,$B$87:$X$87,0), FALSE), 0) *
    (LEN($G56:$T56) &gt; 0)
)+IFERROR(VLOOKUP($A56,$A$88:$X$1000,MATCH(AG$25,$A$87:$X$87,0), FALSE), 0) *
    (LEN($A56) &gt; 0)</f>
        <v>0</v>
      </c>
      <c r="AH56" cm="1">
        <f t="array" ref="AH56">SUMPRODUCT(
    IFERROR(VLOOKUP($G56:$T56, $B$87:$X$1000,MATCH(AH$25,$B$87:$X$87,0), FALSE), 0) *
    (LEN($G56:$T56) &gt; 0)
)+IFERROR(VLOOKUP($A56,$A$88:$X$1000,MATCH(AH$25,$A$87:$X$87,0), FALSE), 0) *
    (LEN($A56) &gt; 0)</f>
        <v>0</v>
      </c>
      <c r="AI56">
        <f t="shared" si="32"/>
        <v>1</v>
      </c>
      <c r="AJ56" cm="1">
        <f t="array" ref="AJ56">1+SUMPRODUCT(
    IFERROR(VLOOKUP($G56:$T56, $B$87:$X$1000,MATCH(AJ$25,$B$87:$X$87,0), FALSE), 0) *
    (LEN($G56:$T56) &gt; 0)
)</f>
        <v>1</v>
      </c>
      <c r="AK56" cm="1">
        <f t="array" ref="AK56">1+SUMPRODUCT(
    IFERROR(VLOOKUP($G56:$T56, $B$87:$X$1000,MATCH(AK$25,$B$87:$X$87,0), FALSE), 0) *
    (LEN($G56:$T56) &gt; 0)
)</f>
        <v>1</v>
      </c>
      <c r="AL56" cm="1">
        <f t="array" ref="AL56">1+SUMPRODUCT(
    IFERROR(VLOOKUP($G56:$T56, $B$87:$X$1000,MATCH(AL$25,$B$87:$X$87,0), FALSE), 0) *
    (LEN($G56:$T56) &gt; 0)
)</f>
        <v>1</v>
      </c>
      <c r="AM56" cm="1">
        <f t="array" ref="AM56">1+SUMPRODUCT(
    IFERROR(VLOOKUP($G56:$T56, $B$87:$X$1000,MATCH(AM$25,$B$87:$X$87,0), FALSE), 0) *
    (LEN($G56:$T56) &gt; 0)
)</f>
        <v>1</v>
      </c>
      <c r="AN56" cm="1">
        <f t="array" ref="AN56">1+SUMPRODUCT(
    IFERROR(VLOOKUP($G56:$T56, $B$87:$X$1000,MATCH(AN$25,$B$87:$X$87,0), FALSE), 0) *
    (LEN($G56:$T56) &gt; 0)
)</f>
        <v>1</v>
      </c>
      <c r="AO56">
        <f t="shared" si="33"/>
        <v>1</v>
      </c>
      <c r="AQ56">
        <f t="shared" si="34"/>
        <v>0.5</v>
      </c>
    </row>
    <row r="57" spans="2:43" x14ac:dyDescent="0.25">
      <c r="B57">
        <f t="shared" si="29"/>
        <v>0</v>
      </c>
      <c r="C57">
        <f t="shared" si="21"/>
        <v>0</v>
      </c>
      <c r="D57">
        <f t="shared" si="30"/>
        <v>0</v>
      </c>
      <c r="E57" s="36" t="e">
        <f>表2_5464[[#This Row],[列3]]/$C$62</f>
        <v>#DIV/0!</v>
      </c>
      <c r="F57" t="s">
        <v>791</v>
      </c>
      <c r="U57">
        <f t="shared" si="23"/>
        <v>0</v>
      </c>
      <c r="V57" cm="1">
        <f t="array" ref="V57" xml:space="preserve"> IFERROR(VLOOKUP($A57,$A$86:$X$1000,MATCH(V$25,$A$87:$J$87,0), FALSE), 0) *
    (LEN($A57) &gt; 0)+SUMPRODUCT(
    IFERROR(VLOOKUP($G57:$T57, $B$87:$X$1000,MATCH(V$25,$B$87:$X$87,0), FALSE), 0) *
    (LEN($G57:$T57) &gt; 0)
)</f>
        <v>0</v>
      </c>
      <c r="W57">
        <f t="shared" si="24"/>
        <v>0</v>
      </c>
      <c r="X57">
        <f t="shared" si="24"/>
        <v>0</v>
      </c>
      <c r="Y57">
        <f t="shared" si="31"/>
        <v>0</v>
      </c>
      <c r="Z57">
        <f t="shared" si="26"/>
        <v>0</v>
      </c>
      <c r="AA57" cm="1">
        <f t="array" ref="AA57" xml:space="preserve"> IFERROR(VLOOKUP($A57,$A$86:$X$1000,MATCH(AA$25,$A$87:$J$87,0), FALSE), 0) *
    (LEN($A57) &gt; 0)+SUMPRODUCT(
    IFERROR(VLOOKUP($G57:$T57, $B$87:$X$1000,MATCH(AA$25,$B$87:$X$87,0), FALSE), 0) *
    (LEN($G57:$T57) &gt; 0)
)</f>
        <v>0</v>
      </c>
      <c r="AB57" cm="1">
        <f t="array" ref="AB57">1+SUMPRODUCT(
    IFERROR(VLOOKUP($G57:$T57, $B$87:$X$1000,MATCH(AB$25,$B$87:$X$87,0), FALSE), 0) *
    (LEN($G57:$T57) &gt; 0)
)+IFERROR(VLOOKUP($A57,$A$87:$X$1000,MATCH(AB$25,$A$87:$J$87,0), FALSE), 0) *
    (LEN($A57) &gt; 0)</f>
        <v>1</v>
      </c>
      <c r="AC57" cm="1">
        <f t="array" ref="AC57">1+SUMPRODUCT(
    IFERROR(VLOOKUP($G57:$T57, $B$87:$X$1000,MATCH(AC$25,$B$87:$X$87,0), FALSE), 0) *
    (LEN($G57:$T57) &gt; 0)
)</f>
        <v>1</v>
      </c>
      <c r="AD57" cm="1">
        <f t="array" ref="AD57">SUMPRODUCT(
    IFERROR(VLOOKUP($G57:$T57, $B$87:$X$1000,MATCH(AD$25,$B$87:$X$87,0), FALSE), 0) *
    (LEN($G57:$T57) &gt; 0)
)+IFERROR(VLOOKUP($A57,$A$88:$X$1000,MATCH(AD$25,$A$87:$X$87,0), FALSE), 0) *
    (LEN($A57) &gt; 0)</f>
        <v>0</v>
      </c>
      <c r="AE57" cm="1">
        <f t="array" ref="AE57">SUMPRODUCT(
    IFERROR(VLOOKUP($G57:$T57, $B$87:$X$1000,MATCH(AE$25,$B$87:$X$87,0), FALSE), 0) *
    (LEN($G57:$T57) &gt; 0)
)+IFERROR(VLOOKUP($A57,$A$88:$X$1000,MATCH(AE$25,$A$87:$X$87,0), FALSE), 0) *
    (LEN($A57) &gt; 0)</f>
        <v>0</v>
      </c>
      <c r="AF57" cm="1">
        <f t="array" ref="AF57">SUMPRODUCT(
    IFERROR(VLOOKUP($G57:$T57, $B$87:$X$1000,MATCH(AF$25,$B$87:$X$87,0), FALSE), 0) *
    (LEN($G57:$T57) &gt; 0)
)+IFERROR(VLOOKUP($A57,$A$88:$X$1000,MATCH(AF$25,$A$87:$X$87,0), FALSE), 0) *
    (LEN($A57) &gt; 0)</f>
        <v>0</v>
      </c>
      <c r="AG57" cm="1">
        <f t="array" ref="AG57">SUMPRODUCT(
    IFERROR(VLOOKUP($G57:$T57, $B$87:$X$1000,MATCH(AG$25,$B$87:$X$87,0), FALSE), 0) *
    (LEN($G57:$T57) &gt; 0)
)+IFERROR(VLOOKUP($A57,$A$88:$X$1000,MATCH(AG$25,$A$87:$X$87,0), FALSE), 0) *
    (LEN($A57) &gt; 0)</f>
        <v>0</v>
      </c>
      <c r="AH57" cm="1">
        <f t="array" ref="AH57">SUMPRODUCT(
    IFERROR(VLOOKUP($G57:$T57, $B$87:$X$1000,MATCH(AH$25,$B$87:$X$87,0), FALSE), 0) *
    (LEN($G57:$T57) &gt; 0)
)+IFERROR(VLOOKUP($A57,$A$88:$X$1000,MATCH(AH$25,$A$87:$X$87,0), FALSE), 0) *
    (LEN($A57) &gt; 0)</f>
        <v>0</v>
      </c>
      <c r="AI57">
        <f t="shared" si="32"/>
        <v>1</v>
      </c>
      <c r="AJ57" cm="1">
        <f t="array" ref="AJ57">1+SUMPRODUCT(
    IFERROR(VLOOKUP($G57:$T57, $B$87:$X$1000,MATCH(AJ$25,$B$87:$X$87,0), FALSE), 0) *
    (LEN($G57:$T57) &gt; 0)
)</f>
        <v>1</v>
      </c>
      <c r="AK57" cm="1">
        <f t="array" ref="AK57">1+SUMPRODUCT(
    IFERROR(VLOOKUP($G57:$T57, $B$87:$X$1000,MATCH(AK$25,$B$87:$X$87,0), FALSE), 0) *
    (LEN($G57:$T57) &gt; 0)
)</f>
        <v>1</v>
      </c>
      <c r="AL57" cm="1">
        <f t="array" ref="AL57">1+SUMPRODUCT(
    IFERROR(VLOOKUP($G57:$T57, $B$87:$X$1000,MATCH(AL$25,$B$87:$X$87,0), FALSE), 0) *
    (LEN($G57:$T57) &gt; 0)
)</f>
        <v>1</v>
      </c>
      <c r="AM57" cm="1">
        <f t="array" ref="AM57">1+SUMPRODUCT(
    IFERROR(VLOOKUP($G57:$T57, $B$87:$X$1000,MATCH(AM$25,$B$87:$X$87,0), FALSE), 0) *
    (LEN($G57:$T57) &gt; 0)
)</f>
        <v>1</v>
      </c>
      <c r="AN57" cm="1">
        <f t="array" ref="AN57">1+SUMPRODUCT(
    IFERROR(VLOOKUP($G57:$T57, $B$87:$X$1000,MATCH(AN$25,$B$87:$X$87,0), FALSE), 0) *
    (LEN($G57:$T57) &gt; 0)
)</f>
        <v>1</v>
      </c>
      <c r="AO57">
        <f t="shared" si="33"/>
        <v>1</v>
      </c>
      <c r="AQ57">
        <f t="shared" si="34"/>
        <v>0.5</v>
      </c>
    </row>
    <row r="60" spans="2:43" x14ac:dyDescent="0.25">
      <c r="B60" t="s">
        <v>1034</v>
      </c>
      <c r="C60">
        <f>SUM(C27:C36)</f>
        <v>107120.23129690449</v>
      </c>
    </row>
    <row r="61" spans="2:43" x14ac:dyDescent="0.25">
      <c r="B61" t="s">
        <v>1036</v>
      </c>
    </row>
    <row r="62" spans="2:43" x14ac:dyDescent="0.25">
      <c r="B62" t="s">
        <v>1035</v>
      </c>
      <c r="C62" t="e">
        <f>C60/C61</f>
        <v>#DIV/0!</v>
      </c>
      <c r="E62" s="36"/>
    </row>
    <row r="63" spans="2:43" x14ac:dyDescent="0.25">
      <c r="B63" t="s">
        <v>1037</v>
      </c>
    </row>
    <row r="64" spans="2:43" x14ac:dyDescent="0.25">
      <c r="B64" t="s">
        <v>1038</v>
      </c>
      <c r="C64" t="e">
        <f>C60/C63</f>
        <v>#DIV/0!</v>
      </c>
    </row>
    <row r="86" spans="1:24" s="92" customFormat="1" x14ac:dyDescent="0.25">
      <c r="A86" s="92" t="str">
        <f>主c角色库!C30</f>
        <v>数值栏</v>
      </c>
      <c r="B86" s="92">
        <f>主c角色库!D30</f>
        <v>0</v>
      </c>
      <c r="C86" s="93" t="str">
        <f>主c角色库!E30</f>
        <v>攻击计算器</v>
      </c>
      <c r="D86" s="93">
        <f>主c角色库!F30</f>
        <v>0</v>
      </c>
      <c r="E86" s="93">
        <f>主c角色库!G30</f>
        <v>0</v>
      </c>
      <c r="F86" s="93">
        <f>主c角色库!H30</f>
        <v>0</v>
      </c>
      <c r="G86" s="93">
        <f>主c角色库!I30</f>
        <v>0</v>
      </c>
      <c r="H86" s="94" t="str">
        <f>主c角色库!J30</f>
        <v>面板乘区</v>
      </c>
      <c r="I86" s="94">
        <f>主c角色库!K30</f>
        <v>0</v>
      </c>
      <c r="J86" s="94">
        <f>主c角色库!L30</f>
        <v>0</v>
      </c>
      <c r="K86" s="94">
        <f>主c角色库!M30</f>
        <v>0</v>
      </c>
      <c r="L86" s="95" t="str">
        <f>主c角色库!N30</f>
        <v>伤害加成</v>
      </c>
      <c r="M86" s="95">
        <f>主c角色库!O30</f>
        <v>0</v>
      </c>
      <c r="N86" s="95">
        <f>主c角色库!P30</f>
        <v>0</v>
      </c>
      <c r="O86" s="95">
        <f>主c角色库!Q30</f>
        <v>0</v>
      </c>
      <c r="P86" s="95">
        <f>主c角色库!R30</f>
        <v>0</v>
      </c>
      <c r="Q86" s="95">
        <f>主c角色库!S30</f>
        <v>0</v>
      </c>
      <c r="R86" s="94" t="str">
        <f>主c角色库!T30</f>
        <v>拐</v>
      </c>
      <c r="S86" s="94">
        <f>主c角色库!U30</f>
        <v>0</v>
      </c>
      <c r="T86" s="94">
        <f>主c角色库!V30</f>
        <v>0</v>
      </c>
      <c r="U86" s="94">
        <f>主c角色库!W30</f>
        <v>0</v>
      </c>
      <c r="V86" s="94">
        <f>主c角色库!X30</f>
        <v>0</v>
      </c>
      <c r="W86" s="94">
        <f>主c角色库!Y30</f>
        <v>0</v>
      </c>
      <c r="X86" s="94">
        <f>主c角色库!Z30</f>
        <v>0</v>
      </c>
    </row>
    <row r="87" spans="1:24" x14ac:dyDescent="0.25">
      <c r="A87" t="str">
        <f>主c角色库!C31</f>
        <v>技能名称</v>
      </c>
      <c r="B87" t="str">
        <f>主c角色库!D31</f>
        <v>buff名称</v>
      </c>
      <c r="C87" s="91" t="str">
        <f>主c角色库!E31</f>
        <v>基础攻击力</v>
      </c>
      <c r="D87" s="91" t="str">
        <f>主c角色库!F31</f>
        <v>百分比</v>
      </c>
      <c r="E87" s="91" t="str">
        <f>主c角色库!G31</f>
        <v>固定数值</v>
      </c>
      <c r="F87" s="91" t="str">
        <f>主c角色库!H31</f>
        <v>能力值加成</v>
      </c>
      <c r="G87" s="91" t="str">
        <f>主c角色库!I31</f>
        <v>总攻击力</v>
      </c>
      <c r="H87" s="56" t="str">
        <f>主c角色库!J31</f>
        <v>倍率</v>
      </c>
      <c r="I87" s="56" t="str">
        <f>主c角色库!K31</f>
        <v>暴击率</v>
      </c>
      <c r="J87" s="56" t="str">
        <f>主c角色库!L31</f>
        <v>暴击伤害</v>
      </c>
      <c r="K87" s="56" t="str">
        <f>主c角色库!M31</f>
        <v>源石技艺</v>
      </c>
      <c r="L87" s="56" t="str">
        <f>主c角色库!N31</f>
        <v>基础伤害加成</v>
      </c>
      <c r="M87" s="56" t="str">
        <f>主c角色库!O31</f>
        <v>普攻</v>
      </c>
      <c r="N87" s="56" t="str">
        <f>主c角色库!P31</f>
        <v>战技</v>
      </c>
      <c r="O87" s="56" t="str">
        <f>主c角色库!Q31</f>
        <v>连携</v>
      </c>
      <c r="P87" s="56" t="str">
        <f>主c角色库!R31</f>
        <v>大招</v>
      </c>
      <c r="Q87" s="56" t="str">
        <f>主c角色库!S31</f>
        <v>总伤害加成</v>
      </c>
      <c r="R87" s="56" t="str">
        <f>主c角色库!T31</f>
        <v>脆弱</v>
      </c>
      <c r="S87" s="56" t="str">
        <f>主c角色库!U31</f>
        <v>增幅</v>
      </c>
      <c r="T87" s="56" t="str">
        <f>主c角色库!V31</f>
        <v>易伤</v>
      </c>
      <c r="U87" s="56" t="str">
        <f>主c角色库!W31</f>
        <v>抗性</v>
      </c>
      <c r="V87" s="56" t="str">
        <f>主c角色库!X31</f>
        <v>连击</v>
      </c>
      <c r="W87" s="56" t="str">
        <f>主c角色库!Y31</f>
        <v>失衡易伤</v>
      </c>
      <c r="X87" s="56" t="str">
        <f>主c角色库!Z31</f>
        <v>特殊加成</v>
      </c>
    </row>
    <row r="88" spans="1:24" x14ac:dyDescent="0.25">
      <c r="A88">
        <f>主c角色库!C32</f>
        <v>0</v>
      </c>
      <c r="B88">
        <f>主c角色库!D32</f>
        <v>0</v>
      </c>
      <c r="C88">
        <f>主c角色库!E32</f>
        <v>828</v>
      </c>
      <c r="D88">
        <f>主c角色库!F32</f>
        <v>0.25600000000000001</v>
      </c>
      <c r="E88">
        <f>主c角色库!G32</f>
        <v>0</v>
      </c>
      <c r="F88">
        <f>主c角色库!H32</f>
        <v>4.6040000000000001</v>
      </c>
      <c r="G88">
        <f>主c角色库!I32</f>
        <v>5827.9806720000006</v>
      </c>
      <c r="H88">
        <f>主c角色库!J32</f>
        <v>0</v>
      </c>
      <c r="I88">
        <f>主c角色库!K32</f>
        <v>0.38</v>
      </c>
      <c r="J88">
        <f>主c角色库!L32</f>
        <v>0.5</v>
      </c>
      <c r="K88">
        <f>主c角色库!M32</f>
        <v>0</v>
      </c>
      <c r="L88">
        <f>主c角色库!N32</f>
        <v>0</v>
      </c>
      <c r="M88">
        <f>主c角色库!O32</f>
        <v>0</v>
      </c>
      <c r="N88">
        <f>主c角色库!P32</f>
        <v>0</v>
      </c>
      <c r="O88">
        <f>主c角色库!Q32</f>
        <v>0</v>
      </c>
      <c r="P88">
        <f>主c角色库!R32</f>
        <v>0.56100000000000005</v>
      </c>
      <c r="Q88">
        <f>主c角色库!S32</f>
        <v>0</v>
      </c>
      <c r="R88">
        <f>主c角色库!T32</f>
        <v>0</v>
      </c>
      <c r="S88">
        <f>主c角色库!U32</f>
        <v>0</v>
      </c>
      <c r="T88">
        <f>主c角色库!V32</f>
        <v>0</v>
      </c>
      <c r="U88">
        <f>主c角色库!W32</f>
        <v>0</v>
      </c>
      <c r="V88">
        <f>主c角色库!X32</f>
        <v>0</v>
      </c>
      <c r="W88">
        <f>主c角色库!Y32</f>
        <v>0</v>
      </c>
      <c r="X88">
        <f>主c角色库!Z32</f>
        <v>0</v>
      </c>
    </row>
    <row r="89" spans="1:24" x14ac:dyDescent="0.25">
      <c r="A89" t="str">
        <f>主c角色库!C33</f>
        <v>洛茜普攻</v>
      </c>
      <c r="B89" t="str">
        <f>主c角色库!D33</f>
        <v>N/a</v>
      </c>
      <c r="C89">
        <f>主c角色库!E33</f>
        <v>828</v>
      </c>
      <c r="D89">
        <f>主c角色库!F33</f>
        <v>0.25600000000000001</v>
      </c>
      <c r="E89">
        <f>主c角色库!G33</f>
        <v>0</v>
      </c>
      <c r="F89">
        <f>主c角色库!H33</f>
        <v>4.6040000000000001</v>
      </c>
      <c r="G89">
        <f>主c角色库!I33</f>
        <v>5827.9806720000006</v>
      </c>
      <c r="H89">
        <f>主c角色库!J33</f>
        <v>4.13</v>
      </c>
      <c r="I89">
        <f>主c角色库!K33</f>
        <v>0.38</v>
      </c>
      <c r="J89">
        <f>主c角色库!L33</f>
        <v>0.5</v>
      </c>
      <c r="K89">
        <f>主c角色库!M33</f>
        <v>0</v>
      </c>
      <c r="L89">
        <f>主c角色库!N33</f>
        <v>0</v>
      </c>
      <c r="M89">
        <f>主c角色库!O33</f>
        <v>0</v>
      </c>
      <c r="N89">
        <f>主c角色库!P33</f>
        <v>0</v>
      </c>
      <c r="O89">
        <f>主c角色库!Q33</f>
        <v>0</v>
      </c>
      <c r="P89">
        <f>主c角色库!R33</f>
        <v>0.56100000000000005</v>
      </c>
      <c r="Q89">
        <f>主c角色库!S33</f>
        <v>0</v>
      </c>
      <c r="R89">
        <f>主c角色库!T33</f>
        <v>0</v>
      </c>
      <c r="S89">
        <f>主c角色库!U33</f>
        <v>0</v>
      </c>
      <c r="T89">
        <f>主c角色库!V33</f>
        <v>0</v>
      </c>
      <c r="U89">
        <f>主c角色库!W33</f>
        <v>0</v>
      </c>
      <c r="V89">
        <f>主c角色库!X33</f>
        <v>0</v>
      </c>
      <c r="W89">
        <f>主c角色库!Y33</f>
        <v>0</v>
      </c>
      <c r="X89">
        <f>主c角色库!Z33</f>
        <v>0</v>
      </c>
    </row>
    <row r="90" spans="1:24" x14ac:dyDescent="0.25">
      <c r="A90" t="str">
        <f>主c角色库!C34</f>
        <v>洛茜前段普攻</v>
      </c>
      <c r="B90" t="str">
        <f>主c角色库!D34</f>
        <v>N/a</v>
      </c>
      <c r="C90">
        <f>主c角色库!E34</f>
        <v>828</v>
      </c>
      <c r="D90">
        <f>主c角色库!F34</f>
        <v>0.25600000000000001</v>
      </c>
      <c r="E90">
        <f>主c角色库!G34</f>
        <v>0</v>
      </c>
      <c r="F90">
        <f>主c角色库!H34</f>
        <v>4.6040000000000001</v>
      </c>
      <c r="G90">
        <f>主c角色库!I34</f>
        <v>5827.9806720000006</v>
      </c>
      <c r="H90">
        <f>主c角色库!J34</f>
        <v>3</v>
      </c>
      <c r="I90">
        <f>主c角色库!K34</f>
        <v>0.38</v>
      </c>
      <c r="J90">
        <f>主c角色库!L34</f>
        <v>0.5</v>
      </c>
      <c r="K90">
        <f>主c角色库!M34</f>
        <v>0</v>
      </c>
      <c r="L90">
        <f>主c角色库!N34</f>
        <v>0</v>
      </c>
      <c r="M90">
        <f>主c角色库!O34</f>
        <v>0</v>
      </c>
      <c r="N90">
        <f>主c角色库!P34</f>
        <v>0</v>
      </c>
      <c r="O90">
        <f>主c角色库!Q34</f>
        <v>0</v>
      </c>
      <c r="P90">
        <f>主c角色库!R34</f>
        <v>0.56100000000000005</v>
      </c>
      <c r="Q90">
        <f>主c角色库!S34</f>
        <v>0</v>
      </c>
      <c r="R90">
        <f>主c角色库!T34</f>
        <v>0</v>
      </c>
      <c r="S90">
        <f>主c角色库!U34</f>
        <v>0</v>
      </c>
      <c r="T90">
        <f>主c角色库!V34</f>
        <v>0</v>
      </c>
      <c r="U90">
        <f>主c角色库!W34</f>
        <v>0</v>
      </c>
      <c r="V90">
        <f>主c角色库!X34</f>
        <v>0</v>
      </c>
      <c r="W90">
        <f>主c角色库!Y34</f>
        <v>0</v>
      </c>
      <c r="X90">
        <f>主c角色库!Z34</f>
        <v>0</v>
      </c>
    </row>
    <row r="91" spans="1:24" x14ac:dyDescent="0.25">
      <c r="A91" t="str">
        <f>主c角色库!C35</f>
        <v>洛茜重击普攻</v>
      </c>
      <c r="B91" t="str">
        <f>主c角色库!D35</f>
        <v>N/a</v>
      </c>
      <c r="C91">
        <f>主c角色库!E35</f>
        <v>828</v>
      </c>
      <c r="D91">
        <f>主c角色库!F35</f>
        <v>0.25600000000000001</v>
      </c>
      <c r="E91">
        <f>主c角色库!G35</f>
        <v>0</v>
      </c>
      <c r="F91">
        <f>主c角色库!H35</f>
        <v>4.6040000000000001</v>
      </c>
      <c r="G91">
        <f>主c角色库!I35</f>
        <v>5827.9806720000006</v>
      </c>
      <c r="H91">
        <f>主c角色库!J35</f>
        <v>1.1299999999999999</v>
      </c>
      <c r="I91">
        <f>主c角色库!K35</f>
        <v>0.38</v>
      </c>
      <c r="J91">
        <f>主c角色库!L35</f>
        <v>0.5</v>
      </c>
      <c r="K91">
        <f>主c角色库!M35</f>
        <v>0</v>
      </c>
      <c r="L91">
        <f>主c角色库!N35</f>
        <v>0</v>
      </c>
      <c r="M91">
        <f>主c角色库!O35</f>
        <v>0</v>
      </c>
      <c r="N91">
        <f>主c角色库!P35</f>
        <v>0</v>
      </c>
      <c r="O91">
        <f>主c角色库!Q35</f>
        <v>0</v>
      </c>
      <c r="P91">
        <f>主c角色库!R35</f>
        <v>0.56100000000000005</v>
      </c>
      <c r="Q91">
        <f>主c角色库!S35</f>
        <v>0</v>
      </c>
      <c r="R91">
        <f>主c角色库!T35</f>
        <v>0</v>
      </c>
      <c r="S91">
        <f>主c角色库!U35</f>
        <v>0</v>
      </c>
      <c r="T91">
        <f>主c角色库!V35</f>
        <v>0</v>
      </c>
      <c r="U91">
        <f>主c角色库!W35</f>
        <v>0</v>
      </c>
      <c r="V91">
        <f>主c角色库!X35</f>
        <v>0</v>
      </c>
      <c r="W91">
        <f>主c角色库!Y35</f>
        <v>0</v>
      </c>
      <c r="X91">
        <f>主c角色库!Z35</f>
        <v>0</v>
      </c>
    </row>
    <row r="92" spans="1:24" x14ac:dyDescent="0.25">
      <c r="A92" t="str">
        <f>主c角色库!C36</f>
        <v>洛茜处决普攻</v>
      </c>
      <c r="B92" t="str">
        <f>主c角色库!D36</f>
        <v>N/a</v>
      </c>
      <c r="C92">
        <f>主c角色库!E36</f>
        <v>828</v>
      </c>
      <c r="D92">
        <f>主c角色库!F36</f>
        <v>0.25600000000000001</v>
      </c>
      <c r="E92">
        <f>主c角色库!G36</f>
        <v>0</v>
      </c>
      <c r="F92">
        <f>主c角色库!H36</f>
        <v>4.6040000000000001</v>
      </c>
      <c r="G92">
        <f>主c角色库!I36</f>
        <v>5827.9806720000006</v>
      </c>
      <c r="H92">
        <f>主c角色库!J36</f>
        <v>9</v>
      </c>
      <c r="I92">
        <f>主c角色库!K36</f>
        <v>0.38</v>
      </c>
      <c r="J92">
        <f>主c角色库!L36</f>
        <v>0.5</v>
      </c>
      <c r="K92">
        <f>主c角色库!M36</f>
        <v>0</v>
      </c>
      <c r="L92">
        <f>主c角色库!N36</f>
        <v>0</v>
      </c>
      <c r="M92">
        <f>主c角色库!O36</f>
        <v>0</v>
      </c>
      <c r="N92">
        <f>主c角色库!P36</f>
        <v>0</v>
      </c>
      <c r="O92">
        <f>主c角色库!Q36</f>
        <v>0</v>
      </c>
      <c r="P92">
        <f>主c角色库!R36</f>
        <v>0.56100000000000005</v>
      </c>
      <c r="Q92">
        <f>主c角色库!S36</f>
        <v>0</v>
      </c>
      <c r="R92">
        <f>主c角色库!T36</f>
        <v>0</v>
      </c>
      <c r="S92">
        <f>主c角色库!U36</f>
        <v>0</v>
      </c>
      <c r="T92">
        <f>主c角色库!V36</f>
        <v>0</v>
      </c>
      <c r="U92">
        <f>主c角色库!W36</f>
        <v>0</v>
      </c>
      <c r="V92">
        <f>主c角色库!X36</f>
        <v>0</v>
      </c>
      <c r="W92">
        <f>主c角色库!Y36</f>
        <v>0</v>
      </c>
      <c r="X92">
        <f>主c角色库!Z36</f>
        <v>0</v>
      </c>
    </row>
    <row r="93" spans="1:24" x14ac:dyDescent="0.25">
      <c r="A93" t="str">
        <f>主c角色库!C37</f>
        <v>洛茜下落普攻</v>
      </c>
      <c r="B93" t="str">
        <f>主c角色库!D37</f>
        <v>N/a</v>
      </c>
      <c r="C93">
        <f>主c角色库!E37</f>
        <v>828</v>
      </c>
      <c r="D93">
        <f>主c角色库!F37</f>
        <v>0.25600000000000001</v>
      </c>
      <c r="E93">
        <f>主c角色库!G37</f>
        <v>0</v>
      </c>
      <c r="F93">
        <f>主c角色库!H37</f>
        <v>4.6040000000000001</v>
      </c>
      <c r="G93">
        <f>主c角色库!I37</f>
        <v>5827.9806720000006</v>
      </c>
      <c r="H93">
        <f>主c角色库!J37</f>
        <v>1.8</v>
      </c>
      <c r="I93">
        <f>主c角色库!K37</f>
        <v>0.38</v>
      </c>
      <c r="J93">
        <f>主c角色库!L37</f>
        <v>0.5</v>
      </c>
      <c r="K93">
        <f>主c角色库!M37</f>
        <v>0</v>
      </c>
      <c r="L93">
        <f>主c角色库!N37</f>
        <v>0</v>
      </c>
      <c r="M93">
        <f>主c角色库!O37</f>
        <v>0</v>
      </c>
      <c r="N93">
        <f>主c角色库!P37</f>
        <v>0</v>
      </c>
      <c r="O93">
        <f>主c角色库!Q37</f>
        <v>0</v>
      </c>
      <c r="P93">
        <f>主c角色库!R37</f>
        <v>0.56100000000000005</v>
      </c>
      <c r="Q93">
        <f>主c角色库!S37</f>
        <v>0</v>
      </c>
      <c r="R93">
        <f>主c角色库!T37</f>
        <v>0</v>
      </c>
      <c r="S93">
        <f>主c角色库!U37</f>
        <v>0</v>
      </c>
      <c r="T93">
        <f>主c角色库!V37</f>
        <v>0</v>
      </c>
      <c r="U93">
        <f>主c角色库!W37</f>
        <v>0</v>
      </c>
      <c r="V93">
        <f>主c角色库!X37</f>
        <v>0</v>
      </c>
      <c r="W93">
        <f>主c角色库!Y37</f>
        <v>0</v>
      </c>
      <c r="X93">
        <f>主c角色库!Z37</f>
        <v>0</v>
      </c>
    </row>
    <row r="94" spans="1:24" x14ac:dyDescent="0.25">
      <c r="A94" t="str">
        <f>主c角色库!C38</f>
        <v>洛茜战技</v>
      </c>
      <c r="B94" t="str">
        <f>主c角色库!D38</f>
        <v>N/a</v>
      </c>
      <c r="C94">
        <f>主c角色库!E38</f>
        <v>828</v>
      </c>
      <c r="D94">
        <f>主c角色库!F38</f>
        <v>0.25600000000000001</v>
      </c>
      <c r="E94">
        <f>主c角色库!G38</f>
        <v>0</v>
      </c>
      <c r="F94">
        <f>主c角色库!H38</f>
        <v>4.6040000000000001</v>
      </c>
      <c r="G94">
        <f>主c角色库!I38</f>
        <v>5827.9806720000006</v>
      </c>
      <c r="H94">
        <f>主c角色库!J38</f>
        <v>4.8</v>
      </c>
      <c r="I94">
        <f>主c角色库!K38</f>
        <v>0.38</v>
      </c>
      <c r="J94">
        <f>主c角色库!L38</f>
        <v>0.5</v>
      </c>
      <c r="K94">
        <f>主c角色库!M38</f>
        <v>0</v>
      </c>
      <c r="L94">
        <f>主c角色库!N38</f>
        <v>0</v>
      </c>
      <c r="M94">
        <f>主c角色库!O38</f>
        <v>0</v>
      </c>
      <c r="N94">
        <f>主c角色库!P38</f>
        <v>0</v>
      </c>
      <c r="O94">
        <f>主c角色库!Q38</f>
        <v>0</v>
      </c>
      <c r="P94">
        <f>主c角色库!R38</f>
        <v>0.56100000000000005</v>
      </c>
      <c r="Q94">
        <f>主c角色库!S38</f>
        <v>0</v>
      </c>
      <c r="R94">
        <f>主c角色库!T38</f>
        <v>0</v>
      </c>
      <c r="S94">
        <f>主c角色库!U38</f>
        <v>0</v>
      </c>
      <c r="T94">
        <f>主c角色库!V38</f>
        <v>0</v>
      </c>
      <c r="U94">
        <f>主c角色库!W38</f>
        <v>0</v>
      </c>
      <c r="V94">
        <f>主c角色库!X38</f>
        <v>0</v>
      </c>
      <c r="W94">
        <f>主c角色库!Y38</f>
        <v>0</v>
      </c>
      <c r="X94">
        <f>主c角色库!Z38</f>
        <v>0</v>
      </c>
    </row>
    <row r="95" spans="1:24" x14ac:dyDescent="0.25">
      <c r="A95" t="str">
        <f>主c角色库!C39</f>
        <v>洛茜前段战技</v>
      </c>
      <c r="B95" t="str">
        <f>主c角色库!D39</f>
        <v>N/a</v>
      </c>
      <c r="C95">
        <f>主c角色库!E39</f>
        <v>828</v>
      </c>
      <c r="D95">
        <f>主c角色库!F39</f>
        <v>0.25600000000000001</v>
      </c>
      <c r="E95">
        <f>主c角色库!G39</f>
        <v>0</v>
      </c>
      <c r="F95">
        <f>主c角色库!H39</f>
        <v>4.6040000000000001</v>
      </c>
      <c r="G95">
        <f>主c角色库!I39</f>
        <v>5827.9806720000006</v>
      </c>
      <c r="H95">
        <f>主c角色库!J39</f>
        <v>1.92</v>
      </c>
      <c r="I95">
        <f>主c角色库!K39</f>
        <v>0.38</v>
      </c>
      <c r="J95">
        <f>主c角色库!L39</f>
        <v>0.5</v>
      </c>
      <c r="K95">
        <f>主c角色库!M39</f>
        <v>0</v>
      </c>
      <c r="L95">
        <f>主c角色库!N39</f>
        <v>0</v>
      </c>
      <c r="M95">
        <f>主c角色库!O39</f>
        <v>0</v>
      </c>
      <c r="N95">
        <f>主c角色库!P39</f>
        <v>0</v>
      </c>
      <c r="O95">
        <f>主c角色库!Q39</f>
        <v>0</v>
      </c>
      <c r="P95">
        <f>主c角色库!R39</f>
        <v>0.56100000000000005</v>
      </c>
      <c r="Q95">
        <f>主c角色库!S39</f>
        <v>0</v>
      </c>
      <c r="R95">
        <f>主c角色库!T39</f>
        <v>0</v>
      </c>
      <c r="S95">
        <f>主c角色库!U39</f>
        <v>0</v>
      </c>
      <c r="T95">
        <f>主c角色库!V39</f>
        <v>0</v>
      </c>
      <c r="U95">
        <f>主c角色库!W39</f>
        <v>0</v>
      </c>
      <c r="V95">
        <f>主c角色库!X39</f>
        <v>0</v>
      </c>
      <c r="W95">
        <f>主c角色库!Y39</f>
        <v>0</v>
      </c>
      <c r="X95">
        <f>主c角色库!Z39</f>
        <v>0</v>
      </c>
    </row>
    <row r="96" spans="1:24" x14ac:dyDescent="0.25">
      <c r="A96" t="str">
        <f>主c角色库!C40</f>
        <v>洛茜狼之珀战技</v>
      </c>
      <c r="B96" s="22" t="str">
        <f>主c角色库!D40</f>
        <v>N/a</v>
      </c>
      <c r="C96">
        <f>主c角色库!E40</f>
        <v>828</v>
      </c>
      <c r="D96">
        <f>主c角色库!F40</f>
        <v>0.25600000000000001</v>
      </c>
      <c r="E96">
        <f>主c角色库!G40</f>
        <v>0</v>
      </c>
      <c r="F96">
        <f>主c角色库!H40</f>
        <v>4.6040000000000001</v>
      </c>
      <c r="G96">
        <f>主c角色库!I40</f>
        <v>5827.9806720000006</v>
      </c>
      <c r="H96">
        <f>主c角色库!J40</f>
        <v>2.88</v>
      </c>
      <c r="I96">
        <f>主c角色库!K40</f>
        <v>0.38</v>
      </c>
      <c r="J96">
        <f>主c角色库!L40</f>
        <v>0.5</v>
      </c>
      <c r="K96">
        <f>主c角色库!M40</f>
        <v>0</v>
      </c>
      <c r="L96">
        <f>主c角色库!N40</f>
        <v>0</v>
      </c>
      <c r="M96">
        <f>主c角色库!O40</f>
        <v>0</v>
      </c>
      <c r="N96">
        <f>主c角色库!P40</f>
        <v>0</v>
      </c>
      <c r="O96">
        <f>主c角色库!Q40</f>
        <v>0</v>
      </c>
      <c r="P96">
        <f>主c角色库!R40</f>
        <v>0.56100000000000005</v>
      </c>
      <c r="Q96">
        <f>主c角色库!S40</f>
        <v>0</v>
      </c>
      <c r="R96">
        <f>主c角色库!T40</f>
        <v>0</v>
      </c>
      <c r="S96">
        <f>主c角色库!U40</f>
        <v>0</v>
      </c>
      <c r="T96">
        <f>主c角色库!V40</f>
        <v>0</v>
      </c>
      <c r="U96">
        <f>主c角色库!W40</f>
        <v>0</v>
      </c>
      <c r="V96">
        <f>主c角色库!X40</f>
        <v>0</v>
      </c>
      <c r="W96">
        <f>主c角色库!Y40</f>
        <v>0</v>
      </c>
      <c r="X96">
        <f>主c角色库!Z40</f>
        <v>0</v>
      </c>
    </row>
    <row r="97" spans="1:24" x14ac:dyDescent="0.25">
      <c r="A97" s="22" t="str">
        <f>主c角色库!C41</f>
        <v>洛茜零层连携</v>
      </c>
      <c r="B97" t="str">
        <f>主c角色库!D41</f>
        <v>N/a</v>
      </c>
      <c r="C97">
        <f>主c角色库!E41</f>
        <v>828</v>
      </c>
      <c r="D97">
        <f>主c角色库!F41</f>
        <v>0.25600000000000001</v>
      </c>
      <c r="E97">
        <f>主c角色库!G41</f>
        <v>0</v>
      </c>
      <c r="F97">
        <f>主c角色库!H41</f>
        <v>4.6040000000000001</v>
      </c>
      <c r="G97">
        <f>主c角色库!I41</f>
        <v>5827.9806720000006</v>
      </c>
      <c r="H97">
        <f>主c角色库!J41</f>
        <v>4.5</v>
      </c>
      <c r="I97">
        <f>主c角色库!K41</f>
        <v>0.38</v>
      </c>
      <c r="J97">
        <f>主c角色库!L41</f>
        <v>0.5</v>
      </c>
      <c r="K97">
        <f>主c角色库!M41</f>
        <v>0</v>
      </c>
      <c r="L97">
        <f>主c角色库!N41</f>
        <v>0</v>
      </c>
      <c r="M97">
        <f>主c角色库!O41</f>
        <v>0</v>
      </c>
      <c r="N97">
        <f>主c角色库!P41</f>
        <v>0</v>
      </c>
      <c r="O97">
        <f>主c角色库!Q41</f>
        <v>0</v>
      </c>
      <c r="P97">
        <f>主c角色库!R41</f>
        <v>0.56100000000000005</v>
      </c>
      <c r="Q97">
        <f>主c角色库!S41</f>
        <v>0</v>
      </c>
      <c r="R97">
        <f>主c角色库!T41</f>
        <v>0</v>
      </c>
      <c r="S97">
        <f>主c角色库!U41</f>
        <v>0</v>
      </c>
      <c r="T97">
        <f>主c角色库!V41</f>
        <v>0</v>
      </c>
      <c r="U97">
        <f>主c角色库!W41</f>
        <v>0</v>
      </c>
      <c r="V97">
        <f>主c角色库!X41</f>
        <v>0</v>
      </c>
      <c r="W97">
        <f>主c角色库!Y41</f>
        <v>0</v>
      </c>
      <c r="X97">
        <f>主c角色库!Z41</f>
        <v>0</v>
      </c>
    </row>
    <row r="98" spans="1:24" x14ac:dyDescent="0.25">
      <c r="A98" s="22" t="str">
        <f>主c角色库!C42</f>
        <v>洛茜一层连携</v>
      </c>
      <c r="B98" t="str">
        <f>主c角色库!D42</f>
        <v>N/a</v>
      </c>
      <c r="C98">
        <f>主c角色库!E42</f>
        <v>828</v>
      </c>
      <c r="D98">
        <f>主c角色库!F42</f>
        <v>0.25600000000000001</v>
      </c>
      <c r="E98">
        <f>主c角色库!G42</f>
        <v>0</v>
      </c>
      <c r="F98">
        <f>主c角色库!H42</f>
        <v>4.6040000000000001</v>
      </c>
      <c r="G98">
        <f>主c角色库!I42</f>
        <v>5827.9806720000006</v>
      </c>
      <c r="H98">
        <f>主c角色库!J42</f>
        <v>6.3</v>
      </c>
      <c r="I98">
        <f>主c角色库!K42</f>
        <v>0.38</v>
      </c>
      <c r="J98">
        <f>主c角色库!L42</f>
        <v>0.5</v>
      </c>
      <c r="K98">
        <f>主c角色库!M42</f>
        <v>0</v>
      </c>
      <c r="L98">
        <f>主c角色库!N42</f>
        <v>0</v>
      </c>
      <c r="M98">
        <f>主c角色库!O42</f>
        <v>0</v>
      </c>
      <c r="N98">
        <f>主c角色库!P42</f>
        <v>0</v>
      </c>
      <c r="O98">
        <f>主c角色库!Q42</f>
        <v>0</v>
      </c>
      <c r="P98">
        <f>主c角色库!R42</f>
        <v>0.56100000000000005</v>
      </c>
      <c r="Q98">
        <f>主c角色库!S42</f>
        <v>0</v>
      </c>
      <c r="R98">
        <f>主c角色库!T42</f>
        <v>0</v>
      </c>
      <c r="S98">
        <f>主c角色库!U42</f>
        <v>0</v>
      </c>
      <c r="T98">
        <f>主c角色库!V42</f>
        <v>0</v>
      </c>
      <c r="U98">
        <f>主c角色库!W42</f>
        <v>0</v>
      </c>
      <c r="V98">
        <f>主c角色库!X42</f>
        <v>0</v>
      </c>
      <c r="W98">
        <f>主c角色库!Y42</f>
        <v>0</v>
      </c>
      <c r="X98">
        <f>主c角色库!Z42</f>
        <v>0</v>
      </c>
    </row>
    <row r="99" spans="1:24" x14ac:dyDescent="0.25">
      <c r="A99" s="22" t="str">
        <f>主c角色库!C43</f>
        <v>洛茜二层连携</v>
      </c>
      <c r="B99" t="str">
        <f>主c角色库!D43</f>
        <v>N/a</v>
      </c>
      <c r="C99">
        <f>主c角色库!E43</f>
        <v>828</v>
      </c>
      <c r="D99">
        <f>主c角色库!F43</f>
        <v>0.25600000000000001</v>
      </c>
      <c r="E99">
        <f>主c角色库!G43</f>
        <v>0</v>
      </c>
      <c r="F99">
        <f>主c角色库!H43</f>
        <v>4.6040000000000001</v>
      </c>
      <c r="G99">
        <f>主c角色库!I43</f>
        <v>5827.9806720000006</v>
      </c>
      <c r="H99">
        <f>主c角色库!J43</f>
        <v>8.1</v>
      </c>
      <c r="I99">
        <f>主c角色库!K43</f>
        <v>0.38</v>
      </c>
      <c r="J99">
        <f>主c角色库!L43</f>
        <v>0.5</v>
      </c>
      <c r="K99">
        <f>主c角色库!M43</f>
        <v>0</v>
      </c>
      <c r="L99">
        <f>主c角色库!N43</f>
        <v>0</v>
      </c>
      <c r="M99">
        <f>主c角色库!O43</f>
        <v>0</v>
      </c>
      <c r="N99">
        <f>主c角色库!P43</f>
        <v>0</v>
      </c>
      <c r="O99">
        <f>主c角色库!Q43</f>
        <v>0</v>
      </c>
      <c r="P99">
        <f>主c角色库!R43</f>
        <v>0.56100000000000005</v>
      </c>
      <c r="Q99">
        <f>主c角色库!S43</f>
        <v>0</v>
      </c>
      <c r="R99">
        <f>主c角色库!T43</f>
        <v>0</v>
      </c>
      <c r="S99">
        <f>主c角色库!U43</f>
        <v>0</v>
      </c>
      <c r="T99">
        <f>主c角色库!V43</f>
        <v>0</v>
      </c>
      <c r="U99">
        <f>主c角色库!W43</f>
        <v>0</v>
      </c>
      <c r="V99">
        <f>主c角色库!X43</f>
        <v>0</v>
      </c>
      <c r="W99">
        <f>主c角色库!Y43</f>
        <v>0</v>
      </c>
      <c r="X99">
        <f>主c角色库!Z43</f>
        <v>0</v>
      </c>
    </row>
    <row r="100" spans="1:24" x14ac:dyDescent="0.25">
      <c r="A100" s="22" t="str">
        <f>主c角色库!C44</f>
        <v>洛茜三层连携</v>
      </c>
      <c r="B100" t="str">
        <f>主c角色库!D44</f>
        <v>N/a</v>
      </c>
      <c r="C100">
        <f>主c角色库!E44</f>
        <v>828</v>
      </c>
      <c r="D100">
        <f>主c角色库!F44</f>
        <v>0.25600000000000001</v>
      </c>
      <c r="E100">
        <f>主c角色库!G44</f>
        <v>0</v>
      </c>
      <c r="F100">
        <f>主c角色库!H44</f>
        <v>4.6040000000000001</v>
      </c>
      <c r="G100">
        <f>主c角色库!I44</f>
        <v>5827.9806720000006</v>
      </c>
      <c r="H100">
        <f>主c角色库!J44</f>
        <v>9.9</v>
      </c>
      <c r="I100">
        <f>主c角色库!K44</f>
        <v>0.38</v>
      </c>
      <c r="J100">
        <f>主c角色库!L44</f>
        <v>0.5</v>
      </c>
      <c r="K100">
        <f>主c角色库!M44</f>
        <v>0</v>
      </c>
      <c r="L100">
        <f>主c角色库!N44</f>
        <v>0</v>
      </c>
      <c r="M100">
        <f>主c角色库!O44</f>
        <v>0</v>
      </c>
      <c r="N100">
        <f>主c角色库!P44</f>
        <v>0</v>
      </c>
      <c r="O100">
        <f>主c角色库!Q44</f>
        <v>0</v>
      </c>
      <c r="P100">
        <f>主c角色库!R44</f>
        <v>0.56100000000000005</v>
      </c>
      <c r="Q100">
        <f>主c角色库!S44</f>
        <v>0</v>
      </c>
      <c r="R100">
        <f>主c角色库!T44</f>
        <v>0</v>
      </c>
      <c r="S100">
        <f>主c角色库!U44</f>
        <v>0</v>
      </c>
      <c r="T100">
        <f>主c角色库!V44</f>
        <v>0</v>
      </c>
      <c r="U100">
        <f>主c角色库!W44</f>
        <v>0</v>
      </c>
      <c r="V100">
        <f>主c角色库!X44</f>
        <v>0</v>
      </c>
      <c r="W100">
        <f>主c角色库!Y44</f>
        <v>0</v>
      </c>
      <c r="X100">
        <f>主c角色库!Z44</f>
        <v>0</v>
      </c>
    </row>
    <row r="101" spans="1:24" x14ac:dyDescent="0.25">
      <c r="A101" s="22" t="str">
        <f>主c角色库!C45</f>
        <v>洛茜四层连携</v>
      </c>
      <c r="B101" t="str">
        <f>主c角色库!D45</f>
        <v>N/a</v>
      </c>
      <c r="C101">
        <f>主c角色库!E45</f>
        <v>828</v>
      </c>
      <c r="D101">
        <f>主c角色库!F45</f>
        <v>0.25600000000000001</v>
      </c>
      <c r="E101">
        <f>主c角色库!G45</f>
        <v>0</v>
      </c>
      <c r="F101">
        <f>主c角色库!H45</f>
        <v>4.6040000000000001</v>
      </c>
      <c r="G101">
        <f>主c角色库!I45</f>
        <v>5827.9806720000006</v>
      </c>
      <c r="H101">
        <f>主c角色库!J45</f>
        <v>11.7</v>
      </c>
      <c r="I101">
        <f>主c角色库!K45</f>
        <v>0.38</v>
      </c>
      <c r="J101">
        <f>主c角色库!L45</f>
        <v>0.5</v>
      </c>
      <c r="K101">
        <f>主c角色库!M45</f>
        <v>0</v>
      </c>
      <c r="L101">
        <f>主c角色库!N45</f>
        <v>0</v>
      </c>
      <c r="M101">
        <f>主c角色库!O45</f>
        <v>0</v>
      </c>
      <c r="N101">
        <f>主c角色库!P45</f>
        <v>0</v>
      </c>
      <c r="O101">
        <f>主c角色库!Q45</f>
        <v>0</v>
      </c>
      <c r="P101">
        <f>主c角色库!R45</f>
        <v>0.56100000000000005</v>
      </c>
      <c r="Q101">
        <f>主c角色库!S45</f>
        <v>0</v>
      </c>
      <c r="R101">
        <f>主c角色库!T45</f>
        <v>0</v>
      </c>
      <c r="S101">
        <f>主c角色库!U45</f>
        <v>0</v>
      </c>
      <c r="T101">
        <f>主c角色库!V45</f>
        <v>0</v>
      </c>
      <c r="U101">
        <f>主c角色库!W45</f>
        <v>0</v>
      </c>
      <c r="V101">
        <f>主c角色库!X45</f>
        <v>0</v>
      </c>
      <c r="W101">
        <f>主c角色库!Y45</f>
        <v>0</v>
      </c>
      <c r="X101">
        <f>主c角色库!Z45</f>
        <v>0</v>
      </c>
    </row>
    <row r="102" spans="1:24" x14ac:dyDescent="0.25">
      <c r="A102" s="22" t="str">
        <f>主c角色库!C46</f>
        <v>洛茜大招</v>
      </c>
      <c r="B102" t="str">
        <f>主c角色库!D46</f>
        <v>N/a</v>
      </c>
      <c r="C102">
        <f>主c角色库!E46</f>
        <v>828</v>
      </c>
      <c r="D102">
        <f>主c角色库!F46</f>
        <v>0.25600000000000001</v>
      </c>
      <c r="E102">
        <f>主c角色库!G46</f>
        <v>0</v>
      </c>
      <c r="F102">
        <f>主c角色库!H46</f>
        <v>4.6040000000000001</v>
      </c>
      <c r="G102">
        <f>主c角色库!I46</f>
        <v>5827.9806720000006</v>
      </c>
      <c r="H102">
        <f>主c角色库!J46</f>
        <v>16</v>
      </c>
      <c r="I102">
        <f>主c角色库!K46</f>
        <v>0.38</v>
      </c>
      <c r="J102">
        <f>主c角色库!L46</f>
        <v>1.1000000000000001</v>
      </c>
      <c r="K102">
        <f>主c角色库!M46</f>
        <v>0</v>
      </c>
      <c r="L102">
        <f>主c角色库!N46</f>
        <v>0</v>
      </c>
      <c r="M102">
        <f>主c角色库!O46</f>
        <v>0</v>
      </c>
      <c r="N102">
        <f>主c角色库!P46</f>
        <v>0</v>
      </c>
      <c r="O102">
        <f>主c角色库!Q46</f>
        <v>0</v>
      </c>
      <c r="P102">
        <f>主c角色库!R46</f>
        <v>0.56100000000000005</v>
      </c>
      <c r="Q102">
        <f>主c角色库!S46</f>
        <v>0</v>
      </c>
      <c r="R102">
        <f>主c角色库!T46</f>
        <v>0</v>
      </c>
      <c r="S102">
        <f>主c角色库!U46</f>
        <v>0</v>
      </c>
      <c r="T102">
        <f>主c角色库!V46</f>
        <v>0</v>
      </c>
      <c r="U102">
        <f>主c角色库!W46</f>
        <v>0</v>
      </c>
      <c r="V102">
        <f>主c角色库!X46</f>
        <v>0</v>
      </c>
      <c r="W102">
        <f>主c角色库!Y46</f>
        <v>0</v>
      </c>
      <c r="X102">
        <f>主c角色库!Z46</f>
        <v>0</v>
      </c>
    </row>
    <row r="103" spans="1:24" x14ac:dyDescent="0.25">
      <c r="A103" s="22" t="str">
        <f>主c角色库!C47</f>
        <v>洛茜斫痕额外物理倍率</v>
      </c>
      <c r="B103" t="str">
        <f>主c角色库!D47</f>
        <v>N/a</v>
      </c>
      <c r="C103">
        <f>主c角色库!E47</f>
        <v>828</v>
      </c>
      <c r="D103">
        <f>主c角色库!F47</f>
        <v>0.25600000000000001</v>
      </c>
      <c r="E103">
        <f>主c角色库!G47</f>
        <v>0</v>
      </c>
      <c r="F103">
        <f>主c角色库!H47</f>
        <v>4.6040000000000001</v>
      </c>
      <c r="G103">
        <f>主c角色库!I47</f>
        <v>5827.9806720000006</v>
      </c>
      <c r="H103">
        <f>主c角色库!J47</f>
        <v>7.5</v>
      </c>
      <c r="I103">
        <f>主c角色库!K47</f>
        <v>0.38</v>
      </c>
      <c r="J103">
        <f>主c角色库!L47</f>
        <v>0.5</v>
      </c>
      <c r="K103">
        <f>主c角色库!M47</f>
        <v>0</v>
      </c>
      <c r="L103">
        <f>主c角色库!N47</f>
        <v>0</v>
      </c>
      <c r="M103">
        <f>主c角色库!O47</f>
        <v>0</v>
      </c>
      <c r="N103">
        <f>主c角色库!P47</f>
        <v>0</v>
      </c>
      <c r="O103">
        <f>主c角色库!Q47</f>
        <v>0</v>
      </c>
      <c r="P103">
        <f>主c角色库!R47</f>
        <v>0.56100000000000005</v>
      </c>
      <c r="Q103">
        <f>主c角色库!S47</f>
        <v>0</v>
      </c>
      <c r="R103">
        <f>主c角色库!T47</f>
        <v>0</v>
      </c>
      <c r="S103">
        <f>主c角色库!U47</f>
        <v>0</v>
      </c>
      <c r="T103">
        <f>主c角色库!V47</f>
        <v>0</v>
      </c>
      <c r="U103">
        <f>主c角色库!W47</f>
        <v>0</v>
      </c>
      <c r="V103">
        <f>主c角色库!X47</f>
        <v>0</v>
      </c>
      <c r="W103">
        <f>主c角色库!Y47</f>
        <v>0</v>
      </c>
      <c r="X103">
        <f>主c角色库!Z47</f>
        <v>0</v>
      </c>
    </row>
    <row r="104" spans="1:24" x14ac:dyDescent="0.25">
      <c r="A104" s="22" t="str">
        <f>主c角色库!C48</f>
        <v>洛茜天赋沸血</v>
      </c>
      <c r="B104" t="str">
        <f>主c角色库!D48</f>
        <v>N/a</v>
      </c>
      <c r="C104">
        <f>主c角色库!E48</f>
        <v>828</v>
      </c>
      <c r="D104">
        <f>主c角色库!F48</f>
        <v>0.25600000000000001</v>
      </c>
      <c r="E104">
        <f>主c角色库!G48</f>
        <v>0</v>
      </c>
      <c r="F104">
        <f>主c角色库!H48</f>
        <v>4.6040000000000001</v>
      </c>
      <c r="G104">
        <f>主c角色库!I48</f>
        <v>5827.9806720000006</v>
      </c>
      <c r="H104">
        <f>主c角色库!J48</f>
        <v>0.24</v>
      </c>
      <c r="I104">
        <f>主c角色库!K48</f>
        <v>0.38</v>
      </c>
      <c r="J104">
        <f>主c角色库!L48</f>
        <v>0.5</v>
      </c>
      <c r="K104">
        <f>主c角色库!M48</f>
        <v>0</v>
      </c>
      <c r="L104">
        <f>主c角色库!N48</f>
        <v>0</v>
      </c>
      <c r="M104">
        <f>主c角色库!O48</f>
        <v>0</v>
      </c>
      <c r="N104">
        <f>主c角色库!P48</f>
        <v>0</v>
      </c>
      <c r="O104">
        <f>主c角色库!Q48</f>
        <v>0</v>
      </c>
      <c r="P104">
        <f>主c角色库!R48</f>
        <v>0.56100000000000005</v>
      </c>
      <c r="Q104">
        <f>主c角色库!S48</f>
        <v>0</v>
      </c>
      <c r="R104">
        <f>主c角色库!T48</f>
        <v>0</v>
      </c>
      <c r="S104">
        <f>主c角色库!U48</f>
        <v>0</v>
      </c>
      <c r="T104">
        <f>主c角色库!V48</f>
        <v>0</v>
      </c>
      <c r="U104">
        <f>主c角色库!W48</f>
        <v>0</v>
      </c>
      <c r="V104">
        <f>主c角色库!X48</f>
        <v>0</v>
      </c>
      <c r="W104">
        <f>主c角色库!Y48</f>
        <v>0</v>
      </c>
      <c r="X104">
        <f>主c角色库!Z48</f>
        <v>0</v>
      </c>
    </row>
    <row r="105" spans="1:24" x14ac:dyDescent="0.25">
      <c r="A105" s="22" t="str">
        <f>主c角色库!C49</f>
        <v>洛茜天赋燃烧沸血</v>
      </c>
      <c r="B105" t="str">
        <f>主c角色库!D49</f>
        <v>N/a</v>
      </c>
      <c r="C105">
        <f>主c角色库!E49</f>
        <v>828</v>
      </c>
      <c r="D105">
        <f>主c角色库!F49</f>
        <v>0.25600000000000001</v>
      </c>
      <c r="E105">
        <f>主c角色库!G49</f>
        <v>0</v>
      </c>
      <c r="F105">
        <f>主c角色库!H49</f>
        <v>4.6040000000000001</v>
      </c>
      <c r="G105">
        <f>主c角色库!I49</f>
        <v>5827.9806720000006</v>
      </c>
      <c r="H105">
        <f>主c角色库!J49</f>
        <v>0.36</v>
      </c>
      <c r="I105">
        <f>主c角色库!K49</f>
        <v>0.38</v>
      </c>
      <c r="J105">
        <f>主c角色库!L49</f>
        <v>0.5</v>
      </c>
      <c r="K105">
        <f>主c角色库!M49</f>
        <v>0</v>
      </c>
      <c r="L105">
        <f>主c角色库!N49</f>
        <v>0</v>
      </c>
      <c r="M105">
        <f>主c角色库!O49</f>
        <v>0</v>
      </c>
      <c r="N105">
        <f>主c角色库!P49</f>
        <v>0</v>
      </c>
      <c r="O105">
        <f>主c角色库!Q49</f>
        <v>0</v>
      </c>
      <c r="P105">
        <f>主c角色库!R49</f>
        <v>0.56100000000000005</v>
      </c>
      <c r="Q105">
        <f>主c角色库!S49</f>
        <v>0</v>
      </c>
      <c r="R105">
        <f>主c角色库!T49</f>
        <v>0</v>
      </c>
      <c r="S105">
        <f>主c角色库!U49</f>
        <v>0</v>
      </c>
      <c r="T105">
        <f>主c角色库!V49</f>
        <v>0</v>
      </c>
      <c r="U105">
        <f>主c角色库!W49</f>
        <v>0</v>
      </c>
      <c r="V105">
        <f>主c角色库!X49</f>
        <v>0</v>
      </c>
      <c r="W105">
        <f>主c角色库!Y49</f>
        <v>0</v>
      </c>
      <c r="X105">
        <f>主c角色库!Z49</f>
        <v>0</v>
      </c>
    </row>
    <row r="106" spans="1:24" x14ac:dyDescent="0.25">
      <c r="A106" s="22">
        <f>主c角色库!C50</f>
        <v>0</v>
      </c>
      <c r="B106">
        <f>主c角色库!D50</f>
        <v>0</v>
      </c>
      <c r="C106">
        <f>主c角色库!E50</f>
        <v>0</v>
      </c>
      <c r="D106">
        <f>主c角色库!F50</f>
        <v>0</v>
      </c>
      <c r="E106">
        <f>主c角色库!G50</f>
        <v>0</v>
      </c>
      <c r="F106">
        <f>主c角色库!H50</f>
        <v>0</v>
      </c>
      <c r="G106">
        <f>主c角色库!I50</f>
        <v>0</v>
      </c>
      <c r="H106">
        <f>主c角色库!J50</f>
        <v>0</v>
      </c>
      <c r="I106">
        <f>主c角色库!K50</f>
        <v>0</v>
      </c>
      <c r="J106">
        <f>主c角色库!L50</f>
        <v>0</v>
      </c>
      <c r="K106">
        <f>主c角色库!M50</f>
        <v>0</v>
      </c>
      <c r="L106">
        <f>主c角色库!N50</f>
        <v>0</v>
      </c>
      <c r="M106">
        <f>主c角色库!O50</f>
        <v>0</v>
      </c>
      <c r="N106">
        <f>主c角色库!P50</f>
        <v>0</v>
      </c>
      <c r="O106">
        <f>主c角色库!Q50</f>
        <v>0</v>
      </c>
      <c r="P106">
        <f>主c角色库!R50</f>
        <v>0</v>
      </c>
      <c r="Q106">
        <f>主c角色库!S50</f>
        <v>0</v>
      </c>
      <c r="R106">
        <f>主c角色库!T50</f>
        <v>0</v>
      </c>
      <c r="S106">
        <f>主c角色库!U50</f>
        <v>0</v>
      </c>
      <c r="T106">
        <f>主c角色库!V50</f>
        <v>0</v>
      </c>
      <c r="U106">
        <f>主c角色库!W50</f>
        <v>0</v>
      </c>
      <c r="V106">
        <f>主c角色库!X50</f>
        <v>0</v>
      </c>
      <c r="W106">
        <f>主c角色库!Y50</f>
        <v>0</v>
      </c>
      <c r="X106">
        <f>主c角色库!Z50</f>
        <v>0</v>
      </c>
    </row>
    <row r="107" spans="1:24" x14ac:dyDescent="0.25">
      <c r="A107" s="22" t="str">
        <f>主c角色库!C51</f>
        <v>N/a</v>
      </c>
      <c r="B107" t="str">
        <f>主c角色库!D51</f>
        <v>洛茜二段连携</v>
      </c>
      <c r="C107">
        <f>主c角色库!E51</f>
        <v>0</v>
      </c>
      <c r="D107">
        <f>主c角色库!F51</f>
        <v>0</v>
      </c>
      <c r="E107">
        <f>主c角色库!G51</f>
        <v>0</v>
      </c>
      <c r="F107">
        <f>主c角色库!H51</f>
        <v>0</v>
      </c>
      <c r="G107">
        <f>主c角色库!I51</f>
        <v>0</v>
      </c>
      <c r="H107">
        <f>主c角色库!J51</f>
        <v>0</v>
      </c>
      <c r="I107">
        <f>主c角色库!K51</f>
        <v>0.25</v>
      </c>
      <c r="J107">
        <f>主c角色库!L51</f>
        <v>0.5</v>
      </c>
      <c r="K107">
        <f>主c角色库!M51</f>
        <v>0</v>
      </c>
      <c r="L107">
        <f>主c角色库!N51</f>
        <v>0</v>
      </c>
      <c r="M107">
        <f>主c角色库!O51</f>
        <v>0</v>
      </c>
      <c r="N107">
        <f>主c角色库!P51</f>
        <v>0</v>
      </c>
      <c r="O107">
        <f>主c角色库!Q51</f>
        <v>0</v>
      </c>
      <c r="P107">
        <f>主c角色库!R51</f>
        <v>0</v>
      </c>
      <c r="Q107">
        <f>主c角色库!S51</f>
        <v>0</v>
      </c>
      <c r="R107">
        <f>主c角色库!T51</f>
        <v>0</v>
      </c>
      <c r="S107">
        <f>主c角色库!U51</f>
        <v>0</v>
      </c>
      <c r="T107">
        <f>主c角色库!V51</f>
        <v>0</v>
      </c>
      <c r="U107">
        <f>主c角色库!W51</f>
        <v>0</v>
      </c>
      <c r="V107">
        <f>主c角色库!X51</f>
        <v>0</v>
      </c>
      <c r="W107">
        <f>主c角色库!Y51</f>
        <v>0</v>
      </c>
      <c r="X107">
        <f>主c角色库!Z51</f>
        <v>0</v>
      </c>
    </row>
    <row r="108" spans="1:24" x14ac:dyDescent="0.25">
      <c r="A108" t="str">
        <f>主c角色库!C52</f>
        <v>N/a</v>
      </c>
      <c r="B108" t="str">
        <f>主c角色库!D52</f>
        <v>洛茜天赋战技斫痕</v>
      </c>
      <c r="C108">
        <f>主c角色库!E52</f>
        <v>0</v>
      </c>
      <c r="D108">
        <f>主c角色库!F52</f>
        <v>0</v>
      </c>
      <c r="E108">
        <f>主c角色库!G52</f>
        <v>0</v>
      </c>
      <c r="F108">
        <f>主c角色库!H52</f>
        <v>0</v>
      </c>
      <c r="G108">
        <f>主c角色库!I52</f>
        <v>0</v>
      </c>
      <c r="H108">
        <f>主c角色库!J52</f>
        <v>0</v>
      </c>
      <c r="I108">
        <f>主c角色库!K52</f>
        <v>0</v>
      </c>
      <c r="J108">
        <f>主c角色库!L52</f>
        <v>0</v>
      </c>
      <c r="K108">
        <f>主c角色库!M52</f>
        <v>0</v>
      </c>
      <c r="L108">
        <f>主c角色库!N52</f>
        <v>0</v>
      </c>
      <c r="M108">
        <f>主c角色库!O52</f>
        <v>0</v>
      </c>
      <c r="N108">
        <f>主c角色库!P52</f>
        <v>0</v>
      </c>
      <c r="O108">
        <f>主c角色库!Q52</f>
        <v>0</v>
      </c>
      <c r="P108">
        <f>主c角色库!R52</f>
        <v>0</v>
      </c>
      <c r="Q108">
        <f>主c角色库!S52</f>
        <v>0</v>
      </c>
      <c r="R108">
        <f>主c角色库!T52</f>
        <v>0</v>
      </c>
      <c r="S108">
        <f>主c角色库!U52</f>
        <v>0</v>
      </c>
      <c r="T108">
        <f>主c角色库!V52</f>
        <v>0.12</v>
      </c>
      <c r="U108">
        <f>主c角色库!W52</f>
        <v>0</v>
      </c>
      <c r="V108">
        <f>主c角色库!X52</f>
        <v>0</v>
      </c>
      <c r="W108">
        <f>主c角色库!Y52</f>
        <v>0</v>
      </c>
      <c r="X108">
        <f>主c角色库!Z52</f>
        <v>0</v>
      </c>
    </row>
    <row r="109" spans="1:24" x14ac:dyDescent="0.25">
      <c r="A109" t="str">
        <f>主c角色库!C53</f>
        <v>N/a</v>
      </c>
      <c r="B109" s="22" t="str">
        <f>主c角色库!D53</f>
        <v>洛茜套装五次暴击后</v>
      </c>
      <c r="C109">
        <f>主c角色库!E53</f>
        <v>0</v>
      </c>
      <c r="D109">
        <f>主c角色库!F53</f>
        <v>0.25</v>
      </c>
      <c r="E109">
        <f>主c角色库!G53</f>
        <v>0</v>
      </c>
      <c r="F109">
        <f>主c角色库!H53</f>
        <v>0</v>
      </c>
      <c r="G109">
        <f>主c角色库!I53</f>
        <v>0</v>
      </c>
      <c r="H109">
        <f>主c角色库!J53</f>
        <v>0</v>
      </c>
      <c r="I109">
        <f>主c角色库!K53</f>
        <v>0.05</v>
      </c>
      <c r="J109">
        <f>主c角色库!L53</f>
        <v>0</v>
      </c>
      <c r="K109">
        <f>主c角色库!M53</f>
        <v>0</v>
      </c>
      <c r="L109">
        <f>主c角色库!N53</f>
        <v>0</v>
      </c>
      <c r="M109">
        <f>主c角色库!O53</f>
        <v>0</v>
      </c>
      <c r="N109">
        <f>主c角色库!P53</f>
        <v>0</v>
      </c>
      <c r="O109">
        <f>主c角色库!Q53</f>
        <v>0</v>
      </c>
      <c r="P109">
        <f>主c角色库!R53</f>
        <v>0</v>
      </c>
      <c r="Q109">
        <f>主c角色库!S53</f>
        <v>0</v>
      </c>
      <c r="R109">
        <f>主c角色库!T53</f>
        <v>0</v>
      </c>
      <c r="S109">
        <f>主c角色库!U53</f>
        <v>0</v>
      </c>
      <c r="T109">
        <f>主c角色库!V53</f>
        <v>0</v>
      </c>
      <c r="U109">
        <f>主c角色库!W53</f>
        <v>0</v>
      </c>
      <c r="V109">
        <f>主c角色库!X53</f>
        <v>0</v>
      </c>
      <c r="W109">
        <f>主c角色库!Y53</f>
        <v>0</v>
      </c>
      <c r="X109">
        <f>主c角色库!Z53</f>
        <v>0</v>
      </c>
    </row>
    <row r="110" spans="1:24" x14ac:dyDescent="0.25">
      <c r="A110" s="17" t="str">
        <f>主c角色库!C54</f>
        <v>N/a</v>
      </c>
      <c r="B110" s="17" t="str">
        <f>主c角色库!D54</f>
        <v>洛茜狼之绯叠满暴击前</v>
      </c>
      <c r="C110" s="17">
        <f>主c角色库!E54</f>
        <v>0</v>
      </c>
      <c r="D110" s="17">
        <f>主c角色库!F54</f>
        <v>0</v>
      </c>
      <c r="E110" s="17">
        <f>主c角色库!G54</f>
        <v>0</v>
      </c>
      <c r="F110" s="17">
        <f>主c角色库!H54</f>
        <v>0</v>
      </c>
      <c r="G110" s="17">
        <f>主c角色库!I54</f>
        <v>0</v>
      </c>
      <c r="H110" s="17">
        <f>主c角色库!J54</f>
        <v>0</v>
      </c>
      <c r="I110" s="17">
        <f>主c角色库!K54</f>
        <v>0</v>
      </c>
      <c r="J110" s="17">
        <f>主c角色库!L54</f>
        <v>0</v>
      </c>
      <c r="K110" s="17">
        <f>主c角色库!M54</f>
        <v>0</v>
      </c>
      <c r="L110" s="17">
        <f>主c角色库!N54</f>
        <v>0.128</v>
      </c>
      <c r="M110" s="17">
        <f>主c角色库!O54</f>
        <v>0</v>
      </c>
      <c r="N110" s="17">
        <f>主c角色库!P54</f>
        <v>0</v>
      </c>
      <c r="O110" s="17">
        <f>主c角色库!Q54</f>
        <v>0</v>
      </c>
      <c r="P110" s="17">
        <f>主c角色库!R54</f>
        <v>0</v>
      </c>
      <c r="Q110" s="17">
        <f>主c角色库!S54</f>
        <v>0</v>
      </c>
      <c r="R110" s="17">
        <f>主c角色库!T54</f>
        <v>0</v>
      </c>
      <c r="S110" s="17">
        <f>主c角色库!U54</f>
        <v>0</v>
      </c>
      <c r="T110" s="17">
        <f>主c角色库!V54</f>
        <v>0</v>
      </c>
      <c r="U110" s="17">
        <f>主c角色库!W54</f>
        <v>0</v>
      </c>
      <c r="V110" s="17">
        <f>主c角色库!X54</f>
        <v>0</v>
      </c>
      <c r="W110" s="17">
        <f>主c角色库!Y54</f>
        <v>0</v>
      </c>
      <c r="X110" s="17">
        <f>主c角色库!Z54</f>
        <v>0</v>
      </c>
    </row>
    <row r="111" spans="1:24" x14ac:dyDescent="0.25">
      <c r="A111" t="str">
        <f>主c角色库!C55</f>
        <v>N/a</v>
      </c>
      <c r="B111" t="str">
        <f>主c角色库!D55</f>
        <v>洛茜狼之绯叠满暴击后</v>
      </c>
      <c r="C111">
        <f>主c角色库!E55</f>
        <v>0</v>
      </c>
      <c r="D111">
        <f>主c角色库!F55</f>
        <v>0</v>
      </c>
      <c r="E111">
        <f>主c角色库!G55</f>
        <v>0</v>
      </c>
      <c r="F111">
        <f>主c角色库!H55</f>
        <v>0</v>
      </c>
      <c r="G111">
        <f>主c角色库!I55</f>
        <v>0</v>
      </c>
      <c r="H111">
        <f>主c角色库!J55</f>
        <v>0</v>
      </c>
      <c r="I111">
        <f>主c角色库!K55</f>
        <v>0</v>
      </c>
      <c r="J111">
        <f>主c角色库!L55</f>
        <v>0</v>
      </c>
      <c r="K111">
        <f>主c角色库!M55</f>
        <v>0</v>
      </c>
      <c r="L111">
        <f>主c角色库!N55</f>
        <v>0.64</v>
      </c>
      <c r="M111">
        <f>主c角色库!O55</f>
        <v>0</v>
      </c>
      <c r="N111">
        <f>主c角色库!P55</f>
        <v>0</v>
      </c>
      <c r="O111">
        <f>主c角色库!Q55</f>
        <v>0</v>
      </c>
      <c r="P111">
        <f>主c角色库!R55</f>
        <v>0</v>
      </c>
      <c r="Q111">
        <f>主c角色库!S55</f>
        <v>0</v>
      </c>
      <c r="R111">
        <f>主c角色库!T55</f>
        <v>0</v>
      </c>
      <c r="S111">
        <f>主c角色库!U55</f>
        <v>0</v>
      </c>
      <c r="T111">
        <f>主c角色库!V55</f>
        <v>0</v>
      </c>
      <c r="U111">
        <f>主c角色库!W55</f>
        <v>0</v>
      </c>
      <c r="V111">
        <f>主c角色库!X55</f>
        <v>0</v>
      </c>
      <c r="W111">
        <f>主c角色库!Y55</f>
        <v>0</v>
      </c>
      <c r="X111">
        <f>主c角色库!Z55</f>
        <v>0</v>
      </c>
    </row>
    <row r="112" spans="1:24" x14ac:dyDescent="0.25">
      <c r="A112" t="str">
        <f>主c角色库!C56</f>
        <v>N/a</v>
      </c>
      <c r="B112" t="str">
        <f>主c角色库!D56</f>
        <v>洛茜光荣记忆一战技</v>
      </c>
      <c r="C112">
        <f>主c角色库!E56</f>
        <v>0</v>
      </c>
      <c r="D112">
        <f>主c角色库!F56</f>
        <v>0</v>
      </c>
      <c r="E112">
        <f>主c角色库!G56</f>
        <v>0</v>
      </c>
      <c r="F112">
        <f>主c角色库!H56</f>
        <v>0</v>
      </c>
      <c r="G112">
        <f>主c角色库!I56</f>
        <v>0</v>
      </c>
      <c r="H112">
        <f>主c角色库!J56</f>
        <v>0</v>
      </c>
      <c r="I112">
        <f>主c角色库!K56</f>
        <v>0</v>
      </c>
      <c r="J112">
        <f>主c角色库!L56</f>
        <v>0</v>
      </c>
      <c r="K112">
        <f>主c角色库!M56</f>
        <v>0</v>
      </c>
      <c r="L112">
        <f>主c角色库!N56</f>
        <v>0.216</v>
      </c>
      <c r="M112">
        <f>主c角色库!O56</f>
        <v>0</v>
      </c>
      <c r="N112">
        <f>主c角色库!P56</f>
        <v>0</v>
      </c>
      <c r="O112">
        <f>主c角色库!Q56</f>
        <v>0</v>
      </c>
      <c r="P112">
        <f>主c角色库!R56</f>
        <v>0</v>
      </c>
      <c r="Q112">
        <f>主c角色库!S56</f>
        <v>0</v>
      </c>
      <c r="R112">
        <f>主c角色库!T56</f>
        <v>0</v>
      </c>
      <c r="S112">
        <f>主c角色库!U56</f>
        <v>0</v>
      </c>
      <c r="T112">
        <f>主c角色库!V56</f>
        <v>0</v>
      </c>
      <c r="U112">
        <f>主c角色库!W56</f>
        <v>0</v>
      </c>
      <c r="V112">
        <f>主c角色库!X56</f>
        <v>0</v>
      </c>
      <c r="W112">
        <f>主c角色库!Y56</f>
        <v>0</v>
      </c>
      <c r="X112">
        <f>主c角色库!Z56</f>
        <v>0</v>
      </c>
    </row>
    <row r="113" spans="1:24" x14ac:dyDescent="0.25">
      <c r="A113" t="str">
        <f>主c角色库!C57</f>
        <v>N/a</v>
      </c>
      <c r="B113" t="str">
        <f>主c角色库!D57</f>
        <v>洛茜光荣记忆二战技</v>
      </c>
      <c r="C113">
        <f>主c角色库!E57</f>
        <v>0</v>
      </c>
      <c r="D113">
        <f>主c角色库!F57</f>
        <v>0</v>
      </c>
      <c r="E113">
        <f>主c角色库!G57</f>
        <v>0</v>
      </c>
      <c r="F113">
        <f>主c角色库!H57</f>
        <v>0</v>
      </c>
      <c r="G113">
        <f>主c角色库!I57</f>
        <v>0</v>
      </c>
      <c r="H113">
        <f>主c角色库!J57</f>
        <v>0</v>
      </c>
      <c r="I113">
        <f>主c角色库!K57</f>
        <v>0</v>
      </c>
      <c r="J113">
        <f>主c角色库!L57</f>
        <v>0</v>
      </c>
      <c r="K113">
        <f>主c角色库!M57</f>
        <v>0</v>
      </c>
      <c r="L113">
        <f>主c角色库!N57</f>
        <v>0.432</v>
      </c>
      <c r="M113">
        <f>主c角色库!O57</f>
        <v>0</v>
      </c>
      <c r="N113">
        <f>主c角色库!P57</f>
        <v>0</v>
      </c>
      <c r="O113">
        <f>主c角色库!Q57</f>
        <v>0</v>
      </c>
      <c r="P113">
        <f>主c角色库!R57</f>
        <v>0</v>
      </c>
      <c r="Q113">
        <f>主c角色库!S57</f>
        <v>0</v>
      </c>
      <c r="R113">
        <f>主c角色库!T57</f>
        <v>0</v>
      </c>
      <c r="S113">
        <f>主c角色库!U57</f>
        <v>0</v>
      </c>
      <c r="T113">
        <f>主c角色库!V57</f>
        <v>0</v>
      </c>
      <c r="U113">
        <f>主c角色库!W57</f>
        <v>0</v>
      </c>
      <c r="V113">
        <f>主c角色库!X57</f>
        <v>0</v>
      </c>
      <c r="W113">
        <f>主c角色库!Y57</f>
        <v>0</v>
      </c>
      <c r="X113">
        <f>主c角色库!Z57</f>
        <v>0</v>
      </c>
    </row>
    <row r="114" spans="1:24" x14ac:dyDescent="0.25">
      <c r="A114" t="str">
        <f>主c角色库!C58</f>
        <v>N/a</v>
      </c>
      <c r="B114" t="str">
        <f>主c角色库!D58</f>
        <v>洛茜光荣记忆三战技</v>
      </c>
      <c r="C114">
        <f>主c角色库!E58</f>
        <v>0</v>
      </c>
      <c r="D114">
        <f>主c角色库!F58</f>
        <v>0</v>
      </c>
      <c r="E114">
        <f>主c角色库!G58</f>
        <v>0</v>
      </c>
      <c r="F114">
        <f>主c角色库!H58</f>
        <v>0</v>
      </c>
      <c r="G114">
        <f>主c角色库!I58</f>
        <v>0</v>
      </c>
      <c r="H114">
        <f>主c角色库!J58</f>
        <v>0</v>
      </c>
      <c r="I114">
        <f>主c角色库!K58</f>
        <v>0</v>
      </c>
      <c r="J114">
        <f>主c角色库!L58</f>
        <v>0</v>
      </c>
      <c r="K114">
        <f>主c角色库!M58</f>
        <v>0</v>
      </c>
      <c r="L114">
        <f>主c角色库!N58</f>
        <v>0.64800000000000002</v>
      </c>
      <c r="M114">
        <f>主c角色库!O58</f>
        <v>0</v>
      </c>
      <c r="N114">
        <f>主c角色库!P58</f>
        <v>0</v>
      </c>
      <c r="O114">
        <f>主c角色库!Q58</f>
        <v>0</v>
      </c>
      <c r="P114">
        <f>主c角色库!R58</f>
        <v>0</v>
      </c>
      <c r="Q114">
        <f>主c角色库!S58</f>
        <v>0</v>
      </c>
      <c r="R114">
        <f>主c角色库!T58</f>
        <v>0</v>
      </c>
      <c r="S114">
        <f>主c角色库!U58</f>
        <v>0</v>
      </c>
      <c r="T114">
        <f>主c角色库!V58</f>
        <v>0</v>
      </c>
      <c r="U114">
        <f>主c角色库!W58</f>
        <v>0</v>
      </c>
      <c r="V114">
        <f>主c角色库!X58</f>
        <v>0</v>
      </c>
      <c r="W114">
        <f>主c角色库!Y58</f>
        <v>0</v>
      </c>
      <c r="X114">
        <f>主c角色库!Z58</f>
        <v>0</v>
      </c>
    </row>
    <row r="115" spans="1:24" x14ac:dyDescent="0.25">
      <c r="A115">
        <f>主c角色库!C59</f>
        <v>0</v>
      </c>
      <c r="B115">
        <f>主c角色库!D59</f>
        <v>0</v>
      </c>
      <c r="C115">
        <f>主c角色库!E59</f>
        <v>0</v>
      </c>
      <c r="D115">
        <f>主c角色库!F59</f>
        <v>0</v>
      </c>
      <c r="E115">
        <f>主c角色库!G59</f>
        <v>0</v>
      </c>
      <c r="F115">
        <f>主c角色库!H59</f>
        <v>0</v>
      </c>
      <c r="G115">
        <f>主c角色库!I59</f>
        <v>0</v>
      </c>
      <c r="H115">
        <f>主c角色库!J59</f>
        <v>0</v>
      </c>
      <c r="I115">
        <f>主c角色库!K59</f>
        <v>0</v>
      </c>
      <c r="J115">
        <f>主c角色库!L59</f>
        <v>0</v>
      </c>
      <c r="K115">
        <f>主c角色库!M59</f>
        <v>0</v>
      </c>
      <c r="L115">
        <f>主c角色库!N59</f>
        <v>0</v>
      </c>
      <c r="M115">
        <f>主c角色库!O59</f>
        <v>0</v>
      </c>
      <c r="N115">
        <f>主c角色库!P59</f>
        <v>0</v>
      </c>
      <c r="O115">
        <f>主c角色库!Q59</f>
        <v>0</v>
      </c>
      <c r="P115">
        <f>主c角色库!R59</f>
        <v>0</v>
      </c>
      <c r="Q115">
        <f>主c角色库!S59</f>
        <v>0</v>
      </c>
      <c r="R115">
        <f>主c角色库!T59</f>
        <v>0</v>
      </c>
      <c r="S115">
        <f>主c角色库!U59</f>
        <v>0</v>
      </c>
      <c r="T115">
        <f>主c角色库!V59</f>
        <v>0</v>
      </c>
      <c r="U115">
        <f>主c角色库!W59</f>
        <v>0</v>
      </c>
      <c r="V115">
        <f>主c角色库!X59</f>
        <v>0</v>
      </c>
      <c r="W115">
        <f>主c角色库!Y59</f>
        <v>0</v>
      </c>
      <c r="X115">
        <f>主c角色库!Z59</f>
        <v>0</v>
      </c>
    </row>
    <row r="116" spans="1:24" x14ac:dyDescent="0.25">
      <c r="A116">
        <f>主c角色库!C60</f>
        <v>0</v>
      </c>
      <c r="B116">
        <f>主c角色库!D60</f>
        <v>0</v>
      </c>
      <c r="C116">
        <f>主c角色库!E60</f>
        <v>0</v>
      </c>
      <c r="D116">
        <f>主c角色库!F60</f>
        <v>0</v>
      </c>
      <c r="E116">
        <f>主c角色库!G60</f>
        <v>0</v>
      </c>
      <c r="F116">
        <f>主c角色库!H60</f>
        <v>0</v>
      </c>
      <c r="G116">
        <f>主c角色库!I60</f>
        <v>0</v>
      </c>
      <c r="H116">
        <f>主c角色库!J60</f>
        <v>0</v>
      </c>
      <c r="I116">
        <f>主c角色库!K60</f>
        <v>0</v>
      </c>
      <c r="J116">
        <f>主c角色库!L60</f>
        <v>0</v>
      </c>
      <c r="K116">
        <f>主c角色库!M60</f>
        <v>0</v>
      </c>
      <c r="L116">
        <f>主c角色库!N60</f>
        <v>0</v>
      </c>
      <c r="M116">
        <f>主c角色库!O60</f>
        <v>0</v>
      </c>
      <c r="N116">
        <f>主c角色库!P60</f>
        <v>0</v>
      </c>
      <c r="O116">
        <f>主c角色库!Q60</f>
        <v>0</v>
      </c>
      <c r="P116">
        <f>主c角色库!R60</f>
        <v>0</v>
      </c>
      <c r="Q116">
        <f>主c角色库!S60</f>
        <v>0</v>
      </c>
      <c r="R116">
        <f>主c角色库!T60</f>
        <v>0</v>
      </c>
      <c r="S116">
        <f>主c角色库!U60</f>
        <v>0</v>
      </c>
      <c r="T116">
        <f>主c角色库!V60</f>
        <v>0</v>
      </c>
      <c r="U116">
        <f>主c角色库!W60</f>
        <v>0</v>
      </c>
      <c r="V116">
        <f>主c角色库!X60</f>
        <v>0</v>
      </c>
      <c r="W116">
        <f>主c角色库!Y60</f>
        <v>0</v>
      </c>
      <c r="X116">
        <f>主c角色库!Z60</f>
        <v>0</v>
      </c>
    </row>
    <row r="129" spans="2:24" s="17" customFormat="1" x14ac:dyDescent="0.25"/>
    <row r="131" spans="2:24" x14ac:dyDescent="0.25">
      <c r="B131" s="22"/>
    </row>
    <row r="132" spans="2:24" x14ac:dyDescent="0.25">
      <c r="B132" s="22"/>
      <c r="X132" s="29"/>
    </row>
    <row r="133" spans="2:24" x14ac:dyDescent="0.25">
      <c r="B133" s="22"/>
      <c r="X133" s="29"/>
    </row>
    <row r="134" spans="2:24" x14ac:dyDescent="0.25">
      <c r="B134" s="22"/>
      <c r="X134" s="29"/>
    </row>
    <row r="135" spans="2:24" x14ac:dyDescent="0.25">
      <c r="B135" s="22"/>
      <c r="X135" s="29"/>
    </row>
    <row r="136" spans="2:24" s="17" customFormat="1" x14ac:dyDescent="0.25"/>
    <row r="137" spans="2:24" x14ac:dyDescent="0.25">
      <c r="B137" s="22"/>
      <c r="X137" s="29"/>
    </row>
    <row r="138" spans="2:24" x14ac:dyDescent="0.25">
      <c r="B138" s="22"/>
      <c r="X138" s="29"/>
    </row>
  </sheetData>
  <mergeCells count="1">
    <mergeCell ref="N4:U4"/>
  </mergeCells>
  <phoneticPr fontId="1" type="noConversion"/>
  <conditionalFormatting sqref="F26:T57">
    <cfRule type="expression" dxfId="45" priority="4">
      <formula>MOD(ROW(),2)=1</formula>
    </cfRule>
  </conditionalFormatting>
  <conditionalFormatting sqref="A26:A57">
    <cfRule type="expression" dxfId="44" priority="3">
      <formula>MOD(ROW(),2)=1</formula>
    </cfRule>
  </conditionalFormatting>
  <conditionalFormatting sqref="AN3:AT19 AD17:AK20 AD16:AH16 AJ16:AK16 AO20:AT20 AD3:AK15">
    <cfRule type="expression" dxfId="43" priority="2">
      <formula>MOD(ROW(),2)=1</formula>
    </cfRule>
  </conditionalFormatting>
  <conditionalFormatting sqref="AN20">
    <cfRule type="expression" dxfId="42" priority="1">
      <formula>MOD(ROW(),2)=1</formula>
    </cfRule>
  </conditionalFormatting>
  <dataValidations count="5">
    <dataValidation type="list" allowBlank="1" showInputMessage="1" showErrorMessage="1" sqref="A58:A76" xr:uid="{6F6FA836-20B9-4B02-BA35-20C7519AD068}">
      <formula1>$A$89:$A$122</formula1>
    </dataValidation>
    <dataValidation type="list" allowBlank="1" showInputMessage="1" showErrorMessage="1" sqref="G58:T81" xr:uid="{B63A9CFD-962C-41E7-AEF1-5AAF070A859C}">
      <formula1>$B$87:$B$153</formula1>
    </dataValidation>
    <dataValidation type="list" allowBlank="1" showInputMessage="1" showErrorMessage="1" sqref="F27:F61" xr:uid="{5B56D798-E83D-4EC2-8EF5-F67A03F216EE}">
      <formula1>"是,否"</formula1>
    </dataValidation>
    <dataValidation type="list" allowBlank="1" showInputMessage="1" showErrorMessage="1" sqref="A27:A57" xr:uid="{9160D14B-236C-496D-892B-E8481E102DC2}">
      <formula1>$A$88:$A$153</formula1>
    </dataValidation>
    <dataValidation type="list" allowBlank="1" showInputMessage="1" showErrorMessage="1" sqref="G27:T57" xr:uid="{BC17D272-3E63-4E76-89E2-20BF442F5E40}">
      <formula1>$B$88:$B$154</formula1>
    </dataValidation>
  </dataValidations>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0730A-A753-4DE5-A01C-DECECCB4836E}">
  <dimension ref="A2:AT146"/>
  <sheetViews>
    <sheetView topLeftCell="A25" workbookViewId="0">
      <selection activeCell="T19" sqref="T19"/>
    </sheetView>
  </sheetViews>
  <sheetFormatPr defaultRowHeight="13.8" x14ac:dyDescent="0.25"/>
  <cols>
    <col min="1" max="1" width="22.5546875" customWidth="1"/>
    <col min="2" max="2" width="23.44140625" customWidth="1"/>
    <col min="3" max="3" width="14.33203125" customWidth="1"/>
    <col min="4" max="4" width="13.77734375" customWidth="1"/>
    <col min="5" max="5" width="12.88671875" customWidth="1"/>
    <col min="6" max="6" width="13.33203125" customWidth="1"/>
    <col min="7" max="7" width="24.21875" customWidth="1"/>
    <col min="8" max="8" width="23.44140625" customWidth="1"/>
    <col min="9" max="9" width="19.33203125" customWidth="1"/>
    <col min="10" max="10" width="23.6640625" customWidth="1"/>
    <col min="11" max="11" width="18.6640625" customWidth="1"/>
    <col min="12" max="12" width="16.33203125" customWidth="1"/>
    <col min="13" max="13" width="15.109375" customWidth="1"/>
    <col min="14" max="14" width="13.33203125" customWidth="1"/>
    <col min="15" max="15" width="20.109375" customWidth="1"/>
    <col min="16" max="16" width="19.77734375" customWidth="1"/>
    <col min="19" max="19" width="19.6640625" customWidth="1"/>
    <col min="20" max="20" width="17.6640625" customWidth="1"/>
    <col min="21" max="21" width="14.88671875" customWidth="1"/>
    <col min="25" max="25" width="14.33203125" customWidth="1"/>
    <col min="26" max="26" width="10.88671875" customWidth="1"/>
    <col min="28" max="28" width="9.77734375" customWidth="1"/>
    <col min="29" max="29" width="10.44140625" customWidth="1"/>
    <col min="30" max="30" width="19.5546875" customWidth="1"/>
    <col min="31" max="31" width="19.6640625" customWidth="1"/>
    <col min="32" max="32" width="13.33203125" customWidth="1"/>
    <col min="35" max="35" width="13.88671875" customWidth="1"/>
    <col min="36" max="36" width="14.109375" customWidth="1"/>
    <col min="38" max="38" width="13.33203125" customWidth="1"/>
    <col min="40" max="40" width="13.77734375" customWidth="1"/>
    <col min="42" max="42" width="17.21875" customWidth="1"/>
    <col min="43" max="43" width="10.88671875" customWidth="1"/>
    <col min="44" max="44" width="19.21875" customWidth="1"/>
    <col min="45" max="45" width="10.6640625" customWidth="1"/>
  </cols>
  <sheetData>
    <row r="2" spans="13:46" x14ac:dyDescent="0.25">
      <c r="AD2" t="s">
        <v>1263</v>
      </c>
      <c r="AJ2" s="11" t="s">
        <v>1271</v>
      </c>
      <c r="AK2" s="9"/>
      <c r="AL2" s="9"/>
    </row>
    <row r="3" spans="13:46" x14ac:dyDescent="0.25">
      <c r="AD3" s="140" t="s">
        <v>1053</v>
      </c>
      <c r="AE3" s="140" t="s">
        <v>1251</v>
      </c>
      <c r="AF3" s="140" t="s">
        <v>797</v>
      </c>
      <c r="AG3" s="140" t="s">
        <v>1045</v>
      </c>
      <c r="AH3" s="140" t="s">
        <v>222</v>
      </c>
      <c r="AI3" s="140" t="s">
        <v>1252</v>
      </c>
      <c r="AJ3" s="140" t="s">
        <v>1253</v>
      </c>
      <c r="AK3" s="142" t="s">
        <v>1254</v>
      </c>
      <c r="AN3" s="140" t="s">
        <v>1053</v>
      </c>
      <c r="AO3" s="140" t="s">
        <v>1251</v>
      </c>
      <c r="AP3" s="140" t="s">
        <v>1262</v>
      </c>
      <c r="AQ3" s="140" t="s">
        <v>222</v>
      </c>
      <c r="AR3" s="140" t="s">
        <v>1252</v>
      </c>
      <c r="AS3" s="140" t="s">
        <v>1253</v>
      </c>
      <c r="AT3" s="140" t="s">
        <v>1254</v>
      </c>
    </row>
    <row r="4" spans="13:46" x14ac:dyDescent="0.25">
      <c r="N4" s="158" t="s">
        <v>1052</v>
      </c>
      <c r="O4" s="158"/>
      <c r="P4" s="158"/>
      <c r="Q4" s="158"/>
      <c r="R4" s="158"/>
      <c r="S4" s="158"/>
      <c r="T4" s="158"/>
      <c r="U4" s="158"/>
      <c r="AD4" s="140" t="s">
        <v>1272</v>
      </c>
      <c r="AE4" s="140">
        <v>0</v>
      </c>
      <c r="AF4" s="140">
        <v>1</v>
      </c>
      <c r="AG4" s="140">
        <v>1</v>
      </c>
      <c r="AH4" s="140">
        <v>1</v>
      </c>
      <c r="AI4" s="140">
        <v>110</v>
      </c>
      <c r="AJ4" s="140">
        <f>SUM(AG$13:AH$13)+SUM(AG5:AH5)*10</f>
        <v>105.5</v>
      </c>
      <c r="AK4" s="142">
        <f>AI4/AJ4-1</f>
        <v>4.2654028436019065E-2</v>
      </c>
      <c r="AN4" s="140" t="s">
        <v>1246</v>
      </c>
      <c r="AO4" s="140"/>
      <c r="AP4" s="140"/>
      <c r="AQ4" s="140"/>
      <c r="AR4" s="140"/>
      <c r="AS4" s="140">
        <f>SUM(AP$13:AQ$13)+SUM(AP5:AQ5)*10</f>
        <v>0</v>
      </c>
      <c r="AT4" s="142" t="e">
        <f>AR4/AS4-1</f>
        <v>#DIV/0!</v>
      </c>
    </row>
    <row r="5" spans="13:46" x14ac:dyDescent="0.25">
      <c r="N5" t="s">
        <v>1053</v>
      </c>
      <c r="O5" t="s">
        <v>1046</v>
      </c>
      <c r="P5" t="s">
        <v>797</v>
      </c>
      <c r="Q5" t="s">
        <v>1045</v>
      </c>
      <c r="R5" t="s">
        <v>222</v>
      </c>
      <c r="S5" t="s">
        <v>1049</v>
      </c>
      <c r="T5" t="s">
        <v>1050</v>
      </c>
      <c r="U5" t="s">
        <v>1051</v>
      </c>
      <c r="AD5" s="140" t="s">
        <v>1247</v>
      </c>
      <c r="AE5" s="143"/>
      <c r="AF5" s="143">
        <v>3</v>
      </c>
      <c r="AG5" s="143">
        <v>3</v>
      </c>
      <c r="AH5" s="143">
        <v>3</v>
      </c>
      <c r="AI5" s="143"/>
      <c r="AJ5" s="143"/>
      <c r="AK5" s="144"/>
      <c r="AN5" s="140" t="s">
        <v>1247</v>
      </c>
      <c r="AO5" s="140"/>
      <c r="AP5" s="140"/>
      <c r="AQ5" s="140"/>
      <c r="AR5" s="140"/>
      <c r="AS5" s="140"/>
      <c r="AT5" s="142"/>
    </row>
    <row r="6" spans="13:46" x14ac:dyDescent="0.25">
      <c r="M6" t="s">
        <v>1039</v>
      </c>
      <c r="N6" t="s">
        <v>1041</v>
      </c>
      <c r="O6">
        <f>0</f>
        <v>0</v>
      </c>
      <c r="S6">
        <v>90</v>
      </c>
      <c r="T6">
        <f>SUM($Q$15:$R$15)+SUM(Q7:R7)*10</f>
        <v>0</v>
      </c>
      <c r="U6" s="36" t="e">
        <f>S6/T6-1</f>
        <v>#DIV/0!</v>
      </c>
      <c r="AD6" s="140" t="s">
        <v>1273</v>
      </c>
      <c r="AE6" s="143"/>
      <c r="AF6" s="143">
        <v>1</v>
      </c>
      <c r="AG6" s="143">
        <v>1</v>
      </c>
      <c r="AH6" s="143">
        <v>1</v>
      </c>
      <c r="AI6" s="143">
        <v>80</v>
      </c>
      <c r="AJ6" s="143">
        <f t="shared" ref="AJ6:AJ10" si="0">SUM(AG$13:AH$13)+SUM(AG7:AH7)*10</f>
        <v>65.5</v>
      </c>
      <c r="AK6" s="144">
        <f t="shared" ref="AK6:AK10" si="1">AI6/AJ6-1</f>
        <v>0.22137404580152675</v>
      </c>
      <c r="AN6" s="140" t="s">
        <v>1248</v>
      </c>
      <c r="AO6" s="140"/>
      <c r="AP6" s="140"/>
      <c r="AQ6" s="140"/>
      <c r="AR6" s="140"/>
      <c r="AS6" s="140">
        <f t="shared" ref="AS6" si="2">SUM(AP$13:AQ$13)+SUM(AP7:AQ7)*10</f>
        <v>0</v>
      </c>
      <c r="AT6" s="142" t="e">
        <f t="shared" ref="AT6" si="3">AR6/AS6-1</f>
        <v>#DIV/0!</v>
      </c>
    </row>
    <row r="7" spans="13:46" x14ac:dyDescent="0.25">
      <c r="M7" t="s">
        <v>1040</v>
      </c>
      <c r="N7" t="s">
        <v>77</v>
      </c>
      <c r="U7" s="36"/>
      <c r="AD7" s="140" t="s">
        <v>1247</v>
      </c>
      <c r="AE7" s="143"/>
      <c r="AF7" s="143">
        <v>1</v>
      </c>
      <c r="AG7" s="143">
        <v>1</v>
      </c>
      <c r="AH7" s="143">
        <v>1</v>
      </c>
      <c r="AI7" s="143"/>
      <c r="AJ7" s="143"/>
      <c r="AK7" s="144"/>
      <c r="AN7" s="140" t="s">
        <v>1247</v>
      </c>
      <c r="AO7" s="140"/>
      <c r="AP7" s="140"/>
      <c r="AQ7" s="140"/>
      <c r="AR7" s="140"/>
      <c r="AS7" s="140"/>
      <c r="AT7" s="142"/>
    </row>
    <row r="8" spans="13:46" x14ac:dyDescent="0.25">
      <c r="N8" t="s">
        <v>1042</v>
      </c>
      <c r="O8">
        <f>0</f>
        <v>0</v>
      </c>
      <c r="T8">
        <f>SUM($Q$15:$R$15)+SUM(Q9:R9)*10</f>
        <v>0</v>
      </c>
      <c r="U8" s="36" t="e">
        <f t="shared" ref="U8:U12" si="4">S8/T8-1</f>
        <v>#DIV/0!</v>
      </c>
      <c r="AD8" s="140" t="s">
        <v>1274</v>
      </c>
      <c r="AE8" s="143"/>
      <c r="AF8" s="143">
        <v>1</v>
      </c>
      <c r="AG8" s="143">
        <v>0</v>
      </c>
      <c r="AH8" s="143">
        <v>1</v>
      </c>
      <c r="AI8" s="143">
        <v>90</v>
      </c>
      <c r="AJ8" s="143">
        <f t="shared" si="0"/>
        <v>65.5</v>
      </c>
      <c r="AK8" s="144">
        <f t="shared" si="1"/>
        <v>0.37404580152671763</v>
      </c>
      <c r="AN8" s="140" t="s">
        <v>1249</v>
      </c>
      <c r="AO8" s="140"/>
      <c r="AP8" s="140"/>
      <c r="AQ8" s="140"/>
      <c r="AR8" s="140"/>
      <c r="AS8" s="140">
        <f t="shared" ref="AS8" si="5">SUM(AP$13:AQ$13)+SUM(AP9:AQ9)*10</f>
        <v>0</v>
      </c>
      <c r="AT8" s="142" t="e">
        <f t="shared" ref="AT8" si="6">AR8/AS8-1</f>
        <v>#DIV/0!</v>
      </c>
    </row>
    <row r="9" spans="13:46" x14ac:dyDescent="0.25">
      <c r="N9" t="s">
        <v>77</v>
      </c>
      <c r="U9" s="36"/>
      <c r="AD9" s="140" t="s">
        <v>1247</v>
      </c>
      <c r="AE9" s="143"/>
      <c r="AF9" s="143">
        <v>1</v>
      </c>
      <c r="AG9" s="143">
        <v>1</v>
      </c>
      <c r="AH9" s="143">
        <v>1</v>
      </c>
      <c r="AI9" s="143"/>
      <c r="AJ9" s="143"/>
      <c r="AK9" s="144"/>
      <c r="AN9" s="140" t="s">
        <v>1247</v>
      </c>
      <c r="AO9" s="140"/>
      <c r="AP9" s="140"/>
      <c r="AQ9" s="140"/>
      <c r="AR9" s="140"/>
      <c r="AS9" s="140"/>
      <c r="AT9" s="142"/>
    </row>
    <row r="10" spans="13:46" x14ac:dyDescent="0.25">
      <c r="N10" t="s">
        <v>1043</v>
      </c>
      <c r="O10">
        <f>0</f>
        <v>0</v>
      </c>
      <c r="T10">
        <f>SUM($Q$15:$R$15)+SUM(Q11:R11)*10</f>
        <v>0</v>
      </c>
      <c r="U10" s="36" t="e">
        <f t="shared" si="4"/>
        <v>#DIV/0!</v>
      </c>
      <c r="AD10" s="140" t="s">
        <v>1275</v>
      </c>
      <c r="AE10" s="140"/>
      <c r="AF10" s="140">
        <v>1</v>
      </c>
      <c r="AG10" s="140">
        <v>1</v>
      </c>
      <c r="AH10" s="140">
        <v>1</v>
      </c>
      <c r="AI10" s="140">
        <v>90</v>
      </c>
      <c r="AJ10" s="140">
        <f t="shared" si="0"/>
        <v>65.5</v>
      </c>
      <c r="AK10" s="142">
        <f t="shared" si="1"/>
        <v>0.37404580152671763</v>
      </c>
      <c r="AN10" s="140" t="s">
        <v>1250</v>
      </c>
      <c r="AO10" s="140"/>
      <c r="AP10" s="140"/>
      <c r="AQ10" s="140"/>
      <c r="AR10" s="140"/>
      <c r="AS10" s="140">
        <f t="shared" ref="AS10" si="7">SUM(AP$13:AQ$13)+SUM(AP11:AQ11)*10</f>
        <v>0</v>
      </c>
      <c r="AT10" s="142" t="e">
        <f t="shared" ref="AT10" si="8">AR10/AS10-1</f>
        <v>#DIV/0!</v>
      </c>
    </row>
    <row r="11" spans="13:46" x14ac:dyDescent="0.25">
      <c r="N11" t="s">
        <v>77</v>
      </c>
      <c r="U11" s="36"/>
      <c r="AD11" s="140" t="s">
        <v>1247</v>
      </c>
      <c r="AE11" s="140"/>
      <c r="AF11" s="140">
        <v>1</v>
      </c>
      <c r="AG11" s="140">
        <v>1</v>
      </c>
      <c r="AH11" s="140">
        <v>1</v>
      </c>
      <c r="AI11" s="140"/>
      <c r="AJ11" s="140"/>
      <c r="AK11" s="142"/>
      <c r="AN11" s="140" t="s">
        <v>1247</v>
      </c>
      <c r="AO11" s="140"/>
      <c r="AP11" s="140"/>
      <c r="AQ11" s="140"/>
      <c r="AR11" s="140"/>
      <c r="AS11" s="140"/>
      <c r="AT11" s="142"/>
    </row>
    <row r="12" spans="13:46" x14ac:dyDescent="0.25">
      <c r="N12" t="s">
        <v>1044</v>
      </c>
      <c r="O12">
        <f>0</f>
        <v>0</v>
      </c>
      <c r="T12">
        <f>SUM($Q$15:$R$15)+SUM(Q13:R13)*10</f>
        <v>0</v>
      </c>
      <c r="U12" s="36" t="e">
        <f t="shared" si="4"/>
        <v>#DIV/0!</v>
      </c>
      <c r="AD12" s="70" t="s">
        <v>1037</v>
      </c>
      <c r="AE12" s="70"/>
      <c r="AF12" s="70">
        <f>SUM(AF4*(100-$AE$4),AF6*(100-$AE$6),AF8*(100-$AE$8),AF10*(100-$AE$10))-200</f>
        <v>200</v>
      </c>
      <c r="AG12" s="70">
        <f t="shared" ref="AG12:AH12" si="9">SUM(AG4*(100-$AE$4),AG6*(100-$AE$6),AG8*(100-$AE$8),AG10*(100-$AE$10))</f>
        <v>300</v>
      </c>
      <c r="AH12" s="70">
        <f t="shared" si="9"/>
        <v>400</v>
      </c>
      <c r="AI12" s="70"/>
      <c r="AJ12" s="70"/>
      <c r="AK12" s="145"/>
      <c r="AN12" s="140" t="s">
        <v>1037</v>
      </c>
      <c r="AO12" s="140"/>
      <c r="AP12" s="140">
        <f t="shared" ref="AP12:AQ12" si="10">SUM(AP4*(100-$AE$4),AP6*(100-$AE$6),AP8*(100-$AE$8),AP10*(100-$AE$10))</f>
        <v>0</v>
      </c>
      <c r="AQ12" s="140">
        <f t="shared" si="10"/>
        <v>0</v>
      </c>
      <c r="AR12" s="140"/>
      <c r="AS12" s="140"/>
      <c r="AT12" s="142"/>
    </row>
    <row r="13" spans="13:46" x14ac:dyDescent="0.25">
      <c r="N13" t="s">
        <v>77</v>
      </c>
      <c r="U13" s="36"/>
      <c r="AD13" s="146" t="s">
        <v>1255</v>
      </c>
      <c r="AE13" s="146"/>
      <c r="AF13" s="146">
        <f>AF12*6.5/100</f>
        <v>13</v>
      </c>
      <c r="AG13" s="146">
        <f t="shared" ref="AG13:AH13" si="11">AG12*6.5/100</f>
        <v>19.5</v>
      </c>
      <c r="AH13" s="146">
        <f t="shared" si="11"/>
        <v>26</v>
      </c>
      <c r="AI13" s="146"/>
      <c r="AJ13" s="146"/>
      <c r="AK13" s="147"/>
      <c r="AN13" s="140" t="s">
        <v>1255</v>
      </c>
      <c r="AO13" s="140"/>
      <c r="AP13" s="140">
        <f t="shared" ref="AP13:AQ13" si="12">AP12*6.5/100</f>
        <v>0</v>
      </c>
      <c r="AQ13" s="140">
        <f t="shared" si="12"/>
        <v>0</v>
      </c>
      <c r="AR13" s="140"/>
      <c r="AS13" s="140"/>
      <c r="AT13" s="142"/>
    </row>
    <row r="14" spans="13:46" x14ac:dyDescent="0.25">
      <c r="O14" t="s">
        <v>1047</v>
      </c>
      <c r="P14">
        <f>SUM(P6*(100-$O$6),P8*(100-$O$8),P10*(100-$O$10),P12*(100-$O$12))</f>
        <v>0</v>
      </c>
      <c r="Q14">
        <f>SUM(Q6*(100-$O$6),Q8*(100-$O$8),Q10*(100-$O$10),Q12*(100-$O$12))</f>
        <v>0</v>
      </c>
      <c r="R14">
        <f>SUM(R6*(100-$O$6),R8*(100-$O$8),R10*(100-$O$10),R12*(100-$O$12))</f>
        <v>0</v>
      </c>
      <c r="AD14" s="148" t="s">
        <v>1256</v>
      </c>
      <c r="AE14" s="148"/>
      <c r="AF14" s="148">
        <f>21</f>
        <v>21</v>
      </c>
      <c r="AG14" s="148">
        <f>21</f>
        <v>21</v>
      </c>
      <c r="AH14" s="148">
        <f>21</f>
        <v>21</v>
      </c>
      <c r="AI14" s="148"/>
      <c r="AJ14" s="148"/>
      <c r="AK14" s="149"/>
      <c r="AN14" s="140" t="s">
        <v>1256</v>
      </c>
      <c r="AO14" s="140"/>
      <c r="AP14" s="140">
        <f>25</f>
        <v>25</v>
      </c>
      <c r="AQ14" s="140">
        <f>25</f>
        <v>25</v>
      </c>
      <c r="AR14" s="140"/>
      <c r="AS14" s="140"/>
      <c r="AT14" s="142"/>
    </row>
    <row r="15" spans="13:46" x14ac:dyDescent="0.25">
      <c r="O15" t="s">
        <v>1048</v>
      </c>
      <c r="P15">
        <f>P14*6.5/100</f>
        <v>0</v>
      </c>
      <c r="Q15">
        <f t="shared" ref="Q15:R15" si="13">Q14*6.5/100</f>
        <v>0</v>
      </c>
      <c r="R15">
        <f t="shared" si="13"/>
        <v>0</v>
      </c>
      <c r="AD15" s="148" t="s">
        <v>1259</v>
      </c>
      <c r="AE15" s="148"/>
      <c r="AF15" s="148">
        <f>4.8</f>
        <v>4.8</v>
      </c>
      <c r="AG15" s="148">
        <f t="shared" ref="AG15:AH15" si="14">4.8</f>
        <v>4.8</v>
      </c>
      <c r="AH15" s="148">
        <f t="shared" si="14"/>
        <v>4.8</v>
      </c>
      <c r="AI15" s="148"/>
      <c r="AJ15" s="148"/>
      <c r="AK15" s="149"/>
      <c r="AN15" s="140" t="s">
        <v>1259</v>
      </c>
      <c r="AO15" s="140"/>
      <c r="AP15" s="140">
        <f>4</f>
        <v>4</v>
      </c>
      <c r="AQ15" s="140">
        <f>4</f>
        <v>4</v>
      </c>
      <c r="AR15" s="140"/>
      <c r="AS15" s="140"/>
      <c r="AT15" s="142"/>
    </row>
    <row r="16" spans="13:46" x14ac:dyDescent="0.25">
      <c r="AD16" s="150" t="s">
        <v>1269</v>
      </c>
      <c r="AE16" s="148"/>
      <c r="AF16" s="148">
        <v>3</v>
      </c>
      <c r="AG16" s="148">
        <v>5</v>
      </c>
      <c r="AH16" s="148">
        <v>6</v>
      </c>
      <c r="AI16" t="s">
        <v>1266</v>
      </c>
      <c r="AJ16" s="148">
        <f>SUM(AF16:AH16)</f>
        <v>14</v>
      </c>
      <c r="AK16" s="149"/>
      <c r="AN16" s="141" t="s">
        <v>1257</v>
      </c>
      <c r="AO16" s="140"/>
      <c r="AP16" s="140">
        <v>4</v>
      </c>
      <c r="AQ16" s="140">
        <v>4</v>
      </c>
      <c r="AR16" s="140"/>
      <c r="AS16" s="140"/>
      <c r="AT16" s="142"/>
    </row>
    <row r="17" spans="1:46" x14ac:dyDescent="0.25">
      <c r="AD17" s="148" t="s">
        <v>1258</v>
      </c>
      <c r="AE17" s="148"/>
      <c r="AF17" s="148">
        <v>1</v>
      </c>
      <c r="AG17" s="148">
        <v>3</v>
      </c>
      <c r="AH17" s="148">
        <v>3</v>
      </c>
      <c r="AI17" s="148"/>
      <c r="AJ17" s="148"/>
      <c r="AK17" s="149"/>
      <c r="AN17" s="140" t="s">
        <v>1258</v>
      </c>
      <c r="AO17" s="140"/>
      <c r="AP17" s="140">
        <v>2</v>
      </c>
      <c r="AQ17" s="140">
        <v>2</v>
      </c>
      <c r="AR17" s="140"/>
      <c r="AS17" s="140"/>
      <c r="AT17" s="142"/>
    </row>
    <row r="18" spans="1:46" x14ac:dyDescent="0.25">
      <c r="AD18" s="148" t="s">
        <v>1261</v>
      </c>
      <c r="AE18" s="148"/>
      <c r="AF18" s="148">
        <v>10</v>
      </c>
      <c r="AG18" s="148"/>
      <c r="AH18" s="148">
        <v>10</v>
      </c>
      <c r="AI18" s="148"/>
      <c r="AJ18" s="148"/>
      <c r="AK18" s="149"/>
      <c r="AN18" s="140" t="s">
        <v>1261</v>
      </c>
      <c r="AO18" s="140"/>
      <c r="AP18" s="140">
        <v>4</v>
      </c>
      <c r="AQ18" s="140">
        <v>4</v>
      </c>
      <c r="AR18" s="140"/>
      <c r="AS18" s="140"/>
      <c r="AT18" s="142"/>
    </row>
    <row r="19" spans="1:46" x14ac:dyDescent="0.25">
      <c r="AD19" s="148" t="s">
        <v>1260</v>
      </c>
      <c r="AE19" s="148"/>
      <c r="AF19" s="148">
        <f>AF16*(AF14+AF15*8)+AF17*7.5</f>
        <v>185.7</v>
      </c>
      <c r="AG19" s="148">
        <f t="shared" ref="AG19:AH19" si="15">AG16*(AG14+AG15*8)+AG17*7.5</f>
        <v>319.5</v>
      </c>
      <c r="AH19" s="148">
        <f t="shared" si="15"/>
        <v>378.9</v>
      </c>
      <c r="AI19" s="148" t="s">
        <v>1267</v>
      </c>
      <c r="AJ19" s="148" t="s">
        <v>1268</v>
      </c>
      <c r="AK19" s="149"/>
      <c r="AN19" s="140" t="s">
        <v>1260</v>
      </c>
      <c r="AO19" s="140"/>
      <c r="AP19" s="140">
        <f t="shared" ref="AP19:AQ19" si="16">AP16*(AP14+AP15*8)+AP17*7.5</f>
        <v>243</v>
      </c>
      <c r="AQ19" s="140">
        <f t="shared" si="16"/>
        <v>243</v>
      </c>
      <c r="AR19" s="140"/>
      <c r="AS19" s="140"/>
      <c r="AT19" s="142"/>
    </row>
    <row r="20" spans="1:46" x14ac:dyDescent="0.25">
      <c r="AD20" s="148" t="s">
        <v>1265</v>
      </c>
      <c r="AE20" s="148"/>
      <c r="AF20" s="148">
        <f>IF(AF12-AF19&gt;0,AF12-AF19,0)/8+SUM(AF4,AF6,AF8,AF10,AF17)/2+AF18+AF15*AF16</f>
        <v>28.6875</v>
      </c>
      <c r="AG20" s="148">
        <f t="shared" ref="AG20:AH20" si="17">IF(AG12-AG19&gt;0,AG12-AG19,0)/8+SUM(AG4,AG6,AG8,AG10,AG17)/2+AG18+AG15*AG16</f>
        <v>27</v>
      </c>
      <c r="AH20" s="148">
        <f t="shared" si="17"/>
        <v>44.9375</v>
      </c>
      <c r="AI20" s="148">
        <f>SUM(AF20:AH20)</f>
        <v>100.625</v>
      </c>
      <c r="AJ20" s="148">
        <f>SUM(AG20:AH20)</f>
        <v>71.9375</v>
      </c>
      <c r="AK20" s="149"/>
      <c r="AN20" s="148" t="s">
        <v>1265</v>
      </c>
      <c r="AO20" s="140"/>
      <c r="AP20" s="140">
        <f t="shared" ref="AP20:AQ20" si="18">IF(AP12-AP19&gt;0,AP12-AP19,0)/8+SUM(AP4,AP6,AP8,AP10,AP17)/2+AP18+AP15*AP16</f>
        <v>21</v>
      </c>
      <c r="AQ20" s="140">
        <f t="shared" si="18"/>
        <v>21</v>
      </c>
      <c r="AR20" s="140"/>
      <c r="AS20" s="140"/>
      <c r="AT20" s="142"/>
    </row>
    <row r="21" spans="1:46" x14ac:dyDescent="0.25">
      <c r="AD21" t="s">
        <v>1270</v>
      </c>
      <c r="AN21" t="s">
        <v>1270</v>
      </c>
    </row>
    <row r="22" spans="1:46" x14ac:dyDescent="0.25">
      <c r="B22" t="s">
        <v>1244</v>
      </c>
    </row>
    <row r="23" spans="1:46" x14ac:dyDescent="0.25">
      <c r="S23" t="s">
        <v>1245</v>
      </c>
      <c r="T23">
        <v>1</v>
      </c>
    </row>
    <row r="24" spans="1:46" ht="14.4" thickBot="1" x14ac:dyDescent="0.3">
      <c r="A24" s="11" t="s">
        <v>686</v>
      </c>
      <c r="B24" t="s">
        <v>808</v>
      </c>
      <c r="C24" t="s">
        <v>809</v>
      </c>
      <c r="D24" t="s">
        <v>810</v>
      </c>
      <c r="E24" t="s">
        <v>811</v>
      </c>
      <c r="F24" s="109" t="s">
        <v>784</v>
      </c>
      <c r="G24" s="110" t="s">
        <v>812</v>
      </c>
      <c r="H24" s="110" t="s">
        <v>813</v>
      </c>
      <c r="I24" s="110" t="s">
        <v>814</v>
      </c>
      <c r="J24" s="110" t="s">
        <v>815</v>
      </c>
      <c r="K24" s="110" t="s">
        <v>816</v>
      </c>
      <c r="L24" s="110" t="s">
        <v>817</v>
      </c>
      <c r="M24" s="110" t="s">
        <v>818</v>
      </c>
      <c r="N24" s="110" t="s">
        <v>819</v>
      </c>
      <c r="O24" s="110" t="s">
        <v>820</v>
      </c>
      <c r="P24" s="110" t="s">
        <v>821</v>
      </c>
      <c r="Q24" s="110" t="s">
        <v>822</v>
      </c>
      <c r="R24" s="110" t="s">
        <v>823</v>
      </c>
      <c r="S24" s="110" t="s">
        <v>824</v>
      </c>
      <c r="T24" s="110" t="s">
        <v>825</v>
      </c>
      <c r="U24" s="46" t="s">
        <v>755</v>
      </c>
      <c r="V24" s="46" t="s">
        <v>826</v>
      </c>
      <c r="W24" s="46" t="s">
        <v>827</v>
      </c>
      <c r="X24" s="46" t="s">
        <v>828</v>
      </c>
      <c r="Y24" s="46" t="s">
        <v>829</v>
      </c>
      <c r="Z24" s="53" t="s">
        <v>785</v>
      </c>
      <c r="AA24" s="53" t="s">
        <v>830</v>
      </c>
      <c r="AB24" s="53" t="s">
        <v>831</v>
      </c>
      <c r="AC24" s="53" t="s">
        <v>832</v>
      </c>
      <c r="AD24" s="54" t="s">
        <v>154</v>
      </c>
      <c r="AE24" s="54" t="s">
        <v>833</v>
      </c>
      <c r="AF24" s="54" t="s">
        <v>834</v>
      </c>
      <c r="AG24" s="54" t="s">
        <v>835</v>
      </c>
      <c r="AH24" s="54" t="s">
        <v>836</v>
      </c>
      <c r="AI24" s="54" t="s">
        <v>837</v>
      </c>
      <c r="AJ24" s="47" t="s">
        <v>161</v>
      </c>
      <c r="AK24" s="47" t="s">
        <v>838</v>
      </c>
      <c r="AL24" s="47" t="s">
        <v>839</v>
      </c>
      <c r="AM24" s="47" t="s">
        <v>840</v>
      </c>
      <c r="AN24" s="47" t="s">
        <v>841</v>
      </c>
      <c r="AO24" s="47" t="s">
        <v>842</v>
      </c>
      <c r="AP24" s="47" t="s">
        <v>843</v>
      </c>
      <c r="AQ24" s="57" t="s">
        <v>796</v>
      </c>
      <c r="AR24" s="57" t="s">
        <v>844</v>
      </c>
      <c r="AS24" s="57" t="s">
        <v>845</v>
      </c>
    </row>
    <row r="25" spans="1:46" x14ac:dyDescent="0.25">
      <c r="A25" s="136" t="s">
        <v>704</v>
      </c>
      <c r="B25" t="s">
        <v>793</v>
      </c>
      <c r="C25" t="s">
        <v>792</v>
      </c>
      <c r="D25" t="s">
        <v>794</v>
      </c>
      <c r="E25" s="36" t="s">
        <v>786</v>
      </c>
      <c r="F25" s="137" t="s">
        <v>197</v>
      </c>
      <c r="G25" s="137" t="s">
        <v>781</v>
      </c>
      <c r="H25" s="137" t="s">
        <v>782</v>
      </c>
      <c r="I25" s="137" t="s">
        <v>783</v>
      </c>
      <c r="J25" s="138" t="s">
        <v>770</v>
      </c>
      <c r="K25" s="139" t="s">
        <v>771</v>
      </c>
      <c r="L25" s="139" t="s">
        <v>772</v>
      </c>
      <c r="M25" s="139" t="s">
        <v>773</v>
      </c>
      <c r="N25" s="139" t="s">
        <v>774</v>
      </c>
      <c r="O25" s="139" t="s">
        <v>775</v>
      </c>
      <c r="P25" s="139" t="s">
        <v>776</v>
      </c>
      <c r="Q25" s="139" t="s">
        <v>777</v>
      </c>
      <c r="R25" s="139" t="s">
        <v>778</v>
      </c>
      <c r="S25" s="139" t="s">
        <v>779</v>
      </c>
      <c r="T25" s="139" t="s">
        <v>780</v>
      </c>
      <c r="U25" s="130" t="s">
        <v>92</v>
      </c>
      <c r="V25" s="130" t="s">
        <v>94</v>
      </c>
      <c r="W25" s="130" t="s">
        <v>95</v>
      </c>
      <c r="X25" s="130" t="s">
        <v>93</v>
      </c>
      <c r="Y25" s="130" t="s">
        <v>807</v>
      </c>
      <c r="Z25" s="131" t="s">
        <v>688</v>
      </c>
      <c r="AA25" s="131" t="s">
        <v>689</v>
      </c>
      <c r="AB25" s="131" t="s">
        <v>690</v>
      </c>
      <c r="AC25" s="131" t="s">
        <v>163</v>
      </c>
      <c r="AD25" s="132" t="s">
        <v>707</v>
      </c>
      <c r="AE25" s="131" t="s">
        <v>153</v>
      </c>
      <c r="AF25" s="131" t="s">
        <v>76</v>
      </c>
      <c r="AG25" s="131" t="s">
        <v>77</v>
      </c>
      <c r="AH25" s="131" t="s">
        <v>78</v>
      </c>
      <c r="AI25" s="131" t="s">
        <v>703</v>
      </c>
      <c r="AJ25" s="131" t="s">
        <v>83</v>
      </c>
      <c r="AK25" s="131" t="s">
        <v>80</v>
      </c>
      <c r="AL25" s="131" t="s">
        <v>79</v>
      </c>
      <c r="AM25" s="131" t="s">
        <v>691</v>
      </c>
      <c r="AN25" s="131" t="s">
        <v>694</v>
      </c>
      <c r="AO25" s="131" t="s">
        <v>693</v>
      </c>
      <c r="AP25" s="133" t="s">
        <v>692</v>
      </c>
      <c r="AQ25" s="134" t="s">
        <v>789</v>
      </c>
      <c r="AR25" s="135" t="s">
        <v>790</v>
      </c>
      <c r="AS25" s="135" t="s">
        <v>795</v>
      </c>
    </row>
    <row r="26" spans="1:46" x14ac:dyDescent="0.25">
      <c r="E26" s="36"/>
    </row>
    <row r="27" spans="1:46" x14ac:dyDescent="0.25">
      <c r="B27">
        <f>PRODUCT(Y27:Z27,AC27,AI27:AS27)</f>
        <v>0</v>
      </c>
      <c r="C27">
        <f>B27*(1+AA27*(AB27-1))</f>
        <v>0</v>
      </c>
      <c r="D27">
        <f>PRODUCT(Y27:Z27,AB27:AC27,AI27:AS27)</f>
        <v>0</v>
      </c>
      <c r="E27" s="36" t="e">
        <f>表2_5469[[#This Row],[列3]]/$C$62</f>
        <v>#DIV/0!</v>
      </c>
      <c r="F27" t="s">
        <v>791</v>
      </c>
      <c r="U27">
        <f t="shared" ref="U27:U57" si="19" xml:space="preserve"> IFERROR(VLOOKUP($A27,$A$86:$X$981,MATCH(U$25,$A$87:$J$87,0), FALSE), 0) *
    (LEN($A27) &gt; 0)</f>
        <v>0</v>
      </c>
      <c r="V27" cm="1">
        <f t="array" ref="V27" xml:space="preserve"> IFERROR(VLOOKUP($A27,$A$86:$X$981,MATCH(V$25,$A$87:$J$87,0), FALSE), 0) *
    (LEN($A27) &gt; 0)+SUMPRODUCT(
    IFERROR(VLOOKUP($G27:$T27, $B$87:$X$981,MATCH(V$25,$B$87:$X$87,0), FALSE), 0) *
    (LEN($G27:$T27) &gt; 0)
)</f>
        <v>0</v>
      </c>
      <c r="W27">
        <f t="shared" ref="W27:X57" si="20" xml:space="preserve"> IFERROR(VLOOKUP($A27,$A$86:$X$981,MATCH(W$25,$A$87:$J$87,0), FALSE), 0) *
    (LEN($A27) &gt; 0)</f>
        <v>0</v>
      </c>
      <c r="X27">
        <f t="shared" si="20"/>
        <v>0</v>
      </c>
      <c r="Y27">
        <f>(U27*(1+V27)+W27)*(1+X27)</f>
        <v>0</v>
      </c>
      <c r="Z27">
        <f t="shared" ref="Z27:Z57" si="21" xml:space="preserve"> IFERROR(VLOOKUP($A27,$A$86:$X$981,MATCH(Z$25,$A$87:$J$87,0), FALSE), 0) *
    (LEN($A27) &gt; 0)</f>
        <v>0</v>
      </c>
      <c r="AA27" cm="1">
        <f t="array" ref="AA27" xml:space="preserve"> IFERROR(VLOOKUP($A27,$A$86:$X$981,MATCH(AA$25,$A$87:$J$87,0), FALSE), 0) *
    (LEN($A27) &gt; 0)+SUMPRODUCT(
    IFERROR(VLOOKUP($G27:$T27, $B$87:$X$981,MATCH(AA$25,$B$87:$X$87,0), FALSE), 0) *
    (LEN($G27:$T27) &gt; 0)
)</f>
        <v>0</v>
      </c>
      <c r="AB27" cm="1">
        <f t="array" ref="AB27">1+SUMPRODUCT(
    IFERROR(VLOOKUP($G27:$T27, $B$87:$X$981,MATCH(AB$25,$B$87:$X$87,0), FALSE), 0) *
    (LEN($G27:$T27) &gt; 0)
)+IFERROR(VLOOKUP($A27,$A$87:$X$981,MATCH(AB$25,$A$87:$J$87,0), FALSE), 0) *
    (LEN($A27) &gt; 0)</f>
        <v>1</v>
      </c>
      <c r="AC27" cm="1">
        <f t="array" ref="AC27">1+SUMPRODUCT(
    IFERROR(VLOOKUP($G27:$T27, $B$87:$X$981,MATCH(AC$25,$B$87:$X$87,0), FALSE), 0) *
    (LEN($G27:$T27) &gt; 0)
)</f>
        <v>1</v>
      </c>
      <c r="AD27" cm="1">
        <f t="array" ref="AD27">SUMPRODUCT(
    IFERROR(VLOOKUP($G27:$T27, $B$87:$X$981,MATCH(AD$25,$B$87:$X$87,0), FALSE), 0) *
    (LEN($G27:$T27) &gt; 0)
)+IFERROR(VLOOKUP($A27,$A$88:$X$981,MATCH(AD$25,$A$87:$X$87,0), FALSE), 0) *
    (LEN($A27) &gt; 0)</f>
        <v>0</v>
      </c>
      <c r="AE27" cm="1">
        <f t="array" ref="AE27">SUMPRODUCT(
    IFERROR(VLOOKUP($G27:$T27, $B$87:$X$981,MATCH(AE$25,$B$87:$X$87,0), FALSE), 0) *
    (LEN($G27:$T27) &gt; 0)
)+IFERROR(VLOOKUP($A27,$A$88:$X$981,MATCH(AE$25,$A$87:$X$87,0), FALSE), 0) *
    (LEN($A27) &gt; 0)</f>
        <v>0</v>
      </c>
      <c r="AF27" cm="1">
        <f t="array" ref="AF27">SUMPRODUCT(
    IFERROR(VLOOKUP($G27:$T27, $B$87:$X$981,MATCH(AF$25,$B$87:$X$87,0), FALSE), 0) *
    (LEN($G27:$T27) &gt; 0)
)+IFERROR(VLOOKUP($A27,$A$88:$X$981,MATCH(AF$25,$A$87:$X$87,0), FALSE), 0) *
    (LEN($A27) &gt; 0)</f>
        <v>0</v>
      </c>
      <c r="AG27" cm="1">
        <f t="array" ref="AG27">SUMPRODUCT(
    IFERROR(VLOOKUP($G27:$T27, $B$87:$X$981,MATCH(AG$25,$B$87:$X$87,0), FALSE), 0) *
    (LEN($G27:$T27) &gt; 0)
)+IFERROR(VLOOKUP($A27,$A$88:$X$981,MATCH(AG$25,$A$87:$X$87,0), FALSE), 0) *
    (LEN($A27) &gt; 0)</f>
        <v>0</v>
      </c>
      <c r="AH27" cm="1">
        <f t="array" ref="AH27">SUMPRODUCT(
    IFERROR(VLOOKUP($G27:$T27, $B$87:$X$981,MATCH(AH$25,$B$87:$X$87,0), FALSE), 0) *
    (LEN($G27:$T27) &gt; 0)
)+IFERROR(VLOOKUP($A27,$A$88:$X$981,MATCH(AH$25,$A$87:$X$87,0), FALSE), 0) *
    (LEN($A27) &gt; 0)</f>
        <v>0</v>
      </c>
      <c r="AI27">
        <f t="shared" ref="AI27:AI36" si="22">1 + AD27 + IF(
    LEN($A27) &gt; 0,
    IFERROR(
        HLOOKUP(RIGHT($A27,2), $AE$25:$AH$80, ROW()-ROW($AE$25) + 1, FALSE),
        0
    ),
    0
)</f>
        <v>1</v>
      </c>
      <c r="AJ27" cm="1">
        <f t="array" ref="AJ27">1+SUMPRODUCT(
    IFERROR(VLOOKUP($G27:$T27, $B$87:$X$981,MATCH(AJ$25,$B$87:$X$87,0), FALSE), 0) *
    (LEN($G27:$T27) &gt; 0)
)</f>
        <v>1</v>
      </c>
      <c r="AK27" cm="1">
        <f t="array" ref="AK27">1+SUMPRODUCT(
    IFERROR(VLOOKUP($G27:$T27, $B$87:$X$981,MATCH(AK$25,$B$87:$X$87,0), FALSE), 0) *
    (LEN($G27:$T27) &gt; 0)
)</f>
        <v>1</v>
      </c>
      <c r="AL27" cm="1">
        <f t="array" ref="AL27">1+SUMPRODUCT(
    IFERROR(VLOOKUP($G27:$T27, $B$87:$X$981,MATCH(AL$25,$B$87:$X$87,0), FALSE), 0) *
    (LEN($G27:$T27) &gt; 0)
)</f>
        <v>1</v>
      </c>
      <c r="AM27" cm="1">
        <f t="array" ref="AM27">1+SUMPRODUCT(
    IFERROR(VLOOKUP($G27:$T27, $B$87:$X$981,MATCH(AM$25,$B$87:$X$87,0), FALSE), 0) *
    (LEN($G27:$T27) &gt; 0)
)</f>
        <v>1</v>
      </c>
      <c r="AN27" cm="1">
        <f t="array" ref="AN27">1+SUMPRODUCT(
    IFERROR(VLOOKUP($G27:$T27, $B$87:$X$981,MATCH(AN$25,$B$87:$X$87,0), FALSE), 0) *
    (LEN($G27:$T27) &gt; 0)
)</f>
        <v>1</v>
      </c>
      <c r="AO27">
        <f>IF($F27="是",1.3,1)</f>
        <v>1</v>
      </c>
      <c r="AQ27">
        <f>0.5</f>
        <v>0.5</v>
      </c>
    </row>
    <row r="28" spans="1:46" x14ac:dyDescent="0.25">
      <c r="B28">
        <f t="shared" ref="B28:B36" si="23">PRODUCT(Y28:Z28,AC28,AI28:AS28)</f>
        <v>0</v>
      </c>
      <c r="C28">
        <f t="shared" ref="C28:C57" si="24">B28*(1+AA28*(AB28-1))</f>
        <v>0</v>
      </c>
      <c r="D28">
        <f t="shared" ref="D28:D36" si="25">PRODUCT(Y28:Z28,AB28:AC28,AI28:AS28)</f>
        <v>0</v>
      </c>
      <c r="E28" s="36" t="e">
        <f>表2_5469[[#This Row],[列3]]/$C$62</f>
        <v>#DIV/0!</v>
      </c>
      <c r="F28" t="s">
        <v>791</v>
      </c>
      <c r="G28" t="s">
        <v>1455</v>
      </c>
      <c r="U28">
        <f t="shared" si="19"/>
        <v>0</v>
      </c>
      <c r="V28" cm="1">
        <f t="array" ref="V28" xml:space="preserve"> IFERROR(VLOOKUP($A28,$A$86:$X$981,MATCH(V$25,$A$87:$J$87,0), FALSE), 0) *
    (LEN($A28) &gt; 0)+SUMPRODUCT(
    IFERROR(VLOOKUP($G28:$T28, $B$87:$X$981,MATCH(V$25,$B$87:$X$87,0), FALSE), 0) *
    (LEN($G28:$T28) &gt; 0)
)</f>
        <v>0</v>
      </c>
      <c r="W28">
        <f t="shared" si="20"/>
        <v>0</v>
      </c>
      <c r="X28">
        <f t="shared" si="20"/>
        <v>0</v>
      </c>
      <c r="Y28">
        <f t="shared" ref="Y28:Y36" si="26">(U28*(1+V28)+W28)*(1+X28)</f>
        <v>0</v>
      </c>
      <c r="Z28">
        <f t="shared" si="21"/>
        <v>0</v>
      </c>
      <c r="AA28" cm="1">
        <f t="array" ref="AA28" xml:space="preserve"> IFERROR(VLOOKUP($A28,$A$86:$X$981,MATCH(AA$25,$A$87:$J$87,0), FALSE), 0) *
    (LEN($A28) &gt; 0)+SUMPRODUCT(
    IFERROR(VLOOKUP($G28:$T28, $B$87:$X$981,MATCH(AA$25,$B$87:$X$87,0), FALSE), 0) *
    (LEN($G28:$T28) &gt; 0)
)</f>
        <v>0</v>
      </c>
      <c r="AB28" cm="1">
        <f t="array" ref="AB28">1+SUMPRODUCT(
    IFERROR(VLOOKUP($G28:$T28, $B$87:$X$981,MATCH(AB$25,$B$87:$X$87,0), FALSE), 0) *
    (LEN($G28:$T28) &gt; 0)
)+IFERROR(VLOOKUP($A28,$A$87:$X$981,MATCH(AB$25,$A$87:$J$87,0), FALSE), 0) *
    (LEN($A28) &gt; 0)</f>
        <v>1</v>
      </c>
      <c r="AC28" cm="1">
        <f t="array" ref="AC28">1+SUMPRODUCT(
    IFERROR(VLOOKUP($G28:$T28, $B$87:$X$981,MATCH(AC$25,$B$87:$X$87,0), FALSE), 0) *
    (LEN($G28:$T28) &gt; 0)
)</f>
        <v>1</v>
      </c>
      <c r="AD28" cm="1">
        <f t="array" ref="AD28">SUMPRODUCT(
    IFERROR(VLOOKUP($G28:$T28, $B$87:$X$981,MATCH(AD$25,$B$87:$X$87,0), FALSE), 0) *
    (LEN($G28:$T28) &gt; 0)
)+IFERROR(VLOOKUP($A28,$A$88:$X$981,MATCH(AD$25,$A$87:$X$87,0), FALSE), 0) *
    (LEN($A28) &gt; 0)</f>
        <v>0</v>
      </c>
      <c r="AE28" cm="1">
        <f t="array" ref="AE28">SUMPRODUCT(
    IFERROR(VLOOKUP($G28:$T28, $B$87:$X$981,MATCH(AE$25,$B$87:$X$87,0), FALSE), 0) *
    (LEN($G28:$T28) &gt; 0)
)+IFERROR(VLOOKUP($A28,$A$88:$X$981,MATCH(AE$25,$A$87:$X$87,0), FALSE), 0) *
    (LEN($A28) &gt; 0)</f>
        <v>0</v>
      </c>
      <c r="AF28" cm="1">
        <f t="array" ref="AF28">SUMPRODUCT(
    IFERROR(VLOOKUP($G28:$T28, $B$87:$X$981,MATCH(AF$25,$B$87:$X$87,0), FALSE), 0) *
    (LEN($G28:$T28) &gt; 0)
)+IFERROR(VLOOKUP($A28,$A$88:$X$981,MATCH(AF$25,$A$87:$X$87,0), FALSE), 0) *
    (LEN($A28) &gt; 0)</f>
        <v>0</v>
      </c>
      <c r="AG28" cm="1">
        <f t="array" ref="AG28">SUMPRODUCT(
    IFERROR(VLOOKUP($G28:$T28, $B$87:$X$981,MATCH(AG$25,$B$87:$X$87,0), FALSE), 0) *
    (LEN($G28:$T28) &gt; 0)
)+IFERROR(VLOOKUP($A28,$A$88:$X$981,MATCH(AG$25,$A$87:$X$87,0), FALSE), 0) *
    (LEN($A28) &gt; 0)</f>
        <v>0</v>
      </c>
      <c r="AH28" cm="1">
        <f t="array" ref="AH28">SUMPRODUCT(
    IFERROR(VLOOKUP($G28:$T28, $B$87:$X$981,MATCH(AH$25,$B$87:$X$87,0), FALSE), 0) *
    (LEN($G28:$T28) &gt; 0)
)+IFERROR(VLOOKUP($A28,$A$88:$X$981,MATCH(AH$25,$A$87:$X$87,0), FALSE), 0) *
    (LEN($A28) &gt; 0)</f>
        <v>0</v>
      </c>
      <c r="AI28">
        <f t="shared" si="22"/>
        <v>1</v>
      </c>
      <c r="AJ28" cm="1">
        <f t="array" ref="AJ28">1+SUMPRODUCT(
    IFERROR(VLOOKUP($G28:$T28, $B$87:$X$981,MATCH(AJ$25,$B$87:$X$87,0), FALSE), 0) *
    (LEN($G28:$T28) &gt; 0)
)</f>
        <v>1</v>
      </c>
      <c r="AK28" cm="1">
        <f t="array" ref="AK28">1+SUMPRODUCT(
    IFERROR(VLOOKUP($G28:$T28, $B$87:$X$981,MATCH(AK$25,$B$87:$X$87,0), FALSE), 0) *
    (LEN($G28:$T28) &gt; 0)
)</f>
        <v>1</v>
      </c>
      <c r="AL28" cm="1">
        <f t="array" ref="AL28">1+SUMPRODUCT(
    IFERROR(VLOOKUP($G28:$T28, $B$87:$X$981,MATCH(AL$25,$B$87:$X$87,0), FALSE), 0) *
    (LEN($G28:$T28) &gt; 0)
)</f>
        <v>1</v>
      </c>
      <c r="AM28" cm="1">
        <f t="array" ref="AM28">1+SUMPRODUCT(
    IFERROR(VLOOKUP($G28:$T28, $B$87:$X$981,MATCH(AM$25,$B$87:$X$87,0), FALSE), 0) *
    (LEN($G28:$T28) &gt; 0)
)</f>
        <v>1</v>
      </c>
      <c r="AN28" cm="1">
        <f t="array" ref="AN28">1+SUMPRODUCT(
    IFERROR(VLOOKUP($G28:$T28, $B$87:$X$981,MATCH(AN$25,$B$87:$X$87,0), FALSE), 0) *
    (LEN($G28:$T28) &gt; 0)
)</f>
        <v>1</v>
      </c>
      <c r="AO28">
        <f t="shared" ref="AO28:AO36" si="27">IF($F28="是",1.3,1)</f>
        <v>1</v>
      </c>
      <c r="AQ28">
        <f t="shared" ref="AQ28:AQ36" si="28">0.5</f>
        <v>0.5</v>
      </c>
    </row>
    <row r="29" spans="1:46" x14ac:dyDescent="0.25">
      <c r="B29">
        <f t="shared" si="23"/>
        <v>0</v>
      </c>
      <c r="C29">
        <f t="shared" si="24"/>
        <v>0</v>
      </c>
      <c r="D29">
        <f t="shared" si="25"/>
        <v>0</v>
      </c>
      <c r="E29" s="36" t="e">
        <f>表2_5469[[#This Row],[列3]]/$C$62</f>
        <v>#DIV/0!</v>
      </c>
      <c r="F29" t="s">
        <v>791</v>
      </c>
      <c r="G29" t="s">
        <v>1455</v>
      </c>
      <c r="U29">
        <f t="shared" si="19"/>
        <v>0</v>
      </c>
      <c r="V29" cm="1">
        <f t="array" ref="V29" xml:space="preserve"> IFERROR(VLOOKUP($A29,$A$86:$X$981,MATCH(V$25,$A$87:$J$87,0), FALSE), 0) *
    (LEN($A29) &gt; 0)+SUMPRODUCT(
    IFERROR(VLOOKUP($G29:$T29, $B$87:$X$981,MATCH(V$25,$B$87:$X$87,0), FALSE), 0) *
    (LEN($G29:$T29) &gt; 0)
)</f>
        <v>0</v>
      </c>
      <c r="W29">
        <f t="shared" si="20"/>
        <v>0</v>
      </c>
      <c r="X29">
        <f t="shared" si="20"/>
        <v>0</v>
      </c>
      <c r="Y29">
        <f t="shared" si="26"/>
        <v>0</v>
      </c>
      <c r="Z29">
        <f t="shared" si="21"/>
        <v>0</v>
      </c>
      <c r="AA29" cm="1">
        <f t="array" ref="AA29" xml:space="preserve"> IFERROR(VLOOKUP($A29,$A$86:$X$981,MATCH(AA$25,$A$87:$J$87,0), FALSE), 0) *
    (LEN($A29) &gt; 0)+SUMPRODUCT(
    IFERROR(VLOOKUP($G29:$T29, $B$87:$X$981,MATCH(AA$25,$B$87:$X$87,0), FALSE), 0) *
    (LEN($G29:$T29) &gt; 0)
)</f>
        <v>0</v>
      </c>
      <c r="AB29" cm="1">
        <f t="array" ref="AB29">1+SUMPRODUCT(
    IFERROR(VLOOKUP($G29:$T29, $B$87:$X$981,MATCH(AB$25,$B$87:$X$87,0), FALSE), 0) *
    (LEN($G29:$T29) &gt; 0)
)+IFERROR(VLOOKUP($A29,$A$87:$X$981,MATCH(AB$25,$A$87:$J$87,0), FALSE), 0) *
    (LEN($A29) &gt; 0)</f>
        <v>1</v>
      </c>
      <c r="AC29" cm="1">
        <f t="array" ref="AC29">1+SUMPRODUCT(
    IFERROR(VLOOKUP($G29:$T29, $B$87:$X$981,MATCH(AC$25,$B$87:$X$87,0), FALSE), 0) *
    (LEN($G29:$T29) &gt; 0)
)</f>
        <v>1</v>
      </c>
      <c r="AD29" cm="1">
        <f t="array" ref="AD29">SUMPRODUCT(
    IFERROR(VLOOKUP($G29:$T29, $B$87:$X$981,MATCH(AD$25,$B$87:$X$87,0), FALSE), 0) *
    (LEN($G29:$T29) &gt; 0)
)+IFERROR(VLOOKUP($A29,$A$88:$X$981,MATCH(AD$25,$A$87:$X$87,0), FALSE), 0) *
    (LEN($A29) &gt; 0)</f>
        <v>0</v>
      </c>
      <c r="AE29" cm="1">
        <f t="array" ref="AE29">SUMPRODUCT(
    IFERROR(VLOOKUP($G29:$T29, $B$87:$X$981,MATCH(AE$25,$B$87:$X$87,0), FALSE), 0) *
    (LEN($G29:$T29) &gt; 0)
)+IFERROR(VLOOKUP($A29,$A$88:$X$981,MATCH(AE$25,$A$87:$X$87,0), FALSE), 0) *
    (LEN($A29) &gt; 0)</f>
        <v>0</v>
      </c>
      <c r="AF29" cm="1">
        <f t="array" ref="AF29">SUMPRODUCT(
    IFERROR(VLOOKUP($G29:$T29, $B$87:$X$981,MATCH(AF$25,$B$87:$X$87,0), FALSE), 0) *
    (LEN($G29:$T29) &gt; 0)
)+IFERROR(VLOOKUP($A29,$A$88:$X$981,MATCH(AF$25,$A$87:$X$87,0), FALSE), 0) *
    (LEN($A29) &gt; 0)</f>
        <v>0</v>
      </c>
      <c r="AG29" cm="1">
        <f t="array" ref="AG29">SUMPRODUCT(
    IFERROR(VLOOKUP($G29:$T29, $B$87:$X$981,MATCH(AG$25,$B$87:$X$87,0), FALSE), 0) *
    (LEN($G29:$T29) &gt; 0)
)+IFERROR(VLOOKUP($A29,$A$88:$X$981,MATCH(AG$25,$A$87:$X$87,0), FALSE), 0) *
    (LEN($A29) &gt; 0)</f>
        <v>0</v>
      </c>
      <c r="AH29" cm="1">
        <f t="array" ref="AH29">SUMPRODUCT(
    IFERROR(VLOOKUP($G29:$T29, $B$87:$X$981,MATCH(AH$25,$B$87:$X$87,0), FALSE), 0) *
    (LEN($G29:$T29) &gt; 0)
)+IFERROR(VLOOKUP($A29,$A$88:$X$981,MATCH(AH$25,$A$87:$X$87,0), FALSE), 0) *
    (LEN($A29) &gt; 0)</f>
        <v>0</v>
      </c>
      <c r="AI29">
        <f t="shared" si="22"/>
        <v>1</v>
      </c>
      <c r="AJ29" cm="1">
        <f t="array" ref="AJ29">1+SUMPRODUCT(
    IFERROR(VLOOKUP($G29:$T29, $B$87:$X$981,MATCH(AJ$25,$B$87:$X$87,0), FALSE), 0) *
    (LEN($G29:$T29) &gt; 0)
)</f>
        <v>1</v>
      </c>
      <c r="AK29" cm="1">
        <f t="array" ref="AK29">1+SUMPRODUCT(
    IFERROR(VLOOKUP($G29:$T29, $B$87:$X$981,MATCH(AK$25,$B$87:$X$87,0), FALSE), 0) *
    (LEN($G29:$T29) &gt; 0)
)</f>
        <v>1</v>
      </c>
      <c r="AL29" cm="1">
        <f t="array" ref="AL29">1+SUMPRODUCT(
    IFERROR(VLOOKUP($G29:$T29, $B$87:$X$981,MATCH(AL$25,$B$87:$X$87,0), FALSE), 0) *
    (LEN($G29:$T29) &gt; 0)
)</f>
        <v>1</v>
      </c>
      <c r="AM29" cm="1">
        <f t="array" ref="AM29">1+SUMPRODUCT(
    IFERROR(VLOOKUP($G29:$T29, $B$87:$X$981,MATCH(AM$25,$B$87:$X$87,0), FALSE), 0) *
    (LEN($G29:$T29) &gt; 0)
)</f>
        <v>1</v>
      </c>
      <c r="AN29" cm="1">
        <f t="array" ref="AN29">1+SUMPRODUCT(
    IFERROR(VLOOKUP($G29:$T29, $B$87:$X$981,MATCH(AN$25,$B$87:$X$87,0), FALSE), 0) *
    (LEN($G29:$T29) &gt; 0)
)</f>
        <v>1</v>
      </c>
      <c r="AO29">
        <f t="shared" si="27"/>
        <v>1</v>
      </c>
      <c r="AQ29">
        <f t="shared" si="28"/>
        <v>0.5</v>
      </c>
    </row>
    <row r="30" spans="1:46" x14ac:dyDescent="0.25">
      <c r="B30">
        <f t="shared" si="23"/>
        <v>0</v>
      </c>
      <c r="C30">
        <f t="shared" si="24"/>
        <v>0</v>
      </c>
      <c r="D30">
        <f t="shared" si="25"/>
        <v>0</v>
      </c>
      <c r="E30" s="36" t="e">
        <f>表2_5469[[#This Row],[列3]]/$C$62</f>
        <v>#DIV/0!</v>
      </c>
      <c r="F30" t="s">
        <v>791</v>
      </c>
      <c r="G30" t="s">
        <v>1455</v>
      </c>
      <c r="U30">
        <f t="shared" si="19"/>
        <v>0</v>
      </c>
      <c r="V30" cm="1">
        <f t="array" ref="V30" xml:space="preserve"> IFERROR(VLOOKUP($A30,$A$86:$X$981,MATCH(V$25,$A$87:$J$87,0), FALSE), 0) *
    (LEN($A30) &gt; 0)+SUMPRODUCT(
    IFERROR(VLOOKUP($G30:$T30, $B$87:$X$981,MATCH(V$25,$B$87:$X$87,0), FALSE), 0) *
    (LEN($G30:$T30) &gt; 0)
)</f>
        <v>0</v>
      </c>
      <c r="W30">
        <f t="shared" si="20"/>
        <v>0</v>
      </c>
      <c r="X30">
        <f t="shared" si="20"/>
        <v>0</v>
      </c>
      <c r="Y30">
        <f t="shared" si="26"/>
        <v>0</v>
      </c>
      <c r="Z30">
        <f t="shared" si="21"/>
        <v>0</v>
      </c>
      <c r="AA30" cm="1">
        <f t="array" ref="AA30" xml:space="preserve"> IFERROR(VLOOKUP($A30,$A$86:$X$981,MATCH(AA$25,$A$87:$J$87,0), FALSE), 0) *
    (LEN($A30) &gt; 0)+SUMPRODUCT(
    IFERROR(VLOOKUP($G30:$T30, $B$87:$X$981,MATCH(AA$25,$B$87:$X$87,0), FALSE), 0) *
    (LEN($G30:$T30) &gt; 0)
)</f>
        <v>0</v>
      </c>
      <c r="AB30" cm="1">
        <f t="array" ref="AB30">1+SUMPRODUCT(
    IFERROR(VLOOKUP($G30:$T30, $B$87:$X$981,MATCH(AB$25,$B$87:$X$87,0), FALSE), 0) *
    (LEN($G30:$T30) &gt; 0)
)+IFERROR(VLOOKUP($A30,$A$87:$X$981,MATCH(AB$25,$A$87:$J$87,0), FALSE), 0) *
    (LEN($A30) &gt; 0)</f>
        <v>1</v>
      </c>
      <c r="AC30" cm="1">
        <f t="array" ref="AC30">1+SUMPRODUCT(
    IFERROR(VLOOKUP($G30:$T30, $B$87:$X$981,MATCH(AC$25,$B$87:$X$87,0), FALSE), 0) *
    (LEN($G30:$T30) &gt; 0)
)</f>
        <v>1</v>
      </c>
      <c r="AD30" cm="1">
        <f t="array" ref="AD30">SUMPRODUCT(
    IFERROR(VLOOKUP($G30:$T30, $B$87:$X$981,MATCH(AD$25,$B$87:$X$87,0), FALSE), 0) *
    (LEN($G30:$T30) &gt; 0)
)+IFERROR(VLOOKUP($A30,$A$88:$X$981,MATCH(AD$25,$A$87:$X$87,0), FALSE), 0) *
    (LEN($A30) &gt; 0)</f>
        <v>0</v>
      </c>
      <c r="AE30" cm="1">
        <f t="array" ref="AE30">SUMPRODUCT(
    IFERROR(VLOOKUP($G30:$T30, $B$87:$X$981,MATCH(AE$25,$B$87:$X$87,0), FALSE), 0) *
    (LEN($G30:$T30) &gt; 0)
)+IFERROR(VLOOKUP($A30,$A$88:$X$981,MATCH(AE$25,$A$87:$X$87,0), FALSE), 0) *
    (LEN($A30) &gt; 0)</f>
        <v>0</v>
      </c>
      <c r="AF30" cm="1">
        <f t="array" ref="AF30">SUMPRODUCT(
    IFERROR(VLOOKUP($G30:$T30, $B$87:$X$981,MATCH(AF$25,$B$87:$X$87,0), FALSE), 0) *
    (LEN($G30:$T30) &gt; 0)
)+IFERROR(VLOOKUP($A30,$A$88:$X$981,MATCH(AF$25,$A$87:$X$87,0), FALSE), 0) *
    (LEN($A30) &gt; 0)</f>
        <v>0</v>
      </c>
      <c r="AG30" cm="1">
        <f t="array" ref="AG30">SUMPRODUCT(
    IFERROR(VLOOKUP($G30:$T30, $B$87:$X$981,MATCH(AG$25,$B$87:$X$87,0), FALSE), 0) *
    (LEN($G30:$T30) &gt; 0)
)+IFERROR(VLOOKUP($A30,$A$88:$X$981,MATCH(AG$25,$A$87:$X$87,0), FALSE), 0) *
    (LEN($A30) &gt; 0)</f>
        <v>0</v>
      </c>
      <c r="AH30" cm="1">
        <f t="array" ref="AH30">SUMPRODUCT(
    IFERROR(VLOOKUP($G30:$T30, $B$87:$X$981,MATCH(AH$25,$B$87:$X$87,0), FALSE), 0) *
    (LEN($G30:$T30) &gt; 0)
)+IFERROR(VLOOKUP($A30,$A$88:$X$981,MATCH(AH$25,$A$87:$X$87,0), FALSE), 0) *
    (LEN($A30) &gt; 0)</f>
        <v>0</v>
      </c>
      <c r="AI30">
        <f t="shared" si="22"/>
        <v>1</v>
      </c>
      <c r="AJ30" cm="1">
        <f t="array" ref="AJ30">1+SUMPRODUCT(
    IFERROR(VLOOKUP($G30:$T30, $B$87:$X$981,MATCH(AJ$25,$B$87:$X$87,0), FALSE), 0) *
    (LEN($G30:$T30) &gt; 0)
)</f>
        <v>1</v>
      </c>
      <c r="AK30" cm="1">
        <f t="array" ref="AK30">1+SUMPRODUCT(
    IFERROR(VLOOKUP($G30:$T30, $B$87:$X$981,MATCH(AK$25,$B$87:$X$87,0), FALSE), 0) *
    (LEN($G30:$T30) &gt; 0)
)</f>
        <v>1</v>
      </c>
      <c r="AL30" cm="1">
        <f t="array" ref="AL30">1+SUMPRODUCT(
    IFERROR(VLOOKUP($G30:$T30, $B$87:$X$981,MATCH(AL$25,$B$87:$X$87,0), FALSE), 0) *
    (LEN($G30:$T30) &gt; 0)
)</f>
        <v>1</v>
      </c>
      <c r="AM30" cm="1">
        <f t="array" ref="AM30">1+SUMPRODUCT(
    IFERROR(VLOOKUP($G30:$T30, $B$87:$X$981,MATCH(AM$25,$B$87:$X$87,0), FALSE), 0) *
    (LEN($G30:$T30) &gt; 0)
)</f>
        <v>1</v>
      </c>
      <c r="AN30" cm="1">
        <f t="array" ref="AN30">1+SUMPRODUCT(
    IFERROR(VLOOKUP($G30:$T30, $B$87:$X$981,MATCH(AN$25,$B$87:$X$87,0), FALSE), 0) *
    (LEN($G30:$T30) &gt; 0)
)</f>
        <v>1</v>
      </c>
      <c r="AO30">
        <f t="shared" si="27"/>
        <v>1</v>
      </c>
      <c r="AQ30">
        <f t="shared" si="28"/>
        <v>0.5</v>
      </c>
    </row>
    <row r="31" spans="1:46" ht="14.4" customHeight="1" x14ac:dyDescent="0.25">
      <c r="B31">
        <f t="shared" si="23"/>
        <v>0</v>
      </c>
      <c r="C31">
        <f t="shared" si="24"/>
        <v>0</v>
      </c>
      <c r="D31">
        <f t="shared" si="25"/>
        <v>0</v>
      </c>
      <c r="E31" s="36" t="e">
        <f>表2_5469[[#This Row],[列3]]/$C$62</f>
        <v>#DIV/0!</v>
      </c>
      <c r="F31" t="s">
        <v>791</v>
      </c>
      <c r="G31" t="s">
        <v>1455</v>
      </c>
      <c r="U31">
        <f t="shared" si="19"/>
        <v>0</v>
      </c>
      <c r="V31" cm="1">
        <f t="array" ref="V31" xml:space="preserve"> IFERROR(VLOOKUP($A31,$A$86:$X$981,MATCH(V$25,$A$87:$J$87,0), FALSE), 0) *
    (LEN($A31) &gt; 0)+SUMPRODUCT(
    IFERROR(VLOOKUP($G31:$T31, $B$87:$X$981,MATCH(V$25,$B$87:$X$87,0), FALSE), 0) *
    (LEN($G31:$T31) &gt; 0)
)</f>
        <v>0</v>
      </c>
      <c r="W31">
        <f t="shared" si="20"/>
        <v>0</v>
      </c>
      <c r="X31">
        <f t="shared" si="20"/>
        <v>0</v>
      </c>
      <c r="Y31">
        <f t="shared" si="26"/>
        <v>0</v>
      </c>
      <c r="Z31">
        <f t="shared" si="21"/>
        <v>0</v>
      </c>
      <c r="AA31" cm="1">
        <f t="array" ref="AA31" xml:space="preserve"> IFERROR(VLOOKUP($A31,$A$86:$X$981,MATCH(AA$25,$A$87:$J$87,0), FALSE), 0) *
    (LEN($A31) &gt; 0)+SUMPRODUCT(
    IFERROR(VLOOKUP($G31:$T31, $B$87:$X$981,MATCH(AA$25,$B$87:$X$87,0), FALSE), 0) *
    (LEN($G31:$T31) &gt; 0)
)</f>
        <v>0</v>
      </c>
      <c r="AB31" cm="1">
        <f t="array" ref="AB31">1+SUMPRODUCT(
    IFERROR(VLOOKUP($G31:$T31, $B$87:$X$981,MATCH(AB$25,$B$87:$X$87,0), FALSE), 0) *
    (LEN($G31:$T31) &gt; 0)
)+IFERROR(VLOOKUP($A31,$A$87:$X$981,MATCH(AB$25,$A$87:$J$87,0), FALSE), 0) *
    (LEN($A31) &gt; 0)</f>
        <v>1</v>
      </c>
      <c r="AC31" cm="1">
        <f t="array" ref="AC31">1+SUMPRODUCT(
    IFERROR(VLOOKUP($G31:$T31, $B$87:$X$981,MATCH(AC$25,$B$87:$X$87,0), FALSE), 0) *
    (LEN($G31:$T31) &gt; 0)
)</f>
        <v>1</v>
      </c>
      <c r="AD31" cm="1">
        <f t="array" ref="AD31">SUMPRODUCT(
    IFERROR(VLOOKUP($G31:$T31, $B$87:$X$981,MATCH(AD$25,$B$87:$X$87,0), FALSE), 0) *
    (LEN($G31:$T31) &gt; 0)
)+IFERROR(VLOOKUP($A31,$A$88:$X$981,MATCH(AD$25,$A$87:$X$87,0), FALSE), 0) *
    (LEN($A31) &gt; 0)</f>
        <v>0</v>
      </c>
      <c r="AE31" cm="1">
        <f t="array" ref="AE31">SUMPRODUCT(
    IFERROR(VLOOKUP($G31:$T31, $B$87:$X$981,MATCH(AE$25,$B$87:$X$87,0), FALSE), 0) *
    (LEN($G31:$T31) &gt; 0)
)+IFERROR(VLOOKUP($A31,$A$88:$X$981,MATCH(AE$25,$A$87:$X$87,0), FALSE), 0) *
    (LEN($A31) &gt; 0)</f>
        <v>0</v>
      </c>
      <c r="AF31" cm="1">
        <f t="array" ref="AF31">SUMPRODUCT(
    IFERROR(VLOOKUP($G31:$T31, $B$87:$X$981,MATCH(AF$25,$B$87:$X$87,0), FALSE), 0) *
    (LEN($G31:$T31) &gt; 0)
)+IFERROR(VLOOKUP($A31,$A$88:$X$981,MATCH(AF$25,$A$87:$X$87,0), FALSE), 0) *
    (LEN($A31) &gt; 0)</f>
        <v>0</v>
      </c>
      <c r="AG31" cm="1">
        <f t="array" ref="AG31">SUMPRODUCT(
    IFERROR(VLOOKUP($G31:$T31, $B$87:$X$981,MATCH(AG$25,$B$87:$X$87,0), FALSE), 0) *
    (LEN($G31:$T31) &gt; 0)
)+IFERROR(VLOOKUP($A31,$A$88:$X$981,MATCH(AG$25,$A$87:$X$87,0), FALSE), 0) *
    (LEN($A31) &gt; 0)</f>
        <v>0</v>
      </c>
      <c r="AH31" cm="1">
        <f t="array" ref="AH31">SUMPRODUCT(
    IFERROR(VLOOKUP($G31:$T31, $B$87:$X$981,MATCH(AH$25,$B$87:$X$87,0), FALSE), 0) *
    (LEN($G31:$T31) &gt; 0)
)+IFERROR(VLOOKUP($A31,$A$88:$X$981,MATCH(AH$25,$A$87:$X$87,0), FALSE), 0) *
    (LEN($A31) &gt; 0)</f>
        <v>0</v>
      </c>
      <c r="AI31">
        <f t="shared" si="22"/>
        <v>1</v>
      </c>
      <c r="AJ31" cm="1">
        <f t="array" ref="AJ31">1+SUMPRODUCT(
    IFERROR(VLOOKUP($G31:$T31, $B$87:$X$981,MATCH(AJ$25,$B$87:$X$87,0), FALSE), 0) *
    (LEN($G31:$T31) &gt; 0)
)</f>
        <v>1</v>
      </c>
      <c r="AK31" cm="1">
        <f t="array" ref="AK31">1+SUMPRODUCT(
    IFERROR(VLOOKUP($G31:$T31, $B$87:$X$981,MATCH(AK$25,$B$87:$X$87,0), FALSE), 0) *
    (LEN($G31:$T31) &gt; 0)
)</f>
        <v>1</v>
      </c>
      <c r="AL31" cm="1">
        <f t="array" ref="AL31">1+SUMPRODUCT(
    IFERROR(VLOOKUP($G31:$T31, $B$87:$X$981,MATCH(AL$25,$B$87:$X$87,0), FALSE), 0) *
    (LEN($G31:$T31) &gt; 0)
)</f>
        <v>1</v>
      </c>
      <c r="AM31" cm="1">
        <f t="array" ref="AM31">1+SUMPRODUCT(
    IFERROR(VLOOKUP($G31:$T31, $B$87:$X$981,MATCH(AM$25,$B$87:$X$87,0), FALSE), 0) *
    (LEN($G31:$T31) &gt; 0)
)</f>
        <v>1</v>
      </c>
      <c r="AN31" cm="1">
        <f t="array" ref="AN31">1+SUMPRODUCT(
    IFERROR(VLOOKUP($G31:$T31, $B$87:$X$981,MATCH(AN$25,$B$87:$X$87,0), FALSE), 0) *
    (LEN($G31:$T31) &gt; 0)
)</f>
        <v>1</v>
      </c>
      <c r="AO31">
        <f t="shared" si="27"/>
        <v>1</v>
      </c>
      <c r="AQ31">
        <f t="shared" si="28"/>
        <v>0.5</v>
      </c>
    </row>
    <row r="32" spans="1:46" x14ac:dyDescent="0.25">
      <c r="B32">
        <f t="shared" si="23"/>
        <v>0</v>
      </c>
      <c r="C32">
        <f t="shared" si="24"/>
        <v>0</v>
      </c>
      <c r="D32">
        <f t="shared" si="25"/>
        <v>0</v>
      </c>
      <c r="E32" s="36" t="e">
        <f>表2_5469[[#This Row],[列3]]/$C$62</f>
        <v>#DIV/0!</v>
      </c>
      <c r="F32" t="s">
        <v>791</v>
      </c>
      <c r="G32" t="s">
        <v>1455</v>
      </c>
      <c r="U32">
        <f t="shared" si="19"/>
        <v>0</v>
      </c>
      <c r="V32" cm="1">
        <f t="array" ref="V32" xml:space="preserve"> IFERROR(VLOOKUP($A32,$A$86:$X$981,MATCH(V$25,$A$87:$J$87,0), FALSE), 0) *
    (LEN($A32) &gt; 0)+SUMPRODUCT(
    IFERROR(VLOOKUP($G32:$T32, $B$87:$X$981,MATCH(V$25,$B$87:$X$87,0), FALSE), 0) *
    (LEN($G32:$T32) &gt; 0)
)</f>
        <v>0</v>
      </c>
      <c r="W32">
        <f t="shared" si="20"/>
        <v>0</v>
      </c>
      <c r="X32">
        <f t="shared" si="20"/>
        <v>0</v>
      </c>
      <c r="Y32">
        <f t="shared" si="26"/>
        <v>0</v>
      </c>
      <c r="Z32">
        <f t="shared" si="21"/>
        <v>0</v>
      </c>
      <c r="AA32" cm="1">
        <f t="array" ref="AA32" xml:space="preserve"> IFERROR(VLOOKUP($A32,$A$86:$X$981,MATCH(AA$25,$A$87:$J$87,0), FALSE), 0) *
    (LEN($A32) &gt; 0)+SUMPRODUCT(
    IFERROR(VLOOKUP($G32:$T32, $B$87:$X$981,MATCH(AA$25,$B$87:$X$87,0), FALSE), 0) *
    (LEN($G32:$T32) &gt; 0)
)</f>
        <v>0</v>
      </c>
      <c r="AB32" cm="1">
        <f t="array" ref="AB32">1+SUMPRODUCT(
    IFERROR(VLOOKUP($G32:$T32, $B$87:$X$981,MATCH(AB$25,$B$87:$X$87,0), FALSE), 0) *
    (LEN($G32:$T32) &gt; 0)
)+IFERROR(VLOOKUP($A32,$A$87:$X$981,MATCH(AB$25,$A$87:$J$87,0), FALSE), 0) *
    (LEN($A32) &gt; 0)</f>
        <v>1</v>
      </c>
      <c r="AC32" cm="1">
        <f t="array" ref="AC32">1+SUMPRODUCT(
    IFERROR(VLOOKUP($G32:$T32, $B$87:$X$981,MATCH(AC$25,$B$87:$X$87,0), FALSE), 0) *
    (LEN($G32:$T32) &gt; 0)
)</f>
        <v>1</v>
      </c>
      <c r="AD32" cm="1">
        <f t="array" ref="AD32">SUMPRODUCT(
    IFERROR(VLOOKUP($G32:$T32, $B$87:$X$981,MATCH(AD$25,$B$87:$X$87,0), FALSE), 0) *
    (LEN($G32:$T32) &gt; 0)
)+IFERROR(VLOOKUP($A32,$A$88:$X$981,MATCH(AD$25,$A$87:$X$87,0), FALSE), 0) *
    (LEN($A32) &gt; 0)</f>
        <v>0</v>
      </c>
      <c r="AE32" cm="1">
        <f t="array" ref="AE32">SUMPRODUCT(
    IFERROR(VLOOKUP($G32:$T32, $B$87:$X$981,MATCH(AE$25,$B$87:$X$87,0), FALSE), 0) *
    (LEN($G32:$T32) &gt; 0)
)+IFERROR(VLOOKUP($A32,$A$88:$X$981,MATCH(AE$25,$A$87:$X$87,0), FALSE), 0) *
    (LEN($A32) &gt; 0)</f>
        <v>0</v>
      </c>
      <c r="AF32" cm="1">
        <f t="array" ref="AF32">SUMPRODUCT(
    IFERROR(VLOOKUP($G32:$T32, $B$87:$X$981,MATCH(AF$25,$B$87:$X$87,0), FALSE), 0) *
    (LEN($G32:$T32) &gt; 0)
)+IFERROR(VLOOKUP($A32,$A$88:$X$981,MATCH(AF$25,$A$87:$X$87,0), FALSE), 0) *
    (LEN($A32) &gt; 0)</f>
        <v>0</v>
      </c>
      <c r="AG32" cm="1">
        <f t="array" ref="AG32">SUMPRODUCT(
    IFERROR(VLOOKUP($G32:$T32, $B$87:$X$981,MATCH(AG$25,$B$87:$X$87,0), FALSE), 0) *
    (LEN($G32:$T32) &gt; 0)
)+IFERROR(VLOOKUP($A32,$A$88:$X$981,MATCH(AG$25,$A$87:$X$87,0), FALSE), 0) *
    (LEN($A32) &gt; 0)</f>
        <v>0</v>
      </c>
      <c r="AH32" cm="1">
        <f t="array" ref="AH32">SUMPRODUCT(
    IFERROR(VLOOKUP($G32:$T32, $B$87:$X$981,MATCH(AH$25,$B$87:$X$87,0), FALSE), 0) *
    (LEN($G32:$T32) &gt; 0)
)+IFERROR(VLOOKUP($A32,$A$88:$X$981,MATCH(AH$25,$A$87:$X$87,0), FALSE), 0) *
    (LEN($A32) &gt; 0)</f>
        <v>0</v>
      </c>
      <c r="AI32">
        <f t="shared" si="22"/>
        <v>1</v>
      </c>
      <c r="AJ32" cm="1">
        <f t="array" ref="AJ32">1+SUMPRODUCT(
    IFERROR(VLOOKUP($G32:$T32, $B$87:$X$981,MATCH(AJ$25,$B$87:$X$87,0), FALSE), 0) *
    (LEN($G32:$T32) &gt; 0)
)</f>
        <v>1</v>
      </c>
      <c r="AK32" cm="1">
        <f t="array" ref="AK32">1+SUMPRODUCT(
    IFERROR(VLOOKUP($G32:$T32, $B$87:$X$981,MATCH(AK$25,$B$87:$X$87,0), FALSE), 0) *
    (LEN($G32:$T32) &gt; 0)
)</f>
        <v>1</v>
      </c>
      <c r="AL32" cm="1">
        <f t="array" ref="AL32">1+SUMPRODUCT(
    IFERROR(VLOOKUP($G32:$T32, $B$87:$X$981,MATCH(AL$25,$B$87:$X$87,0), FALSE), 0) *
    (LEN($G32:$T32) &gt; 0)
)</f>
        <v>1</v>
      </c>
      <c r="AM32" cm="1">
        <f t="array" ref="AM32">1+SUMPRODUCT(
    IFERROR(VLOOKUP($G32:$T32, $B$87:$X$981,MATCH(AM$25,$B$87:$X$87,0), FALSE), 0) *
    (LEN($G32:$T32) &gt; 0)
)</f>
        <v>1</v>
      </c>
      <c r="AN32" cm="1">
        <f t="array" ref="AN32">1+SUMPRODUCT(
    IFERROR(VLOOKUP($G32:$T32, $B$87:$X$981,MATCH(AN$25,$B$87:$X$87,0), FALSE), 0) *
    (LEN($G32:$T32) &gt; 0)
)</f>
        <v>1</v>
      </c>
      <c r="AO32">
        <f t="shared" si="27"/>
        <v>1</v>
      </c>
      <c r="AQ32">
        <f t="shared" si="28"/>
        <v>0.5</v>
      </c>
    </row>
    <row r="33" spans="2:43" x14ac:dyDescent="0.25">
      <c r="B33">
        <f t="shared" si="23"/>
        <v>0</v>
      </c>
      <c r="C33">
        <f t="shared" si="24"/>
        <v>0</v>
      </c>
      <c r="D33">
        <f t="shared" si="25"/>
        <v>0</v>
      </c>
      <c r="E33" s="36" t="e">
        <f>表2_5469[[#This Row],[列3]]/$C$62</f>
        <v>#DIV/0!</v>
      </c>
      <c r="F33" t="s">
        <v>791</v>
      </c>
      <c r="G33" t="s">
        <v>1455</v>
      </c>
      <c r="U33">
        <f t="shared" si="19"/>
        <v>0</v>
      </c>
      <c r="V33" cm="1">
        <f t="array" ref="V33" xml:space="preserve"> IFERROR(VLOOKUP($A33,$A$86:$X$981,MATCH(V$25,$A$87:$J$87,0), FALSE), 0) *
    (LEN($A33) &gt; 0)+SUMPRODUCT(
    IFERROR(VLOOKUP($G33:$T33, $B$87:$X$981,MATCH(V$25,$B$87:$X$87,0), FALSE), 0) *
    (LEN($G33:$T33) &gt; 0)
)</f>
        <v>0</v>
      </c>
      <c r="W33">
        <f t="shared" si="20"/>
        <v>0</v>
      </c>
      <c r="X33">
        <f t="shared" si="20"/>
        <v>0</v>
      </c>
      <c r="Y33">
        <f t="shared" si="26"/>
        <v>0</v>
      </c>
      <c r="Z33">
        <f t="shared" si="21"/>
        <v>0</v>
      </c>
      <c r="AA33" cm="1">
        <f t="array" ref="AA33" xml:space="preserve"> IFERROR(VLOOKUP($A33,$A$86:$X$981,MATCH(AA$25,$A$87:$J$87,0), FALSE), 0) *
    (LEN($A33) &gt; 0)+SUMPRODUCT(
    IFERROR(VLOOKUP($G33:$T33, $B$87:$X$981,MATCH(AA$25,$B$87:$X$87,0), FALSE), 0) *
    (LEN($G33:$T33) &gt; 0)
)</f>
        <v>0</v>
      </c>
      <c r="AB33" cm="1">
        <f t="array" ref="AB33">1+SUMPRODUCT(
    IFERROR(VLOOKUP($G33:$T33, $B$87:$X$981,MATCH(AB$25,$B$87:$X$87,0), FALSE), 0) *
    (LEN($G33:$T33) &gt; 0)
)+IFERROR(VLOOKUP($A33,$A$87:$X$981,MATCH(AB$25,$A$87:$J$87,0), FALSE), 0) *
    (LEN($A33) &gt; 0)</f>
        <v>1</v>
      </c>
      <c r="AC33" cm="1">
        <f t="array" ref="AC33">1+SUMPRODUCT(
    IFERROR(VLOOKUP($G33:$T33, $B$87:$X$981,MATCH(AC$25,$B$87:$X$87,0), FALSE), 0) *
    (LEN($G33:$T33) &gt; 0)
)</f>
        <v>1</v>
      </c>
      <c r="AD33" cm="1">
        <f t="array" ref="AD33">SUMPRODUCT(
    IFERROR(VLOOKUP($G33:$T33, $B$87:$X$981,MATCH(AD$25,$B$87:$X$87,0), FALSE), 0) *
    (LEN($G33:$T33) &gt; 0)
)+IFERROR(VLOOKUP($A33,$A$88:$X$981,MATCH(AD$25,$A$87:$X$87,0), FALSE), 0) *
    (LEN($A33) &gt; 0)</f>
        <v>0</v>
      </c>
      <c r="AE33" cm="1">
        <f t="array" ref="AE33">SUMPRODUCT(
    IFERROR(VLOOKUP($G33:$T33, $B$87:$X$981,MATCH(AE$25,$B$87:$X$87,0), FALSE), 0) *
    (LEN($G33:$T33) &gt; 0)
)+IFERROR(VLOOKUP($A33,$A$88:$X$981,MATCH(AE$25,$A$87:$X$87,0), FALSE), 0) *
    (LEN($A33) &gt; 0)</f>
        <v>0</v>
      </c>
      <c r="AF33" cm="1">
        <f t="array" ref="AF33">SUMPRODUCT(
    IFERROR(VLOOKUP($G33:$T33, $B$87:$X$981,MATCH(AF$25,$B$87:$X$87,0), FALSE), 0) *
    (LEN($G33:$T33) &gt; 0)
)+IFERROR(VLOOKUP($A33,$A$88:$X$981,MATCH(AF$25,$A$87:$X$87,0), FALSE), 0) *
    (LEN($A33) &gt; 0)</f>
        <v>0</v>
      </c>
      <c r="AG33" cm="1">
        <f t="array" ref="AG33">SUMPRODUCT(
    IFERROR(VLOOKUP($G33:$T33, $B$87:$X$981,MATCH(AG$25,$B$87:$X$87,0), FALSE), 0) *
    (LEN($G33:$T33) &gt; 0)
)+IFERROR(VLOOKUP($A33,$A$88:$X$981,MATCH(AG$25,$A$87:$X$87,0), FALSE), 0) *
    (LEN($A33) &gt; 0)</f>
        <v>0</v>
      </c>
      <c r="AH33" cm="1">
        <f t="array" ref="AH33">SUMPRODUCT(
    IFERROR(VLOOKUP($G33:$T33, $B$87:$X$981,MATCH(AH$25,$B$87:$X$87,0), FALSE), 0) *
    (LEN($G33:$T33) &gt; 0)
)+IFERROR(VLOOKUP($A33,$A$88:$X$981,MATCH(AH$25,$A$87:$X$87,0), FALSE), 0) *
    (LEN($A33) &gt; 0)</f>
        <v>0</v>
      </c>
      <c r="AI33">
        <f t="shared" si="22"/>
        <v>1</v>
      </c>
      <c r="AJ33" cm="1">
        <f t="array" ref="AJ33">1+SUMPRODUCT(
    IFERROR(VLOOKUP($G33:$T33, $B$87:$X$981,MATCH(AJ$25,$B$87:$X$87,0), FALSE), 0) *
    (LEN($G33:$T33) &gt; 0)
)</f>
        <v>1</v>
      </c>
      <c r="AK33" cm="1">
        <f t="array" ref="AK33">1+SUMPRODUCT(
    IFERROR(VLOOKUP($G33:$T33, $B$87:$X$981,MATCH(AK$25,$B$87:$X$87,0), FALSE), 0) *
    (LEN($G33:$T33) &gt; 0)
)</f>
        <v>1</v>
      </c>
      <c r="AL33" cm="1">
        <f t="array" ref="AL33">1+SUMPRODUCT(
    IFERROR(VLOOKUP($G33:$T33, $B$87:$X$981,MATCH(AL$25,$B$87:$X$87,0), FALSE), 0) *
    (LEN($G33:$T33) &gt; 0)
)</f>
        <v>1</v>
      </c>
      <c r="AM33" cm="1">
        <f t="array" ref="AM33">1+SUMPRODUCT(
    IFERROR(VLOOKUP($G33:$T33, $B$87:$X$981,MATCH(AM$25,$B$87:$X$87,0), FALSE), 0) *
    (LEN($G33:$T33) &gt; 0)
)</f>
        <v>1</v>
      </c>
      <c r="AN33" cm="1">
        <f t="array" ref="AN33">1+SUMPRODUCT(
    IFERROR(VLOOKUP($G33:$T33, $B$87:$X$981,MATCH(AN$25,$B$87:$X$87,0), FALSE), 0) *
    (LEN($G33:$T33) &gt; 0)
)</f>
        <v>1</v>
      </c>
      <c r="AO33">
        <f t="shared" si="27"/>
        <v>1</v>
      </c>
      <c r="AQ33">
        <f t="shared" si="28"/>
        <v>0.5</v>
      </c>
    </row>
    <row r="34" spans="2:43" x14ac:dyDescent="0.25">
      <c r="B34">
        <f t="shared" si="23"/>
        <v>0</v>
      </c>
      <c r="C34">
        <f t="shared" si="24"/>
        <v>0</v>
      </c>
      <c r="D34">
        <f t="shared" si="25"/>
        <v>0</v>
      </c>
      <c r="E34" s="36" t="e">
        <f>表2_5469[[#This Row],[列3]]/$C$62</f>
        <v>#DIV/0!</v>
      </c>
      <c r="F34" t="s">
        <v>791</v>
      </c>
      <c r="U34">
        <f t="shared" si="19"/>
        <v>0</v>
      </c>
      <c r="V34" cm="1">
        <f t="array" ref="V34" xml:space="preserve"> IFERROR(VLOOKUP($A34,$A$86:$X$981,MATCH(V$25,$A$87:$J$87,0), FALSE), 0) *
    (LEN($A34) &gt; 0)+SUMPRODUCT(
    IFERROR(VLOOKUP($G34:$T34, $B$87:$X$981,MATCH(V$25,$B$87:$X$87,0), FALSE), 0) *
    (LEN($G34:$T34) &gt; 0)
)</f>
        <v>0</v>
      </c>
      <c r="W34">
        <f t="shared" si="20"/>
        <v>0</v>
      </c>
      <c r="X34">
        <f t="shared" si="20"/>
        <v>0</v>
      </c>
      <c r="Y34">
        <f t="shared" si="26"/>
        <v>0</v>
      </c>
      <c r="Z34">
        <f t="shared" si="21"/>
        <v>0</v>
      </c>
      <c r="AA34" cm="1">
        <f t="array" ref="AA34" xml:space="preserve"> IFERROR(VLOOKUP($A34,$A$86:$X$981,MATCH(AA$25,$A$87:$J$87,0), FALSE), 0) *
    (LEN($A34) &gt; 0)+SUMPRODUCT(
    IFERROR(VLOOKUP($G34:$T34, $B$87:$X$981,MATCH(AA$25,$B$87:$X$87,0), FALSE), 0) *
    (LEN($G34:$T34) &gt; 0)
)</f>
        <v>0</v>
      </c>
      <c r="AB34" cm="1">
        <f t="array" ref="AB34">1+SUMPRODUCT(
    IFERROR(VLOOKUP($G34:$T34, $B$87:$X$981,MATCH(AB$25,$B$87:$X$87,0), FALSE), 0) *
    (LEN($G34:$T34) &gt; 0)
)+IFERROR(VLOOKUP($A34,$A$87:$X$981,MATCH(AB$25,$A$87:$J$87,0), FALSE), 0) *
    (LEN($A34) &gt; 0)</f>
        <v>1</v>
      </c>
      <c r="AC34" cm="1">
        <f t="array" ref="AC34">1+SUMPRODUCT(
    IFERROR(VLOOKUP($G34:$T34, $B$87:$X$981,MATCH(AC$25,$B$87:$X$87,0), FALSE), 0) *
    (LEN($G34:$T34) &gt; 0)
)</f>
        <v>1</v>
      </c>
      <c r="AD34" cm="1">
        <f t="array" ref="AD34">SUMPRODUCT(
    IFERROR(VLOOKUP($G34:$T34, $B$87:$X$981,MATCH(AD$25,$B$87:$X$87,0), FALSE), 0) *
    (LEN($G34:$T34) &gt; 0)
)+IFERROR(VLOOKUP($A34,$A$88:$X$981,MATCH(AD$25,$A$87:$X$87,0), FALSE), 0) *
    (LEN($A34) &gt; 0)</f>
        <v>0</v>
      </c>
      <c r="AE34" cm="1">
        <f t="array" ref="AE34">SUMPRODUCT(
    IFERROR(VLOOKUP($G34:$T34, $B$87:$X$981,MATCH(AE$25,$B$87:$X$87,0), FALSE), 0) *
    (LEN($G34:$T34) &gt; 0)
)+IFERROR(VLOOKUP($A34,$A$88:$X$981,MATCH(AE$25,$A$87:$X$87,0), FALSE), 0) *
    (LEN($A34) &gt; 0)</f>
        <v>0</v>
      </c>
      <c r="AF34" cm="1">
        <f t="array" ref="AF34">SUMPRODUCT(
    IFERROR(VLOOKUP($G34:$T34, $B$87:$X$981,MATCH(AF$25,$B$87:$X$87,0), FALSE), 0) *
    (LEN($G34:$T34) &gt; 0)
)+IFERROR(VLOOKUP($A34,$A$88:$X$981,MATCH(AF$25,$A$87:$X$87,0), FALSE), 0) *
    (LEN($A34) &gt; 0)</f>
        <v>0</v>
      </c>
      <c r="AG34" cm="1">
        <f t="array" ref="AG34">SUMPRODUCT(
    IFERROR(VLOOKUP($G34:$T34, $B$87:$X$981,MATCH(AG$25,$B$87:$X$87,0), FALSE), 0) *
    (LEN($G34:$T34) &gt; 0)
)+IFERROR(VLOOKUP($A34,$A$88:$X$981,MATCH(AG$25,$A$87:$X$87,0), FALSE), 0) *
    (LEN($A34) &gt; 0)</f>
        <v>0</v>
      </c>
      <c r="AH34" cm="1">
        <f t="array" ref="AH34">SUMPRODUCT(
    IFERROR(VLOOKUP($G34:$T34, $B$87:$X$981,MATCH(AH$25,$B$87:$X$87,0), FALSE), 0) *
    (LEN($G34:$T34) &gt; 0)
)+IFERROR(VLOOKUP($A34,$A$88:$X$981,MATCH(AH$25,$A$87:$X$87,0), FALSE), 0) *
    (LEN($A34) &gt; 0)</f>
        <v>0</v>
      </c>
      <c r="AI34">
        <f t="shared" si="22"/>
        <v>1</v>
      </c>
      <c r="AJ34" cm="1">
        <f t="array" ref="AJ34">1+SUMPRODUCT(
    IFERROR(VLOOKUP($G34:$T34, $B$87:$X$981,MATCH(AJ$25,$B$87:$X$87,0), FALSE), 0) *
    (LEN($G34:$T34) &gt; 0)
)</f>
        <v>1</v>
      </c>
      <c r="AK34" cm="1">
        <f t="array" ref="AK34">1+SUMPRODUCT(
    IFERROR(VLOOKUP($G34:$T34, $B$87:$X$981,MATCH(AK$25,$B$87:$X$87,0), FALSE), 0) *
    (LEN($G34:$T34) &gt; 0)
)</f>
        <v>1</v>
      </c>
      <c r="AL34" cm="1">
        <f t="array" ref="AL34">1+SUMPRODUCT(
    IFERROR(VLOOKUP($G34:$T34, $B$87:$X$981,MATCH(AL$25,$B$87:$X$87,0), FALSE), 0) *
    (LEN($G34:$T34) &gt; 0)
)</f>
        <v>1</v>
      </c>
      <c r="AM34" cm="1">
        <f t="array" ref="AM34">1+SUMPRODUCT(
    IFERROR(VLOOKUP($G34:$T34, $B$87:$X$981,MATCH(AM$25,$B$87:$X$87,0), FALSE), 0) *
    (LEN($G34:$T34) &gt; 0)
)</f>
        <v>1</v>
      </c>
      <c r="AN34" cm="1">
        <f t="array" ref="AN34">1+SUMPRODUCT(
    IFERROR(VLOOKUP($G34:$T34, $B$87:$X$981,MATCH(AN$25,$B$87:$X$87,0), FALSE), 0) *
    (LEN($G34:$T34) &gt; 0)
)</f>
        <v>1</v>
      </c>
      <c r="AO34">
        <f t="shared" si="27"/>
        <v>1</v>
      </c>
      <c r="AQ34">
        <f t="shared" si="28"/>
        <v>0.5</v>
      </c>
    </row>
    <row r="35" spans="2:43" x14ac:dyDescent="0.25">
      <c r="B35">
        <f t="shared" si="23"/>
        <v>0</v>
      </c>
      <c r="C35">
        <f t="shared" si="24"/>
        <v>0</v>
      </c>
      <c r="D35">
        <f t="shared" si="25"/>
        <v>0</v>
      </c>
      <c r="E35" s="36" t="e">
        <f>表2_5469[[#This Row],[列3]]/$C$62</f>
        <v>#DIV/0!</v>
      </c>
      <c r="F35" t="s">
        <v>791</v>
      </c>
      <c r="U35">
        <f t="shared" si="19"/>
        <v>0</v>
      </c>
      <c r="V35" cm="1">
        <f t="array" ref="V35" xml:space="preserve"> IFERROR(VLOOKUP($A35,$A$86:$X$981,MATCH(V$25,$A$87:$J$87,0), FALSE), 0) *
    (LEN($A35) &gt; 0)+SUMPRODUCT(
    IFERROR(VLOOKUP($G35:$T35, $B$87:$X$981,MATCH(V$25,$B$87:$X$87,0), FALSE), 0) *
    (LEN($G35:$T35) &gt; 0)
)</f>
        <v>0</v>
      </c>
      <c r="W35">
        <f t="shared" si="20"/>
        <v>0</v>
      </c>
      <c r="X35">
        <f t="shared" si="20"/>
        <v>0</v>
      </c>
      <c r="Y35">
        <f t="shared" si="26"/>
        <v>0</v>
      </c>
      <c r="Z35">
        <f t="shared" si="21"/>
        <v>0</v>
      </c>
      <c r="AA35" cm="1">
        <f t="array" ref="AA35" xml:space="preserve"> IFERROR(VLOOKUP($A35,$A$86:$X$981,MATCH(AA$25,$A$87:$J$87,0), FALSE), 0) *
    (LEN($A35) &gt; 0)+SUMPRODUCT(
    IFERROR(VLOOKUP($G35:$T35, $B$87:$X$981,MATCH(AA$25,$B$87:$X$87,0), FALSE), 0) *
    (LEN($G35:$T35) &gt; 0)
)</f>
        <v>0</v>
      </c>
      <c r="AB35" cm="1">
        <f t="array" ref="AB35">1+SUMPRODUCT(
    IFERROR(VLOOKUP($G35:$T35, $B$87:$X$981,MATCH(AB$25,$B$87:$X$87,0), FALSE), 0) *
    (LEN($G35:$T35) &gt; 0)
)+IFERROR(VLOOKUP($A35,$A$87:$X$981,MATCH(AB$25,$A$87:$J$87,0), FALSE), 0) *
    (LEN($A35) &gt; 0)</f>
        <v>1</v>
      </c>
      <c r="AC35" cm="1">
        <f t="array" ref="AC35">1+SUMPRODUCT(
    IFERROR(VLOOKUP($G35:$T35, $B$87:$X$981,MATCH(AC$25,$B$87:$X$87,0), FALSE), 0) *
    (LEN($G35:$T35) &gt; 0)
)</f>
        <v>1</v>
      </c>
      <c r="AD35" cm="1">
        <f t="array" ref="AD35">SUMPRODUCT(
    IFERROR(VLOOKUP($G35:$T35, $B$87:$X$981,MATCH(AD$25,$B$87:$X$87,0), FALSE), 0) *
    (LEN($G35:$T35) &gt; 0)
)+IFERROR(VLOOKUP($A35,$A$88:$X$981,MATCH(AD$25,$A$87:$X$87,0), FALSE), 0) *
    (LEN($A35) &gt; 0)</f>
        <v>0</v>
      </c>
      <c r="AE35" cm="1">
        <f t="array" ref="AE35">SUMPRODUCT(
    IFERROR(VLOOKUP($G35:$T35, $B$87:$X$981,MATCH(AE$25,$B$87:$X$87,0), FALSE), 0) *
    (LEN($G35:$T35) &gt; 0)
)+IFERROR(VLOOKUP($A35,$A$88:$X$981,MATCH(AE$25,$A$87:$X$87,0), FALSE), 0) *
    (LEN($A35) &gt; 0)</f>
        <v>0</v>
      </c>
      <c r="AF35" cm="1">
        <f t="array" ref="AF35">SUMPRODUCT(
    IFERROR(VLOOKUP($G35:$T35, $B$87:$X$981,MATCH(AF$25,$B$87:$X$87,0), FALSE), 0) *
    (LEN($G35:$T35) &gt; 0)
)+IFERROR(VLOOKUP($A35,$A$88:$X$981,MATCH(AF$25,$A$87:$X$87,0), FALSE), 0) *
    (LEN($A35) &gt; 0)</f>
        <v>0</v>
      </c>
      <c r="AG35" cm="1">
        <f t="array" ref="AG35">SUMPRODUCT(
    IFERROR(VLOOKUP($G35:$T35, $B$87:$X$981,MATCH(AG$25,$B$87:$X$87,0), FALSE), 0) *
    (LEN($G35:$T35) &gt; 0)
)+IFERROR(VLOOKUP($A35,$A$88:$X$981,MATCH(AG$25,$A$87:$X$87,0), FALSE), 0) *
    (LEN($A35) &gt; 0)</f>
        <v>0</v>
      </c>
      <c r="AH35" cm="1">
        <f t="array" ref="AH35">SUMPRODUCT(
    IFERROR(VLOOKUP($G35:$T35, $B$87:$X$981,MATCH(AH$25,$B$87:$X$87,0), FALSE), 0) *
    (LEN($G35:$T35) &gt; 0)
)+IFERROR(VLOOKUP($A35,$A$88:$X$981,MATCH(AH$25,$A$87:$X$87,0), FALSE), 0) *
    (LEN($A35) &gt; 0)</f>
        <v>0</v>
      </c>
      <c r="AI35">
        <f t="shared" si="22"/>
        <v>1</v>
      </c>
      <c r="AJ35" cm="1">
        <f t="array" ref="AJ35">1+SUMPRODUCT(
    IFERROR(VLOOKUP($G35:$T35, $B$87:$X$981,MATCH(AJ$25,$B$87:$X$87,0), FALSE), 0) *
    (LEN($G35:$T35) &gt; 0)
)</f>
        <v>1</v>
      </c>
      <c r="AK35" cm="1">
        <f t="array" ref="AK35">1+SUMPRODUCT(
    IFERROR(VLOOKUP($G35:$T35, $B$87:$X$981,MATCH(AK$25,$B$87:$X$87,0), FALSE), 0) *
    (LEN($G35:$T35) &gt; 0)
)</f>
        <v>1</v>
      </c>
      <c r="AL35" cm="1">
        <f t="array" ref="AL35">1+SUMPRODUCT(
    IFERROR(VLOOKUP($G35:$T35, $B$87:$X$981,MATCH(AL$25,$B$87:$X$87,0), FALSE), 0) *
    (LEN($G35:$T35) &gt; 0)
)</f>
        <v>1</v>
      </c>
      <c r="AM35" cm="1">
        <f t="array" ref="AM35">1+SUMPRODUCT(
    IFERROR(VLOOKUP($G35:$T35, $B$87:$X$981,MATCH(AM$25,$B$87:$X$87,0), FALSE), 0) *
    (LEN($G35:$T35) &gt; 0)
)</f>
        <v>1</v>
      </c>
      <c r="AN35" cm="1">
        <f t="array" ref="AN35">1+SUMPRODUCT(
    IFERROR(VLOOKUP($G35:$T35, $B$87:$X$981,MATCH(AN$25,$B$87:$X$87,0), FALSE), 0) *
    (LEN($G35:$T35) &gt; 0)
)</f>
        <v>1</v>
      </c>
      <c r="AO35">
        <f t="shared" si="27"/>
        <v>1</v>
      </c>
      <c r="AQ35">
        <f t="shared" si="28"/>
        <v>0.5</v>
      </c>
    </row>
    <row r="36" spans="2:43" x14ac:dyDescent="0.25">
      <c r="B36">
        <f t="shared" si="23"/>
        <v>0</v>
      </c>
      <c r="C36">
        <f t="shared" si="24"/>
        <v>0</v>
      </c>
      <c r="D36">
        <f t="shared" si="25"/>
        <v>0</v>
      </c>
      <c r="E36" s="36" t="e">
        <f>表2_5469[[#This Row],[列3]]/$C$62</f>
        <v>#DIV/0!</v>
      </c>
      <c r="F36" t="s">
        <v>791</v>
      </c>
      <c r="U36">
        <f t="shared" si="19"/>
        <v>0</v>
      </c>
      <c r="V36" cm="1">
        <f t="array" ref="V36" xml:space="preserve"> IFERROR(VLOOKUP($A36,$A$86:$X$981,MATCH(V$25,$A$87:$J$87,0), FALSE), 0) *
    (LEN($A36) &gt; 0)+SUMPRODUCT(
    IFERROR(VLOOKUP($G36:$T36, $B$87:$X$981,MATCH(V$25,$B$87:$X$87,0), FALSE), 0) *
    (LEN($G36:$T36) &gt; 0)
)</f>
        <v>0</v>
      </c>
      <c r="W36">
        <f t="shared" si="20"/>
        <v>0</v>
      </c>
      <c r="X36">
        <f t="shared" si="20"/>
        <v>0</v>
      </c>
      <c r="Y36">
        <f t="shared" si="26"/>
        <v>0</v>
      </c>
      <c r="Z36">
        <f t="shared" si="21"/>
        <v>0</v>
      </c>
      <c r="AA36" cm="1">
        <f t="array" ref="AA36" xml:space="preserve"> IFERROR(VLOOKUP($A36,$A$86:$X$981,MATCH(AA$25,$A$87:$J$87,0), FALSE), 0) *
    (LEN($A36) &gt; 0)+SUMPRODUCT(
    IFERROR(VLOOKUP($G36:$T36, $B$87:$X$981,MATCH(AA$25,$B$87:$X$87,0), FALSE), 0) *
    (LEN($G36:$T36) &gt; 0)
)</f>
        <v>0</v>
      </c>
      <c r="AB36" cm="1">
        <f t="array" ref="AB36">1+SUMPRODUCT(
    IFERROR(VLOOKUP($G36:$T36, $B$87:$X$981,MATCH(AB$25,$B$87:$X$87,0), FALSE), 0) *
    (LEN($G36:$T36) &gt; 0)
)+IFERROR(VLOOKUP($A36,$A$87:$X$981,MATCH(AB$25,$A$87:$J$87,0), FALSE), 0) *
    (LEN($A36) &gt; 0)</f>
        <v>1</v>
      </c>
      <c r="AC36" cm="1">
        <f t="array" ref="AC36">1+SUMPRODUCT(
    IFERROR(VLOOKUP($G36:$T36, $B$87:$X$981,MATCH(AC$25,$B$87:$X$87,0), FALSE), 0) *
    (LEN($G36:$T36) &gt; 0)
)</f>
        <v>1</v>
      </c>
      <c r="AD36" cm="1">
        <f t="array" ref="AD36">SUMPRODUCT(
    IFERROR(VLOOKUP($G36:$T36, $B$87:$X$981,MATCH(AD$25,$B$87:$X$87,0), FALSE), 0) *
    (LEN($G36:$T36) &gt; 0)
)+IFERROR(VLOOKUP($A36,$A$88:$X$981,MATCH(AD$25,$A$87:$X$87,0), FALSE), 0) *
    (LEN($A36) &gt; 0)</f>
        <v>0</v>
      </c>
      <c r="AE36" cm="1">
        <f t="array" ref="AE36">SUMPRODUCT(
    IFERROR(VLOOKUP($G36:$T36, $B$87:$X$981,MATCH(AE$25,$B$87:$X$87,0), FALSE), 0) *
    (LEN($G36:$T36) &gt; 0)
)+IFERROR(VLOOKUP($A36,$A$88:$X$981,MATCH(AE$25,$A$87:$X$87,0), FALSE), 0) *
    (LEN($A36) &gt; 0)</f>
        <v>0</v>
      </c>
      <c r="AF36" cm="1">
        <f t="array" ref="AF36">SUMPRODUCT(
    IFERROR(VLOOKUP($G36:$T36, $B$87:$X$981,MATCH(AF$25,$B$87:$X$87,0), FALSE), 0) *
    (LEN($G36:$T36) &gt; 0)
)+IFERROR(VLOOKUP($A36,$A$88:$X$981,MATCH(AF$25,$A$87:$X$87,0), FALSE), 0) *
    (LEN($A36) &gt; 0)</f>
        <v>0</v>
      </c>
      <c r="AG36" cm="1">
        <f t="array" ref="AG36">SUMPRODUCT(
    IFERROR(VLOOKUP($G36:$T36, $B$87:$X$981,MATCH(AG$25,$B$87:$X$87,0), FALSE), 0) *
    (LEN($G36:$T36) &gt; 0)
)+IFERROR(VLOOKUP($A36,$A$88:$X$981,MATCH(AG$25,$A$87:$X$87,0), FALSE), 0) *
    (LEN($A36) &gt; 0)</f>
        <v>0</v>
      </c>
      <c r="AH36" cm="1">
        <f t="array" ref="AH36">SUMPRODUCT(
    IFERROR(VLOOKUP($G36:$T36, $B$87:$X$981,MATCH(AH$25,$B$87:$X$87,0), FALSE), 0) *
    (LEN($G36:$T36) &gt; 0)
)+IFERROR(VLOOKUP($A36,$A$88:$X$981,MATCH(AH$25,$A$87:$X$87,0), FALSE), 0) *
    (LEN($A36) &gt; 0)</f>
        <v>0</v>
      </c>
      <c r="AI36">
        <f t="shared" si="22"/>
        <v>1</v>
      </c>
      <c r="AJ36" cm="1">
        <f t="array" ref="AJ36">1+SUMPRODUCT(
    IFERROR(VLOOKUP($G36:$T36, $B$87:$X$981,MATCH(AJ$25,$B$87:$X$87,0), FALSE), 0) *
    (LEN($G36:$T36) &gt; 0)
)</f>
        <v>1</v>
      </c>
      <c r="AK36" cm="1">
        <f t="array" ref="AK36">1+SUMPRODUCT(
    IFERROR(VLOOKUP($G36:$T36, $B$87:$X$981,MATCH(AK$25,$B$87:$X$87,0), FALSE), 0) *
    (LEN($G36:$T36) &gt; 0)
)</f>
        <v>1</v>
      </c>
      <c r="AL36" cm="1">
        <f t="array" ref="AL36">1+SUMPRODUCT(
    IFERROR(VLOOKUP($G36:$T36, $B$87:$X$981,MATCH(AL$25,$B$87:$X$87,0), FALSE), 0) *
    (LEN($G36:$T36) &gt; 0)
)</f>
        <v>1</v>
      </c>
      <c r="AM36" cm="1">
        <f t="array" ref="AM36">1+SUMPRODUCT(
    IFERROR(VLOOKUP($G36:$T36, $B$87:$X$981,MATCH(AM$25,$B$87:$X$87,0), FALSE), 0) *
    (LEN($G36:$T36) &gt; 0)
)</f>
        <v>1</v>
      </c>
      <c r="AN36" cm="1">
        <f t="array" ref="AN36">1+SUMPRODUCT(
    IFERROR(VLOOKUP($G36:$T36, $B$87:$X$981,MATCH(AN$25,$B$87:$X$87,0), FALSE), 0) *
    (LEN($G36:$T36) &gt; 0)
)</f>
        <v>1</v>
      </c>
      <c r="AO36">
        <f t="shared" si="27"/>
        <v>1</v>
      </c>
      <c r="AQ36">
        <f t="shared" si="28"/>
        <v>0.5</v>
      </c>
    </row>
    <row r="37" spans="2:43" x14ac:dyDescent="0.25">
      <c r="B37">
        <f>PRODUCT(Y37:Z37,AC37,AI37:AS37)</f>
        <v>0</v>
      </c>
      <c r="C37">
        <f t="shared" si="24"/>
        <v>0</v>
      </c>
      <c r="D37">
        <f>PRODUCT(Y37:Z37,AB37:AC37,AI37:AS37)</f>
        <v>0</v>
      </c>
      <c r="E37" s="36" t="e">
        <f>表2_5469[[#This Row],[列3]]/$C$62</f>
        <v>#DIV/0!</v>
      </c>
      <c r="F37" t="s">
        <v>791</v>
      </c>
      <c r="U37">
        <f t="shared" si="19"/>
        <v>0</v>
      </c>
      <c r="V37" cm="1">
        <f t="array" ref="V37" xml:space="preserve"> IFERROR(VLOOKUP($A37,$A$86:$X$981,MATCH(V$25,$A$87:$J$87,0), FALSE), 0) *
    (LEN($A37) &gt; 0)+SUMPRODUCT(
    IFERROR(VLOOKUP($G37:$T37, $B$87:$X$981,MATCH(V$25,$B$87:$X$87,0), FALSE), 0) *
    (LEN($G37:$T37) &gt; 0)
)</f>
        <v>0</v>
      </c>
      <c r="W37">
        <f t="shared" si="20"/>
        <v>0</v>
      </c>
      <c r="X37">
        <f t="shared" si="20"/>
        <v>0</v>
      </c>
      <c r="Y37">
        <f>(U37*(1+V37)+W37)*(1+X37)</f>
        <v>0</v>
      </c>
      <c r="Z37">
        <f t="shared" si="21"/>
        <v>0</v>
      </c>
      <c r="AA37" cm="1">
        <f t="array" ref="AA37" xml:space="preserve"> IFERROR(VLOOKUP($A37,$A$86:$X$981,MATCH(AA$25,$A$87:$J$87,0), FALSE), 0) *
    (LEN($A37) &gt; 0)+SUMPRODUCT(
    IFERROR(VLOOKUP($G37:$T37, $B$87:$X$981,MATCH(AA$25,$B$87:$X$87,0), FALSE), 0) *
    (LEN($G37:$T37) &gt; 0)
)</f>
        <v>0</v>
      </c>
      <c r="AB37" cm="1">
        <f t="array" ref="AB37">1+SUMPRODUCT(
    IFERROR(VLOOKUP($G37:$T37, $B$87:$X$981,MATCH(AB$25,$B$87:$X$87,0), FALSE), 0) *
    (LEN($G37:$T37) &gt; 0)
)+IFERROR(VLOOKUP($A37,$A$87:$X$981,MATCH(AB$25,$A$87:$J$87,0), FALSE), 0) *
    (LEN($A37) &gt; 0)</f>
        <v>1</v>
      </c>
      <c r="AC37" cm="1">
        <f t="array" ref="AC37">1+SUMPRODUCT(
    IFERROR(VLOOKUP($G37:$T37, $B$87:$X$981,MATCH(AC$25,$B$87:$X$87,0), FALSE), 0) *
    (LEN($G37:$T37) &gt; 0)
)</f>
        <v>1</v>
      </c>
      <c r="AD37" cm="1">
        <f t="array" ref="AD37">SUMPRODUCT(
    IFERROR(VLOOKUP($G37:$T37, $B$87:$X$981,MATCH(AD$25,$B$87:$X$87,0), FALSE), 0) *
    (LEN($G37:$T37) &gt; 0)
)+IFERROR(VLOOKUP($A37,$A$88:$X$981,MATCH(AD$25,$A$87:$X$87,0), FALSE), 0) *
    (LEN($A37) &gt; 0)</f>
        <v>0</v>
      </c>
      <c r="AE37" cm="1">
        <f t="array" ref="AE37">SUMPRODUCT(
    IFERROR(VLOOKUP($G37:$T37, $B$87:$X$981,MATCH(AE$25,$B$87:$X$87,0), FALSE), 0) *
    (LEN($G37:$T37) &gt; 0)
)+IFERROR(VLOOKUP($A37,$A$88:$X$981,MATCH(AE$25,$A$87:$X$87,0), FALSE), 0) *
    (LEN($A37) &gt; 0)</f>
        <v>0</v>
      </c>
      <c r="AF37" cm="1">
        <f t="array" ref="AF37">SUMPRODUCT(
    IFERROR(VLOOKUP($G37:$T37, $B$87:$X$981,MATCH(AF$25,$B$87:$X$87,0), FALSE), 0) *
    (LEN($G37:$T37) &gt; 0)
)+IFERROR(VLOOKUP($A37,$A$88:$X$981,MATCH(AF$25,$A$87:$X$87,0), FALSE), 0) *
    (LEN($A37) &gt; 0)</f>
        <v>0</v>
      </c>
      <c r="AG37" cm="1">
        <f t="array" ref="AG37">SUMPRODUCT(
    IFERROR(VLOOKUP($G37:$T37, $B$87:$X$981,MATCH(AG$25,$B$87:$X$87,0), FALSE), 0) *
    (LEN($G37:$T37) &gt; 0)
)+IFERROR(VLOOKUP($A37,$A$88:$X$981,MATCH(AG$25,$A$87:$X$87,0), FALSE), 0) *
    (LEN($A37) &gt; 0)</f>
        <v>0</v>
      </c>
      <c r="AH37" cm="1">
        <f t="array" ref="AH37">SUMPRODUCT(
    IFERROR(VLOOKUP($G37:$T37, $B$87:$X$981,MATCH(AH$25,$B$87:$X$87,0), FALSE), 0) *
    (LEN($G37:$T37) &gt; 0)
)+IFERROR(VLOOKUP($A37,$A$88:$X$981,MATCH(AH$25,$A$87:$X$87,0), FALSE), 0) *
    (LEN($A37) &gt; 0)</f>
        <v>0</v>
      </c>
      <c r="AI37">
        <f>1+AD37+IFERROR(HLOOKUP(RIGHT($A37,2),$AE$25:$AH$80,ROW()-1, FALSE), 0) *
    (LEN($A37) &gt; 0)</f>
        <v>1</v>
      </c>
      <c r="AJ37" cm="1">
        <f t="array" ref="AJ37">1+SUMPRODUCT(
    IFERROR(VLOOKUP($G37:$T37, $B$87:$X$981,MATCH(AJ$25,$B$87:$X$87,0), FALSE), 0) *
    (LEN($G37:$T37) &gt; 0)
)</f>
        <v>1</v>
      </c>
      <c r="AK37" cm="1">
        <f t="array" ref="AK37">1+SUMPRODUCT(
    IFERROR(VLOOKUP($G37:$T37, $B$87:$X$981,MATCH(AK$25,$B$87:$X$87,0), FALSE), 0) *
    (LEN($G37:$T37) &gt; 0)
)</f>
        <v>1</v>
      </c>
      <c r="AL37" cm="1">
        <f t="array" ref="AL37">1+SUMPRODUCT(
    IFERROR(VLOOKUP($G37:$T37, $B$87:$X$981,MATCH(AL$25,$B$87:$X$87,0), FALSE), 0) *
    (LEN($G37:$T37) &gt; 0)
)</f>
        <v>1</v>
      </c>
      <c r="AM37" cm="1">
        <f t="array" ref="AM37">1+SUMPRODUCT(
    IFERROR(VLOOKUP($G37:$T37, $B$87:$X$981,MATCH(AM$25,$B$87:$X$87,0), FALSE), 0) *
    (LEN($G37:$T37) &gt; 0)
)</f>
        <v>1</v>
      </c>
      <c r="AN37" cm="1">
        <f t="array" ref="AN37">1+SUMPRODUCT(
    IFERROR(VLOOKUP($G37:$T37, $B$87:$X$981,MATCH(AN$25,$B$87:$X$87,0), FALSE), 0) *
    (LEN($G37:$T37) &gt; 0)
)</f>
        <v>1</v>
      </c>
      <c r="AO37">
        <f>IF($F37="是",1.3,1)</f>
        <v>1</v>
      </c>
      <c r="AQ37">
        <f>0.5</f>
        <v>0.5</v>
      </c>
    </row>
    <row r="38" spans="2:43" ht="14.4" customHeight="1" x14ac:dyDescent="0.25">
      <c r="B38">
        <f t="shared" ref="B38:B57" si="29">PRODUCT(Y38:Z38,AC38,AI38:AS38)</f>
        <v>0</v>
      </c>
      <c r="C38">
        <f t="shared" si="24"/>
        <v>0</v>
      </c>
      <c r="D38">
        <f t="shared" ref="D38:D57" si="30">PRODUCT(Y38:Z38,AB38:AC38,AI38:AS38)</f>
        <v>0</v>
      </c>
      <c r="E38" s="36" t="e">
        <f>表2_5469[[#This Row],[列3]]/$C$62</f>
        <v>#DIV/0!</v>
      </c>
      <c r="F38" t="s">
        <v>791</v>
      </c>
      <c r="U38">
        <f t="shared" si="19"/>
        <v>0</v>
      </c>
      <c r="V38" cm="1">
        <f t="array" ref="V38" xml:space="preserve"> IFERROR(VLOOKUP($A38,$A$86:$X$981,MATCH(V$25,$A$87:$J$87,0), FALSE), 0) *
    (LEN($A38) &gt; 0)+SUMPRODUCT(
    IFERROR(VLOOKUP($G38:$T38, $B$87:$X$981,MATCH(V$25,$B$87:$X$87,0), FALSE), 0) *
    (LEN($G38:$T38) &gt; 0)
)</f>
        <v>0</v>
      </c>
      <c r="W38">
        <f t="shared" si="20"/>
        <v>0</v>
      </c>
      <c r="X38">
        <f t="shared" si="20"/>
        <v>0</v>
      </c>
      <c r="Y38">
        <f t="shared" ref="Y38:Y57" si="31">(U38*(1+V38)+W38)*(1+X38)</f>
        <v>0</v>
      </c>
      <c r="Z38">
        <f t="shared" si="21"/>
        <v>0</v>
      </c>
      <c r="AA38" cm="1">
        <f t="array" ref="AA38" xml:space="preserve"> IFERROR(VLOOKUP($A38,$A$86:$X$981,MATCH(AA$25,$A$87:$J$87,0), FALSE), 0) *
    (LEN($A38) &gt; 0)+SUMPRODUCT(
    IFERROR(VLOOKUP($G38:$T38, $B$87:$X$981,MATCH(AA$25,$B$87:$X$87,0), FALSE), 0) *
    (LEN($G38:$T38) &gt; 0)
)</f>
        <v>0</v>
      </c>
      <c r="AB38" cm="1">
        <f t="array" ref="AB38">1+SUMPRODUCT(
    IFERROR(VLOOKUP($G38:$T38, $B$87:$X$981,MATCH(AB$25,$B$87:$X$87,0), FALSE), 0) *
    (LEN($G38:$T38) &gt; 0)
)+IFERROR(VLOOKUP($A38,$A$87:$X$981,MATCH(AB$25,$A$87:$J$87,0), FALSE), 0) *
    (LEN($A38) &gt; 0)</f>
        <v>1</v>
      </c>
      <c r="AC38" cm="1">
        <f t="array" ref="AC38">1+SUMPRODUCT(
    IFERROR(VLOOKUP($G38:$T38, $B$87:$X$981,MATCH(AC$25,$B$87:$X$87,0), FALSE), 0) *
    (LEN($G38:$T38) &gt; 0)
)</f>
        <v>1</v>
      </c>
      <c r="AD38" cm="1">
        <f t="array" ref="AD38">SUMPRODUCT(
    IFERROR(VLOOKUP($G38:$T38, $B$87:$X$981,MATCH(AD$25,$B$87:$X$87,0), FALSE), 0) *
    (LEN($G38:$T38) &gt; 0)
)+IFERROR(VLOOKUP($A38,$A$88:$X$981,MATCH(AD$25,$A$87:$X$87,0), FALSE), 0) *
    (LEN($A38) &gt; 0)</f>
        <v>0</v>
      </c>
      <c r="AE38" cm="1">
        <f t="array" ref="AE38">SUMPRODUCT(
    IFERROR(VLOOKUP($G38:$T38, $B$87:$X$981,MATCH(AE$25,$B$87:$X$87,0), FALSE), 0) *
    (LEN($G38:$T38) &gt; 0)
)+IFERROR(VLOOKUP($A38,$A$88:$X$981,MATCH(AE$25,$A$87:$X$87,0), FALSE), 0) *
    (LEN($A38) &gt; 0)</f>
        <v>0</v>
      </c>
      <c r="AF38" cm="1">
        <f t="array" ref="AF38">SUMPRODUCT(
    IFERROR(VLOOKUP($G38:$T38, $B$87:$X$981,MATCH(AF$25,$B$87:$X$87,0), FALSE), 0) *
    (LEN($G38:$T38) &gt; 0)
)+IFERROR(VLOOKUP($A38,$A$88:$X$981,MATCH(AF$25,$A$87:$X$87,0), FALSE), 0) *
    (LEN($A38) &gt; 0)</f>
        <v>0</v>
      </c>
      <c r="AG38" cm="1">
        <f t="array" ref="AG38">SUMPRODUCT(
    IFERROR(VLOOKUP($G38:$T38, $B$87:$X$981,MATCH(AG$25,$B$87:$X$87,0), FALSE), 0) *
    (LEN($G38:$T38) &gt; 0)
)+IFERROR(VLOOKUP($A38,$A$88:$X$981,MATCH(AG$25,$A$87:$X$87,0), FALSE), 0) *
    (LEN($A38) &gt; 0)</f>
        <v>0</v>
      </c>
      <c r="AH38" cm="1">
        <f t="array" ref="AH38">SUMPRODUCT(
    IFERROR(VLOOKUP($G38:$T38, $B$87:$X$981,MATCH(AH$25,$B$87:$X$87,0), FALSE), 0) *
    (LEN($G38:$T38) &gt; 0)
)+IFERROR(VLOOKUP($A38,$A$88:$X$981,MATCH(AH$25,$A$87:$X$87,0), FALSE), 0) *
    (LEN($A38) &gt; 0)</f>
        <v>0</v>
      </c>
      <c r="AI38">
        <f t="shared" ref="AI38:AI57" si="32">1 + AD38 + IF(
    LEN($A38) &gt; 0,
    IFERROR(
        HLOOKUP(RIGHT($A38,2), $AE$25:$AH$80, ROW()-ROW($AE$25) + 1, FALSE),
        0
    ),
    0
)</f>
        <v>1</v>
      </c>
      <c r="AJ38" cm="1">
        <f t="array" ref="AJ38">1+SUMPRODUCT(
    IFERROR(VLOOKUP($G38:$T38, $B$87:$X$981,MATCH(AJ$25,$B$87:$X$87,0), FALSE), 0) *
    (LEN($G38:$T38) &gt; 0)
)</f>
        <v>1</v>
      </c>
      <c r="AK38" cm="1">
        <f t="array" ref="AK38">1+SUMPRODUCT(
    IFERROR(VLOOKUP($G38:$T38, $B$87:$X$981,MATCH(AK$25,$B$87:$X$87,0), FALSE), 0) *
    (LEN($G38:$T38) &gt; 0)
)</f>
        <v>1</v>
      </c>
      <c r="AL38" cm="1">
        <f t="array" ref="AL38">1+SUMPRODUCT(
    IFERROR(VLOOKUP($G38:$T38, $B$87:$X$981,MATCH(AL$25,$B$87:$X$87,0), FALSE), 0) *
    (LEN($G38:$T38) &gt; 0)
)</f>
        <v>1</v>
      </c>
      <c r="AM38" cm="1">
        <f t="array" ref="AM38">1+SUMPRODUCT(
    IFERROR(VLOOKUP($G38:$T38, $B$87:$X$981,MATCH(AM$25,$B$87:$X$87,0), FALSE), 0) *
    (LEN($G38:$T38) &gt; 0)
)</f>
        <v>1</v>
      </c>
      <c r="AN38" cm="1">
        <f t="array" ref="AN38">1+SUMPRODUCT(
    IFERROR(VLOOKUP($G38:$T38, $B$87:$X$981,MATCH(AN$25,$B$87:$X$87,0), FALSE), 0) *
    (LEN($G38:$T38) &gt; 0)
)</f>
        <v>1</v>
      </c>
      <c r="AO38">
        <f t="shared" ref="AO38:AO57" si="33">IF($F38="是",1.3,1)</f>
        <v>1</v>
      </c>
      <c r="AQ38">
        <f t="shared" ref="AQ38:AQ57" si="34">0.5</f>
        <v>0.5</v>
      </c>
    </row>
    <row r="39" spans="2:43" x14ac:dyDescent="0.25">
      <c r="B39">
        <f t="shared" si="29"/>
        <v>0</v>
      </c>
      <c r="C39">
        <f t="shared" si="24"/>
        <v>0</v>
      </c>
      <c r="D39">
        <f t="shared" si="30"/>
        <v>0</v>
      </c>
      <c r="E39" s="36" t="e">
        <f>表2_5469[[#This Row],[列3]]/$C$62</f>
        <v>#DIV/0!</v>
      </c>
      <c r="F39" t="s">
        <v>791</v>
      </c>
      <c r="U39">
        <f t="shared" si="19"/>
        <v>0</v>
      </c>
      <c r="V39" cm="1">
        <f t="array" ref="V39" xml:space="preserve"> IFERROR(VLOOKUP($A39,$A$86:$X$981,MATCH(V$25,$A$87:$J$87,0), FALSE), 0) *
    (LEN($A39) &gt; 0)+SUMPRODUCT(
    IFERROR(VLOOKUP($G39:$T39, $B$87:$X$981,MATCH(V$25,$B$87:$X$87,0), FALSE), 0) *
    (LEN($G39:$T39) &gt; 0)
)</f>
        <v>0</v>
      </c>
      <c r="W39">
        <f t="shared" si="20"/>
        <v>0</v>
      </c>
      <c r="X39">
        <f t="shared" si="20"/>
        <v>0</v>
      </c>
      <c r="Y39">
        <f t="shared" si="31"/>
        <v>0</v>
      </c>
      <c r="Z39">
        <f t="shared" si="21"/>
        <v>0</v>
      </c>
      <c r="AA39" cm="1">
        <f t="array" ref="AA39" xml:space="preserve"> IFERROR(VLOOKUP($A39,$A$86:$X$981,MATCH(AA$25,$A$87:$J$87,0), FALSE), 0) *
    (LEN($A39) &gt; 0)+SUMPRODUCT(
    IFERROR(VLOOKUP($G39:$T39, $B$87:$X$981,MATCH(AA$25,$B$87:$X$87,0), FALSE), 0) *
    (LEN($G39:$T39) &gt; 0)
)</f>
        <v>0</v>
      </c>
      <c r="AB39" cm="1">
        <f t="array" ref="AB39">1+SUMPRODUCT(
    IFERROR(VLOOKUP($G39:$T39, $B$87:$X$981,MATCH(AB$25,$B$87:$X$87,0), FALSE), 0) *
    (LEN($G39:$T39) &gt; 0)
)+IFERROR(VLOOKUP($A39,$A$87:$X$981,MATCH(AB$25,$A$87:$J$87,0), FALSE), 0) *
    (LEN($A39) &gt; 0)</f>
        <v>1</v>
      </c>
      <c r="AC39" cm="1">
        <f t="array" ref="AC39">1+SUMPRODUCT(
    IFERROR(VLOOKUP($G39:$T39, $B$87:$X$981,MATCH(AC$25,$B$87:$X$87,0), FALSE), 0) *
    (LEN($G39:$T39) &gt; 0)
)</f>
        <v>1</v>
      </c>
      <c r="AD39" cm="1">
        <f t="array" ref="AD39">SUMPRODUCT(
    IFERROR(VLOOKUP($G39:$T39, $B$87:$X$981,MATCH(AD$25,$B$87:$X$87,0), FALSE), 0) *
    (LEN($G39:$T39) &gt; 0)
)+IFERROR(VLOOKUP($A39,$A$88:$X$981,MATCH(AD$25,$A$87:$X$87,0), FALSE), 0) *
    (LEN($A39) &gt; 0)</f>
        <v>0</v>
      </c>
      <c r="AE39" cm="1">
        <f t="array" ref="AE39">SUMPRODUCT(
    IFERROR(VLOOKUP($G39:$T39, $B$87:$X$981,MATCH(AE$25,$B$87:$X$87,0), FALSE), 0) *
    (LEN($G39:$T39) &gt; 0)
)+IFERROR(VLOOKUP($A39,$A$88:$X$981,MATCH(AE$25,$A$87:$X$87,0), FALSE), 0) *
    (LEN($A39) &gt; 0)</f>
        <v>0</v>
      </c>
      <c r="AF39" cm="1">
        <f t="array" ref="AF39">SUMPRODUCT(
    IFERROR(VLOOKUP($G39:$T39, $B$87:$X$981,MATCH(AF$25,$B$87:$X$87,0), FALSE), 0) *
    (LEN($G39:$T39) &gt; 0)
)+IFERROR(VLOOKUP($A39,$A$88:$X$981,MATCH(AF$25,$A$87:$X$87,0), FALSE), 0) *
    (LEN($A39) &gt; 0)</f>
        <v>0</v>
      </c>
      <c r="AG39" cm="1">
        <f t="array" ref="AG39">SUMPRODUCT(
    IFERROR(VLOOKUP($G39:$T39, $B$87:$X$981,MATCH(AG$25,$B$87:$X$87,0), FALSE), 0) *
    (LEN($G39:$T39) &gt; 0)
)+IFERROR(VLOOKUP($A39,$A$88:$X$981,MATCH(AG$25,$A$87:$X$87,0), FALSE), 0) *
    (LEN($A39) &gt; 0)</f>
        <v>0</v>
      </c>
      <c r="AH39" cm="1">
        <f t="array" ref="AH39">SUMPRODUCT(
    IFERROR(VLOOKUP($G39:$T39, $B$87:$X$981,MATCH(AH$25,$B$87:$X$87,0), FALSE), 0) *
    (LEN($G39:$T39) &gt; 0)
)+IFERROR(VLOOKUP($A39,$A$88:$X$981,MATCH(AH$25,$A$87:$X$87,0), FALSE), 0) *
    (LEN($A39) &gt; 0)</f>
        <v>0</v>
      </c>
      <c r="AI39">
        <f t="shared" si="32"/>
        <v>1</v>
      </c>
      <c r="AJ39" cm="1">
        <f t="array" ref="AJ39">1+SUMPRODUCT(
    IFERROR(VLOOKUP($G39:$T39, $B$87:$X$981,MATCH(AJ$25,$B$87:$X$87,0), FALSE), 0) *
    (LEN($G39:$T39) &gt; 0)
)</f>
        <v>1</v>
      </c>
      <c r="AK39" cm="1">
        <f t="array" ref="AK39">1+SUMPRODUCT(
    IFERROR(VLOOKUP($G39:$T39, $B$87:$X$981,MATCH(AK$25,$B$87:$X$87,0), FALSE), 0) *
    (LEN($G39:$T39) &gt; 0)
)</f>
        <v>1</v>
      </c>
      <c r="AL39" cm="1">
        <f t="array" ref="AL39">1+SUMPRODUCT(
    IFERROR(VLOOKUP($G39:$T39, $B$87:$X$981,MATCH(AL$25,$B$87:$X$87,0), FALSE), 0) *
    (LEN($G39:$T39) &gt; 0)
)</f>
        <v>1</v>
      </c>
      <c r="AM39" cm="1">
        <f t="array" ref="AM39">1+SUMPRODUCT(
    IFERROR(VLOOKUP($G39:$T39, $B$87:$X$981,MATCH(AM$25,$B$87:$X$87,0), FALSE), 0) *
    (LEN($G39:$T39) &gt; 0)
)</f>
        <v>1</v>
      </c>
      <c r="AN39" cm="1">
        <f t="array" ref="AN39">1+SUMPRODUCT(
    IFERROR(VLOOKUP($G39:$T39, $B$87:$X$981,MATCH(AN$25,$B$87:$X$87,0), FALSE), 0) *
    (LEN($G39:$T39) &gt; 0)
)</f>
        <v>1</v>
      </c>
      <c r="AO39">
        <f t="shared" si="33"/>
        <v>1</v>
      </c>
      <c r="AQ39">
        <f t="shared" si="34"/>
        <v>0.5</v>
      </c>
    </row>
    <row r="40" spans="2:43" x14ac:dyDescent="0.25">
      <c r="B40">
        <f t="shared" si="29"/>
        <v>0</v>
      </c>
      <c r="C40">
        <f t="shared" si="24"/>
        <v>0</v>
      </c>
      <c r="D40">
        <f t="shared" si="30"/>
        <v>0</v>
      </c>
      <c r="E40" s="36" t="e">
        <f>表2_5469[[#This Row],[列3]]/$C$62</f>
        <v>#DIV/0!</v>
      </c>
      <c r="F40" t="s">
        <v>791</v>
      </c>
      <c r="U40">
        <f t="shared" si="19"/>
        <v>0</v>
      </c>
      <c r="V40" cm="1">
        <f t="array" ref="V40" xml:space="preserve"> IFERROR(VLOOKUP($A40,$A$86:$X$981,MATCH(V$25,$A$87:$J$87,0), FALSE), 0) *
    (LEN($A40) &gt; 0)+SUMPRODUCT(
    IFERROR(VLOOKUP($G40:$T40, $B$87:$X$981,MATCH(V$25,$B$87:$X$87,0), FALSE), 0) *
    (LEN($G40:$T40) &gt; 0)
)</f>
        <v>0</v>
      </c>
      <c r="W40">
        <f t="shared" si="20"/>
        <v>0</v>
      </c>
      <c r="X40">
        <f t="shared" si="20"/>
        <v>0</v>
      </c>
      <c r="Y40">
        <f t="shared" si="31"/>
        <v>0</v>
      </c>
      <c r="Z40">
        <f t="shared" si="21"/>
        <v>0</v>
      </c>
      <c r="AA40" cm="1">
        <f t="array" ref="AA40" xml:space="preserve"> IFERROR(VLOOKUP($A40,$A$86:$X$981,MATCH(AA$25,$A$87:$J$87,0), FALSE), 0) *
    (LEN($A40) &gt; 0)+SUMPRODUCT(
    IFERROR(VLOOKUP($G40:$T40, $B$87:$X$981,MATCH(AA$25,$B$87:$X$87,0), FALSE), 0) *
    (LEN($G40:$T40) &gt; 0)
)</f>
        <v>0</v>
      </c>
      <c r="AB40" cm="1">
        <f t="array" ref="AB40">1+SUMPRODUCT(
    IFERROR(VLOOKUP($G40:$T40, $B$87:$X$981,MATCH(AB$25,$B$87:$X$87,0), FALSE), 0) *
    (LEN($G40:$T40) &gt; 0)
)+IFERROR(VLOOKUP($A40,$A$87:$X$981,MATCH(AB$25,$A$87:$J$87,0), FALSE), 0) *
    (LEN($A40) &gt; 0)</f>
        <v>1</v>
      </c>
      <c r="AC40" cm="1">
        <f t="array" ref="AC40">1+SUMPRODUCT(
    IFERROR(VLOOKUP($G40:$T40, $B$87:$X$981,MATCH(AC$25,$B$87:$X$87,0), FALSE), 0) *
    (LEN($G40:$T40) &gt; 0)
)</f>
        <v>1</v>
      </c>
      <c r="AD40" cm="1">
        <f t="array" ref="AD40">SUMPRODUCT(
    IFERROR(VLOOKUP($G40:$T40, $B$87:$X$981,MATCH(AD$25,$B$87:$X$87,0), FALSE), 0) *
    (LEN($G40:$T40) &gt; 0)
)+IFERROR(VLOOKUP($A40,$A$88:$X$981,MATCH(AD$25,$A$87:$X$87,0), FALSE), 0) *
    (LEN($A40) &gt; 0)</f>
        <v>0</v>
      </c>
      <c r="AE40" cm="1">
        <f t="array" ref="AE40">SUMPRODUCT(
    IFERROR(VLOOKUP($G40:$T40, $B$87:$X$981,MATCH(AE$25,$B$87:$X$87,0), FALSE), 0) *
    (LEN($G40:$T40) &gt; 0)
)+IFERROR(VLOOKUP($A40,$A$88:$X$981,MATCH(AE$25,$A$87:$X$87,0), FALSE), 0) *
    (LEN($A40) &gt; 0)</f>
        <v>0</v>
      </c>
      <c r="AF40" cm="1">
        <f t="array" ref="AF40">SUMPRODUCT(
    IFERROR(VLOOKUP($G40:$T40, $B$87:$X$981,MATCH(AF$25,$B$87:$X$87,0), FALSE), 0) *
    (LEN($G40:$T40) &gt; 0)
)+IFERROR(VLOOKUP($A40,$A$88:$X$981,MATCH(AF$25,$A$87:$X$87,0), FALSE), 0) *
    (LEN($A40) &gt; 0)</f>
        <v>0</v>
      </c>
      <c r="AG40" cm="1">
        <f t="array" ref="AG40">SUMPRODUCT(
    IFERROR(VLOOKUP($G40:$T40, $B$87:$X$981,MATCH(AG$25,$B$87:$X$87,0), FALSE), 0) *
    (LEN($G40:$T40) &gt; 0)
)+IFERROR(VLOOKUP($A40,$A$88:$X$981,MATCH(AG$25,$A$87:$X$87,0), FALSE), 0) *
    (LEN($A40) &gt; 0)</f>
        <v>0</v>
      </c>
      <c r="AH40" cm="1">
        <f t="array" ref="AH40">SUMPRODUCT(
    IFERROR(VLOOKUP($G40:$T40, $B$87:$X$981,MATCH(AH$25,$B$87:$X$87,0), FALSE), 0) *
    (LEN($G40:$T40) &gt; 0)
)+IFERROR(VLOOKUP($A40,$A$88:$X$981,MATCH(AH$25,$A$87:$X$87,0), FALSE), 0) *
    (LEN($A40) &gt; 0)</f>
        <v>0</v>
      </c>
      <c r="AI40">
        <f t="shared" si="32"/>
        <v>1</v>
      </c>
      <c r="AJ40" cm="1">
        <f t="array" ref="AJ40">1+SUMPRODUCT(
    IFERROR(VLOOKUP($G40:$T40, $B$87:$X$981,MATCH(AJ$25,$B$87:$X$87,0), FALSE), 0) *
    (LEN($G40:$T40) &gt; 0)
)</f>
        <v>1</v>
      </c>
      <c r="AK40" cm="1">
        <f t="array" ref="AK40">1+SUMPRODUCT(
    IFERROR(VLOOKUP($G40:$T40, $B$87:$X$981,MATCH(AK$25,$B$87:$X$87,0), FALSE), 0) *
    (LEN($G40:$T40) &gt; 0)
)</f>
        <v>1</v>
      </c>
      <c r="AL40" cm="1">
        <f t="array" ref="AL40">1+SUMPRODUCT(
    IFERROR(VLOOKUP($G40:$T40, $B$87:$X$981,MATCH(AL$25,$B$87:$X$87,0), FALSE), 0) *
    (LEN($G40:$T40) &gt; 0)
)</f>
        <v>1</v>
      </c>
      <c r="AM40" cm="1">
        <f t="array" ref="AM40">1+SUMPRODUCT(
    IFERROR(VLOOKUP($G40:$T40, $B$87:$X$981,MATCH(AM$25,$B$87:$X$87,0), FALSE), 0) *
    (LEN($G40:$T40) &gt; 0)
)</f>
        <v>1</v>
      </c>
      <c r="AN40" cm="1">
        <f t="array" ref="AN40">1+SUMPRODUCT(
    IFERROR(VLOOKUP($G40:$T40, $B$87:$X$981,MATCH(AN$25,$B$87:$X$87,0), FALSE), 0) *
    (LEN($G40:$T40) &gt; 0)
)</f>
        <v>1</v>
      </c>
      <c r="AO40">
        <f t="shared" si="33"/>
        <v>1</v>
      </c>
      <c r="AQ40">
        <f t="shared" si="34"/>
        <v>0.5</v>
      </c>
    </row>
    <row r="41" spans="2:43" x14ac:dyDescent="0.25">
      <c r="B41">
        <f t="shared" si="29"/>
        <v>0</v>
      </c>
      <c r="C41">
        <f t="shared" si="24"/>
        <v>0</v>
      </c>
      <c r="D41">
        <f t="shared" si="30"/>
        <v>0</v>
      </c>
      <c r="E41" s="36" t="e">
        <f>表2_5469[[#This Row],[列3]]/$C$62</f>
        <v>#DIV/0!</v>
      </c>
      <c r="F41" t="s">
        <v>791</v>
      </c>
      <c r="U41">
        <f t="shared" si="19"/>
        <v>0</v>
      </c>
      <c r="V41" cm="1">
        <f t="array" ref="V41" xml:space="preserve"> IFERROR(VLOOKUP($A41,$A$86:$X$981,MATCH(V$25,$A$87:$J$87,0), FALSE), 0) *
    (LEN($A41) &gt; 0)+SUMPRODUCT(
    IFERROR(VLOOKUP($G41:$T41, $B$87:$X$981,MATCH(V$25,$B$87:$X$87,0), FALSE), 0) *
    (LEN($G41:$T41) &gt; 0)
)</f>
        <v>0</v>
      </c>
      <c r="W41">
        <f t="shared" si="20"/>
        <v>0</v>
      </c>
      <c r="X41">
        <f t="shared" si="20"/>
        <v>0</v>
      </c>
      <c r="Y41">
        <f t="shared" si="31"/>
        <v>0</v>
      </c>
      <c r="Z41">
        <f t="shared" si="21"/>
        <v>0</v>
      </c>
      <c r="AA41" cm="1">
        <f t="array" ref="AA41" xml:space="preserve"> IFERROR(VLOOKUP($A41,$A$86:$X$981,MATCH(AA$25,$A$87:$J$87,0), FALSE), 0) *
    (LEN($A41) &gt; 0)+SUMPRODUCT(
    IFERROR(VLOOKUP($G41:$T41, $B$87:$X$981,MATCH(AA$25,$B$87:$X$87,0), FALSE), 0) *
    (LEN($G41:$T41) &gt; 0)
)</f>
        <v>0</v>
      </c>
      <c r="AB41" cm="1">
        <f t="array" ref="AB41">1+SUMPRODUCT(
    IFERROR(VLOOKUP($G41:$T41, $B$87:$X$981,MATCH(AB$25,$B$87:$X$87,0), FALSE), 0) *
    (LEN($G41:$T41) &gt; 0)
)+IFERROR(VLOOKUP($A41,$A$87:$X$981,MATCH(AB$25,$A$87:$J$87,0), FALSE), 0) *
    (LEN($A41) &gt; 0)</f>
        <v>1</v>
      </c>
      <c r="AC41" cm="1">
        <f t="array" ref="AC41">1+SUMPRODUCT(
    IFERROR(VLOOKUP($G41:$T41, $B$87:$X$981,MATCH(AC$25,$B$87:$X$87,0), FALSE), 0) *
    (LEN($G41:$T41) &gt; 0)
)</f>
        <v>1</v>
      </c>
      <c r="AD41" cm="1">
        <f t="array" ref="AD41">SUMPRODUCT(
    IFERROR(VLOOKUP($G41:$T41, $B$87:$X$981,MATCH(AD$25,$B$87:$X$87,0), FALSE), 0) *
    (LEN($G41:$T41) &gt; 0)
)+IFERROR(VLOOKUP($A41,$A$88:$X$981,MATCH(AD$25,$A$87:$X$87,0), FALSE), 0) *
    (LEN($A41) &gt; 0)</f>
        <v>0</v>
      </c>
      <c r="AE41" cm="1">
        <f t="array" ref="AE41">SUMPRODUCT(
    IFERROR(VLOOKUP($G41:$T41, $B$87:$X$981,MATCH(AE$25,$B$87:$X$87,0), FALSE), 0) *
    (LEN($G41:$T41) &gt; 0)
)+IFERROR(VLOOKUP($A41,$A$88:$X$981,MATCH(AE$25,$A$87:$X$87,0), FALSE), 0) *
    (LEN($A41) &gt; 0)</f>
        <v>0</v>
      </c>
      <c r="AF41" cm="1">
        <f t="array" ref="AF41">SUMPRODUCT(
    IFERROR(VLOOKUP($G41:$T41, $B$87:$X$981,MATCH(AF$25,$B$87:$X$87,0), FALSE), 0) *
    (LEN($G41:$T41) &gt; 0)
)+IFERROR(VLOOKUP($A41,$A$88:$X$981,MATCH(AF$25,$A$87:$X$87,0), FALSE), 0) *
    (LEN($A41) &gt; 0)</f>
        <v>0</v>
      </c>
      <c r="AG41" cm="1">
        <f t="array" ref="AG41">SUMPRODUCT(
    IFERROR(VLOOKUP($G41:$T41, $B$87:$X$981,MATCH(AG$25,$B$87:$X$87,0), FALSE), 0) *
    (LEN($G41:$T41) &gt; 0)
)+IFERROR(VLOOKUP($A41,$A$88:$X$981,MATCH(AG$25,$A$87:$X$87,0), FALSE), 0) *
    (LEN($A41) &gt; 0)</f>
        <v>0</v>
      </c>
      <c r="AH41" cm="1">
        <f t="array" ref="AH41">SUMPRODUCT(
    IFERROR(VLOOKUP($G41:$T41, $B$87:$X$981,MATCH(AH$25,$B$87:$X$87,0), FALSE), 0) *
    (LEN($G41:$T41) &gt; 0)
)+IFERROR(VLOOKUP($A41,$A$88:$X$981,MATCH(AH$25,$A$87:$X$87,0), FALSE), 0) *
    (LEN($A41) &gt; 0)</f>
        <v>0</v>
      </c>
      <c r="AI41">
        <f t="shared" si="32"/>
        <v>1</v>
      </c>
      <c r="AJ41" cm="1">
        <f t="array" ref="AJ41">1+SUMPRODUCT(
    IFERROR(VLOOKUP($G41:$T41, $B$87:$X$981,MATCH(AJ$25,$B$87:$X$87,0), FALSE), 0) *
    (LEN($G41:$T41) &gt; 0)
)</f>
        <v>1</v>
      </c>
      <c r="AK41" cm="1">
        <f t="array" ref="AK41">1+SUMPRODUCT(
    IFERROR(VLOOKUP($G41:$T41, $B$87:$X$981,MATCH(AK$25,$B$87:$X$87,0), FALSE), 0) *
    (LEN($G41:$T41) &gt; 0)
)</f>
        <v>1</v>
      </c>
      <c r="AL41" cm="1">
        <f t="array" ref="AL41">1+SUMPRODUCT(
    IFERROR(VLOOKUP($G41:$T41, $B$87:$X$981,MATCH(AL$25,$B$87:$X$87,0), FALSE), 0) *
    (LEN($G41:$T41) &gt; 0)
)</f>
        <v>1</v>
      </c>
      <c r="AM41" cm="1">
        <f t="array" ref="AM41">1+SUMPRODUCT(
    IFERROR(VLOOKUP($G41:$T41, $B$87:$X$981,MATCH(AM$25,$B$87:$X$87,0), FALSE), 0) *
    (LEN($G41:$T41) &gt; 0)
)</f>
        <v>1</v>
      </c>
      <c r="AN41" cm="1">
        <f t="array" ref="AN41">1+SUMPRODUCT(
    IFERROR(VLOOKUP($G41:$T41, $B$87:$X$981,MATCH(AN$25,$B$87:$X$87,0), FALSE), 0) *
    (LEN($G41:$T41) &gt; 0)
)</f>
        <v>1</v>
      </c>
      <c r="AO41">
        <f t="shared" si="33"/>
        <v>1</v>
      </c>
      <c r="AQ41">
        <f t="shared" si="34"/>
        <v>0.5</v>
      </c>
    </row>
    <row r="42" spans="2:43" x14ac:dyDescent="0.25">
      <c r="B42">
        <f t="shared" si="29"/>
        <v>0</v>
      </c>
      <c r="C42">
        <f t="shared" si="24"/>
        <v>0</v>
      </c>
      <c r="D42">
        <f t="shared" si="30"/>
        <v>0</v>
      </c>
      <c r="E42" s="36" t="e">
        <f>表2_5469[[#This Row],[列3]]/$C$62</f>
        <v>#DIV/0!</v>
      </c>
      <c r="F42" t="s">
        <v>791</v>
      </c>
      <c r="U42">
        <f t="shared" si="19"/>
        <v>0</v>
      </c>
      <c r="V42" cm="1">
        <f t="array" ref="V42" xml:space="preserve"> IFERROR(VLOOKUP($A42,$A$86:$X$981,MATCH(V$25,$A$87:$J$87,0), FALSE), 0) *
    (LEN($A42) &gt; 0)+SUMPRODUCT(
    IFERROR(VLOOKUP($G42:$T42, $B$87:$X$981,MATCH(V$25,$B$87:$X$87,0), FALSE), 0) *
    (LEN($G42:$T42) &gt; 0)
)</f>
        <v>0</v>
      </c>
      <c r="W42">
        <f t="shared" si="20"/>
        <v>0</v>
      </c>
      <c r="X42">
        <f t="shared" si="20"/>
        <v>0</v>
      </c>
      <c r="Y42">
        <f t="shared" si="31"/>
        <v>0</v>
      </c>
      <c r="Z42">
        <f t="shared" si="21"/>
        <v>0</v>
      </c>
      <c r="AA42" cm="1">
        <f t="array" ref="AA42" xml:space="preserve"> IFERROR(VLOOKUP($A42,$A$86:$X$981,MATCH(AA$25,$A$87:$J$87,0), FALSE), 0) *
    (LEN($A42) &gt; 0)+SUMPRODUCT(
    IFERROR(VLOOKUP($G42:$T42, $B$87:$X$981,MATCH(AA$25,$B$87:$X$87,0), FALSE), 0) *
    (LEN($G42:$T42) &gt; 0)
)</f>
        <v>0</v>
      </c>
      <c r="AB42" cm="1">
        <f t="array" ref="AB42">1+SUMPRODUCT(
    IFERROR(VLOOKUP($G42:$T42, $B$87:$X$981,MATCH(AB$25,$B$87:$X$87,0), FALSE), 0) *
    (LEN($G42:$T42) &gt; 0)
)+IFERROR(VLOOKUP($A42,$A$87:$X$981,MATCH(AB$25,$A$87:$J$87,0), FALSE), 0) *
    (LEN($A42) &gt; 0)</f>
        <v>1</v>
      </c>
      <c r="AC42" cm="1">
        <f t="array" ref="AC42">1+SUMPRODUCT(
    IFERROR(VLOOKUP($G42:$T42, $B$87:$X$981,MATCH(AC$25,$B$87:$X$87,0), FALSE), 0) *
    (LEN($G42:$T42) &gt; 0)
)</f>
        <v>1</v>
      </c>
      <c r="AD42" cm="1">
        <f t="array" ref="AD42">SUMPRODUCT(
    IFERROR(VLOOKUP($G42:$T42, $B$87:$X$981,MATCH(AD$25,$B$87:$X$87,0), FALSE), 0) *
    (LEN($G42:$T42) &gt; 0)
)+IFERROR(VLOOKUP($A42,$A$88:$X$981,MATCH(AD$25,$A$87:$X$87,0), FALSE), 0) *
    (LEN($A42) &gt; 0)</f>
        <v>0</v>
      </c>
      <c r="AE42" cm="1">
        <f t="array" ref="AE42">SUMPRODUCT(
    IFERROR(VLOOKUP($G42:$T42, $B$87:$X$981,MATCH(AE$25,$B$87:$X$87,0), FALSE), 0) *
    (LEN($G42:$T42) &gt; 0)
)+IFERROR(VLOOKUP($A42,$A$88:$X$981,MATCH(AE$25,$A$87:$X$87,0), FALSE), 0) *
    (LEN($A42) &gt; 0)</f>
        <v>0</v>
      </c>
      <c r="AF42" cm="1">
        <f t="array" ref="AF42">SUMPRODUCT(
    IFERROR(VLOOKUP($G42:$T42, $B$87:$X$981,MATCH(AF$25,$B$87:$X$87,0), FALSE), 0) *
    (LEN($G42:$T42) &gt; 0)
)+IFERROR(VLOOKUP($A42,$A$88:$X$981,MATCH(AF$25,$A$87:$X$87,0), FALSE), 0) *
    (LEN($A42) &gt; 0)</f>
        <v>0</v>
      </c>
      <c r="AG42" cm="1">
        <f t="array" ref="AG42">SUMPRODUCT(
    IFERROR(VLOOKUP($G42:$T42, $B$87:$X$981,MATCH(AG$25,$B$87:$X$87,0), FALSE), 0) *
    (LEN($G42:$T42) &gt; 0)
)+IFERROR(VLOOKUP($A42,$A$88:$X$981,MATCH(AG$25,$A$87:$X$87,0), FALSE), 0) *
    (LEN($A42) &gt; 0)</f>
        <v>0</v>
      </c>
      <c r="AH42" cm="1">
        <f t="array" ref="AH42">SUMPRODUCT(
    IFERROR(VLOOKUP($G42:$T42, $B$87:$X$981,MATCH(AH$25,$B$87:$X$87,0), FALSE), 0) *
    (LEN($G42:$T42) &gt; 0)
)+IFERROR(VLOOKUP($A42,$A$88:$X$981,MATCH(AH$25,$A$87:$X$87,0), FALSE), 0) *
    (LEN($A42) &gt; 0)</f>
        <v>0</v>
      </c>
      <c r="AI42">
        <f t="shared" si="32"/>
        <v>1</v>
      </c>
      <c r="AJ42" cm="1">
        <f t="array" ref="AJ42">1+SUMPRODUCT(
    IFERROR(VLOOKUP($G42:$T42, $B$87:$X$981,MATCH(AJ$25,$B$87:$X$87,0), FALSE), 0) *
    (LEN($G42:$T42) &gt; 0)
)</f>
        <v>1</v>
      </c>
      <c r="AK42" cm="1">
        <f t="array" ref="AK42">1+SUMPRODUCT(
    IFERROR(VLOOKUP($G42:$T42, $B$87:$X$981,MATCH(AK$25,$B$87:$X$87,0), FALSE), 0) *
    (LEN($G42:$T42) &gt; 0)
)</f>
        <v>1</v>
      </c>
      <c r="AL42" cm="1">
        <f t="array" ref="AL42">1+SUMPRODUCT(
    IFERROR(VLOOKUP($G42:$T42, $B$87:$X$981,MATCH(AL$25,$B$87:$X$87,0), FALSE), 0) *
    (LEN($G42:$T42) &gt; 0)
)</f>
        <v>1</v>
      </c>
      <c r="AM42" cm="1">
        <f t="array" ref="AM42">1+SUMPRODUCT(
    IFERROR(VLOOKUP($G42:$T42, $B$87:$X$981,MATCH(AM$25,$B$87:$X$87,0), FALSE), 0) *
    (LEN($G42:$T42) &gt; 0)
)</f>
        <v>1</v>
      </c>
      <c r="AN42" cm="1">
        <f t="array" ref="AN42">1+SUMPRODUCT(
    IFERROR(VLOOKUP($G42:$T42, $B$87:$X$981,MATCH(AN$25,$B$87:$X$87,0), FALSE), 0) *
    (LEN($G42:$T42) &gt; 0)
)</f>
        <v>1</v>
      </c>
      <c r="AO42">
        <f t="shared" si="33"/>
        <v>1</v>
      </c>
      <c r="AQ42">
        <f t="shared" si="34"/>
        <v>0.5</v>
      </c>
    </row>
    <row r="43" spans="2:43" x14ac:dyDescent="0.25">
      <c r="B43">
        <f t="shared" si="29"/>
        <v>0</v>
      </c>
      <c r="C43">
        <f t="shared" si="24"/>
        <v>0</v>
      </c>
      <c r="D43">
        <f t="shared" si="30"/>
        <v>0</v>
      </c>
      <c r="E43" s="36" t="e">
        <f>表2_5469[[#This Row],[列3]]/$C$62</f>
        <v>#DIV/0!</v>
      </c>
      <c r="F43" t="s">
        <v>791</v>
      </c>
      <c r="U43">
        <f t="shared" si="19"/>
        <v>0</v>
      </c>
      <c r="V43" cm="1">
        <f t="array" ref="V43" xml:space="preserve"> IFERROR(VLOOKUP($A43,$A$86:$X$981,MATCH(V$25,$A$87:$J$87,0), FALSE), 0) *
    (LEN($A43) &gt; 0)+SUMPRODUCT(
    IFERROR(VLOOKUP($G43:$T43, $B$87:$X$981,MATCH(V$25,$B$87:$X$87,0), FALSE), 0) *
    (LEN($G43:$T43) &gt; 0)
)</f>
        <v>0</v>
      </c>
      <c r="W43">
        <f t="shared" si="20"/>
        <v>0</v>
      </c>
      <c r="X43">
        <f t="shared" si="20"/>
        <v>0</v>
      </c>
      <c r="Y43">
        <f t="shared" si="31"/>
        <v>0</v>
      </c>
      <c r="Z43">
        <f t="shared" si="21"/>
        <v>0</v>
      </c>
      <c r="AA43" cm="1">
        <f t="array" ref="AA43" xml:space="preserve"> IFERROR(VLOOKUP($A43,$A$86:$X$981,MATCH(AA$25,$A$87:$J$87,0), FALSE), 0) *
    (LEN($A43) &gt; 0)+SUMPRODUCT(
    IFERROR(VLOOKUP($G43:$T43, $B$87:$X$981,MATCH(AA$25,$B$87:$X$87,0), FALSE), 0) *
    (LEN($G43:$T43) &gt; 0)
)</f>
        <v>0</v>
      </c>
      <c r="AB43" cm="1">
        <f t="array" ref="AB43">1+SUMPRODUCT(
    IFERROR(VLOOKUP($G43:$T43, $B$87:$X$981,MATCH(AB$25,$B$87:$X$87,0), FALSE), 0) *
    (LEN($G43:$T43) &gt; 0)
)+IFERROR(VLOOKUP($A43,$A$87:$X$981,MATCH(AB$25,$A$87:$J$87,0), FALSE), 0) *
    (LEN($A43) &gt; 0)</f>
        <v>1</v>
      </c>
      <c r="AC43" cm="1">
        <f t="array" ref="AC43">1+SUMPRODUCT(
    IFERROR(VLOOKUP($G43:$T43, $B$87:$X$981,MATCH(AC$25,$B$87:$X$87,0), FALSE), 0) *
    (LEN($G43:$T43) &gt; 0)
)</f>
        <v>1</v>
      </c>
      <c r="AD43" cm="1">
        <f t="array" ref="AD43">SUMPRODUCT(
    IFERROR(VLOOKUP($G43:$T43, $B$87:$X$981,MATCH(AD$25,$B$87:$X$87,0), FALSE), 0) *
    (LEN($G43:$T43) &gt; 0)
)+IFERROR(VLOOKUP($A43,$A$88:$X$981,MATCH(AD$25,$A$87:$X$87,0), FALSE), 0) *
    (LEN($A43) &gt; 0)</f>
        <v>0</v>
      </c>
      <c r="AE43" cm="1">
        <f t="array" ref="AE43">SUMPRODUCT(
    IFERROR(VLOOKUP($G43:$T43, $B$87:$X$981,MATCH(AE$25,$B$87:$X$87,0), FALSE), 0) *
    (LEN($G43:$T43) &gt; 0)
)+IFERROR(VLOOKUP($A43,$A$88:$X$981,MATCH(AE$25,$A$87:$X$87,0), FALSE), 0) *
    (LEN($A43) &gt; 0)</f>
        <v>0</v>
      </c>
      <c r="AF43" cm="1">
        <f t="array" ref="AF43">SUMPRODUCT(
    IFERROR(VLOOKUP($G43:$T43, $B$87:$X$981,MATCH(AF$25,$B$87:$X$87,0), FALSE), 0) *
    (LEN($G43:$T43) &gt; 0)
)+IFERROR(VLOOKUP($A43,$A$88:$X$981,MATCH(AF$25,$A$87:$X$87,0), FALSE), 0) *
    (LEN($A43) &gt; 0)</f>
        <v>0</v>
      </c>
      <c r="AG43" cm="1">
        <f t="array" ref="AG43">SUMPRODUCT(
    IFERROR(VLOOKUP($G43:$T43, $B$87:$X$981,MATCH(AG$25,$B$87:$X$87,0), FALSE), 0) *
    (LEN($G43:$T43) &gt; 0)
)+IFERROR(VLOOKUP($A43,$A$88:$X$981,MATCH(AG$25,$A$87:$X$87,0), FALSE), 0) *
    (LEN($A43) &gt; 0)</f>
        <v>0</v>
      </c>
      <c r="AH43" cm="1">
        <f t="array" ref="AH43">SUMPRODUCT(
    IFERROR(VLOOKUP($G43:$T43, $B$87:$X$981,MATCH(AH$25,$B$87:$X$87,0), FALSE), 0) *
    (LEN($G43:$T43) &gt; 0)
)+IFERROR(VLOOKUP($A43,$A$88:$X$981,MATCH(AH$25,$A$87:$X$87,0), FALSE), 0) *
    (LEN($A43) &gt; 0)</f>
        <v>0</v>
      </c>
      <c r="AI43">
        <f t="shared" si="32"/>
        <v>1</v>
      </c>
      <c r="AJ43" cm="1">
        <f t="array" ref="AJ43">1+SUMPRODUCT(
    IFERROR(VLOOKUP($G43:$T43, $B$87:$X$981,MATCH(AJ$25,$B$87:$X$87,0), FALSE), 0) *
    (LEN($G43:$T43) &gt; 0)
)</f>
        <v>1</v>
      </c>
      <c r="AK43" cm="1">
        <f t="array" ref="AK43">1+SUMPRODUCT(
    IFERROR(VLOOKUP($G43:$T43, $B$87:$X$981,MATCH(AK$25,$B$87:$X$87,0), FALSE), 0) *
    (LEN($G43:$T43) &gt; 0)
)</f>
        <v>1</v>
      </c>
      <c r="AL43" cm="1">
        <f t="array" ref="AL43">1+SUMPRODUCT(
    IFERROR(VLOOKUP($G43:$T43, $B$87:$X$981,MATCH(AL$25,$B$87:$X$87,0), FALSE), 0) *
    (LEN($G43:$T43) &gt; 0)
)</f>
        <v>1</v>
      </c>
      <c r="AM43" cm="1">
        <f t="array" ref="AM43">1+SUMPRODUCT(
    IFERROR(VLOOKUP($G43:$T43, $B$87:$X$981,MATCH(AM$25,$B$87:$X$87,0), FALSE), 0) *
    (LEN($G43:$T43) &gt; 0)
)</f>
        <v>1</v>
      </c>
      <c r="AN43" cm="1">
        <f t="array" ref="AN43">1+SUMPRODUCT(
    IFERROR(VLOOKUP($G43:$T43, $B$87:$X$981,MATCH(AN$25,$B$87:$X$87,0), FALSE), 0) *
    (LEN($G43:$T43) &gt; 0)
)</f>
        <v>1</v>
      </c>
      <c r="AO43">
        <f t="shared" si="33"/>
        <v>1</v>
      </c>
      <c r="AQ43">
        <f t="shared" si="34"/>
        <v>0.5</v>
      </c>
    </row>
    <row r="44" spans="2:43" x14ac:dyDescent="0.25">
      <c r="B44">
        <f t="shared" si="29"/>
        <v>0</v>
      </c>
      <c r="C44">
        <f t="shared" si="24"/>
        <v>0</v>
      </c>
      <c r="D44">
        <f t="shared" si="30"/>
        <v>0</v>
      </c>
      <c r="E44" s="36" t="e">
        <f>表2_5469[[#This Row],[列3]]/$C$62</f>
        <v>#DIV/0!</v>
      </c>
      <c r="F44" t="s">
        <v>791</v>
      </c>
      <c r="U44">
        <f t="shared" si="19"/>
        <v>0</v>
      </c>
      <c r="V44" cm="1">
        <f t="array" ref="V44" xml:space="preserve"> IFERROR(VLOOKUP($A44,$A$86:$X$981,MATCH(V$25,$A$87:$J$87,0), FALSE), 0) *
    (LEN($A44) &gt; 0)+SUMPRODUCT(
    IFERROR(VLOOKUP($G44:$T44, $B$87:$X$981,MATCH(V$25,$B$87:$X$87,0), FALSE), 0) *
    (LEN($G44:$T44) &gt; 0)
)</f>
        <v>0</v>
      </c>
      <c r="W44">
        <f t="shared" si="20"/>
        <v>0</v>
      </c>
      <c r="X44">
        <f t="shared" si="20"/>
        <v>0</v>
      </c>
      <c r="Y44">
        <f t="shared" si="31"/>
        <v>0</v>
      </c>
      <c r="Z44">
        <f t="shared" si="21"/>
        <v>0</v>
      </c>
      <c r="AA44" cm="1">
        <f t="array" ref="AA44" xml:space="preserve"> IFERROR(VLOOKUP($A44,$A$86:$X$981,MATCH(AA$25,$A$87:$J$87,0), FALSE), 0) *
    (LEN($A44) &gt; 0)+SUMPRODUCT(
    IFERROR(VLOOKUP($G44:$T44, $B$87:$X$981,MATCH(AA$25,$B$87:$X$87,0), FALSE), 0) *
    (LEN($G44:$T44) &gt; 0)
)</f>
        <v>0</v>
      </c>
      <c r="AB44" cm="1">
        <f t="array" ref="AB44">1+SUMPRODUCT(
    IFERROR(VLOOKUP($G44:$T44, $B$87:$X$981,MATCH(AB$25,$B$87:$X$87,0), FALSE), 0) *
    (LEN($G44:$T44) &gt; 0)
)+IFERROR(VLOOKUP($A44,$A$87:$X$981,MATCH(AB$25,$A$87:$J$87,0), FALSE), 0) *
    (LEN($A44) &gt; 0)</f>
        <v>1</v>
      </c>
      <c r="AC44" cm="1">
        <f t="array" ref="AC44">1+SUMPRODUCT(
    IFERROR(VLOOKUP($G44:$T44, $B$87:$X$981,MATCH(AC$25,$B$87:$X$87,0), FALSE), 0) *
    (LEN($G44:$T44) &gt; 0)
)</f>
        <v>1</v>
      </c>
      <c r="AD44" cm="1">
        <f t="array" ref="AD44">SUMPRODUCT(
    IFERROR(VLOOKUP($G44:$T44, $B$87:$X$981,MATCH(AD$25,$B$87:$X$87,0), FALSE), 0) *
    (LEN($G44:$T44) &gt; 0)
)+IFERROR(VLOOKUP($A44,$A$88:$X$981,MATCH(AD$25,$A$87:$X$87,0), FALSE), 0) *
    (LEN($A44) &gt; 0)</f>
        <v>0</v>
      </c>
      <c r="AE44" cm="1">
        <f t="array" ref="AE44">SUMPRODUCT(
    IFERROR(VLOOKUP($G44:$T44, $B$87:$X$981,MATCH(AE$25,$B$87:$X$87,0), FALSE), 0) *
    (LEN($G44:$T44) &gt; 0)
)+IFERROR(VLOOKUP($A44,$A$88:$X$981,MATCH(AE$25,$A$87:$X$87,0), FALSE), 0) *
    (LEN($A44) &gt; 0)</f>
        <v>0</v>
      </c>
      <c r="AF44" cm="1">
        <f t="array" ref="AF44">SUMPRODUCT(
    IFERROR(VLOOKUP($G44:$T44, $B$87:$X$981,MATCH(AF$25,$B$87:$X$87,0), FALSE), 0) *
    (LEN($G44:$T44) &gt; 0)
)+IFERROR(VLOOKUP($A44,$A$88:$X$981,MATCH(AF$25,$A$87:$X$87,0), FALSE), 0) *
    (LEN($A44) &gt; 0)</f>
        <v>0</v>
      </c>
      <c r="AG44" cm="1">
        <f t="array" ref="AG44">SUMPRODUCT(
    IFERROR(VLOOKUP($G44:$T44, $B$87:$X$981,MATCH(AG$25,$B$87:$X$87,0), FALSE), 0) *
    (LEN($G44:$T44) &gt; 0)
)+IFERROR(VLOOKUP($A44,$A$88:$X$981,MATCH(AG$25,$A$87:$X$87,0), FALSE), 0) *
    (LEN($A44) &gt; 0)</f>
        <v>0</v>
      </c>
      <c r="AH44" cm="1">
        <f t="array" ref="AH44">SUMPRODUCT(
    IFERROR(VLOOKUP($G44:$T44, $B$87:$X$981,MATCH(AH$25,$B$87:$X$87,0), FALSE), 0) *
    (LEN($G44:$T44) &gt; 0)
)+IFERROR(VLOOKUP($A44,$A$88:$X$981,MATCH(AH$25,$A$87:$X$87,0), FALSE), 0) *
    (LEN($A44) &gt; 0)</f>
        <v>0</v>
      </c>
      <c r="AI44">
        <f t="shared" si="32"/>
        <v>1</v>
      </c>
      <c r="AJ44" cm="1">
        <f t="array" ref="AJ44">1+SUMPRODUCT(
    IFERROR(VLOOKUP($G44:$T44, $B$87:$X$981,MATCH(AJ$25,$B$87:$X$87,0), FALSE), 0) *
    (LEN($G44:$T44) &gt; 0)
)</f>
        <v>1</v>
      </c>
      <c r="AK44" cm="1">
        <f t="array" ref="AK44">1+SUMPRODUCT(
    IFERROR(VLOOKUP($G44:$T44, $B$87:$X$981,MATCH(AK$25,$B$87:$X$87,0), FALSE), 0) *
    (LEN($G44:$T44) &gt; 0)
)</f>
        <v>1</v>
      </c>
      <c r="AL44" cm="1">
        <f t="array" ref="AL44">1+SUMPRODUCT(
    IFERROR(VLOOKUP($G44:$T44, $B$87:$X$981,MATCH(AL$25,$B$87:$X$87,0), FALSE), 0) *
    (LEN($G44:$T44) &gt; 0)
)</f>
        <v>1</v>
      </c>
      <c r="AM44" cm="1">
        <f t="array" ref="AM44">1+SUMPRODUCT(
    IFERROR(VLOOKUP($G44:$T44, $B$87:$X$981,MATCH(AM$25,$B$87:$X$87,0), FALSE), 0) *
    (LEN($G44:$T44) &gt; 0)
)</f>
        <v>1</v>
      </c>
      <c r="AN44" cm="1">
        <f t="array" ref="AN44">1+SUMPRODUCT(
    IFERROR(VLOOKUP($G44:$T44, $B$87:$X$981,MATCH(AN$25,$B$87:$X$87,0), FALSE), 0) *
    (LEN($G44:$T44) &gt; 0)
)</f>
        <v>1</v>
      </c>
      <c r="AO44">
        <f t="shared" si="33"/>
        <v>1</v>
      </c>
      <c r="AQ44">
        <f t="shared" si="34"/>
        <v>0.5</v>
      </c>
    </row>
    <row r="45" spans="2:43" x14ac:dyDescent="0.25">
      <c r="B45">
        <f t="shared" si="29"/>
        <v>0</v>
      </c>
      <c r="C45">
        <f t="shared" si="24"/>
        <v>0</v>
      </c>
      <c r="D45">
        <f t="shared" si="30"/>
        <v>0</v>
      </c>
      <c r="E45" s="36" t="e">
        <f>表2_5469[[#This Row],[列3]]/$C$62</f>
        <v>#DIV/0!</v>
      </c>
      <c r="F45" t="s">
        <v>791</v>
      </c>
      <c r="U45">
        <f t="shared" si="19"/>
        <v>0</v>
      </c>
      <c r="V45" cm="1">
        <f t="array" ref="V45" xml:space="preserve"> IFERROR(VLOOKUP($A45,$A$86:$X$981,MATCH(V$25,$A$87:$J$87,0), FALSE), 0) *
    (LEN($A45) &gt; 0)+SUMPRODUCT(
    IFERROR(VLOOKUP($G45:$T45, $B$87:$X$981,MATCH(V$25,$B$87:$X$87,0), FALSE), 0) *
    (LEN($G45:$T45) &gt; 0)
)</f>
        <v>0</v>
      </c>
      <c r="W45">
        <f t="shared" si="20"/>
        <v>0</v>
      </c>
      <c r="X45">
        <f t="shared" si="20"/>
        <v>0</v>
      </c>
      <c r="Y45">
        <f t="shared" si="31"/>
        <v>0</v>
      </c>
      <c r="Z45">
        <f t="shared" si="21"/>
        <v>0</v>
      </c>
      <c r="AA45" cm="1">
        <f t="array" ref="AA45" xml:space="preserve"> IFERROR(VLOOKUP($A45,$A$86:$X$981,MATCH(AA$25,$A$87:$J$87,0), FALSE), 0) *
    (LEN($A45) &gt; 0)+SUMPRODUCT(
    IFERROR(VLOOKUP($G45:$T45, $B$87:$X$981,MATCH(AA$25,$B$87:$X$87,0), FALSE), 0) *
    (LEN($G45:$T45) &gt; 0)
)</f>
        <v>0</v>
      </c>
      <c r="AB45" cm="1">
        <f t="array" ref="AB45">1+SUMPRODUCT(
    IFERROR(VLOOKUP($G45:$T45, $B$87:$X$981,MATCH(AB$25,$B$87:$X$87,0), FALSE), 0) *
    (LEN($G45:$T45) &gt; 0)
)+IFERROR(VLOOKUP($A45,$A$87:$X$981,MATCH(AB$25,$A$87:$J$87,0), FALSE), 0) *
    (LEN($A45) &gt; 0)</f>
        <v>1</v>
      </c>
      <c r="AC45" cm="1">
        <f t="array" ref="AC45">1+SUMPRODUCT(
    IFERROR(VLOOKUP($G45:$T45, $B$87:$X$981,MATCH(AC$25,$B$87:$X$87,0), FALSE), 0) *
    (LEN($G45:$T45) &gt; 0)
)</f>
        <v>1</v>
      </c>
      <c r="AD45" cm="1">
        <f t="array" ref="AD45">SUMPRODUCT(
    IFERROR(VLOOKUP($G45:$T45, $B$87:$X$981,MATCH(AD$25,$B$87:$X$87,0), FALSE), 0) *
    (LEN($G45:$T45) &gt; 0)
)+IFERROR(VLOOKUP($A45,$A$88:$X$981,MATCH(AD$25,$A$87:$X$87,0), FALSE), 0) *
    (LEN($A45) &gt; 0)</f>
        <v>0</v>
      </c>
      <c r="AE45" cm="1">
        <f t="array" ref="AE45">SUMPRODUCT(
    IFERROR(VLOOKUP($G45:$T45, $B$87:$X$981,MATCH(AE$25,$B$87:$X$87,0), FALSE), 0) *
    (LEN($G45:$T45) &gt; 0)
)+IFERROR(VLOOKUP($A45,$A$88:$X$981,MATCH(AE$25,$A$87:$X$87,0), FALSE), 0) *
    (LEN($A45) &gt; 0)</f>
        <v>0</v>
      </c>
      <c r="AF45" cm="1">
        <f t="array" ref="AF45">SUMPRODUCT(
    IFERROR(VLOOKUP($G45:$T45, $B$87:$X$981,MATCH(AF$25,$B$87:$X$87,0), FALSE), 0) *
    (LEN($G45:$T45) &gt; 0)
)+IFERROR(VLOOKUP($A45,$A$88:$X$981,MATCH(AF$25,$A$87:$X$87,0), FALSE), 0) *
    (LEN($A45) &gt; 0)</f>
        <v>0</v>
      </c>
      <c r="AG45" cm="1">
        <f t="array" ref="AG45">SUMPRODUCT(
    IFERROR(VLOOKUP($G45:$T45, $B$87:$X$981,MATCH(AG$25,$B$87:$X$87,0), FALSE), 0) *
    (LEN($G45:$T45) &gt; 0)
)+IFERROR(VLOOKUP($A45,$A$88:$X$981,MATCH(AG$25,$A$87:$X$87,0), FALSE), 0) *
    (LEN($A45) &gt; 0)</f>
        <v>0</v>
      </c>
      <c r="AH45" cm="1">
        <f t="array" ref="AH45">SUMPRODUCT(
    IFERROR(VLOOKUP($G45:$T45, $B$87:$X$981,MATCH(AH$25,$B$87:$X$87,0), FALSE), 0) *
    (LEN($G45:$T45) &gt; 0)
)+IFERROR(VLOOKUP($A45,$A$88:$X$981,MATCH(AH$25,$A$87:$X$87,0), FALSE), 0) *
    (LEN($A45) &gt; 0)</f>
        <v>0</v>
      </c>
      <c r="AI45">
        <f t="shared" si="32"/>
        <v>1</v>
      </c>
      <c r="AJ45" cm="1">
        <f t="array" ref="AJ45">1+SUMPRODUCT(
    IFERROR(VLOOKUP($G45:$T45, $B$87:$X$981,MATCH(AJ$25,$B$87:$X$87,0), FALSE), 0) *
    (LEN($G45:$T45) &gt; 0)
)</f>
        <v>1</v>
      </c>
      <c r="AK45" cm="1">
        <f t="array" ref="AK45">1+SUMPRODUCT(
    IFERROR(VLOOKUP($G45:$T45, $B$87:$X$981,MATCH(AK$25,$B$87:$X$87,0), FALSE), 0) *
    (LEN($G45:$T45) &gt; 0)
)</f>
        <v>1</v>
      </c>
      <c r="AL45" cm="1">
        <f t="array" ref="AL45">1+SUMPRODUCT(
    IFERROR(VLOOKUP($G45:$T45, $B$87:$X$981,MATCH(AL$25,$B$87:$X$87,0), FALSE), 0) *
    (LEN($G45:$T45) &gt; 0)
)</f>
        <v>1</v>
      </c>
      <c r="AM45" cm="1">
        <f t="array" ref="AM45">1+SUMPRODUCT(
    IFERROR(VLOOKUP($G45:$T45, $B$87:$X$981,MATCH(AM$25,$B$87:$X$87,0), FALSE), 0) *
    (LEN($G45:$T45) &gt; 0)
)</f>
        <v>1</v>
      </c>
      <c r="AN45" cm="1">
        <f t="array" ref="AN45">1+SUMPRODUCT(
    IFERROR(VLOOKUP($G45:$T45, $B$87:$X$981,MATCH(AN$25,$B$87:$X$87,0), FALSE), 0) *
    (LEN($G45:$T45) &gt; 0)
)</f>
        <v>1</v>
      </c>
      <c r="AO45">
        <f t="shared" si="33"/>
        <v>1</v>
      </c>
      <c r="AQ45">
        <f t="shared" si="34"/>
        <v>0.5</v>
      </c>
    </row>
    <row r="46" spans="2:43" x14ac:dyDescent="0.25">
      <c r="B46">
        <f t="shared" si="29"/>
        <v>0</v>
      </c>
      <c r="C46">
        <f t="shared" si="24"/>
        <v>0</v>
      </c>
      <c r="D46">
        <f t="shared" si="30"/>
        <v>0</v>
      </c>
      <c r="E46" s="36" t="e">
        <f>表2_5469[[#This Row],[列3]]/$C$62</f>
        <v>#DIV/0!</v>
      </c>
      <c r="F46" t="s">
        <v>791</v>
      </c>
      <c r="U46">
        <f t="shared" si="19"/>
        <v>0</v>
      </c>
      <c r="V46" cm="1">
        <f t="array" ref="V46" xml:space="preserve"> IFERROR(VLOOKUP($A46,$A$86:$X$981,MATCH(V$25,$A$87:$J$87,0), FALSE), 0) *
    (LEN($A46) &gt; 0)+SUMPRODUCT(
    IFERROR(VLOOKUP($G46:$T46, $B$87:$X$981,MATCH(V$25,$B$87:$X$87,0), FALSE), 0) *
    (LEN($G46:$T46) &gt; 0)
)</f>
        <v>0</v>
      </c>
      <c r="W46">
        <f t="shared" si="20"/>
        <v>0</v>
      </c>
      <c r="X46">
        <f t="shared" si="20"/>
        <v>0</v>
      </c>
      <c r="Y46">
        <f t="shared" si="31"/>
        <v>0</v>
      </c>
      <c r="Z46">
        <f t="shared" si="21"/>
        <v>0</v>
      </c>
      <c r="AA46" cm="1">
        <f t="array" ref="AA46" xml:space="preserve"> IFERROR(VLOOKUP($A46,$A$86:$X$981,MATCH(AA$25,$A$87:$J$87,0), FALSE), 0) *
    (LEN($A46) &gt; 0)+SUMPRODUCT(
    IFERROR(VLOOKUP($G46:$T46, $B$87:$X$981,MATCH(AA$25,$B$87:$X$87,0), FALSE), 0) *
    (LEN($G46:$T46) &gt; 0)
)</f>
        <v>0</v>
      </c>
      <c r="AB46" cm="1">
        <f t="array" ref="AB46">1+SUMPRODUCT(
    IFERROR(VLOOKUP($G46:$T46, $B$87:$X$981,MATCH(AB$25,$B$87:$X$87,0), FALSE), 0) *
    (LEN($G46:$T46) &gt; 0)
)+IFERROR(VLOOKUP($A46,$A$87:$X$981,MATCH(AB$25,$A$87:$J$87,0), FALSE), 0) *
    (LEN($A46) &gt; 0)</f>
        <v>1</v>
      </c>
      <c r="AC46" cm="1">
        <f t="array" ref="AC46">1+SUMPRODUCT(
    IFERROR(VLOOKUP($G46:$T46, $B$87:$X$981,MATCH(AC$25,$B$87:$X$87,0), FALSE), 0) *
    (LEN($G46:$T46) &gt; 0)
)</f>
        <v>1</v>
      </c>
      <c r="AD46" cm="1">
        <f t="array" ref="AD46">SUMPRODUCT(
    IFERROR(VLOOKUP($G46:$T46, $B$87:$X$981,MATCH(AD$25,$B$87:$X$87,0), FALSE), 0) *
    (LEN($G46:$T46) &gt; 0)
)+IFERROR(VLOOKUP($A46,$A$88:$X$981,MATCH(AD$25,$A$87:$X$87,0), FALSE), 0) *
    (LEN($A46) &gt; 0)</f>
        <v>0</v>
      </c>
      <c r="AE46" cm="1">
        <f t="array" ref="AE46">SUMPRODUCT(
    IFERROR(VLOOKUP($G46:$T46, $B$87:$X$981,MATCH(AE$25,$B$87:$X$87,0), FALSE), 0) *
    (LEN($G46:$T46) &gt; 0)
)+IFERROR(VLOOKUP($A46,$A$88:$X$981,MATCH(AE$25,$A$87:$X$87,0), FALSE), 0) *
    (LEN($A46) &gt; 0)</f>
        <v>0</v>
      </c>
      <c r="AF46" cm="1">
        <f t="array" ref="AF46">SUMPRODUCT(
    IFERROR(VLOOKUP($G46:$T46, $B$87:$X$981,MATCH(AF$25,$B$87:$X$87,0), FALSE), 0) *
    (LEN($G46:$T46) &gt; 0)
)+IFERROR(VLOOKUP($A46,$A$88:$X$981,MATCH(AF$25,$A$87:$X$87,0), FALSE), 0) *
    (LEN($A46) &gt; 0)</f>
        <v>0</v>
      </c>
      <c r="AG46" cm="1">
        <f t="array" ref="AG46">SUMPRODUCT(
    IFERROR(VLOOKUP($G46:$T46, $B$87:$X$981,MATCH(AG$25,$B$87:$X$87,0), FALSE), 0) *
    (LEN($G46:$T46) &gt; 0)
)+IFERROR(VLOOKUP($A46,$A$88:$X$981,MATCH(AG$25,$A$87:$X$87,0), FALSE), 0) *
    (LEN($A46) &gt; 0)</f>
        <v>0</v>
      </c>
      <c r="AH46" cm="1">
        <f t="array" ref="AH46">SUMPRODUCT(
    IFERROR(VLOOKUP($G46:$T46, $B$87:$X$981,MATCH(AH$25,$B$87:$X$87,0), FALSE), 0) *
    (LEN($G46:$T46) &gt; 0)
)+IFERROR(VLOOKUP($A46,$A$88:$X$981,MATCH(AH$25,$A$87:$X$87,0), FALSE), 0) *
    (LEN($A46) &gt; 0)</f>
        <v>0</v>
      </c>
      <c r="AI46">
        <f t="shared" si="32"/>
        <v>1</v>
      </c>
      <c r="AJ46" cm="1">
        <f t="array" ref="AJ46">1+SUMPRODUCT(
    IFERROR(VLOOKUP($G46:$T46, $B$87:$X$981,MATCH(AJ$25,$B$87:$X$87,0), FALSE), 0) *
    (LEN($G46:$T46) &gt; 0)
)</f>
        <v>1</v>
      </c>
      <c r="AK46" cm="1">
        <f t="array" ref="AK46">1+SUMPRODUCT(
    IFERROR(VLOOKUP($G46:$T46, $B$87:$X$981,MATCH(AK$25,$B$87:$X$87,0), FALSE), 0) *
    (LEN($G46:$T46) &gt; 0)
)</f>
        <v>1</v>
      </c>
      <c r="AL46" cm="1">
        <f t="array" ref="AL46">1+SUMPRODUCT(
    IFERROR(VLOOKUP($G46:$T46, $B$87:$X$981,MATCH(AL$25,$B$87:$X$87,0), FALSE), 0) *
    (LEN($G46:$T46) &gt; 0)
)</f>
        <v>1</v>
      </c>
      <c r="AM46" cm="1">
        <f t="array" ref="AM46">1+SUMPRODUCT(
    IFERROR(VLOOKUP($G46:$T46, $B$87:$X$981,MATCH(AM$25,$B$87:$X$87,0), FALSE), 0) *
    (LEN($G46:$T46) &gt; 0)
)</f>
        <v>1</v>
      </c>
      <c r="AN46" cm="1">
        <f t="array" ref="AN46">1+SUMPRODUCT(
    IFERROR(VLOOKUP($G46:$T46, $B$87:$X$981,MATCH(AN$25,$B$87:$X$87,0), FALSE), 0) *
    (LEN($G46:$T46) &gt; 0)
)</f>
        <v>1</v>
      </c>
      <c r="AO46">
        <f t="shared" si="33"/>
        <v>1</v>
      </c>
      <c r="AQ46">
        <f t="shared" si="34"/>
        <v>0.5</v>
      </c>
    </row>
    <row r="47" spans="2:43" x14ac:dyDescent="0.25">
      <c r="B47">
        <f t="shared" si="29"/>
        <v>0</v>
      </c>
      <c r="C47">
        <f t="shared" si="24"/>
        <v>0</v>
      </c>
      <c r="D47">
        <f t="shared" si="30"/>
        <v>0</v>
      </c>
      <c r="E47" s="36" t="e">
        <f>表2_5469[[#This Row],[列3]]/$C$62</f>
        <v>#DIV/0!</v>
      </c>
      <c r="F47" t="s">
        <v>791</v>
      </c>
      <c r="U47">
        <f t="shared" si="19"/>
        <v>0</v>
      </c>
      <c r="V47" cm="1">
        <f t="array" ref="V47" xml:space="preserve"> IFERROR(VLOOKUP($A47,$A$86:$X$981,MATCH(V$25,$A$87:$J$87,0), FALSE), 0) *
    (LEN($A47) &gt; 0)+SUMPRODUCT(
    IFERROR(VLOOKUP($G47:$T47, $B$87:$X$981,MATCH(V$25,$B$87:$X$87,0), FALSE), 0) *
    (LEN($G47:$T47) &gt; 0)
)</f>
        <v>0</v>
      </c>
      <c r="W47">
        <f t="shared" si="20"/>
        <v>0</v>
      </c>
      <c r="X47">
        <f t="shared" si="20"/>
        <v>0</v>
      </c>
      <c r="Y47">
        <f t="shared" si="31"/>
        <v>0</v>
      </c>
      <c r="Z47">
        <f t="shared" si="21"/>
        <v>0</v>
      </c>
      <c r="AA47" cm="1">
        <f t="array" ref="AA47" xml:space="preserve"> IFERROR(VLOOKUP($A47,$A$86:$X$981,MATCH(AA$25,$A$87:$J$87,0), FALSE), 0) *
    (LEN($A47) &gt; 0)+SUMPRODUCT(
    IFERROR(VLOOKUP($G47:$T47, $B$87:$X$981,MATCH(AA$25,$B$87:$X$87,0), FALSE), 0) *
    (LEN($G47:$T47) &gt; 0)
)</f>
        <v>0</v>
      </c>
      <c r="AB47" cm="1">
        <f t="array" ref="AB47">1+SUMPRODUCT(
    IFERROR(VLOOKUP($G47:$T47, $B$87:$X$981,MATCH(AB$25,$B$87:$X$87,0), FALSE), 0) *
    (LEN($G47:$T47) &gt; 0)
)+IFERROR(VLOOKUP($A47,$A$87:$X$981,MATCH(AB$25,$A$87:$J$87,0), FALSE), 0) *
    (LEN($A47) &gt; 0)</f>
        <v>1</v>
      </c>
      <c r="AC47" cm="1">
        <f t="array" ref="AC47">1+SUMPRODUCT(
    IFERROR(VLOOKUP($G47:$T47, $B$87:$X$981,MATCH(AC$25,$B$87:$X$87,0), FALSE), 0) *
    (LEN($G47:$T47) &gt; 0)
)</f>
        <v>1</v>
      </c>
      <c r="AD47" cm="1">
        <f t="array" ref="AD47">SUMPRODUCT(
    IFERROR(VLOOKUP($G47:$T47, $B$87:$X$981,MATCH(AD$25,$B$87:$X$87,0), FALSE), 0) *
    (LEN($G47:$T47) &gt; 0)
)+IFERROR(VLOOKUP($A47,$A$88:$X$981,MATCH(AD$25,$A$87:$X$87,0), FALSE), 0) *
    (LEN($A47) &gt; 0)</f>
        <v>0</v>
      </c>
      <c r="AE47" cm="1">
        <f t="array" ref="AE47">SUMPRODUCT(
    IFERROR(VLOOKUP($G47:$T47, $B$87:$X$981,MATCH(AE$25,$B$87:$X$87,0), FALSE), 0) *
    (LEN($G47:$T47) &gt; 0)
)+IFERROR(VLOOKUP($A47,$A$88:$X$981,MATCH(AE$25,$A$87:$X$87,0), FALSE), 0) *
    (LEN($A47) &gt; 0)</f>
        <v>0</v>
      </c>
      <c r="AF47" cm="1">
        <f t="array" ref="AF47">SUMPRODUCT(
    IFERROR(VLOOKUP($G47:$T47, $B$87:$X$981,MATCH(AF$25,$B$87:$X$87,0), FALSE), 0) *
    (LEN($G47:$T47) &gt; 0)
)+IFERROR(VLOOKUP($A47,$A$88:$X$981,MATCH(AF$25,$A$87:$X$87,0), FALSE), 0) *
    (LEN($A47) &gt; 0)</f>
        <v>0</v>
      </c>
      <c r="AG47" cm="1">
        <f t="array" ref="AG47">SUMPRODUCT(
    IFERROR(VLOOKUP($G47:$T47, $B$87:$X$981,MATCH(AG$25,$B$87:$X$87,0), FALSE), 0) *
    (LEN($G47:$T47) &gt; 0)
)+IFERROR(VLOOKUP($A47,$A$88:$X$981,MATCH(AG$25,$A$87:$X$87,0), FALSE), 0) *
    (LEN($A47) &gt; 0)</f>
        <v>0</v>
      </c>
      <c r="AH47" cm="1">
        <f t="array" ref="AH47">SUMPRODUCT(
    IFERROR(VLOOKUP($G47:$T47, $B$87:$X$981,MATCH(AH$25,$B$87:$X$87,0), FALSE), 0) *
    (LEN($G47:$T47) &gt; 0)
)+IFERROR(VLOOKUP($A47,$A$88:$X$981,MATCH(AH$25,$A$87:$X$87,0), FALSE), 0) *
    (LEN($A47) &gt; 0)</f>
        <v>0</v>
      </c>
      <c r="AI47">
        <f t="shared" si="32"/>
        <v>1</v>
      </c>
      <c r="AJ47" cm="1">
        <f t="array" ref="AJ47">1+SUMPRODUCT(
    IFERROR(VLOOKUP($G47:$T47, $B$87:$X$981,MATCH(AJ$25,$B$87:$X$87,0), FALSE), 0) *
    (LEN($G47:$T47) &gt; 0)
)</f>
        <v>1</v>
      </c>
      <c r="AK47" cm="1">
        <f t="array" ref="AK47">1+SUMPRODUCT(
    IFERROR(VLOOKUP($G47:$T47, $B$87:$X$981,MATCH(AK$25,$B$87:$X$87,0), FALSE), 0) *
    (LEN($G47:$T47) &gt; 0)
)</f>
        <v>1</v>
      </c>
      <c r="AL47" cm="1">
        <f t="array" ref="AL47">1+SUMPRODUCT(
    IFERROR(VLOOKUP($G47:$T47, $B$87:$X$981,MATCH(AL$25,$B$87:$X$87,0), FALSE), 0) *
    (LEN($G47:$T47) &gt; 0)
)</f>
        <v>1</v>
      </c>
      <c r="AM47" cm="1">
        <f t="array" ref="AM47">1+SUMPRODUCT(
    IFERROR(VLOOKUP($G47:$T47, $B$87:$X$981,MATCH(AM$25,$B$87:$X$87,0), FALSE), 0) *
    (LEN($G47:$T47) &gt; 0)
)</f>
        <v>1</v>
      </c>
      <c r="AN47" cm="1">
        <f t="array" ref="AN47">1+SUMPRODUCT(
    IFERROR(VLOOKUP($G47:$T47, $B$87:$X$981,MATCH(AN$25,$B$87:$X$87,0), FALSE), 0) *
    (LEN($G47:$T47) &gt; 0)
)</f>
        <v>1</v>
      </c>
      <c r="AO47">
        <f t="shared" si="33"/>
        <v>1</v>
      </c>
      <c r="AQ47">
        <f t="shared" si="34"/>
        <v>0.5</v>
      </c>
    </row>
    <row r="48" spans="2:43" x14ac:dyDescent="0.25">
      <c r="B48">
        <f t="shared" si="29"/>
        <v>0</v>
      </c>
      <c r="C48">
        <f t="shared" si="24"/>
        <v>0</v>
      </c>
      <c r="D48">
        <f t="shared" si="30"/>
        <v>0</v>
      </c>
      <c r="E48" s="36" t="e">
        <f>表2_5469[[#This Row],[列3]]/$C$62</f>
        <v>#DIV/0!</v>
      </c>
      <c r="F48" t="s">
        <v>791</v>
      </c>
      <c r="U48">
        <f t="shared" si="19"/>
        <v>0</v>
      </c>
      <c r="V48" cm="1">
        <f t="array" ref="V48" xml:space="preserve"> IFERROR(VLOOKUP($A48,$A$86:$X$981,MATCH(V$25,$A$87:$J$87,0), FALSE), 0) *
    (LEN($A48) &gt; 0)+SUMPRODUCT(
    IFERROR(VLOOKUP($G48:$T48, $B$87:$X$981,MATCH(V$25,$B$87:$X$87,0), FALSE), 0) *
    (LEN($G48:$T48) &gt; 0)
)</f>
        <v>0</v>
      </c>
      <c r="W48">
        <f t="shared" si="20"/>
        <v>0</v>
      </c>
      <c r="X48">
        <f t="shared" si="20"/>
        <v>0</v>
      </c>
      <c r="Y48">
        <f t="shared" si="31"/>
        <v>0</v>
      </c>
      <c r="Z48">
        <f t="shared" si="21"/>
        <v>0</v>
      </c>
      <c r="AA48" cm="1">
        <f t="array" ref="AA48" xml:space="preserve"> IFERROR(VLOOKUP($A48,$A$86:$X$981,MATCH(AA$25,$A$87:$J$87,0), FALSE), 0) *
    (LEN($A48) &gt; 0)+SUMPRODUCT(
    IFERROR(VLOOKUP($G48:$T48, $B$87:$X$981,MATCH(AA$25,$B$87:$X$87,0), FALSE), 0) *
    (LEN($G48:$T48) &gt; 0)
)</f>
        <v>0</v>
      </c>
      <c r="AB48" cm="1">
        <f t="array" ref="AB48">1+SUMPRODUCT(
    IFERROR(VLOOKUP($G48:$T48, $B$87:$X$981,MATCH(AB$25,$B$87:$X$87,0), FALSE), 0) *
    (LEN($G48:$T48) &gt; 0)
)+IFERROR(VLOOKUP($A48,$A$87:$X$981,MATCH(AB$25,$A$87:$J$87,0), FALSE), 0) *
    (LEN($A48) &gt; 0)</f>
        <v>1</v>
      </c>
      <c r="AC48" cm="1">
        <f t="array" ref="AC48">1+SUMPRODUCT(
    IFERROR(VLOOKUP($G48:$T48, $B$87:$X$981,MATCH(AC$25,$B$87:$X$87,0), FALSE), 0) *
    (LEN($G48:$T48) &gt; 0)
)</f>
        <v>1</v>
      </c>
      <c r="AD48" cm="1">
        <f t="array" ref="AD48">SUMPRODUCT(
    IFERROR(VLOOKUP($G48:$T48, $B$87:$X$981,MATCH(AD$25,$B$87:$X$87,0), FALSE), 0) *
    (LEN($G48:$T48) &gt; 0)
)+IFERROR(VLOOKUP($A48,$A$88:$X$981,MATCH(AD$25,$A$87:$X$87,0), FALSE), 0) *
    (LEN($A48) &gt; 0)</f>
        <v>0</v>
      </c>
      <c r="AE48" cm="1">
        <f t="array" ref="AE48">SUMPRODUCT(
    IFERROR(VLOOKUP($G48:$T48, $B$87:$X$981,MATCH(AE$25,$B$87:$X$87,0), FALSE), 0) *
    (LEN($G48:$T48) &gt; 0)
)+IFERROR(VLOOKUP($A48,$A$88:$X$981,MATCH(AE$25,$A$87:$X$87,0), FALSE), 0) *
    (LEN($A48) &gt; 0)</f>
        <v>0</v>
      </c>
      <c r="AF48" cm="1">
        <f t="array" ref="AF48">SUMPRODUCT(
    IFERROR(VLOOKUP($G48:$T48, $B$87:$X$981,MATCH(AF$25,$B$87:$X$87,0), FALSE), 0) *
    (LEN($G48:$T48) &gt; 0)
)+IFERROR(VLOOKUP($A48,$A$88:$X$981,MATCH(AF$25,$A$87:$X$87,0), FALSE), 0) *
    (LEN($A48) &gt; 0)</f>
        <v>0</v>
      </c>
      <c r="AG48" cm="1">
        <f t="array" ref="AG48">SUMPRODUCT(
    IFERROR(VLOOKUP($G48:$T48, $B$87:$X$981,MATCH(AG$25,$B$87:$X$87,0), FALSE), 0) *
    (LEN($G48:$T48) &gt; 0)
)+IFERROR(VLOOKUP($A48,$A$88:$X$981,MATCH(AG$25,$A$87:$X$87,0), FALSE), 0) *
    (LEN($A48) &gt; 0)</f>
        <v>0</v>
      </c>
      <c r="AH48" cm="1">
        <f t="array" ref="AH48">SUMPRODUCT(
    IFERROR(VLOOKUP($G48:$T48, $B$87:$X$981,MATCH(AH$25,$B$87:$X$87,0), FALSE), 0) *
    (LEN($G48:$T48) &gt; 0)
)+IFERROR(VLOOKUP($A48,$A$88:$X$981,MATCH(AH$25,$A$87:$X$87,0), FALSE), 0) *
    (LEN($A48) &gt; 0)</f>
        <v>0</v>
      </c>
      <c r="AI48">
        <f t="shared" si="32"/>
        <v>1</v>
      </c>
      <c r="AJ48" cm="1">
        <f t="array" ref="AJ48">1+SUMPRODUCT(
    IFERROR(VLOOKUP($G48:$T48, $B$87:$X$981,MATCH(AJ$25,$B$87:$X$87,0), FALSE), 0) *
    (LEN($G48:$T48) &gt; 0)
)</f>
        <v>1</v>
      </c>
      <c r="AK48" cm="1">
        <f t="array" ref="AK48">1+SUMPRODUCT(
    IFERROR(VLOOKUP($G48:$T48, $B$87:$X$981,MATCH(AK$25,$B$87:$X$87,0), FALSE), 0) *
    (LEN($G48:$T48) &gt; 0)
)</f>
        <v>1</v>
      </c>
      <c r="AL48" cm="1">
        <f t="array" ref="AL48">1+SUMPRODUCT(
    IFERROR(VLOOKUP($G48:$T48, $B$87:$X$981,MATCH(AL$25,$B$87:$X$87,0), FALSE), 0) *
    (LEN($G48:$T48) &gt; 0)
)</f>
        <v>1</v>
      </c>
      <c r="AM48" cm="1">
        <f t="array" ref="AM48">1+SUMPRODUCT(
    IFERROR(VLOOKUP($G48:$T48, $B$87:$X$981,MATCH(AM$25,$B$87:$X$87,0), FALSE), 0) *
    (LEN($G48:$T48) &gt; 0)
)</f>
        <v>1</v>
      </c>
      <c r="AN48" cm="1">
        <f t="array" ref="AN48">1+SUMPRODUCT(
    IFERROR(VLOOKUP($G48:$T48, $B$87:$X$981,MATCH(AN$25,$B$87:$X$87,0), FALSE), 0) *
    (LEN($G48:$T48) &gt; 0)
)</f>
        <v>1</v>
      </c>
      <c r="AO48">
        <f t="shared" si="33"/>
        <v>1</v>
      </c>
      <c r="AQ48">
        <f t="shared" si="34"/>
        <v>0.5</v>
      </c>
    </row>
    <row r="49" spans="2:43" x14ac:dyDescent="0.25">
      <c r="B49">
        <f t="shared" si="29"/>
        <v>0</v>
      </c>
      <c r="C49">
        <f t="shared" si="24"/>
        <v>0</v>
      </c>
      <c r="D49">
        <f t="shared" si="30"/>
        <v>0</v>
      </c>
      <c r="E49" s="36" t="e">
        <f>表2_5469[[#This Row],[列3]]/$C$62</f>
        <v>#DIV/0!</v>
      </c>
      <c r="F49" t="s">
        <v>791</v>
      </c>
      <c r="U49">
        <f t="shared" si="19"/>
        <v>0</v>
      </c>
      <c r="V49" cm="1">
        <f t="array" ref="V49" xml:space="preserve"> IFERROR(VLOOKUP($A49,$A$86:$X$981,MATCH(V$25,$A$87:$J$87,0), FALSE), 0) *
    (LEN($A49) &gt; 0)+SUMPRODUCT(
    IFERROR(VLOOKUP($G49:$T49, $B$87:$X$981,MATCH(V$25,$B$87:$X$87,0), FALSE), 0) *
    (LEN($G49:$T49) &gt; 0)
)</f>
        <v>0</v>
      </c>
      <c r="W49">
        <f t="shared" si="20"/>
        <v>0</v>
      </c>
      <c r="X49">
        <f t="shared" si="20"/>
        <v>0</v>
      </c>
      <c r="Y49">
        <f t="shared" si="31"/>
        <v>0</v>
      </c>
      <c r="Z49">
        <f t="shared" si="21"/>
        <v>0</v>
      </c>
      <c r="AA49" cm="1">
        <f t="array" ref="AA49" xml:space="preserve"> IFERROR(VLOOKUP($A49,$A$86:$X$981,MATCH(AA$25,$A$87:$J$87,0), FALSE), 0) *
    (LEN($A49) &gt; 0)+SUMPRODUCT(
    IFERROR(VLOOKUP($G49:$T49, $B$87:$X$981,MATCH(AA$25,$B$87:$X$87,0), FALSE), 0) *
    (LEN($G49:$T49) &gt; 0)
)</f>
        <v>0</v>
      </c>
      <c r="AB49" cm="1">
        <f t="array" ref="AB49">1+SUMPRODUCT(
    IFERROR(VLOOKUP($G49:$T49, $B$87:$X$981,MATCH(AB$25,$B$87:$X$87,0), FALSE), 0) *
    (LEN($G49:$T49) &gt; 0)
)+IFERROR(VLOOKUP($A49,$A$87:$X$981,MATCH(AB$25,$A$87:$J$87,0), FALSE), 0) *
    (LEN($A49) &gt; 0)</f>
        <v>1</v>
      </c>
      <c r="AC49" cm="1">
        <f t="array" ref="AC49">1+SUMPRODUCT(
    IFERROR(VLOOKUP($G49:$T49, $B$87:$X$981,MATCH(AC$25,$B$87:$X$87,0), FALSE), 0) *
    (LEN($G49:$T49) &gt; 0)
)</f>
        <v>1</v>
      </c>
      <c r="AD49" cm="1">
        <f t="array" ref="AD49">SUMPRODUCT(
    IFERROR(VLOOKUP($G49:$T49, $B$87:$X$981,MATCH(AD$25,$B$87:$X$87,0), FALSE), 0) *
    (LEN($G49:$T49) &gt; 0)
)+IFERROR(VLOOKUP($A49,$A$88:$X$981,MATCH(AD$25,$A$87:$X$87,0), FALSE), 0) *
    (LEN($A49) &gt; 0)</f>
        <v>0</v>
      </c>
      <c r="AE49" cm="1">
        <f t="array" ref="AE49">SUMPRODUCT(
    IFERROR(VLOOKUP($G49:$T49, $B$87:$X$981,MATCH(AE$25,$B$87:$X$87,0), FALSE), 0) *
    (LEN($G49:$T49) &gt; 0)
)+IFERROR(VLOOKUP($A49,$A$88:$X$981,MATCH(AE$25,$A$87:$X$87,0), FALSE), 0) *
    (LEN($A49) &gt; 0)</f>
        <v>0</v>
      </c>
      <c r="AF49" cm="1">
        <f t="array" ref="AF49">SUMPRODUCT(
    IFERROR(VLOOKUP($G49:$T49, $B$87:$X$981,MATCH(AF$25,$B$87:$X$87,0), FALSE), 0) *
    (LEN($G49:$T49) &gt; 0)
)+IFERROR(VLOOKUP($A49,$A$88:$X$981,MATCH(AF$25,$A$87:$X$87,0), FALSE), 0) *
    (LEN($A49) &gt; 0)</f>
        <v>0</v>
      </c>
      <c r="AG49" cm="1">
        <f t="array" ref="AG49">SUMPRODUCT(
    IFERROR(VLOOKUP($G49:$T49, $B$87:$X$981,MATCH(AG$25,$B$87:$X$87,0), FALSE), 0) *
    (LEN($G49:$T49) &gt; 0)
)+IFERROR(VLOOKUP($A49,$A$88:$X$981,MATCH(AG$25,$A$87:$X$87,0), FALSE), 0) *
    (LEN($A49) &gt; 0)</f>
        <v>0</v>
      </c>
      <c r="AH49" cm="1">
        <f t="array" ref="AH49">SUMPRODUCT(
    IFERROR(VLOOKUP($G49:$T49, $B$87:$X$981,MATCH(AH$25,$B$87:$X$87,0), FALSE), 0) *
    (LEN($G49:$T49) &gt; 0)
)+IFERROR(VLOOKUP($A49,$A$88:$X$981,MATCH(AH$25,$A$87:$X$87,0), FALSE), 0) *
    (LEN($A49) &gt; 0)</f>
        <v>0</v>
      </c>
      <c r="AI49">
        <f t="shared" si="32"/>
        <v>1</v>
      </c>
      <c r="AJ49" cm="1">
        <f t="array" ref="AJ49">1+SUMPRODUCT(
    IFERROR(VLOOKUP($G49:$T49, $B$87:$X$981,MATCH(AJ$25,$B$87:$X$87,0), FALSE), 0) *
    (LEN($G49:$T49) &gt; 0)
)</f>
        <v>1</v>
      </c>
      <c r="AK49" cm="1">
        <f t="array" ref="AK49">1+SUMPRODUCT(
    IFERROR(VLOOKUP($G49:$T49, $B$87:$X$981,MATCH(AK$25,$B$87:$X$87,0), FALSE), 0) *
    (LEN($G49:$T49) &gt; 0)
)</f>
        <v>1</v>
      </c>
      <c r="AL49" cm="1">
        <f t="array" ref="AL49">1+SUMPRODUCT(
    IFERROR(VLOOKUP($G49:$T49, $B$87:$X$981,MATCH(AL$25,$B$87:$X$87,0), FALSE), 0) *
    (LEN($G49:$T49) &gt; 0)
)</f>
        <v>1</v>
      </c>
      <c r="AM49" cm="1">
        <f t="array" ref="AM49">1+SUMPRODUCT(
    IFERROR(VLOOKUP($G49:$T49, $B$87:$X$981,MATCH(AM$25,$B$87:$X$87,0), FALSE), 0) *
    (LEN($G49:$T49) &gt; 0)
)</f>
        <v>1</v>
      </c>
      <c r="AN49" cm="1">
        <f t="array" ref="AN49">1+SUMPRODUCT(
    IFERROR(VLOOKUP($G49:$T49, $B$87:$X$981,MATCH(AN$25,$B$87:$X$87,0), FALSE), 0) *
    (LEN($G49:$T49) &gt; 0)
)</f>
        <v>1</v>
      </c>
      <c r="AO49">
        <f t="shared" si="33"/>
        <v>1</v>
      </c>
      <c r="AQ49">
        <f t="shared" si="34"/>
        <v>0.5</v>
      </c>
    </row>
    <row r="50" spans="2:43" x14ac:dyDescent="0.25">
      <c r="B50">
        <f t="shared" si="29"/>
        <v>0</v>
      </c>
      <c r="C50">
        <f t="shared" si="24"/>
        <v>0</v>
      </c>
      <c r="D50">
        <f t="shared" si="30"/>
        <v>0</v>
      </c>
      <c r="E50" s="36" t="e">
        <f>表2_5469[[#This Row],[列3]]/$C$62</f>
        <v>#DIV/0!</v>
      </c>
      <c r="F50" t="s">
        <v>791</v>
      </c>
      <c r="U50">
        <f t="shared" si="19"/>
        <v>0</v>
      </c>
      <c r="V50" cm="1">
        <f t="array" ref="V50" xml:space="preserve"> IFERROR(VLOOKUP($A50,$A$86:$X$981,MATCH(V$25,$A$87:$J$87,0), FALSE), 0) *
    (LEN($A50) &gt; 0)+SUMPRODUCT(
    IFERROR(VLOOKUP($G50:$T50, $B$87:$X$981,MATCH(V$25,$B$87:$X$87,0), FALSE), 0) *
    (LEN($G50:$T50) &gt; 0)
)</f>
        <v>0</v>
      </c>
      <c r="W50">
        <f t="shared" si="20"/>
        <v>0</v>
      </c>
      <c r="X50">
        <f t="shared" si="20"/>
        <v>0</v>
      </c>
      <c r="Y50">
        <f t="shared" si="31"/>
        <v>0</v>
      </c>
      <c r="Z50">
        <f t="shared" si="21"/>
        <v>0</v>
      </c>
      <c r="AA50" cm="1">
        <f t="array" ref="AA50" xml:space="preserve"> IFERROR(VLOOKUP($A50,$A$86:$X$981,MATCH(AA$25,$A$87:$J$87,0), FALSE), 0) *
    (LEN($A50) &gt; 0)+SUMPRODUCT(
    IFERROR(VLOOKUP($G50:$T50, $B$87:$X$981,MATCH(AA$25,$B$87:$X$87,0), FALSE), 0) *
    (LEN($G50:$T50) &gt; 0)
)</f>
        <v>0</v>
      </c>
      <c r="AB50" cm="1">
        <f t="array" ref="AB50">1+SUMPRODUCT(
    IFERROR(VLOOKUP($G50:$T50, $B$87:$X$981,MATCH(AB$25,$B$87:$X$87,0), FALSE), 0) *
    (LEN($G50:$T50) &gt; 0)
)+IFERROR(VLOOKUP($A50,$A$87:$X$981,MATCH(AB$25,$A$87:$J$87,0), FALSE), 0) *
    (LEN($A50) &gt; 0)</f>
        <v>1</v>
      </c>
      <c r="AC50" cm="1">
        <f t="array" ref="AC50">1+SUMPRODUCT(
    IFERROR(VLOOKUP($G50:$T50, $B$87:$X$981,MATCH(AC$25,$B$87:$X$87,0), FALSE), 0) *
    (LEN($G50:$T50) &gt; 0)
)</f>
        <v>1</v>
      </c>
      <c r="AD50" cm="1">
        <f t="array" ref="AD50">SUMPRODUCT(
    IFERROR(VLOOKUP($G50:$T50, $B$87:$X$981,MATCH(AD$25,$B$87:$X$87,0), FALSE), 0) *
    (LEN($G50:$T50) &gt; 0)
)+IFERROR(VLOOKUP($A50,$A$88:$X$981,MATCH(AD$25,$A$87:$X$87,0), FALSE), 0) *
    (LEN($A50) &gt; 0)</f>
        <v>0</v>
      </c>
      <c r="AE50" cm="1">
        <f t="array" ref="AE50">SUMPRODUCT(
    IFERROR(VLOOKUP($G50:$T50, $B$87:$X$981,MATCH(AE$25,$B$87:$X$87,0), FALSE), 0) *
    (LEN($G50:$T50) &gt; 0)
)+IFERROR(VLOOKUP($A50,$A$88:$X$981,MATCH(AE$25,$A$87:$X$87,0), FALSE), 0) *
    (LEN($A50) &gt; 0)</f>
        <v>0</v>
      </c>
      <c r="AF50" cm="1">
        <f t="array" ref="AF50">SUMPRODUCT(
    IFERROR(VLOOKUP($G50:$T50, $B$87:$X$981,MATCH(AF$25,$B$87:$X$87,0), FALSE), 0) *
    (LEN($G50:$T50) &gt; 0)
)+IFERROR(VLOOKUP($A50,$A$88:$X$981,MATCH(AF$25,$A$87:$X$87,0), FALSE), 0) *
    (LEN($A50) &gt; 0)</f>
        <v>0</v>
      </c>
      <c r="AG50" cm="1">
        <f t="array" ref="AG50">SUMPRODUCT(
    IFERROR(VLOOKUP($G50:$T50, $B$87:$X$981,MATCH(AG$25,$B$87:$X$87,0), FALSE), 0) *
    (LEN($G50:$T50) &gt; 0)
)+IFERROR(VLOOKUP($A50,$A$88:$X$981,MATCH(AG$25,$A$87:$X$87,0), FALSE), 0) *
    (LEN($A50) &gt; 0)</f>
        <v>0</v>
      </c>
      <c r="AH50" cm="1">
        <f t="array" ref="AH50">SUMPRODUCT(
    IFERROR(VLOOKUP($G50:$T50, $B$87:$X$981,MATCH(AH$25,$B$87:$X$87,0), FALSE), 0) *
    (LEN($G50:$T50) &gt; 0)
)+IFERROR(VLOOKUP($A50,$A$88:$X$981,MATCH(AH$25,$A$87:$X$87,0), FALSE), 0) *
    (LEN($A50) &gt; 0)</f>
        <v>0</v>
      </c>
      <c r="AI50">
        <f t="shared" si="32"/>
        <v>1</v>
      </c>
      <c r="AJ50" cm="1">
        <f t="array" ref="AJ50">1+SUMPRODUCT(
    IFERROR(VLOOKUP($G50:$T50, $B$87:$X$981,MATCH(AJ$25,$B$87:$X$87,0), FALSE), 0) *
    (LEN($G50:$T50) &gt; 0)
)</f>
        <v>1</v>
      </c>
      <c r="AK50" cm="1">
        <f t="array" ref="AK50">1+SUMPRODUCT(
    IFERROR(VLOOKUP($G50:$T50, $B$87:$X$981,MATCH(AK$25,$B$87:$X$87,0), FALSE), 0) *
    (LEN($G50:$T50) &gt; 0)
)</f>
        <v>1</v>
      </c>
      <c r="AL50" cm="1">
        <f t="array" ref="AL50">1+SUMPRODUCT(
    IFERROR(VLOOKUP($G50:$T50, $B$87:$X$981,MATCH(AL$25,$B$87:$X$87,0), FALSE), 0) *
    (LEN($G50:$T50) &gt; 0)
)</f>
        <v>1</v>
      </c>
      <c r="AM50" cm="1">
        <f t="array" ref="AM50">1+SUMPRODUCT(
    IFERROR(VLOOKUP($G50:$T50, $B$87:$X$981,MATCH(AM$25,$B$87:$X$87,0), FALSE), 0) *
    (LEN($G50:$T50) &gt; 0)
)</f>
        <v>1</v>
      </c>
      <c r="AN50" cm="1">
        <f t="array" ref="AN50">1+SUMPRODUCT(
    IFERROR(VLOOKUP($G50:$T50, $B$87:$X$981,MATCH(AN$25,$B$87:$X$87,0), FALSE), 0) *
    (LEN($G50:$T50) &gt; 0)
)</f>
        <v>1</v>
      </c>
      <c r="AO50">
        <f t="shared" si="33"/>
        <v>1</v>
      </c>
      <c r="AQ50">
        <f t="shared" si="34"/>
        <v>0.5</v>
      </c>
    </row>
    <row r="51" spans="2:43" x14ac:dyDescent="0.25">
      <c r="B51">
        <f t="shared" si="29"/>
        <v>0</v>
      </c>
      <c r="C51">
        <f t="shared" si="24"/>
        <v>0</v>
      </c>
      <c r="D51">
        <f t="shared" si="30"/>
        <v>0</v>
      </c>
      <c r="E51" s="36" t="e">
        <f>表2_5469[[#This Row],[列3]]/$C$62</f>
        <v>#DIV/0!</v>
      </c>
      <c r="F51" t="s">
        <v>791</v>
      </c>
      <c r="U51">
        <f t="shared" si="19"/>
        <v>0</v>
      </c>
      <c r="V51" cm="1">
        <f t="array" ref="V51" xml:space="preserve"> IFERROR(VLOOKUP($A51,$A$86:$X$981,MATCH(V$25,$A$87:$J$87,0), FALSE), 0) *
    (LEN($A51) &gt; 0)+SUMPRODUCT(
    IFERROR(VLOOKUP($G51:$T51, $B$87:$X$981,MATCH(V$25,$B$87:$X$87,0), FALSE), 0) *
    (LEN($G51:$T51) &gt; 0)
)</f>
        <v>0</v>
      </c>
      <c r="W51">
        <f t="shared" si="20"/>
        <v>0</v>
      </c>
      <c r="X51">
        <f t="shared" si="20"/>
        <v>0</v>
      </c>
      <c r="Y51">
        <f t="shared" si="31"/>
        <v>0</v>
      </c>
      <c r="Z51">
        <f t="shared" si="21"/>
        <v>0</v>
      </c>
      <c r="AA51" cm="1">
        <f t="array" ref="AA51" xml:space="preserve"> IFERROR(VLOOKUP($A51,$A$86:$X$981,MATCH(AA$25,$A$87:$J$87,0), FALSE), 0) *
    (LEN($A51) &gt; 0)+SUMPRODUCT(
    IFERROR(VLOOKUP($G51:$T51, $B$87:$X$981,MATCH(AA$25,$B$87:$X$87,0), FALSE), 0) *
    (LEN($G51:$T51) &gt; 0)
)</f>
        <v>0</v>
      </c>
      <c r="AB51" cm="1">
        <f t="array" ref="AB51">1+SUMPRODUCT(
    IFERROR(VLOOKUP($G51:$T51, $B$87:$X$981,MATCH(AB$25,$B$87:$X$87,0), FALSE), 0) *
    (LEN($G51:$T51) &gt; 0)
)+IFERROR(VLOOKUP($A51,$A$87:$X$981,MATCH(AB$25,$A$87:$J$87,0), FALSE), 0) *
    (LEN($A51) &gt; 0)</f>
        <v>1</v>
      </c>
      <c r="AC51" cm="1">
        <f t="array" ref="AC51">1+SUMPRODUCT(
    IFERROR(VLOOKUP($G51:$T51, $B$87:$X$981,MATCH(AC$25,$B$87:$X$87,0), FALSE), 0) *
    (LEN($G51:$T51) &gt; 0)
)</f>
        <v>1</v>
      </c>
      <c r="AD51" cm="1">
        <f t="array" ref="AD51">SUMPRODUCT(
    IFERROR(VLOOKUP($G51:$T51, $B$87:$X$981,MATCH(AD$25,$B$87:$X$87,0), FALSE), 0) *
    (LEN($G51:$T51) &gt; 0)
)+IFERROR(VLOOKUP($A51,$A$88:$X$981,MATCH(AD$25,$A$87:$X$87,0), FALSE), 0) *
    (LEN($A51) &gt; 0)</f>
        <v>0</v>
      </c>
      <c r="AE51" cm="1">
        <f t="array" ref="AE51">SUMPRODUCT(
    IFERROR(VLOOKUP($G51:$T51, $B$87:$X$981,MATCH(AE$25,$B$87:$X$87,0), FALSE), 0) *
    (LEN($G51:$T51) &gt; 0)
)+IFERROR(VLOOKUP($A51,$A$88:$X$981,MATCH(AE$25,$A$87:$X$87,0), FALSE), 0) *
    (LEN($A51) &gt; 0)</f>
        <v>0</v>
      </c>
      <c r="AF51" cm="1">
        <f t="array" ref="AF51">SUMPRODUCT(
    IFERROR(VLOOKUP($G51:$T51, $B$87:$X$981,MATCH(AF$25,$B$87:$X$87,0), FALSE), 0) *
    (LEN($G51:$T51) &gt; 0)
)+IFERROR(VLOOKUP($A51,$A$88:$X$981,MATCH(AF$25,$A$87:$X$87,0), FALSE), 0) *
    (LEN($A51) &gt; 0)</f>
        <v>0</v>
      </c>
      <c r="AG51" cm="1">
        <f t="array" ref="AG51">SUMPRODUCT(
    IFERROR(VLOOKUP($G51:$T51, $B$87:$X$981,MATCH(AG$25,$B$87:$X$87,0), FALSE), 0) *
    (LEN($G51:$T51) &gt; 0)
)+IFERROR(VLOOKUP($A51,$A$88:$X$981,MATCH(AG$25,$A$87:$X$87,0), FALSE), 0) *
    (LEN($A51) &gt; 0)</f>
        <v>0</v>
      </c>
      <c r="AH51" cm="1">
        <f t="array" ref="AH51">SUMPRODUCT(
    IFERROR(VLOOKUP($G51:$T51, $B$87:$X$981,MATCH(AH$25,$B$87:$X$87,0), FALSE), 0) *
    (LEN($G51:$T51) &gt; 0)
)+IFERROR(VLOOKUP($A51,$A$88:$X$981,MATCH(AH$25,$A$87:$X$87,0), FALSE), 0) *
    (LEN($A51) &gt; 0)</f>
        <v>0</v>
      </c>
      <c r="AI51">
        <f t="shared" si="32"/>
        <v>1</v>
      </c>
      <c r="AJ51" cm="1">
        <f t="array" ref="AJ51">1+SUMPRODUCT(
    IFERROR(VLOOKUP($G51:$T51, $B$87:$X$981,MATCH(AJ$25,$B$87:$X$87,0), FALSE), 0) *
    (LEN($G51:$T51) &gt; 0)
)</f>
        <v>1</v>
      </c>
      <c r="AK51" cm="1">
        <f t="array" ref="AK51">1+SUMPRODUCT(
    IFERROR(VLOOKUP($G51:$T51, $B$87:$X$981,MATCH(AK$25,$B$87:$X$87,0), FALSE), 0) *
    (LEN($G51:$T51) &gt; 0)
)</f>
        <v>1</v>
      </c>
      <c r="AL51" cm="1">
        <f t="array" ref="AL51">1+SUMPRODUCT(
    IFERROR(VLOOKUP($G51:$T51, $B$87:$X$981,MATCH(AL$25,$B$87:$X$87,0), FALSE), 0) *
    (LEN($G51:$T51) &gt; 0)
)</f>
        <v>1</v>
      </c>
      <c r="AM51" cm="1">
        <f t="array" ref="AM51">1+SUMPRODUCT(
    IFERROR(VLOOKUP($G51:$T51, $B$87:$X$981,MATCH(AM$25,$B$87:$X$87,0), FALSE), 0) *
    (LEN($G51:$T51) &gt; 0)
)</f>
        <v>1</v>
      </c>
      <c r="AN51" cm="1">
        <f t="array" ref="AN51">1+SUMPRODUCT(
    IFERROR(VLOOKUP($G51:$T51, $B$87:$X$981,MATCH(AN$25,$B$87:$X$87,0), FALSE), 0) *
    (LEN($G51:$T51) &gt; 0)
)</f>
        <v>1</v>
      </c>
      <c r="AO51">
        <f t="shared" si="33"/>
        <v>1</v>
      </c>
      <c r="AQ51">
        <f t="shared" si="34"/>
        <v>0.5</v>
      </c>
    </row>
    <row r="52" spans="2:43" x14ac:dyDescent="0.25">
      <c r="B52">
        <f t="shared" si="29"/>
        <v>0</v>
      </c>
      <c r="C52">
        <f t="shared" si="24"/>
        <v>0</v>
      </c>
      <c r="D52">
        <f t="shared" si="30"/>
        <v>0</v>
      </c>
      <c r="E52" s="36" t="e">
        <f>表2_5469[[#This Row],[列3]]/$C$62</f>
        <v>#DIV/0!</v>
      </c>
      <c r="F52" t="s">
        <v>791</v>
      </c>
      <c r="U52">
        <f t="shared" si="19"/>
        <v>0</v>
      </c>
      <c r="V52" cm="1">
        <f t="array" ref="V52" xml:space="preserve"> IFERROR(VLOOKUP($A52,$A$86:$X$981,MATCH(V$25,$A$87:$J$87,0), FALSE), 0) *
    (LEN($A52) &gt; 0)+SUMPRODUCT(
    IFERROR(VLOOKUP($G52:$T52, $B$87:$X$981,MATCH(V$25,$B$87:$X$87,0), FALSE), 0) *
    (LEN($G52:$T52) &gt; 0)
)</f>
        <v>0</v>
      </c>
      <c r="W52">
        <f t="shared" si="20"/>
        <v>0</v>
      </c>
      <c r="X52">
        <f t="shared" si="20"/>
        <v>0</v>
      </c>
      <c r="Y52">
        <f t="shared" si="31"/>
        <v>0</v>
      </c>
      <c r="Z52">
        <f t="shared" si="21"/>
        <v>0</v>
      </c>
      <c r="AA52" cm="1">
        <f t="array" ref="AA52" xml:space="preserve"> IFERROR(VLOOKUP($A52,$A$86:$X$981,MATCH(AA$25,$A$87:$J$87,0), FALSE), 0) *
    (LEN($A52) &gt; 0)+SUMPRODUCT(
    IFERROR(VLOOKUP($G52:$T52, $B$87:$X$981,MATCH(AA$25,$B$87:$X$87,0), FALSE), 0) *
    (LEN($G52:$T52) &gt; 0)
)</f>
        <v>0</v>
      </c>
      <c r="AB52" cm="1">
        <f t="array" ref="AB52">1+SUMPRODUCT(
    IFERROR(VLOOKUP($G52:$T52, $B$87:$X$981,MATCH(AB$25,$B$87:$X$87,0), FALSE), 0) *
    (LEN($G52:$T52) &gt; 0)
)+IFERROR(VLOOKUP($A52,$A$87:$X$981,MATCH(AB$25,$A$87:$J$87,0), FALSE), 0) *
    (LEN($A52) &gt; 0)</f>
        <v>1</v>
      </c>
      <c r="AC52" cm="1">
        <f t="array" ref="AC52">1+SUMPRODUCT(
    IFERROR(VLOOKUP($G52:$T52, $B$87:$X$981,MATCH(AC$25,$B$87:$X$87,0), FALSE), 0) *
    (LEN($G52:$T52) &gt; 0)
)</f>
        <v>1</v>
      </c>
      <c r="AD52" cm="1">
        <f t="array" ref="AD52">SUMPRODUCT(
    IFERROR(VLOOKUP($G52:$T52, $B$87:$X$981,MATCH(AD$25,$B$87:$X$87,0), FALSE), 0) *
    (LEN($G52:$T52) &gt; 0)
)+IFERROR(VLOOKUP($A52,$A$88:$X$981,MATCH(AD$25,$A$87:$X$87,0), FALSE), 0) *
    (LEN($A52) &gt; 0)</f>
        <v>0</v>
      </c>
      <c r="AE52" cm="1">
        <f t="array" ref="AE52">SUMPRODUCT(
    IFERROR(VLOOKUP($G52:$T52, $B$87:$X$981,MATCH(AE$25,$B$87:$X$87,0), FALSE), 0) *
    (LEN($G52:$T52) &gt; 0)
)+IFERROR(VLOOKUP($A52,$A$88:$X$981,MATCH(AE$25,$A$87:$X$87,0), FALSE), 0) *
    (LEN($A52) &gt; 0)</f>
        <v>0</v>
      </c>
      <c r="AF52" cm="1">
        <f t="array" ref="AF52">SUMPRODUCT(
    IFERROR(VLOOKUP($G52:$T52, $B$87:$X$981,MATCH(AF$25,$B$87:$X$87,0), FALSE), 0) *
    (LEN($G52:$T52) &gt; 0)
)+IFERROR(VLOOKUP($A52,$A$88:$X$981,MATCH(AF$25,$A$87:$X$87,0), FALSE), 0) *
    (LEN($A52) &gt; 0)</f>
        <v>0</v>
      </c>
      <c r="AG52" cm="1">
        <f t="array" ref="AG52">SUMPRODUCT(
    IFERROR(VLOOKUP($G52:$T52, $B$87:$X$981,MATCH(AG$25,$B$87:$X$87,0), FALSE), 0) *
    (LEN($G52:$T52) &gt; 0)
)+IFERROR(VLOOKUP($A52,$A$88:$X$981,MATCH(AG$25,$A$87:$X$87,0), FALSE), 0) *
    (LEN($A52) &gt; 0)</f>
        <v>0</v>
      </c>
      <c r="AH52" cm="1">
        <f t="array" ref="AH52">SUMPRODUCT(
    IFERROR(VLOOKUP($G52:$T52, $B$87:$X$981,MATCH(AH$25,$B$87:$X$87,0), FALSE), 0) *
    (LEN($G52:$T52) &gt; 0)
)+IFERROR(VLOOKUP($A52,$A$88:$X$981,MATCH(AH$25,$A$87:$X$87,0), FALSE), 0) *
    (LEN($A52) &gt; 0)</f>
        <v>0</v>
      </c>
      <c r="AI52">
        <f t="shared" si="32"/>
        <v>1</v>
      </c>
      <c r="AJ52" cm="1">
        <f t="array" ref="AJ52">1+SUMPRODUCT(
    IFERROR(VLOOKUP($G52:$T52, $B$87:$X$981,MATCH(AJ$25,$B$87:$X$87,0), FALSE), 0) *
    (LEN($G52:$T52) &gt; 0)
)</f>
        <v>1</v>
      </c>
      <c r="AK52" cm="1">
        <f t="array" ref="AK52">1+SUMPRODUCT(
    IFERROR(VLOOKUP($G52:$T52, $B$87:$X$981,MATCH(AK$25,$B$87:$X$87,0), FALSE), 0) *
    (LEN($G52:$T52) &gt; 0)
)</f>
        <v>1</v>
      </c>
      <c r="AL52" cm="1">
        <f t="array" ref="AL52">1+SUMPRODUCT(
    IFERROR(VLOOKUP($G52:$T52, $B$87:$X$981,MATCH(AL$25,$B$87:$X$87,0), FALSE), 0) *
    (LEN($G52:$T52) &gt; 0)
)</f>
        <v>1</v>
      </c>
      <c r="AM52" cm="1">
        <f t="array" ref="AM52">1+SUMPRODUCT(
    IFERROR(VLOOKUP($G52:$T52, $B$87:$X$981,MATCH(AM$25,$B$87:$X$87,0), FALSE), 0) *
    (LEN($G52:$T52) &gt; 0)
)</f>
        <v>1</v>
      </c>
      <c r="AN52" cm="1">
        <f t="array" ref="AN52">1+SUMPRODUCT(
    IFERROR(VLOOKUP($G52:$T52, $B$87:$X$981,MATCH(AN$25,$B$87:$X$87,0), FALSE), 0) *
    (LEN($G52:$T52) &gt; 0)
)</f>
        <v>1</v>
      </c>
      <c r="AO52">
        <f t="shared" si="33"/>
        <v>1</v>
      </c>
      <c r="AQ52">
        <f t="shared" si="34"/>
        <v>0.5</v>
      </c>
    </row>
    <row r="53" spans="2:43" x14ac:dyDescent="0.25">
      <c r="B53">
        <f t="shared" si="29"/>
        <v>0</v>
      </c>
      <c r="C53">
        <f t="shared" si="24"/>
        <v>0</v>
      </c>
      <c r="D53">
        <f t="shared" si="30"/>
        <v>0</v>
      </c>
      <c r="E53" s="36" t="e">
        <f>表2_5469[[#This Row],[列3]]/$C$62</f>
        <v>#DIV/0!</v>
      </c>
      <c r="F53" t="s">
        <v>791</v>
      </c>
      <c r="U53">
        <f t="shared" si="19"/>
        <v>0</v>
      </c>
      <c r="V53" cm="1">
        <f t="array" ref="V53" xml:space="preserve"> IFERROR(VLOOKUP($A53,$A$86:$X$981,MATCH(V$25,$A$87:$J$87,0), FALSE), 0) *
    (LEN($A53) &gt; 0)+SUMPRODUCT(
    IFERROR(VLOOKUP($G53:$T53, $B$87:$X$981,MATCH(V$25,$B$87:$X$87,0), FALSE), 0) *
    (LEN($G53:$T53) &gt; 0)
)</f>
        <v>0</v>
      </c>
      <c r="W53">
        <f t="shared" si="20"/>
        <v>0</v>
      </c>
      <c r="X53">
        <f t="shared" si="20"/>
        <v>0</v>
      </c>
      <c r="Y53">
        <f t="shared" si="31"/>
        <v>0</v>
      </c>
      <c r="Z53">
        <f t="shared" si="21"/>
        <v>0</v>
      </c>
      <c r="AA53" cm="1">
        <f t="array" ref="AA53" xml:space="preserve"> IFERROR(VLOOKUP($A53,$A$86:$X$981,MATCH(AA$25,$A$87:$J$87,0), FALSE), 0) *
    (LEN($A53) &gt; 0)+SUMPRODUCT(
    IFERROR(VLOOKUP($G53:$T53, $B$87:$X$981,MATCH(AA$25,$B$87:$X$87,0), FALSE), 0) *
    (LEN($G53:$T53) &gt; 0)
)</f>
        <v>0</v>
      </c>
      <c r="AB53" cm="1">
        <f t="array" ref="AB53">1+SUMPRODUCT(
    IFERROR(VLOOKUP($G53:$T53, $B$87:$X$981,MATCH(AB$25,$B$87:$X$87,0), FALSE), 0) *
    (LEN($G53:$T53) &gt; 0)
)+IFERROR(VLOOKUP($A53,$A$87:$X$981,MATCH(AB$25,$A$87:$J$87,0), FALSE), 0) *
    (LEN($A53) &gt; 0)</f>
        <v>1</v>
      </c>
      <c r="AC53" cm="1">
        <f t="array" ref="AC53">1+SUMPRODUCT(
    IFERROR(VLOOKUP($G53:$T53, $B$87:$X$981,MATCH(AC$25,$B$87:$X$87,0), FALSE), 0) *
    (LEN($G53:$T53) &gt; 0)
)</f>
        <v>1</v>
      </c>
      <c r="AD53" cm="1">
        <f t="array" ref="AD53">SUMPRODUCT(
    IFERROR(VLOOKUP($G53:$T53, $B$87:$X$981,MATCH(AD$25,$B$87:$X$87,0), FALSE), 0) *
    (LEN($G53:$T53) &gt; 0)
)+IFERROR(VLOOKUP($A53,$A$88:$X$981,MATCH(AD$25,$A$87:$X$87,0), FALSE), 0) *
    (LEN($A53) &gt; 0)</f>
        <v>0</v>
      </c>
      <c r="AE53" cm="1">
        <f t="array" ref="AE53">SUMPRODUCT(
    IFERROR(VLOOKUP($G53:$T53, $B$87:$X$981,MATCH(AE$25,$B$87:$X$87,0), FALSE), 0) *
    (LEN($G53:$T53) &gt; 0)
)+IFERROR(VLOOKUP($A53,$A$88:$X$981,MATCH(AE$25,$A$87:$X$87,0), FALSE), 0) *
    (LEN($A53) &gt; 0)</f>
        <v>0</v>
      </c>
      <c r="AF53" cm="1">
        <f t="array" ref="AF53">SUMPRODUCT(
    IFERROR(VLOOKUP($G53:$T53, $B$87:$X$981,MATCH(AF$25,$B$87:$X$87,0), FALSE), 0) *
    (LEN($G53:$T53) &gt; 0)
)+IFERROR(VLOOKUP($A53,$A$88:$X$981,MATCH(AF$25,$A$87:$X$87,0), FALSE), 0) *
    (LEN($A53) &gt; 0)</f>
        <v>0</v>
      </c>
      <c r="AG53" cm="1">
        <f t="array" ref="AG53">SUMPRODUCT(
    IFERROR(VLOOKUP($G53:$T53, $B$87:$X$981,MATCH(AG$25,$B$87:$X$87,0), FALSE), 0) *
    (LEN($G53:$T53) &gt; 0)
)+IFERROR(VLOOKUP($A53,$A$88:$X$981,MATCH(AG$25,$A$87:$X$87,0), FALSE), 0) *
    (LEN($A53) &gt; 0)</f>
        <v>0</v>
      </c>
      <c r="AH53" cm="1">
        <f t="array" ref="AH53">SUMPRODUCT(
    IFERROR(VLOOKUP($G53:$T53, $B$87:$X$981,MATCH(AH$25,$B$87:$X$87,0), FALSE), 0) *
    (LEN($G53:$T53) &gt; 0)
)+IFERROR(VLOOKUP($A53,$A$88:$X$981,MATCH(AH$25,$A$87:$X$87,0), FALSE), 0) *
    (LEN($A53) &gt; 0)</f>
        <v>0</v>
      </c>
      <c r="AI53">
        <f t="shared" si="32"/>
        <v>1</v>
      </c>
      <c r="AJ53" cm="1">
        <f t="array" ref="AJ53">1+SUMPRODUCT(
    IFERROR(VLOOKUP($G53:$T53, $B$87:$X$981,MATCH(AJ$25,$B$87:$X$87,0), FALSE), 0) *
    (LEN($G53:$T53) &gt; 0)
)</f>
        <v>1</v>
      </c>
      <c r="AK53" cm="1">
        <f t="array" ref="AK53">1+SUMPRODUCT(
    IFERROR(VLOOKUP($G53:$T53, $B$87:$X$981,MATCH(AK$25,$B$87:$X$87,0), FALSE), 0) *
    (LEN($G53:$T53) &gt; 0)
)</f>
        <v>1</v>
      </c>
      <c r="AL53" cm="1">
        <f t="array" ref="AL53">1+SUMPRODUCT(
    IFERROR(VLOOKUP($G53:$T53, $B$87:$X$981,MATCH(AL$25,$B$87:$X$87,0), FALSE), 0) *
    (LEN($G53:$T53) &gt; 0)
)</f>
        <v>1</v>
      </c>
      <c r="AM53" cm="1">
        <f t="array" ref="AM53">1+SUMPRODUCT(
    IFERROR(VLOOKUP($G53:$T53, $B$87:$X$981,MATCH(AM$25,$B$87:$X$87,0), FALSE), 0) *
    (LEN($G53:$T53) &gt; 0)
)</f>
        <v>1</v>
      </c>
      <c r="AN53" cm="1">
        <f t="array" ref="AN53">1+SUMPRODUCT(
    IFERROR(VLOOKUP($G53:$T53, $B$87:$X$981,MATCH(AN$25,$B$87:$X$87,0), FALSE), 0) *
    (LEN($G53:$T53) &gt; 0)
)</f>
        <v>1</v>
      </c>
      <c r="AO53">
        <f t="shared" si="33"/>
        <v>1</v>
      </c>
      <c r="AQ53">
        <f t="shared" si="34"/>
        <v>0.5</v>
      </c>
    </row>
    <row r="54" spans="2:43" x14ac:dyDescent="0.25">
      <c r="B54">
        <f t="shared" si="29"/>
        <v>0</v>
      </c>
      <c r="C54">
        <f t="shared" si="24"/>
        <v>0</v>
      </c>
      <c r="D54">
        <f t="shared" si="30"/>
        <v>0</v>
      </c>
      <c r="E54" s="36" t="e">
        <f>表2_5469[[#This Row],[列3]]/$C$62</f>
        <v>#DIV/0!</v>
      </c>
      <c r="F54" t="s">
        <v>791</v>
      </c>
      <c r="U54">
        <f t="shared" si="19"/>
        <v>0</v>
      </c>
      <c r="V54" cm="1">
        <f t="array" ref="V54" xml:space="preserve"> IFERROR(VLOOKUP($A54,$A$86:$X$981,MATCH(V$25,$A$87:$J$87,0), FALSE), 0) *
    (LEN($A54) &gt; 0)+SUMPRODUCT(
    IFERROR(VLOOKUP($G54:$T54, $B$87:$X$981,MATCH(V$25,$B$87:$X$87,0), FALSE), 0) *
    (LEN($G54:$T54) &gt; 0)
)</f>
        <v>0</v>
      </c>
      <c r="W54">
        <f t="shared" si="20"/>
        <v>0</v>
      </c>
      <c r="X54">
        <f t="shared" si="20"/>
        <v>0</v>
      </c>
      <c r="Y54">
        <f t="shared" si="31"/>
        <v>0</v>
      </c>
      <c r="Z54">
        <f t="shared" si="21"/>
        <v>0</v>
      </c>
      <c r="AA54" cm="1">
        <f t="array" ref="AA54" xml:space="preserve"> IFERROR(VLOOKUP($A54,$A$86:$X$981,MATCH(AA$25,$A$87:$J$87,0), FALSE), 0) *
    (LEN($A54) &gt; 0)+SUMPRODUCT(
    IFERROR(VLOOKUP($G54:$T54, $B$87:$X$981,MATCH(AA$25,$B$87:$X$87,0), FALSE), 0) *
    (LEN($G54:$T54) &gt; 0)
)</f>
        <v>0</v>
      </c>
      <c r="AB54" cm="1">
        <f t="array" ref="AB54">1+SUMPRODUCT(
    IFERROR(VLOOKUP($G54:$T54, $B$87:$X$981,MATCH(AB$25,$B$87:$X$87,0), FALSE), 0) *
    (LEN($G54:$T54) &gt; 0)
)+IFERROR(VLOOKUP($A54,$A$87:$X$981,MATCH(AB$25,$A$87:$J$87,0), FALSE), 0) *
    (LEN($A54) &gt; 0)</f>
        <v>1</v>
      </c>
      <c r="AC54" cm="1">
        <f t="array" ref="AC54">1+SUMPRODUCT(
    IFERROR(VLOOKUP($G54:$T54, $B$87:$X$981,MATCH(AC$25,$B$87:$X$87,0), FALSE), 0) *
    (LEN($G54:$T54) &gt; 0)
)</f>
        <v>1</v>
      </c>
      <c r="AD54" cm="1">
        <f t="array" ref="AD54">SUMPRODUCT(
    IFERROR(VLOOKUP($G54:$T54, $B$87:$X$981,MATCH(AD$25,$B$87:$X$87,0), FALSE), 0) *
    (LEN($G54:$T54) &gt; 0)
)+IFERROR(VLOOKUP($A54,$A$88:$X$981,MATCH(AD$25,$A$87:$X$87,0), FALSE), 0) *
    (LEN($A54) &gt; 0)</f>
        <v>0</v>
      </c>
      <c r="AE54" cm="1">
        <f t="array" ref="AE54">SUMPRODUCT(
    IFERROR(VLOOKUP($G54:$T54, $B$87:$X$981,MATCH(AE$25,$B$87:$X$87,0), FALSE), 0) *
    (LEN($G54:$T54) &gt; 0)
)+IFERROR(VLOOKUP($A54,$A$88:$X$981,MATCH(AE$25,$A$87:$X$87,0), FALSE), 0) *
    (LEN($A54) &gt; 0)</f>
        <v>0</v>
      </c>
      <c r="AF54" cm="1">
        <f t="array" ref="AF54">SUMPRODUCT(
    IFERROR(VLOOKUP($G54:$T54, $B$87:$X$981,MATCH(AF$25,$B$87:$X$87,0), FALSE), 0) *
    (LEN($G54:$T54) &gt; 0)
)+IFERROR(VLOOKUP($A54,$A$88:$X$981,MATCH(AF$25,$A$87:$X$87,0), FALSE), 0) *
    (LEN($A54) &gt; 0)</f>
        <v>0</v>
      </c>
      <c r="AG54" cm="1">
        <f t="array" ref="AG54">SUMPRODUCT(
    IFERROR(VLOOKUP($G54:$T54, $B$87:$X$981,MATCH(AG$25,$B$87:$X$87,0), FALSE), 0) *
    (LEN($G54:$T54) &gt; 0)
)+IFERROR(VLOOKUP($A54,$A$88:$X$981,MATCH(AG$25,$A$87:$X$87,0), FALSE), 0) *
    (LEN($A54) &gt; 0)</f>
        <v>0</v>
      </c>
      <c r="AH54" cm="1">
        <f t="array" ref="AH54">SUMPRODUCT(
    IFERROR(VLOOKUP($G54:$T54, $B$87:$X$981,MATCH(AH$25,$B$87:$X$87,0), FALSE), 0) *
    (LEN($G54:$T54) &gt; 0)
)+IFERROR(VLOOKUP($A54,$A$88:$X$981,MATCH(AH$25,$A$87:$X$87,0), FALSE), 0) *
    (LEN($A54) &gt; 0)</f>
        <v>0</v>
      </c>
      <c r="AI54">
        <f t="shared" si="32"/>
        <v>1</v>
      </c>
      <c r="AJ54" cm="1">
        <f t="array" ref="AJ54">1+SUMPRODUCT(
    IFERROR(VLOOKUP($G54:$T54, $B$87:$X$981,MATCH(AJ$25,$B$87:$X$87,0), FALSE), 0) *
    (LEN($G54:$T54) &gt; 0)
)</f>
        <v>1</v>
      </c>
      <c r="AK54" cm="1">
        <f t="array" ref="AK54">1+SUMPRODUCT(
    IFERROR(VLOOKUP($G54:$T54, $B$87:$X$981,MATCH(AK$25,$B$87:$X$87,0), FALSE), 0) *
    (LEN($G54:$T54) &gt; 0)
)</f>
        <v>1</v>
      </c>
      <c r="AL54" cm="1">
        <f t="array" ref="AL54">1+SUMPRODUCT(
    IFERROR(VLOOKUP($G54:$T54, $B$87:$X$981,MATCH(AL$25,$B$87:$X$87,0), FALSE), 0) *
    (LEN($G54:$T54) &gt; 0)
)</f>
        <v>1</v>
      </c>
      <c r="AM54" cm="1">
        <f t="array" ref="AM54">1+SUMPRODUCT(
    IFERROR(VLOOKUP($G54:$T54, $B$87:$X$981,MATCH(AM$25,$B$87:$X$87,0), FALSE), 0) *
    (LEN($G54:$T54) &gt; 0)
)</f>
        <v>1</v>
      </c>
      <c r="AN54" cm="1">
        <f t="array" ref="AN54">1+SUMPRODUCT(
    IFERROR(VLOOKUP($G54:$T54, $B$87:$X$981,MATCH(AN$25,$B$87:$X$87,0), FALSE), 0) *
    (LEN($G54:$T54) &gt; 0)
)</f>
        <v>1</v>
      </c>
      <c r="AO54">
        <f t="shared" si="33"/>
        <v>1</v>
      </c>
      <c r="AQ54">
        <f t="shared" si="34"/>
        <v>0.5</v>
      </c>
    </row>
    <row r="55" spans="2:43" x14ac:dyDescent="0.25">
      <c r="B55">
        <f t="shared" si="29"/>
        <v>0</v>
      </c>
      <c r="C55">
        <f t="shared" si="24"/>
        <v>0</v>
      </c>
      <c r="D55">
        <f t="shared" si="30"/>
        <v>0</v>
      </c>
      <c r="E55" s="36" t="e">
        <f>表2_5469[[#This Row],[列3]]/$C$62</f>
        <v>#DIV/0!</v>
      </c>
      <c r="F55" t="s">
        <v>791</v>
      </c>
      <c r="U55">
        <f t="shared" si="19"/>
        <v>0</v>
      </c>
      <c r="V55" cm="1">
        <f t="array" ref="V55" xml:space="preserve"> IFERROR(VLOOKUP($A55,$A$86:$X$981,MATCH(V$25,$A$87:$J$87,0), FALSE), 0) *
    (LEN($A55) &gt; 0)+SUMPRODUCT(
    IFERROR(VLOOKUP($G55:$T55, $B$87:$X$981,MATCH(V$25,$B$87:$X$87,0), FALSE), 0) *
    (LEN($G55:$T55) &gt; 0)
)</f>
        <v>0</v>
      </c>
      <c r="W55">
        <f t="shared" si="20"/>
        <v>0</v>
      </c>
      <c r="X55">
        <f t="shared" si="20"/>
        <v>0</v>
      </c>
      <c r="Y55">
        <f t="shared" si="31"/>
        <v>0</v>
      </c>
      <c r="Z55">
        <f t="shared" si="21"/>
        <v>0</v>
      </c>
      <c r="AA55" cm="1">
        <f t="array" ref="AA55" xml:space="preserve"> IFERROR(VLOOKUP($A55,$A$86:$X$981,MATCH(AA$25,$A$87:$J$87,0), FALSE), 0) *
    (LEN($A55) &gt; 0)+SUMPRODUCT(
    IFERROR(VLOOKUP($G55:$T55, $B$87:$X$981,MATCH(AA$25,$B$87:$X$87,0), FALSE), 0) *
    (LEN($G55:$T55) &gt; 0)
)</f>
        <v>0</v>
      </c>
      <c r="AB55" cm="1">
        <f t="array" ref="AB55">1+SUMPRODUCT(
    IFERROR(VLOOKUP($G55:$T55, $B$87:$X$981,MATCH(AB$25,$B$87:$X$87,0), FALSE), 0) *
    (LEN($G55:$T55) &gt; 0)
)+IFERROR(VLOOKUP($A55,$A$87:$X$981,MATCH(AB$25,$A$87:$J$87,0), FALSE), 0) *
    (LEN($A55) &gt; 0)</f>
        <v>1</v>
      </c>
      <c r="AC55" cm="1">
        <f t="array" ref="AC55">1+SUMPRODUCT(
    IFERROR(VLOOKUP($G55:$T55, $B$87:$X$981,MATCH(AC$25,$B$87:$X$87,0), FALSE), 0) *
    (LEN($G55:$T55) &gt; 0)
)</f>
        <v>1</v>
      </c>
      <c r="AD55" cm="1">
        <f t="array" ref="AD55">SUMPRODUCT(
    IFERROR(VLOOKUP($G55:$T55, $B$87:$X$981,MATCH(AD$25,$B$87:$X$87,0), FALSE), 0) *
    (LEN($G55:$T55) &gt; 0)
)+IFERROR(VLOOKUP($A55,$A$88:$X$981,MATCH(AD$25,$A$87:$X$87,0), FALSE), 0) *
    (LEN($A55) &gt; 0)</f>
        <v>0</v>
      </c>
      <c r="AE55" cm="1">
        <f t="array" ref="AE55">SUMPRODUCT(
    IFERROR(VLOOKUP($G55:$T55, $B$87:$X$981,MATCH(AE$25,$B$87:$X$87,0), FALSE), 0) *
    (LEN($G55:$T55) &gt; 0)
)+IFERROR(VLOOKUP($A55,$A$88:$X$981,MATCH(AE$25,$A$87:$X$87,0), FALSE), 0) *
    (LEN($A55) &gt; 0)</f>
        <v>0</v>
      </c>
      <c r="AF55" cm="1">
        <f t="array" ref="AF55">SUMPRODUCT(
    IFERROR(VLOOKUP($G55:$T55, $B$87:$X$981,MATCH(AF$25,$B$87:$X$87,0), FALSE), 0) *
    (LEN($G55:$T55) &gt; 0)
)+IFERROR(VLOOKUP($A55,$A$88:$X$981,MATCH(AF$25,$A$87:$X$87,0), FALSE), 0) *
    (LEN($A55) &gt; 0)</f>
        <v>0</v>
      </c>
      <c r="AG55" cm="1">
        <f t="array" ref="AG55">SUMPRODUCT(
    IFERROR(VLOOKUP($G55:$T55, $B$87:$X$981,MATCH(AG$25,$B$87:$X$87,0), FALSE), 0) *
    (LEN($G55:$T55) &gt; 0)
)+IFERROR(VLOOKUP($A55,$A$88:$X$981,MATCH(AG$25,$A$87:$X$87,0), FALSE), 0) *
    (LEN($A55) &gt; 0)</f>
        <v>0</v>
      </c>
      <c r="AH55" cm="1">
        <f t="array" ref="AH55">SUMPRODUCT(
    IFERROR(VLOOKUP($G55:$T55, $B$87:$X$981,MATCH(AH$25,$B$87:$X$87,0), FALSE), 0) *
    (LEN($G55:$T55) &gt; 0)
)+IFERROR(VLOOKUP($A55,$A$88:$X$981,MATCH(AH$25,$A$87:$X$87,0), FALSE), 0) *
    (LEN($A55) &gt; 0)</f>
        <v>0</v>
      </c>
      <c r="AI55">
        <f t="shared" si="32"/>
        <v>1</v>
      </c>
      <c r="AJ55" cm="1">
        <f t="array" ref="AJ55">1+SUMPRODUCT(
    IFERROR(VLOOKUP($G55:$T55, $B$87:$X$981,MATCH(AJ$25,$B$87:$X$87,0), FALSE), 0) *
    (LEN($G55:$T55) &gt; 0)
)</f>
        <v>1</v>
      </c>
      <c r="AK55" cm="1">
        <f t="array" ref="AK55">1+SUMPRODUCT(
    IFERROR(VLOOKUP($G55:$T55, $B$87:$X$981,MATCH(AK$25,$B$87:$X$87,0), FALSE), 0) *
    (LEN($G55:$T55) &gt; 0)
)</f>
        <v>1</v>
      </c>
      <c r="AL55" cm="1">
        <f t="array" ref="AL55">1+SUMPRODUCT(
    IFERROR(VLOOKUP($G55:$T55, $B$87:$X$981,MATCH(AL$25,$B$87:$X$87,0), FALSE), 0) *
    (LEN($G55:$T55) &gt; 0)
)</f>
        <v>1</v>
      </c>
      <c r="AM55" cm="1">
        <f t="array" ref="AM55">1+SUMPRODUCT(
    IFERROR(VLOOKUP($G55:$T55, $B$87:$X$981,MATCH(AM$25,$B$87:$X$87,0), FALSE), 0) *
    (LEN($G55:$T55) &gt; 0)
)</f>
        <v>1</v>
      </c>
      <c r="AN55" cm="1">
        <f t="array" ref="AN55">1+SUMPRODUCT(
    IFERROR(VLOOKUP($G55:$T55, $B$87:$X$981,MATCH(AN$25,$B$87:$X$87,0), FALSE), 0) *
    (LEN($G55:$T55) &gt; 0)
)</f>
        <v>1</v>
      </c>
      <c r="AO55">
        <f t="shared" si="33"/>
        <v>1</v>
      </c>
      <c r="AQ55">
        <f t="shared" si="34"/>
        <v>0.5</v>
      </c>
    </row>
    <row r="56" spans="2:43" x14ac:dyDescent="0.25">
      <c r="B56">
        <f t="shared" si="29"/>
        <v>0</v>
      </c>
      <c r="C56">
        <f t="shared" si="24"/>
        <v>0</v>
      </c>
      <c r="D56">
        <f t="shared" si="30"/>
        <v>0</v>
      </c>
      <c r="E56" s="36" t="e">
        <f>表2_5469[[#This Row],[列3]]/$C$62</f>
        <v>#DIV/0!</v>
      </c>
      <c r="F56" t="s">
        <v>791</v>
      </c>
      <c r="U56">
        <f t="shared" si="19"/>
        <v>0</v>
      </c>
      <c r="V56" cm="1">
        <f t="array" ref="V56" xml:space="preserve"> IFERROR(VLOOKUP($A56,$A$86:$X$981,MATCH(V$25,$A$87:$J$87,0), FALSE), 0) *
    (LEN($A56) &gt; 0)+SUMPRODUCT(
    IFERROR(VLOOKUP($G56:$T56, $B$87:$X$981,MATCH(V$25,$B$87:$X$87,0), FALSE), 0) *
    (LEN($G56:$T56) &gt; 0)
)</f>
        <v>0</v>
      </c>
      <c r="W56">
        <f t="shared" si="20"/>
        <v>0</v>
      </c>
      <c r="X56">
        <f t="shared" si="20"/>
        <v>0</v>
      </c>
      <c r="Y56">
        <f t="shared" si="31"/>
        <v>0</v>
      </c>
      <c r="Z56">
        <f t="shared" si="21"/>
        <v>0</v>
      </c>
      <c r="AA56" cm="1">
        <f t="array" ref="AA56" xml:space="preserve"> IFERROR(VLOOKUP($A56,$A$86:$X$981,MATCH(AA$25,$A$87:$J$87,0), FALSE), 0) *
    (LEN($A56) &gt; 0)+SUMPRODUCT(
    IFERROR(VLOOKUP($G56:$T56, $B$87:$X$981,MATCH(AA$25,$B$87:$X$87,0), FALSE), 0) *
    (LEN($G56:$T56) &gt; 0)
)</f>
        <v>0</v>
      </c>
      <c r="AB56" cm="1">
        <f t="array" ref="AB56">1+SUMPRODUCT(
    IFERROR(VLOOKUP($G56:$T56, $B$87:$X$981,MATCH(AB$25,$B$87:$X$87,0), FALSE), 0) *
    (LEN($G56:$T56) &gt; 0)
)+IFERROR(VLOOKUP($A56,$A$87:$X$981,MATCH(AB$25,$A$87:$J$87,0), FALSE), 0) *
    (LEN($A56) &gt; 0)</f>
        <v>1</v>
      </c>
      <c r="AC56" cm="1">
        <f t="array" ref="AC56">1+SUMPRODUCT(
    IFERROR(VLOOKUP($G56:$T56, $B$87:$X$981,MATCH(AC$25,$B$87:$X$87,0), FALSE), 0) *
    (LEN($G56:$T56) &gt; 0)
)</f>
        <v>1</v>
      </c>
      <c r="AD56" cm="1">
        <f t="array" ref="AD56">SUMPRODUCT(
    IFERROR(VLOOKUP($G56:$T56, $B$87:$X$981,MATCH(AD$25,$B$87:$X$87,0), FALSE), 0) *
    (LEN($G56:$T56) &gt; 0)
)+IFERROR(VLOOKUP($A56,$A$88:$X$981,MATCH(AD$25,$A$87:$X$87,0), FALSE), 0) *
    (LEN($A56) &gt; 0)</f>
        <v>0</v>
      </c>
      <c r="AE56" cm="1">
        <f t="array" ref="AE56">SUMPRODUCT(
    IFERROR(VLOOKUP($G56:$T56, $B$87:$X$981,MATCH(AE$25,$B$87:$X$87,0), FALSE), 0) *
    (LEN($G56:$T56) &gt; 0)
)+IFERROR(VLOOKUP($A56,$A$88:$X$981,MATCH(AE$25,$A$87:$X$87,0), FALSE), 0) *
    (LEN($A56) &gt; 0)</f>
        <v>0</v>
      </c>
      <c r="AF56" cm="1">
        <f t="array" ref="AF56">SUMPRODUCT(
    IFERROR(VLOOKUP($G56:$T56, $B$87:$X$981,MATCH(AF$25,$B$87:$X$87,0), FALSE), 0) *
    (LEN($G56:$T56) &gt; 0)
)+IFERROR(VLOOKUP($A56,$A$88:$X$981,MATCH(AF$25,$A$87:$X$87,0), FALSE), 0) *
    (LEN($A56) &gt; 0)</f>
        <v>0</v>
      </c>
      <c r="AG56" cm="1">
        <f t="array" ref="AG56">SUMPRODUCT(
    IFERROR(VLOOKUP($G56:$T56, $B$87:$X$981,MATCH(AG$25,$B$87:$X$87,0), FALSE), 0) *
    (LEN($G56:$T56) &gt; 0)
)+IFERROR(VLOOKUP($A56,$A$88:$X$981,MATCH(AG$25,$A$87:$X$87,0), FALSE), 0) *
    (LEN($A56) &gt; 0)</f>
        <v>0</v>
      </c>
      <c r="AH56" cm="1">
        <f t="array" ref="AH56">SUMPRODUCT(
    IFERROR(VLOOKUP($G56:$T56, $B$87:$X$981,MATCH(AH$25,$B$87:$X$87,0), FALSE), 0) *
    (LEN($G56:$T56) &gt; 0)
)+IFERROR(VLOOKUP($A56,$A$88:$X$981,MATCH(AH$25,$A$87:$X$87,0), FALSE), 0) *
    (LEN($A56) &gt; 0)</f>
        <v>0</v>
      </c>
      <c r="AI56">
        <f t="shared" si="32"/>
        <v>1</v>
      </c>
      <c r="AJ56" cm="1">
        <f t="array" ref="AJ56">1+SUMPRODUCT(
    IFERROR(VLOOKUP($G56:$T56, $B$87:$X$981,MATCH(AJ$25,$B$87:$X$87,0), FALSE), 0) *
    (LEN($G56:$T56) &gt; 0)
)</f>
        <v>1</v>
      </c>
      <c r="AK56" cm="1">
        <f t="array" ref="AK56">1+SUMPRODUCT(
    IFERROR(VLOOKUP($G56:$T56, $B$87:$X$981,MATCH(AK$25,$B$87:$X$87,0), FALSE), 0) *
    (LEN($G56:$T56) &gt; 0)
)</f>
        <v>1</v>
      </c>
      <c r="AL56" cm="1">
        <f t="array" ref="AL56">1+SUMPRODUCT(
    IFERROR(VLOOKUP($G56:$T56, $B$87:$X$981,MATCH(AL$25,$B$87:$X$87,0), FALSE), 0) *
    (LEN($G56:$T56) &gt; 0)
)</f>
        <v>1</v>
      </c>
      <c r="AM56" cm="1">
        <f t="array" ref="AM56">1+SUMPRODUCT(
    IFERROR(VLOOKUP($G56:$T56, $B$87:$X$981,MATCH(AM$25,$B$87:$X$87,0), FALSE), 0) *
    (LEN($G56:$T56) &gt; 0)
)</f>
        <v>1</v>
      </c>
      <c r="AN56" cm="1">
        <f t="array" ref="AN56">1+SUMPRODUCT(
    IFERROR(VLOOKUP($G56:$T56, $B$87:$X$981,MATCH(AN$25,$B$87:$X$87,0), FALSE), 0) *
    (LEN($G56:$T56) &gt; 0)
)</f>
        <v>1</v>
      </c>
      <c r="AO56">
        <f t="shared" si="33"/>
        <v>1</v>
      </c>
      <c r="AQ56">
        <f t="shared" si="34"/>
        <v>0.5</v>
      </c>
    </row>
    <row r="57" spans="2:43" x14ac:dyDescent="0.25">
      <c r="B57">
        <f t="shared" si="29"/>
        <v>0</v>
      </c>
      <c r="C57">
        <f t="shared" si="24"/>
        <v>0</v>
      </c>
      <c r="D57">
        <f t="shared" si="30"/>
        <v>0</v>
      </c>
      <c r="E57" s="36" t="e">
        <f>表2_5469[[#This Row],[列3]]/$C$62</f>
        <v>#DIV/0!</v>
      </c>
      <c r="F57" t="s">
        <v>791</v>
      </c>
      <c r="U57">
        <f t="shared" si="19"/>
        <v>0</v>
      </c>
      <c r="V57" cm="1">
        <f t="array" ref="V57" xml:space="preserve"> IFERROR(VLOOKUP($A57,$A$86:$X$981,MATCH(V$25,$A$87:$J$87,0), FALSE), 0) *
    (LEN($A57) &gt; 0)+SUMPRODUCT(
    IFERROR(VLOOKUP($G57:$T57, $B$87:$X$981,MATCH(V$25,$B$87:$X$87,0), FALSE), 0) *
    (LEN($G57:$T57) &gt; 0)
)</f>
        <v>0</v>
      </c>
      <c r="W57">
        <f t="shared" si="20"/>
        <v>0</v>
      </c>
      <c r="X57">
        <f t="shared" si="20"/>
        <v>0</v>
      </c>
      <c r="Y57">
        <f t="shared" si="31"/>
        <v>0</v>
      </c>
      <c r="Z57">
        <f t="shared" si="21"/>
        <v>0</v>
      </c>
      <c r="AA57" cm="1">
        <f t="array" ref="AA57" xml:space="preserve"> IFERROR(VLOOKUP($A57,$A$86:$X$981,MATCH(AA$25,$A$87:$J$87,0), FALSE), 0) *
    (LEN($A57) &gt; 0)+SUMPRODUCT(
    IFERROR(VLOOKUP($G57:$T57, $B$87:$X$981,MATCH(AA$25,$B$87:$X$87,0), FALSE), 0) *
    (LEN($G57:$T57) &gt; 0)
)</f>
        <v>0</v>
      </c>
      <c r="AB57" cm="1">
        <f t="array" ref="AB57">1+SUMPRODUCT(
    IFERROR(VLOOKUP($G57:$T57, $B$87:$X$981,MATCH(AB$25,$B$87:$X$87,0), FALSE), 0) *
    (LEN($G57:$T57) &gt; 0)
)+IFERROR(VLOOKUP($A57,$A$87:$X$981,MATCH(AB$25,$A$87:$J$87,0), FALSE), 0) *
    (LEN($A57) &gt; 0)</f>
        <v>1</v>
      </c>
      <c r="AC57" cm="1">
        <f t="array" ref="AC57">1+SUMPRODUCT(
    IFERROR(VLOOKUP($G57:$T57, $B$87:$X$981,MATCH(AC$25,$B$87:$X$87,0), FALSE), 0) *
    (LEN($G57:$T57) &gt; 0)
)</f>
        <v>1</v>
      </c>
      <c r="AD57" cm="1">
        <f t="array" ref="AD57">SUMPRODUCT(
    IFERROR(VLOOKUP($G57:$T57, $B$87:$X$981,MATCH(AD$25,$B$87:$X$87,0), FALSE), 0) *
    (LEN($G57:$T57) &gt; 0)
)+IFERROR(VLOOKUP($A57,$A$88:$X$981,MATCH(AD$25,$A$87:$X$87,0), FALSE), 0) *
    (LEN($A57) &gt; 0)</f>
        <v>0</v>
      </c>
      <c r="AE57" cm="1">
        <f t="array" ref="AE57">SUMPRODUCT(
    IFERROR(VLOOKUP($G57:$T57, $B$87:$X$981,MATCH(AE$25,$B$87:$X$87,0), FALSE), 0) *
    (LEN($G57:$T57) &gt; 0)
)+IFERROR(VLOOKUP($A57,$A$88:$X$981,MATCH(AE$25,$A$87:$X$87,0), FALSE), 0) *
    (LEN($A57) &gt; 0)</f>
        <v>0</v>
      </c>
      <c r="AF57" cm="1">
        <f t="array" ref="AF57">SUMPRODUCT(
    IFERROR(VLOOKUP($G57:$T57, $B$87:$X$981,MATCH(AF$25,$B$87:$X$87,0), FALSE), 0) *
    (LEN($G57:$T57) &gt; 0)
)+IFERROR(VLOOKUP($A57,$A$88:$X$981,MATCH(AF$25,$A$87:$X$87,0), FALSE), 0) *
    (LEN($A57) &gt; 0)</f>
        <v>0</v>
      </c>
      <c r="AG57" cm="1">
        <f t="array" ref="AG57">SUMPRODUCT(
    IFERROR(VLOOKUP($G57:$T57, $B$87:$X$981,MATCH(AG$25,$B$87:$X$87,0), FALSE), 0) *
    (LEN($G57:$T57) &gt; 0)
)+IFERROR(VLOOKUP($A57,$A$88:$X$981,MATCH(AG$25,$A$87:$X$87,0), FALSE), 0) *
    (LEN($A57) &gt; 0)</f>
        <v>0</v>
      </c>
      <c r="AH57" cm="1">
        <f t="array" ref="AH57">SUMPRODUCT(
    IFERROR(VLOOKUP($G57:$T57, $B$87:$X$981,MATCH(AH$25,$B$87:$X$87,0), FALSE), 0) *
    (LEN($G57:$T57) &gt; 0)
)+IFERROR(VLOOKUP($A57,$A$88:$X$981,MATCH(AH$25,$A$87:$X$87,0), FALSE), 0) *
    (LEN($A57) &gt; 0)</f>
        <v>0</v>
      </c>
      <c r="AI57">
        <f t="shared" si="32"/>
        <v>1</v>
      </c>
      <c r="AJ57" cm="1">
        <f t="array" ref="AJ57">1+SUMPRODUCT(
    IFERROR(VLOOKUP($G57:$T57, $B$87:$X$981,MATCH(AJ$25,$B$87:$X$87,0), FALSE), 0) *
    (LEN($G57:$T57) &gt; 0)
)</f>
        <v>1</v>
      </c>
      <c r="AK57" cm="1">
        <f t="array" ref="AK57">1+SUMPRODUCT(
    IFERROR(VLOOKUP($G57:$T57, $B$87:$X$981,MATCH(AK$25,$B$87:$X$87,0), FALSE), 0) *
    (LEN($G57:$T57) &gt; 0)
)</f>
        <v>1</v>
      </c>
      <c r="AL57" cm="1">
        <f t="array" ref="AL57">1+SUMPRODUCT(
    IFERROR(VLOOKUP($G57:$T57, $B$87:$X$981,MATCH(AL$25,$B$87:$X$87,0), FALSE), 0) *
    (LEN($G57:$T57) &gt; 0)
)</f>
        <v>1</v>
      </c>
      <c r="AM57" cm="1">
        <f t="array" ref="AM57">1+SUMPRODUCT(
    IFERROR(VLOOKUP($G57:$T57, $B$87:$X$981,MATCH(AM$25,$B$87:$X$87,0), FALSE), 0) *
    (LEN($G57:$T57) &gt; 0)
)</f>
        <v>1</v>
      </c>
      <c r="AN57" cm="1">
        <f t="array" ref="AN57">1+SUMPRODUCT(
    IFERROR(VLOOKUP($G57:$T57, $B$87:$X$981,MATCH(AN$25,$B$87:$X$87,0), FALSE), 0) *
    (LEN($G57:$T57) &gt; 0)
)</f>
        <v>1</v>
      </c>
      <c r="AO57">
        <f t="shared" si="33"/>
        <v>1</v>
      </c>
      <c r="AQ57">
        <f t="shared" si="34"/>
        <v>0.5</v>
      </c>
    </row>
    <row r="60" spans="2:43" x14ac:dyDescent="0.25">
      <c r="B60" t="s">
        <v>1034</v>
      </c>
      <c r="C60">
        <f>SUM(C27:C36)</f>
        <v>0</v>
      </c>
    </row>
    <row r="61" spans="2:43" x14ac:dyDescent="0.25">
      <c r="B61" t="s">
        <v>1036</v>
      </c>
    </row>
    <row r="62" spans="2:43" x14ac:dyDescent="0.25">
      <c r="B62" t="s">
        <v>1035</v>
      </c>
      <c r="C62" t="e">
        <f>C60/C61</f>
        <v>#DIV/0!</v>
      </c>
      <c r="E62" s="36"/>
    </row>
    <row r="63" spans="2:43" x14ac:dyDescent="0.25">
      <c r="B63" t="s">
        <v>1037</v>
      </c>
    </row>
    <row r="64" spans="2:43" x14ac:dyDescent="0.25">
      <c r="B64" t="s">
        <v>1038</v>
      </c>
      <c r="C64" t="e">
        <f>C60/C63</f>
        <v>#DIV/0!</v>
      </c>
    </row>
    <row r="86" spans="1:24" s="92" customFormat="1" x14ac:dyDescent="0.25">
      <c r="A86" s="92" t="str">
        <f>主c角色库!C380</f>
        <v>数值栏</v>
      </c>
      <c r="B86" s="92">
        <f>主c角色库!D380</f>
        <v>0</v>
      </c>
      <c r="C86" s="93" t="str">
        <f>主c角色库!E380</f>
        <v>攻击计算器</v>
      </c>
      <c r="D86" s="93">
        <f>主c角色库!F380</f>
        <v>0</v>
      </c>
      <c r="E86" s="93">
        <f>主c角色库!G380</f>
        <v>0</v>
      </c>
      <c r="F86" s="93">
        <f>主c角色库!H380</f>
        <v>0</v>
      </c>
      <c r="G86" s="93">
        <f>主c角色库!I380</f>
        <v>0</v>
      </c>
      <c r="H86" s="94" t="str">
        <f>主c角色库!J380</f>
        <v>面板乘区</v>
      </c>
      <c r="I86" s="94">
        <f>主c角色库!K380</f>
        <v>0</v>
      </c>
      <c r="J86" s="94">
        <f>主c角色库!L380</f>
        <v>0</v>
      </c>
      <c r="K86" s="94">
        <f>主c角色库!M380</f>
        <v>0</v>
      </c>
      <c r="L86" s="95" t="str">
        <f>主c角色库!N380</f>
        <v>伤害加成</v>
      </c>
      <c r="M86" s="95">
        <f>主c角色库!O380</f>
        <v>0</v>
      </c>
      <c r="N86" s="95">
        <f>主c角色库!P380</f>
        <v>0</v>
      </c>
      <c r="O86" s="95">
        <f>主c角色库!Q380</f>
        <v>0</v>
      </c>
      <c r="P86" s="95">
        <f>主c角色库!R380</f>
        <v>0</v>
      </c>
      <c r="Q86" s="95">
        <f>主c角色库!S380</f>
        <v>0</v>
      </c>
      <c r="R86" s="94" t="str">
        <f>主c角色库!T380</f>
        <v>拐</v>
      </c>
      <c r="S86" s="94">
        <f>主c角色库!U380</f>
        <v>0</v>
      </c>
      <c r="T86" s="94">
        <f>主c角色库!V380</f>
        <v>0</v>
      </c>
      <c r="U86" s="94">
        <f>主c角色库!W380</f>
        <v>0</v>
      </c>
      <c r="V86" s="94">
        <f>主c角色库!X380</f>
        <v>0</v>
      </c>
      <c r="W86" s="94">
        <f>主c角色库!Y380</f>
        <v>0</v>
      </c>
      <c r="X86" s="94">
        <f>主c角色库!Z380</f>
        <v>0</v>
      </c>
    </row>
    <row r="87" spans="1:24" x14ac:dyDescent="0.25">
      <c r="A87" t="str">
        <f>主c角色库!C381</f>
        <v>技能名称</v>
      </c>
      <c r="B87" t="str">
        <f>主c角色库!D381</f>
        <v>buff名称</v>
      </c>
      <c r="C87" s="91" t="str">
        <f>主c角色库!E381</f>
        <v>基础攻击力</v>
      </c>
      <c r="D87" s="91" t="str">
        <f>主c角色库!F381</f>
        <v>百分比</v>
      </c>
      <c r="E87" s="91" t="str">
        <f>主c角色库!G381</f>
        <v>固定数值</v>
      </c>
      <c r="F87" s="91" t="str">
        <f>主c角色库!H381</f>
        <v>能力值加成</v>
      </c>
      <c r="G87" s="91" t="str">
        <f>主c角色库!I381</f>
        <v>总攻击力</v>
      </c>
      <c r="H87" s="56" t="str">
        <f>主c角色库!J381</f>
        <v>倍率</v>
      </c>
      <c r="I87" s="56" t="str">
        <f>主c角色库!K381</f>
        <v>暴击率</v>
      </c>
      <c r="J87" s="56" t="str">
        <f>主c角色库!L381</f>
        <v>暴击伤害</v>
      </c>
      <c r="K87" s="56" t="str">
        <f>主c角色库!M381</f>
        <v>源石技艺</v>
      </c>
      <c r="L87" s="56" t="str">
        <f>主c角色库!N381</f>
        <v>基础伤害加成</v>
      </c>
      <c r="M87" s="56" t="str">
        <f>主c角色库!O381</f>
        <v>普攻</v>
      </c>
      <c r="N87" s="56" t="str">
        <f>主c角色库!P381</f>
        <v>战技</v>
      </c>
      <c r="O87" s="56" t="str">
        <f>主c角色库!Q381</f>
        <v>连携</v>
      </c>
      <c r="P87" s="56" t="str">
        <f>主c角色库!R381</f>
        <v>大招</v>
      </c>
      <c r="Q87" s="56" t="str">
        <f>主c角色库!S381</f>
        <v>总伤害加成</v>
      </c>
      <c r="R87" s="56" t="str">
        <f>主c角色库!T381</f>
        <v>脆弱</v>
      </c>
      <c r="S87" s="56" t="str">
        <f>主c角色库!U381</f>
        <v>增幅</v>
      </c>
      <c r="T87" s="56" t="str">
        <f>主c角色库!V381</f>
        <v>易伤</v>
      </c>
      <c r="U87" s="56" t="str">
        <f>主c角色库!W381</f>
        <v>抗性</v>
      </c>
      <c r="V87" s="56" t="str">
        <f>主c角色库!X381</f>
        <v>连击</v>
      </c>
      <c r="W87" s="56" t="str">
        <f>主c角色库!Y381</f>
        <v>失衡易伤</v>
      </c>
      <c r="X87" s="56" t="str">
        <f>主c角色库!Z381</f>
        <v>特殊加成</v>
      </c>
    </row>
    <row r="88" spans="1:24" x14ac:dyDescent="0.25">
      <c r="A88">
        <f>主c角色库!C382</f>
        <v>0</v>
      </c>
      <c r="B88">
        <f>主c角色库!D382</f>
        <v>0</v>
      </c>
      <c r="C88">
        <f>主c角色库!E382</f>
        <v>836</v>
      </c>
      <c r="D88">
        <f>主c角色库!F382</f>
        <v>0.49</v>
      </c>
      <c r="E88">
        <f>主c角色库!G382</f>
        <v>0</v>
      </c>
      <c r="F88">
        <f>主c角色库!H382</f>
        <v>4.9240000000000004</v>
      </c>
      <c r="G88">
        <f>主c角色库!I382</f>
        <v>7379.1713600000012</v>
      </c>
      <c r="H88">
        <f>主c角色库!J382</f>
        <v>0</v>
      </c>
      <c r="I88">
        <f>主c角色库!K382</f>
        <v>0.05</v>
      </c>
      <c r="J88">
        <f>主c角色库!L382</f>
        <v>0.5</v>
      </c>
      <c r="K88">
        <f>主c角色库!M382</f>
        <v>0</v>
      </c>
      <c r="L88">
        <f>主c角色库!N382</f>
        <v>0.84599999999999986</v>
      </c>
      <c r="M88">
        <f>主c角色库!O382</f>
        <v>0</v>
      </c>
      <c r="N88">
        <f>主c角色库!P382</f>
        <v>0</v>
      </c>
      <c r="O88">
        <f>主c角色库!Q382</f>
        <v>0</v>
      </c>
      <c r="P88">
        <f>主c角色库!R382</f>
        <v>0</v>
      </c>
      <c r="Q88">
        <f>主c角色库!S382</f>
        <v>0</v>
      </c>
      <c r="R88">
        <f>主c角色库!T382</f>
        <v>0</v>
      </c>
      <c r="S88">
        <f>主c角色库!U382</f>
        <v>0</v>
      </c>
      <c r="T88">
        <f>主c角色库!V382</f>
        <v>0</v>
      </c>
      <c r="U88">
        <f>主c角色库!W382</f>
        <v>0</v>
      </c>
      <c r="V88">
        <f>主c角色库!X382</f>
        <v>0</v>
      </c>
      <c r="W88">
        <f>主c角色库!Y382</f>
        <v>0</v>
      </c>
      <c r="X88">
        <f>主c角色库!Z382</f>
        <v>0</v>
      </c>
    </row>
    <row r="89" spans="1:24" x14ac:dyDescent="0.25">
      <c r="A89" t="str">
        <f>主c角色库!C383</f>
        <v>庄方宜普攻</v>
      </c>
      <c r="B89" t="str">
        <f>主c角色库!D383</f>
        <v>N/a</v>
      </c>
      <c r="C89">
        <f>主c角色库!E383</f>
        <v>836</v>
      </c>
      <c r="D89">
        <f>主c角色库!F383</f>
        <v>0.49</v>
      </c>
      <c r="E89">
        <f>主c角色库!G383</f>
        <v>0</v>
      </c>
      <c r="F89">
        <f>主c角色库!H383</f>
        <v>4.9240000000000004</v>
      </c>
      <c r="G89">
        <f>主c角色库!I383</f>
        <v>7379.1713600000012</v>
      </c>
      <c r="H89">
        <f>主c角色库!J383</f>
        <v>3.71</v>
      </c>
      <c r="I89">
        <f>主c角色库!K383</f>
        <v>0.05</v>
      </c>
      <c r="J89">
        <f>主c角色库!L383</f>
        <v>0.5</v>
      </c>
      <c r="K89">
        <f>主c角色库!M383</f>
        <v>0</v>
      </c>
      <c r="L89">
        <f>主c角色库!N383</f>
        <v>0.84599999999999986</v>
      </c>
      <c r="M89">
        <f>主c角色库!O383</f>
        <v>0</v>
      </c>
      <c r="N89">
        <f>主c角色库!P383</f>
        <v>0</v>
      </c>
      <c r="O89">
        <f>主c角色库!Q383</f>
        <v>0</v>
      </c>
      <c r="P89">
        <f>主c角色库!R383</f>
        <v>0</v>
      </c>
      <c r="Q89">
        <f>主c角色库!S383</f>
        <v>0</v>
      </c>
      <c r="R89">
        <f>主c角色库!T383</f>
        <v>0</v>
      </c>
      <c r="S89">
        <f>主c角色库!U383</f>
        <v>0</v>
      </c>
      <c r="T89">
        <f>主c角色库!V383</f>
        <v>0</v>
      </c>
      <c r="U89">
        <f>主c角色库!W383</f>
        <v>0</v>
      </c>
      <c r="V89">
        <f>主c角色库!X383</f>
        <v>0</v>
      </c>
      <c r="W89">
        <f>主c角色库!Y383</f>
        <v>0</v>
      </c>
      <c r="X89">
        <f>主c角色库!Z383</f>
        <v>0</v>
      </c>
    </row>
    <row r="90" spans="1:24" x14ac:dyDescent="0.25">
      <c r="A90" t="str">
        <f>主c角色库!C384</f>
        <v>庄方宜前段普攻</v>
      </c>
      <c r="B90" t="str">
        <f>主c角色库!D384</f>
        <v>N/a</v>
      </c>
      <c r="C90">
        <f>主c角色库!E384</f>
        <v>836</v>
      </c>
      <c r="D90">
        <f>主c角色库!F384</f>
        <v>0.49</v>
      </c>
      <c r="E90">
        <f>主c角色库!G384</f>
        <v>0</v>
      </c>
      <c r="F90">
        <f>主c角色库!H384</f>
        <v>4.9240000000000004</v>
      </c>
      <c r="G90">
        <f>主c角色库!I384</f>
        <v>7379.1713600000012</v>
      </c>
      <c r="H90">
        <f>主c角色库!J384</f>
        <v>2.63</v>
      </c>
      <c r="I90">
        <f>主c角色库!K384</f>
        <v>0.05</v>
      </c>
      <c r="J90">
        <f>主c角色库!L384</f>
        <v>0.5</v>
      </c>
      <c r="K90">
        <f>主c角色库!M384</f>
        <v>0</v>
      </c>
      <c r="L90">
        <f>主c角色库!N384</f>
        <v>0.84599999999999986</v>
      </c>
      <c r="M90">
        <f>主c角色库!O384</f>
        <v>0</v>
      </c>
      <c r="N90">
        <f>主c角色库!P384</f>
        <v>0</v>
      </c>
      <c r="O90">
        <f>主c角色库!Q384</f>
        <v>0</v>
      </c>
      <c r="P90">
        <f>主c角色库!R384</f>
        <v>0</v>
      </c>
      <c r="Q90">
        <f>主c角色库!S384</f>
        <v>0</v>
      </c>
      <c r="R90">
        <f>主c角色库!T384</f>
        <v>0</v>
      </c>
      <c r="S90">
        <f>主c角色库!U384</f>
        <v>0</v>
      </c>
      <c r="T90">
        <f>主c角色库!V384</f>
        <v>0</v>
      </c>
      <c r="U90">
        <f>主c角色库!W384</f>
        <v>0</v>
      </c>
      <c r="V90">
        <f>主c角色库!X384</f>
        <v>0</v>
      </c>
      <c r="W90">
        <f>主c角色库!Y384</f>
        <v>0</v>
      </c>
      <c r="X90">
        <f>主c角色库!Z384</f>
        <v>0</v>
      </c>
    </row>
    <row r="91" spans="1:24" x14ac:dyDescent="0.25">
      <c r="A91" t="str">
        <f>主c角色库!C385</f>
        <v>庄方宜重击普攻</v>
      </c>
      <c r="B91" t="str">
        <f>主c角色库!D385</f>
        <v>N/a</v>
      </c>
      <c r="C91">
        <f>主c角色库!E385</f>
        <v>836</v>
      </c>
      <c r="D91">
        <f>主c角色库!F385</f>
        <v>0.49</v>
      </c>
      <c r="E91">
        <f>主c角色库!G385</f>
        <v>0</v>
      </c>
      <c r="F91">
        <f>主c角色库!H385</f>
        <v>4.9240000000000004</v>
      </c>
      <c r="G91">
        <f>主c角色库!I385</f>
        <v>7379.1713600000012</v>
      </c>
      <c r="H91">
        <f>主c角色库!J385</f>
        <v>1.08</v>
      </c>
      <c r="I91">
        <f>主c角色库!K385</f>
        <v>0.05</v>
      </c>
      <c r="J91">
        <f>主c角色库!L385</f>
        <v>0.5</v>
      </c>
      <c r="K91">
        <f>主c角色库!M385</f>
        <v>0</v>
      </c>
      <c r="L91">
        <f>主c角色库!N385</f>
        <v>0.84599999999999986</v>
      </c>
      <c r="M91">
        <f>主c角色库!O385</f>
        <v>0</v>
      </c>
      <c r="N91">
        <f>主c角色库!P385</f>
        <v>0</v>
      </c>
      <c r="O91">
        <f>主c角色库!Q385</f>
        <v>0</v>
      </c>
      <c r="P91">
        <f>主c角色库!R385</f>
        <v>0</v>
      </c>
      <c r="Q91">
        <f>主c角色库!S385</f>
        <v>0</v>
      </c>
      <c r="R91">
        <f>主c角色库!T385</f>
        <v>0</v>
      </c>
      <c r="S91">
        <f>主c角色库!U385</f>
        <v>0</v>
      </c>
      <c r="T91">
        <f>主c角色库!V385</f>
        <v>0</v>
      </c>
      <c r="U91">
        <f>主c角色库!W385</f>
        <v>0</v>
      </c>
      <c r="V91">
        <f>主c角色库!X385</f>
        <v>0</v>
      </c>
      <c r="W91">
        <f>主c角色库!Y385</f>
        <v>0</v>
      </c>
      <c r="X91">
        <f>主c角色库!Z385</f>
        <v>0</v>
      </c>
    </row>
    <row r="92" spans="1:24" x14ac:dyDescent="0.25">
      <c r="A92" t="str">
        <f>主c角色库!C386</f>
        <v>庄方宜处决普攻</v>
      </c>
      <c r="B92" t="str">
        <f>主c角色库!D386</f>
        <v>N/a</v>
      </c>
      <c r="C92">
        <f>主c角色库!E386</f>
        <v>836</v>
      </c>
      <c r="D92">
        <f>主c角色库!F386</f>
        <v>0.49</v>
      </c>
      <c r="E92">
        <f>主c角色库!G386</f>
        <v>0</v>
      </c>
      <c r="F92">
        <f>主c角色库!H386</f>
        <v>4.9240000000000004</v>
      </c>
      <c r="G92">
        <f>主c角色库!I386</f>
        <v>7379.1713600000012</v>
      </c>
      <c r="H92">
        <f>主c角色库!J386</f>
        <v>9</v>
      </c>
      <c r="I92">
        <f>主c角色库!K386</f>
        <v>0.05</v>
      </c>
      <c r="J92">
        <f>主c角色库!L386</f>
        <v>0.5</v>
      </c>
      <c r="K92">
        <f>主c角色库!M386</f>
        <v>0</v>
      </c>
      <c r="L92">
        <f>主c角色库!N386</f>
        <v>0.84599999999999986</v>
      </c>
      <c r="M92">
        <f>主c角色库!O386</f>
        <v>0</v>
      </c>
      <c r="N92">
        <f>主c角色库!P386</f>
        <v>0</v>
      </c>
      <c r="O92">
        <f>主c角色库!Q386</f>
        <v>0</v>
      </c>
      <c r="P92">
        <f>主c角色库!R386</f>
        <v>0</v>
      </c>
      <c r="Q92">
        <f>主c角色库!S386</f>
        <v>0</v>
      </c>
      <c r="R92">
        <f>主c角色库!T386</f>
        <v>0</v>
      </c>
      <c r="S92">
        <f>主c角色库!U386</f>
        <v>0</v>
      </c>
      <c r="T92">
        <f>主c角色库!V386</f>
        <v>0</v>
      </c>
      <c r="U92">
        <f>主c角色库!W386</f>
        <v>0</v>
      </c>
      <c r="V92">
        <f>主c角色库!X386</f>
        <v>0</v>
      </c>
      <c r="W92">
        <f>主c角色库!Y386</f>
        <v>0</v>
      </c>
      <c r="X92">
        <f>主c角色库!Z386</f>
        <v>0</v>
      </c>
    </row>
    <row r="93" spans="1:24" x14ac:dyDescent="0.25">
      <c r="A93" t="str">
        <f>主c角色库!C387</f>
        <v>庄方宜下落普攻</v>
      </c>
      <c r="B93" t="str">
        <f>主c角色库!D387</f>
        <v>N/a</v>
      </c>
      <c r="C93">
        <f>主c角色库!E387</f>
        <v>836</v>
      </c>
      <c r="D93">
        <f>主c角色库!F387</f>
        <v>0.49</v>
      </c>
      <c r="E93">
        <f>主c角色库!G387</f>
        <v>0</v>
      </c>
      <c r="F93">
        <f>主c角色库!H387</f>
        <v>4.9240000000000004</v>
      </c>
      <c r="G93">
        <f>主c角色库!I387</f>
        <v>7379.1713600000012</v>
      </c>
      <c r="H93">
        <f>主c角色库!J387</f>
        <v>1.8</v>
      </c>
      <c r="I93">
        <f>主c角色库!K387</f>
        <v>0.05</v>
      </c>
      <c r="J93">
        <f>主c角色库!L387</f>
        <v>0.5</v>
      </c>
      <c r="K93">
        <f>主c角色库!M387</f>
        <v>0</v>
      </c>
      <c r="L93">
        <f>主c角色库!N387</f>
        <v>0.84599999999999986</v>
      </c>
      <c r="M93">
        <f>主c角色库!O387</f>
        <v>0</v>
      </c>
      <c r="N93">
        <f>主c角色库!P387</f>
        <v>0</v>
      </c>
      <c r="O93">
        <f>主c角色库!Q387</f>
        <v>0</v>
      </c>
      <c r="P93">
        <f>主c角色库!R387</f>
        <v>0</v>
      </c>
      <c r="Q93">
        <f>主c角色库!S387</f>
        <v>0</v>
      </c>
      <c r="R93">
        <f>主c角色库!T387</f>
        <v>0</v>
      </c>
      <c r="S93">
        <f>主c角色库!U387</f>
        <v>0</v>
      </c>
      <c r="T93">
        <f>主c角色库!V387</f>
        <v>0</v>
      </c>
      <c r="U93">
        <f>主c角色库!W387</f>
        <v>0</v>
      </c>
      <c r="V93">
        <f>主c角色库!X387</f>
        <v>0</v>
      </c>
      <c r="W93">
        <f>主c角色库!Y387</f>
        <v>0</v>
      </c>
      <c r="X93">
        <f>主c角色库!Z387</f>
        <v>0</v>
      </c>
    </row>
    <row r="94" spans="1:24" x14ac:dyDescent="0.25">
      <c r="A94" t="str">
        <f>主c角色库!C388</f>
        <v>庄方宜一剑零导电战技</v>
      </c>
      <c r="B94" t="str">
        <f>主c角色库!D388</f>
        <v>N/a</v>
      </c>
      <c r="C94">
        <f>主c角色库!E388</f>
        <v>836</v>
      </c>
      <c r="D94">
        <f>主c角色库!F388</f>
        <v>0.49</v>
      </c>
      <c r="E94">
        <f>主c角色库!G388</f>
        <v>0</v>
      </c>
      <c r="F94">
        <f>主c角色库!H388</f>
        <v>4.9240000000000004</v>
      </c>
      <c r="G94">
        <f>主c角色库!I388</f>
        <v>7379.1713600000012</v>
      </c>
      <c r="H94">
        <f>主c角色库!J388</f>
        <v>2.7</v>
      </c>
      <c r="I94">
        <f>主c角色库!K388</f>
        <v>0.05</v>
      </c>
      <c r="J94">
        <f>主c角色库!L388</f>
        <v>0.5</v>
      </c>
      <c r="K94">
        <f>主c角色库!M388</f>
        <v>0</v>
      </c>
      <c r="L94">
        <f>主c角色库!N388</f>
        <v>0.84599999999999986</v>
      </c>
      <c r="M94">
        <f>主c角色库!O388</f>
        <v>0</v>
      </c>
      <c r="N94">
        <f>主c角色库!P388</f>
        <v>0</v>
      </c>
      <c r="O94">
        <f>主c角色库!Q388</f>
        <v>0</v>
      </c>
      <c r="P94">
        <f>主c角色库!R388</f>
        <v>0</v>
      </c>
      <c r="Q94">
        <f>主c角色库!S388</f>
        <v>0</v>
      </c>
      <c r="R94">
        <f>主c角色库!T388</f>
        <v>0</v>
      </c>
      <c r="S94">
        <f>主c角色库!U388</f>
        <v>0</v>
      </c>
      <c r="T94">
        <f>主c角色库!V388</f>
        <v>0</v>
      </c>
      <c r="U94">
        <f>主c角色库!W388</f>
        <v>0</v>
      </c>
      <c r="V94">
        <f>主c角色库!X388</f>
        <v>0</v>
      </c>
      <c r="W94">
        <f>主c角色库!Y388</f>
        <v>0</v>
      </c>
      <c r="X94">
        <f>主c角色库!Z388</f>
        <v>0</v>
      </c>
    </row>
    <row r="95" spans="1:24" x14ac:dyDescent="0.25">
      <c r="A95" t="str">
        <f>主c角色库!C389</f>
        <v>庄方宜二剑零导电战技</v>
      </c>
      <c r="B95" t="str">
        <f>主c角色库!D389</f>
        <v>N/a</v>
      </c>
      <c r="C95">
        <f>主c角色库!E389</f>
        <v>836</v>
      </c>
      <c r="D95">
        <f>主c角色库!F389</f>
        <v>0.49</v>
      </c>
      <c r="E95">
        <f>主c角色库!G389</f>
        <v>0</v>
      </c>
      <c r="F95">
        <f>主c角色库!H389</f>
        <v>4.9240000000000004</v>
      </c>
      <c r="G95">
        <f>主c角色库!I389</f>
        <v>7379.1713600000012</v>
      </c>
      <c r="H95">
        <f>主c角色库!J389</f>
        <v>3.15</v>
      </c>
      <c r="I95">
        <f>主c角色库!K389</f>
        <v>0.05</v>
      </c>
      <c r="J95">
        <f>主c角色库!L389</f>
        <v>0.5</v>
      </c>
      <c r="K95">
        <f>主c角色库!M389</f>
        <v>0</v>
      </c>
      <c r="L95">
        <f>主c角色库!N389</f>
        <v>0.84599999999999986</v>
      </c>
      <c r="M95">
        <f>主c角色库!O389</f>
        <v>0</v>
      </c>
      <c r="N95">
        <f>主c角色库!P389</f>
        <v>0</v>
      </c>
      <c r="O95">
        <f>主c角色库!Q389</f>
        <v>0</v>
      </c>
      <c r="P95">
        <f>主c角色库!R389</f>
        <v>0</v>
      </c>
      <c r="Q95">
        <f>主c角色库!S389</f>
        <v>0</v>
      </c>
      <c r="R95">
        <f>主c角色库!T389</f>
        <v>0</v>
      </c>
      <c r="S95">
        <f>主c角色库!U389</f>
        <v>0</v>
      </c>
      <c r="T95">
        <f>主c角色库!V389</f>
        <v>0</v>
      </c>
      <c r="U95">
        <f>主c角色库!W389</f>
        <v>0</v>
      </c>
      <c r="V95">
        <f>主c角色库!X389</f>
        <v>0</v>
      </c>
      <c r="W95">
        <f>主c角色库!Y389</f>
        <v>0</v>
      </c>
      <c r="X95">
        <f>主c角色库!Z389</f>
        <v>0</v>
      </c>
    </row>
    <row r="96" spans="1:24" x14ac:dyDescent="0.25">
      <c r="A96" t="str">
        <f>主c角色库!C390</f>
        <v>庄方宜二剑一导电战技</v>
      </c>
      <c r="B96" s="22" t="str">
        <f>主c角色库!D390</f>
        <v>N/a</v>
      </c>
      <c r="C96">
        <f>主c角色库!E390</f>
        <v>836</v>
      </c>
      <c r="D96">
        <f>主c角色库!F390</f>
        <v>0.49</v>
      </c>
      <c r="E96">
        <f>主c角色库!G390</f>
        <v>0</v>
      </c>
      <c r="F96">
        <f>主c角色库!H390</f>
        <v>4.9240000000000004</v>
      </c>
      <c r="G96">
        <f>主c角色库!I390</f>
        <v>7379.1713600000012</v>
      </c>
      <c r="H96">
        <f>主c角色库!J390</f>
        <v>3.7800000000000002</v>
      </c>
      <c r="I96">
        <f>主c角色库!K390</f>
        <v>0.05</v>
      </c>
      <c r="J96">
        <f>主c角色库!L390</f>
        <v>0.5</v>
      </c>
      <c r="K96">
        <f>主c角色库!M390</f>
        <v>0</v>
      </c>
      <c r="L96">
        <f>主c角色库!N390</f>
        <v>0.84599999999999986</v>
      </c>
      <c r="M96">
        <f>主c角色库!O390</f>
        <v>0</v>
      </c>
      <c r="N96">
        <f>主c角色库!P390</f>
        <v>0</v>
      </c>
      <c r="O96">
        <f>主c角色库!Q390</f>
        <v>0</v>
      </c>
      <c r="P96">
        <f>主c角色库!R390</f>
        <v>0</v>
      </c>
      <c r="Q96">
        <f>主c角色库!S390</f>
        <v>0</v>
      </c>
      <c r="R96">
        <f>主c角色库!T390</f>
        <v>0</v>
      </c>
      <c r="S96">
        <f>主c角色库!U390</f>
        <v>0</v>
      </c>
      <c r="T96">
        <f>主c角色库!V390</f>
        <v>0</v>
      </c>
      <c r="U96">
        <f>主c角色库!W390</f>
        <v>0</v>
      </c>
      <c r="V96">
        <f>主c角色库!X390</f>
        <v>0</v>
      </c>
      <c r="W96">
        <f>主c角色库!Y390</f>
        <v>0</v>
      </c>
      <c r="X96">
        <f>主c角色库!Z390</f>
        <v>0</v>
      </c>
    </row>
    <row r="97" spans="1:24" x14ac:dyDescent="0.25">
      <c r="A97" s="22" t="str">
        <f>主c角色库!C391</f>
        <v>庄方宜三剑一导电战技</v>
      </c>
      <c r="B97" t="str">
        <f>主c角色库!D391</f>
        <v>N/a</v>
      </c>
      <c r="C97">
        <f>主c角色库!E391</f>
        <v>836</v>
      </c>
      <c r="D97">
        <f>主c角色库!F391</f>
        <v>0.49</v>
      </c>
      <c r="E97">
        <f>主c角色库!G391</f>
        <v>0</v>
      </c>
      <c r="F97">
        <f>主c角色库!H391</f>
        <v>4.9240000000000004</v>
      </c>
      <c r="G97">
        <f>主c角色库!I391</f>
        <v>7379.1713600000012</v>
      </c>
      <c r="H97">
        <f>主c角色库!J391</f>
        <v>4.32</v>
      </c>
      <c r="I97">
        <f>主c角色库!K391</f>
        <v>0.05</v>
      </c>
      <c r="J97">
        <f>主c角色库!L391</f>
        <v>0.5</v>
      </c>
      <c r="K97">
        <f>主c角色库!M391</f>
        <v>0</v>
      </c>
      <c r="L97">
        <f>主c角色库!N391</f>
        <v>0.84599999999999986</v>
      </c>
      <c r="M97">
        <f>主c角色库!O391</f>
        <v>0</v>
      </c>
      <c r="N97">
        <f>主c角色库!P391</f>
        <v>0</v>
      </c>
      <c r="O97">
        <f>主c角色库!Q391</f>
        <v>0</v>
      </c>
      <c r="P97">
        <f>主c角色库!R391</f>
        <v>0</v>
      </c>
      <c r="Q97">
        <f>主c角色库!S391</f>
        <v>0</v>
      </c>
      <c r="R97">
        <f>主c角色库!T391</f>
        <v>0</v>
      </c>
      <c r="S97">
        <f>主c角色库!U391</f>
        <v>0</v>
      </c>
      <c r="T97">
        <f>主c角色库!V391</f>
        <v>0</v>
      </c>
      <c r="U97">
        <f>主c角色库!W391</f>
        <v>0</v>
      </c>
      <c r="V97">
        <f>主c角色库!X391</f>
        <v>0</v>
      </c>
      <c r="W97">
        <f>主c角色库!Y391</f>
        <v>0</v>
      </c>
      <c r="X97">
        <f>主c角色库!Z391</f>
        <v>0</v>
      </c>
    </row>
    <row r="98" spans="1:24" x14ac:dyDescent="0.25">
      <c r="A98" s="22" t="str">
        <f>主c角色库!C392</f>
        <v>庄方宜三剑二导电战技</v>
      </c>
      <c r="B98" t="str">
        <f>主c角色库!D392</f>
        <v>N/a</v>
      </c>
      <c r="C98">
        <f>主c角色库!E392</f>
        <v>836</v>
      </c>
      <c r="D98">
        <f>主c角色库!F392</f>
        <v>0.49</v>
      </c>
      <c r="E98">
        <f>主c角色库!G392</f>
        <v>0</v>
      </c>
      <c r="F98">
        <f>主c角色库!H392</f>
        <v>4.9240000000000004</v>
      </c>
      <c r="G98">
        <f>主c角色库!I392</f>
        <v>7379.1713600000012</v>
      </c>
      <c r="H98">
        <f>主c角色库!J392</f>
        <v>5.04</v>
      </c>
      <c r="I98">
        <f>主c角色库!K392</f>
        <v>0.05</v>
      </c>
      <c r="J98">
        <f>主c角色库!L392</f>
        <v>0.5</v>
      </c>
      <c r="K98">
        <f>主c角色库!M392</f>
        <v>0</v>
      </c>
      <c r="L98">
        <f>主c角色库!N392</f>
        <v>0.84599999999999986</v>
      </c>
      <c r="M98">
        <f>主c角色库!O392</f>
        <v>0</v>
      </c>
      <c r="N98">
        <f>主c角色库!P392</f>
        <v>0</v>
      </c>
      <c r="O98">
        <f>主c角色库!Q392</f>
        <v>0</v>
      </c>
      <c r="P98">
        <f>主c角色库!R392</f>
        <v>0</v>
      </c>
      <c r="Q98">
        <f>主c角色库!S392</f>
        <v>0</v>
      </c>
      <c r="R98">
        <f>主c角色库!T392</f>
        <v>0</v>
      </c>
      <c r="S98">
        <f>主c角色库!U392</f>
        <v>0</v>
      </c>
      <c r="T98">
        <f>主c角色库!V392</f>
        <v>0</v>
      </c>
      <c r="U98">
        <f>主c角色库!W392</f>
        <v>0</v>
      </c>
      <c r="V98">
        <f>主c角色库!X392</f>
        <v>0</v>
      </c>
      <c r="W98">
        <f>主c角色库!Y392</f>
        <v>0</v>
      </c>
      <c r="X98">
        <f>主c角色库!Z392</f>
        <v>0</v>
      </c>
    </row>
    <row r="99" spans="1:24" x14ac:dyDescent="0.25">
      <c r="A99" s="22" t="str">
        <f>主c角色库!C393</f>
        <v>庄方宜四剑一导电战技</v>
      </c>
      <c r="B99" t="str">
        <f>主c角色库!D393</f>
        <v>N/a</v>
      </c>
      <c r="C99">
        <f>主c角色库!E393</f>
        <v>836</v>
      </c>
      <c r="D99">
        <f>主c角色库!F393</f>
        <v>0.49</v>
      </c>
      <c r="E99">
        <f>主c角色库!G393</f>
        <v>0</v>
      </c>
      <c r="F99">
        <f>主c角色库!H393</f>
        <v>4.9240000000000004</v>
      </c>
      <c r="G99">
        <f>主c角色库!I393</f>
        <v>7379.1713600000012</v>
      </c>
      <c r="H99">
        <f>主c角色库!J393</f>
        <v>4.8600000000000003</v>
      </c>
      <c r="I99">
        <f>主c角色库!K393</f>
        <v>0.05</v>
      </c>
      <c r="J99">
        <f>主c角色库!L393</f>
        <v>0.5</v>
      </c>
      <c r="K99">
        <f>主c角色库!M393</f>
        <v>0</v>
      </c>
      <c r="L99">
        <f>主c角色库!N393</f>
        <v>0.84599999999999986</v>
      </c>
      <c r="M99">
        <f>主c角色库!O393</f>
        <v>0</v>
      </c>
      <c r="N99">
        <f>主c角色库!P393</f>
        <v>0</v>
      </c>
      <c r="O99">
        <f>主c角色库!Q393</f>
        <v>0</v>
      </c>
      <c r="P99">
        <f>主c角色库!R393</f>
        <v>0</v>
      </c>
      <c r="Q99">
        <f>主c角色库!S393</f>
        <v>0</v>
      </c>
      <c r="R99">
        <f>主c角色库!T393</f>
        <v>0</v>
      </c>
      <c r="S99">
        <f>主c角色库!U393</f>
        <v>0</v>
      </c>
      <c r="T99">
        <f>主c角色库!V393</f>
        <v>0</v>
      </c>
      <c r="U99">
        <f>主c角色库!W393</f>
        <v>0</v>
      </c>
      <c r="V99">
        <f>主c角色库!X393</f>
        <v>0</v>
      </c>
      <c r="W99">
        <f>主c角色库!Y393</f>
        <v>0</v>
      </c>
      <c r="X99">
        <f>主c角色库!Z393</f>
        <v>0</v>
      </c>
    </row>
    <row r="100" spans="1:24" x14ac:dyDescent="0.25">
      <c r="A100" s="22" t="str">
        <f>主c角色库!C394</f>
        <v>庄方宜五剑一导电战技</v>
      </c>
      <c r="B100" t="str">
        <f>主c角色库!D394</f>
        <v>N/a</v>
      </c>
      <c r="C100">
        <f>主c角色库!E394</f>
        <v>836</v>
      </c>
      <c r="D100">
        <f>主c角色库!F394</f>
        <v>0.49</v>
      </c>
      <c r="E100">
        <f>主c角色库!G394</f>
        <v>0</v>
      </c>
      <c r="F100">
        <f>主c角色库!H394</f>
        <v>4.9240000000000004</v>
      </c>
      <c r="G100">
        <f>主c角色库!I394</f>
        <v>7379.1713600000012</v>
      </c>
      <c r="H100">
        <f>主c角色库!J394</f>
        <v>5.4</v>
      </c>
      <c r="I100">
        <f>主c角色库!K394</f>
        <v>0.05</v>
      </c>
      <c r="J100">
        <f>主c角色库!L394</f>
        <v>0.5</v>
      </c>
      <c r="K100">
        <f>主c角色库!M394</f>
        <v>0</v>
      </c>
      <c r="L100">
        <f>主c角色库!N394</f>
        <v>0.84599999999999986</v>
      </c>
      <c r="M100">
        <f>主c角色库!O394</f>
        <v>0</v>
      </c>
      <c r="N100">
        <f>主c角色库!P394</f>
        <v>0</v>
      </c>
      <c r="O100">
        <f>主c角色库!Q394</f>
        <v>0</v>
      </c>
      <c r="P100">
        <f>主c角色库!R394</f>
        <v>0</v>
      </c>
      <c r="Q100">
        <f>主c角色库!S394</f>
        <v>0</v>
      </c>
      <c r="R100">
        <f>主c角色库!T394</f>
        <v>0</v>
      </c>
      <c r="S100">
        <f>主c角色库!U394</f>
        <v>0</v>
      </c>
      <c r="T100">
        <f>主c角色库!V394</f>
        <v>0</v>
      </c>
      <c r="U100">
        <f>主c角色库!W394</f>
        <v>0</v>
      </c>
      <c r="V100">
        <f>主c角色库!X394</f>
        <v>0</v>
      </c>
      <c r="W100">
        <f>主c角色库!Y394</f>
        <v>0</v>
      </c>
      <c r="X100">
        <f>主c角色库!Z394</f>
        <v>0</v>
      </c>
    </row>
    <row r="101" spans="1:24" x14ac:dyDescent="0.25">
      <c r="A101" s="22" t="str">
        <f>主c角色库!C395</f>
        <v>庄方宜五剑二导电战技</v>
      </c>
      <c r="B101" t="str">
        <f>主c角色库!D395</f>
        <v>N/a</v>
      </c>
      <c r="C101">
        <f>主c角色库!E395</f>
        <v>836</v>
      </c>
      <c r="D101">
        <f>主c角色库!F395</f>
        <v>0.49</v>
      </c>
      <c r="E101">
        <f>主c角色库!G395</f>
        <v>0</v>
      </c>
      <c r="F101">
        <f>主c角色库!H395</f>
        <v>4.9240000000000004</v>
      </c>
      <c r="G101">
        <f>主c角色库!I395</f>
        <v>7379.1713600000012</v>
      </c>
      <c r="H101">
        <f>主c角色库!J395</f>
        <v>6.3</v>
      </c>
      <c r="I101">
        <f>主c角色库!K395</f>
        <v>0.05</v>
      </c>
      <c r="J101">
        <f>主c角色库!L395</f>
        <v>0.5</v>
      </c>
      <c r="K101">
        <f>主c角色库!M395</f>
        <v>0</v>
      </c>
      <c r="L101">
        <f>主c角色库!N395</f>
        <v>0.84599999999999986</v>
      </c>
      <c r="M101">
        <f>主c角色库!O395</f>
        <v>0</v>
      </c>
      <c r="N101">
        <f>主c角色库!P395</f>
        <v>0</v>
      </c>
      <c r="O101">
        <f>主c角色库!Q395</f>
        <v>0</v>
      </c>
      <c r="P101">
        <f>主c角色库!R395</f>
        <v>0</v>
      </c>
      <c r="Q101">
        <f>主c角色库!S395</f>
        <v>0</v>
      </c>
      <c r="R101">
        <f>主c角色库!T395</f>
        <v>0</v>
      </c>
      <c r="S101">
        <f>主c角色库!U395</f>
        <v>0</v>
      </c>
      <c r="T101">
        <f>主c角色库!V395</f>
        <v>0</v>
      </c>
      <c r="U101">
        <f>主c角色库!W395</f>
        <v>0</v>
      </c>
      <c r="V101">
        <f>主c角色库!X395</f>
        <v>0</v>
      </c>
      <c r="W101">
        <f>主c角色库!Y395</f>
        <v>0</v>
      </c>
      <c r="X101">
        <f>主c角色库!Z395</f>
        <v>0</v>
      </c>
    </row>
    <row r="102" spans="1:24" x14ac:dyDescent="0.25">
      <c r="A102" s="22" t="str">
        <f>主c角色库!C396</f>
        <v>庄方宜六剑一导电战技</v>
      </c>
      <c r="B102" t="str">
        <f>主c角色库!D396</f>
        <v>N/a</v>
      </c>
      <c r="C102">
        <f>主c角色库!E396</f>
        <v>836</v>
      </c>
      <c r="D102">
        <f>主c角色库!F396</f>
        <v>0.49</v>
      </c>
      <c r="E102">
        <f>主c角色库!G396</f>
        <v>0</v>
      </c>
      <c r="F102">
        <f>主c角色库!H396</f>
        <v>4.9240000000000004</v>
      </c>
      <c r="G102">
        <f>主c角色库!I396</f>
        <v>7379.1713600000012</v>
      </c>
      <c r="H102">
        <f>主c角色库!J396</f>
        <v>5.94</v>
      </c>
      <c r="I102">
        <f>主c角色库!K396</f>
        <v>0.05</v>
      </c>
      <c r="J102">
        <f>主c角色库!L396</f>
        <v>0.5</v>
      </c>
      <c r="K102">
        <f>主c角色库!M396</f>
        <v>0</v>
      </c>
      <c r="L102">
        <f>主c角色库!N396</f>
        <v>0.84599999999999986</v>
      </c>
      <c r="M102">
        <f>主c角色库!O396</f>
        <v>0</v>
      </c>
      <c r="N102">
        <f>主c角色库!P396</f>
        <v>0</v>
      </c>
      <c r="O102">
        <f>主c角色库!Q396</f>
        <v>0</v>
      </c>
      <c r="P102">
        <f>主c角色库!R396</f>
        <v>0</v>
      </c>
      <c r="Q102">
        <f>主c角色库!S396</f>
        <v>0</v>
      </c>
      <c r="R102">
        <f>主c角色库!T396</f>
        <v>0</v>
      </c>
      <c r="S102">
        <f>主c角色库!U396</f>
        <v>0</v>
      </c>
      <c r="T102">
        <f>主c角色库!V396</f>
        <v>0</v>
      </c>
      <c r="U102">
        <f>主c角色库!W396</f>
        <v>0</v>
      </c>
      <c r="V102">
        <f>主c角色库!X396</f>
        <v>0</v>
      </c>
      <c r="W102">
        <f>主c角色库!Y396</f>
        <v>0</v>
      </c>
      <c r="X102">
        <f>主c角色库!Z396</f>
        <v>0</v>
      </c>
    </row>
    <row r="103" spans="1:24" x14ac:dyDescent="0.25">
      <c r="A103" s="22" t="str">
        <f>主c角色库!C397</f>
        <v>庄方宜六剑二导电战技</v>
      </c>
      <c r="B103" t="str">
        <f>主c角色库!D397</f>
        <v>N/a</v>
      </c>
      <c r="C103">
        <f>主c角色库!E397</f>
        <v>836</v>
      </c>
      <c r="D103">
        <f>主c角色库!F397</f>
        <v>0.49</v>
      </c>
      <c r="E103">
        <f>主c角色库!G397</f>
        <v>0</v>
      </c>
      <c r="F103">
        <f>主c角色库!H397</f>
        <v>4.9240000000000004</v>
      </c>
      <c r="G103">
        <f>主c角色库!I397</f>
        <v>7379.1713600000012</v>
      </c>
      <c r="H103">
        <f>主c角色库!J397</f>
        <v>6.93</v>
      </c>
      <c r="I103">
        <f>主c角色库!K397</f>
        <v>0.05</v>
      </c>
      <c r="J103">
        <f>主c角色库!L397</f>
        <v>0.5</v>
      </c>
      <c r="K103">
        <f>主c角色库!M397</f>
        <v>0</v>
      </c>
      <c r="L103">
        <f>主c角色库!N397</f>
        <v>0.84599999999999986</v>
      </c>
      <c r="M103">
        <f>主c角色库!O397</f>
        <v>0</v>
      </c>
      <c r="N103">
        <f>主c角色库!P397</f>
        <v>0</v>
      </c>
      <c r="O103">
        <f>主c角色库!Q397</f>
        <v>0</v>
      </c>
      <c r="P103">
        <f>主c角色库!R397</f>
        <v>0</v>
      </c>
      <c r="Q103">
        <f>主c角色库!S397</f>
        <v>0</v>
      </c>
      <c r="R103">
        <f>主c角色库!T397</f>
        <v>0</v>
      </c>
      <c r="S103">
        <f>主c角色库!U397</f>
        <v>0</v>
      </c>
      <c r="T103">
        <f>主c角色库!V397</f>
        <v>0</v>
      </c>
      <c r="U103">
        <f>主c角色库!W397</f>
        <v>0</v>
      </c>
      <c r="V103">
        <f>主c角色库!X397</f>
        <v>0</v>
      </c>
      <c r="W103">
        <f>主c角色库!Y397</f>
        <v>0</v>
      </c>
      <c r="X103">
        <f>主c角色库!Z397</f>
        <v>0</v>
      </c>
    </row>
    <row r="104" spans="1:24" x14ac:dyDescent="0.25">
      <c r="A104" s="22" t="str">
        <f>主c角色库!C398</f>
        <v>庄方宜七剑一导电战技</v>
      </c>
      <c r="B104" t="str">
        <f>主c角色库!D398</f>
        <v>N/a</v>
      </c>
      <c r="C104">
        <f>主c角色库!E398</f>
        <v>836</v>
      </c>
      <c r="D104">
        <f>主c角色库!F398</f>
        <v>0.49</v>
      </c>
      <c r="E104">
        <f>主c角色库!G398</f>
        <v>0</v>
      </c>
      <c r="F104">
        <f>主c角色库!H398</f>
        <v>4.9240000000000004</v>
      </c>
      <c r="G104">
        <f>主c角色库!I398</f>
        <v>7379.1713600000012</v>
      </c>
      <c r="H104">
        <f>主c角色库!J398</f>
        <v>6.48</v>
      </c>
      <c r="I104">
        <f>主c角色库!K398</f>
        <v>0.05</v>
      </c>
      <c r="J104">
        <f>主c角色库!L398</f>
        <v>0.5</v>
      </c>
      <c r="K104">
        <f>主c角色库!M398</f>
        <v>0</v>
      </c>
      <c r="L104">
        <f>主c角色库!N398</f>
        <v>0.84599999999999986</v>
      </c>
      <c r="M104">
        <f>主c角色库!O398</f>
        <v>0</v>
      </c>
      <c r="N104">
        <f>主c角色库!P398</f>
        <v>0</v>
      </c>
      <c r="O104">
        <f>主c角色库!Q398</f>
        <v>0</v>
      </c>
      <c r="P104">
        <f>主c角色库!R398</f>
        <v>0</v>
      </c>
      <c r="Q104">
        <f>主c角色库!S398</f>
        <v>0</v>
      </c>
      <c r="R104">
        <f>主c角色库!T398</f>
        <v>0</v>
      </c>
      <c r="S104">
        <f>主c角色库!U398</f>
        <v>0</v>
      </c>
      <c r="T104">
        <f>主c角色库!V398</f>
        <v>0</v>
      </c>
      <c r="U104">
        <f>主c角色库!W398</f>
        <v>0</v>
      </c>
      <c r="V104">
        <f>主c角色库!X398</f>
        <v>0</v>
      </c>
      <c r="W104">
        <f>主c角色库!Y398</f>
        <v>0</v>
      </c>
      <c r="X104">
        <f>主c角色库!Z398</f>
        <v>0</v>
      </c>
    </row>
    <row r="105" spans="1:24" x14ac:dyDescent="0.25">
      <c r="A105" s="22" t="str">
        <f>主c角色库!C399</f>
        <v>庄方宜八剑一导电战技</v>
      </c>
      <c r="B105" t="str">
        <f>主c角色库!D399</f>
        <v>N/a</v>
      </c>
      <c r="C105">
        <f>主c角色库!E399</f>
        <v>836</v>
      </c>
      <c r="D105">
        <f>主c角色库!F399</f>
        <v>0.49</v>
      </c>
      <c r="E105">
        <f>主c角色库!G399</f>
        <v>0</v>
      </c>
      <c r="F105">
        <f>主c角色库!H399</f>
        <v>4.9240000000000004</v>
      </c>
      <c r="G105">
        <f>主c角色库!I399</f>
        <v>7379.1713600000012</v>
      </c>
      <c r="H105">
        <f>主c角色库!J399</f>
        <v>7.0200000000000005</v>
      </c>
      <c r="I105">
        <f>主c角色库!K399</f>
        <v>0.05</v>
      </c>
      <c r="J105">
        <f>主c角色库!L399</f>
        <v>0.5</v>
      </c>
      <c r="K105">
        <f>主c角色库!M399</f>
        <v>0</v>
      </c>
      <c r="L105">
        <f>主c角色库!N399</f>
        <v>0.84599999999999986</v>
      </c>
      <c r="M105">
        <f>主c角色库!O399</f>
        <v>0</v>
      </c>
      <c r="N105">
        <f>主c角色库!P399</f>
        <v>0</v>
      </c>
      <c r="O105">
        <f>主c角色库!Q399</f>
        <v>0</v>
      </c>
      <c r="P105">
        <f>主c角色库!R399</f>
        <v>0</v>
      </c>
      <c r="Q105">
        <f>主c角色库!S399</f>
        <v>0</v>
      </c>
      <c r="R105">
        <f>主c角色库!T399</f>
        <v>0</v>
      </c>
      <c r="S105">
        <f>主c角色库!U399</f>
        <v>0</v>
      </c>
      <c r="T105">
        <f>主c角色库!V399</f>
        <v>0</v>
      </c>
      <c r="U105">
        <f>主c角色库!W399</f>
        <v>0</v>
      </c>
      <c r="V105">
        <f>主c角色库!X399</f>
        <v>0</v>
      </c>
      <c r="W105">
        <f>主c角色库!Y399</f>
        <v>0</v>
      </c>
      <c r="X105">
        <f>主c角色库!Z399</f>
        <v>0</v>
      </c>
    </row>
    <row r="106" spans="1:24" x14ac:dyDescent="0.25">
      <c r="A106" s="22" t="str">
        <f>主c角色库!C400</f>
        <v>庄方宜九剑一导电战技</v>
      </c>
      <c r="B106" t="str">
        <f>主c角色库!D400</f>
        <v>N/a</v>
      </c>
      <c r="C106">
        <f>主c角色库!E400</f>
        <v>836</v>
      </c>
      <c r="D106">
        <f>主c角色库!F400</f>
        <v>0.49</v>
      </c>
      <c r="E106">
        <f>主c角色库!G400</f>
        <v>0</v>
      </c>
      <c r="F106">
        <f>主c角色库!H400</f>
        <v>4.9240000000000004</v>
      </c>
      <c r="G106">
        <f>主c角色库!I400</f>
        <v>7379.1713600000012</v>
      </c>
      <c r="H106">
        <f>主c角色库!J400</f>
        <v>7.5600000000000005</v>
      </c>
      <c r="I106">
        <f>主c角色库!K400</f>
        <v>0.05</v>
      </c>
      <c r="J106">
        <f>主c角色库!L400</f>
        <v>0.5</v>
      </c>
      <c r="K106">
        <f>主c角色库!M400</f>
        <v>0</v>
      </c>
      <c r="L106">
        <f>主c角色库!N400</f>
        <v>0.84599999999999986</v>
      </c>
      <c r="M106">
        <f>主c角色库!O400</f>
        <v>0</v>
      </c>
      <c r="N106">
        <f>主c角色库!P400</f>
        <v>0</v>
      </c>
      <c r="O106">
        <f>主c角色库!Q400</f>
        <v>0</v>
      </c>
      <c r="P106">
        <f>主c角色库!R400</f>
        <v>0</v>
      </c>
      <c r="Q106">
        <f>主c角色库!S400</f>
        <v>0</v>
      </c>
      <c r="R106">
        <f>主c角色库!T400</f>
        <v>0</v>
      </c>
      <c r="S106">
        <f>主c角色库!U400</f>
        <v>0</v>
      </c>
      <c r="T106">
        <f>主c角色库!V400</f>
        <v>0</v>
      </c>
      <c r="U106">
        <f>主c角色库!W400</f>
        <v>0</v>
      </c>
      <c r="V106">
        <f>主c角色库!X400</f>
        <v>0</v>
      </c>
      <c r="W106">
        <f>主c角色库!Y400</f>
        <v>0</v>
      </c>
      <c r="X106">
        <f>主c角色库!Z400</f>
        <v>0</v>
      </c>
    </row>
    <row r="107" spans="1:24" x14ac:dyDescent="0.25">
      <c r="A107" s="22" t="str">
        <f>主c角色库!C401</f>
        <v>庄方宜九剑二导电战技</v>
      </c>
      <c r="B107" t="str">
        <f>主c角色库!D401</f>
        <v>N/a</v>
      </c>
      <c r="C107">
        <f>主c角色库!E401</f>
        <v>836</v>
      </c>
      <c r="D107">
        <f>主c角色库!F401</f>
        <v>0.49</v>
      </c>
      <c r="E107">
        <f>主c角色库!G401</f>
        <v>0</v>
      </c>
      <c r="F107">
        <f>主c角色库!H401</f>
        <v>4.9240000000000004</v>
      </c>
      <c r="G107">
        <f>主c角色库!I401</f>
        <v>7379.1713600000012</v>
      </c>
      <c r="H107">
        <f>主c角色库!J401</f>
        <v>8.82</v>
      </c>
      <c r="I107">
        <f>主c角色库!K401</f>
        <v>0.05</v>
      </c>
      <c r="J107">
        <f>主c角色库!L401</f>
        <v>0.5</v>
      </c>
      <c r="K107">
        <f>主c角色库!M401</f>
        <v>0</v>
      </c>
      <c r="L107">
        <f>主c角色库!N401</f>
        <v>0.84599999999999986</v>
      </c>
      <c r="M107">
        <f>主c角色库!O401</f>
        <v>0</v>
      </c>
      <c r="N107">
        <f>主c角色库!P401</f>
        <v>0</v>
      </c>
      <c r="O107">
        <f>主c角色库!Q401</f>
        <v>0</v>
      </c>
      <c r="P107">
        <f>主c角色库!R401</f>
        <v>0</v>
      </c>
      <c r="Q107">
        <f>主c角色库!S401</f>
        <v>0</v>
      </c>
      <c r="R107">
        <f>主c角色库!T401</f>
        <v>0</v>
      </c>
      <c r="S107">
        <f>主c角色库!U401</f>
        <v>0</v>
      </c>
      <c r="T107">
        <f>主c角色库!V401</f>
        <v>0</v>
      </c>
      <c r="U107">
        <f>主c角色库!W401</f>
        <v>0</v>
      </c>
      <c r="V107">
        <f>主c角色库!X401</f>
        <v>0</v>
      </c>
      <c r="W107">
        <f>主c角色库!Y401</f>
        <v>0</v>
      </c>
      <c r="X107">
        <f>主c角色库!Z401</f>
        <v>0</v>
      </c>
    </row>
    <row r="108" spans="1:24" x14ac:dyDescent="0.25">
      <c r="A108" t="str">
        <f>主c角色库!C402</f>
        <v>庄方宜连携</v>
      </c>
      <c r="B108" t="str">
        <f>主c角色库!D402</f>
        <v>N/a</v>
      </c>
      <c r="C108">
        <f>主c角色库!E402</f>
        <v>836</v>
      </c>
      <c r="D108">
        <f>主c角色库!F402</f>
        <v>0.49</v>
      </c>
      <c r="E108">
        <f>主c角色库!G402</f>
        <v>0</v>
      </c>
      <c r="F108">
        <f>主c角色库!H402</f>
        <v>4.9240000000000004</v>
      </c>
      <c r="G108">
        <f>主c角色库!I402</f>
        <v>7379.1713600000012</v>
      </c>
      <c r="H108">
        <f>主c角色库!J402</f>
        <v>3.6</v>
      </c>
      <c r="I108">
        <f>主c角色库!K402</f>
        <v>0.05</v>
      </c>
      <c r="J108">
        <f>主c角色库!L402</f>
        <v>0.5</v>
      </c>
      <c r="K108">
        <f>主c角色库!M402</f>
        <v>0</v>
      </c>
      <c r="L108">
        <f>主c角色库!N402</f>
        <v>0.84599999999999986</v>
      </c>
      <c r="M108">
        <f>主c角色库!O402</f>
        <v>0</v>
      </c>
      <c r="N108">
        <f>主c角色库!P402</f>
        <v>0</v>
      </c>
      <c r="O108">
        <f>主c角色库!Q402</f>
        <v>0</v>
      </c>
      <c r="P108">
        <f>主c角色库!R402</f>
        <v>0</v>
      </c>
      <c r="Q108">
        <f>主c角色库!S402</f>
        <v>0</v>
      </c>
      <c r="R108">
        <f>主c角色库!T402</f>
        <v>0</v>
      </c>
      <c r="S108">
        <f>主c角色库!U402</f>
        <v>0</v>
      </c>
      <c r="T108">
        <f>主c角色库!V402</f>
        <v>0</v>
      </c>
      <c r="U108">
        <f>主c角色库!W402</f>
        <v>0</v>
      </c>
      <c r="V108">
        <f>主c角色库!X402</f>
        <v>0</v>
      </c>
      <c r="W108">
        <f>主c角色库!Y402</f>
        <v>0</v>
      </c>
      <c r="X108">
        <f>主c角色库!Z402</f>
        <v>0</v>
      </c>
    </row>
    <row r="109" spans="1:24" x14ac:dyDescent="0.25">
      <c r="A109" t="str">
        <f>主c角色库!C403</f>
        <v>庄方宜大招</v>
      </c>
      <c r="B109" s="22" t="str">
        <f>主c角色库!D403</f>
        <v>N/a</v>
      </c>
      <c r="C109">
        <f>主c角色库!E403</f>
        <v>0</v>
      </c>
      <c r="D109">
        <f>主c角色库!F403</f>
        <v>0</v>
      </c>
      <c r="E109">
        <f>主c角色库!G403</f>
        <v>0</v>
      </c>
      <c r="F109">
        <f>主c角色库!H403</f>
        <v>0</v>
      </c>
      <c r="G109">
        <f>主c角色库!I403</f>
        <v>0</v>
      </c>
      <c r="H109">
        <f>主c角色库!J403</f>
        <v>0</v>
      </c>
      <c r="I109">
        <f>主c角色库!K403</f>
        <v>0</v>
      </c>
      <c r="J109">
        <f>主c角色库!L403</f>
        <v>0</v>
      </c>
      <c r="K109">
        <f>主c角色库!M403</f>
        <v>0</v>
      </c>
      <c r="L109">
        <f>主c角色库!N403</f>
        <v>0</v>
      </c>
      <c r="M109">
        <f>主c角色库!O403</f>
        <v>0</v>
      </c>
      <c r="N109">
        <f>主c角色库!P403</f>
        <v>0</v>
      </c>
      <c r="O109">
        <f>主c角色库!Q403</f>
        <v>0</v>
      </c>
      <c r="P109">
        <f>主c角色库!R403</f>
        <v>0</v>
      </c>
      <c r="Q109">
        <f>主c角色库!S403</f>
        <v>0</v>
      </c>
      <c r="R109">
        <f>主c角色库!T403</f>
        <v>0</v>
      </c>
      <c r="S109">
        <f>主c角色库!U403</f>
        <v>0</v>
      </c>
      <c r="T109">
        <f>主c角色库!V403</f>
        <v>0</v>
      </c>
      <c r="U109">
        <f>主c角色库!W403</f>
        <v>0</v>
      </c>
      <c r="V109">
        <f>主c角色库!X403</f>
        <v>0</v>
      </c>
      <c r="W109">
        <f>主c角色库!Y403</f>
        <v>0</v>
      </c>
      <c r="X109">
        <f>主c角色库!Z403</f>
        <v>0</v>
      </c>
    </row>
    <row r="110" spans="1:24" x14ac:dyDescent="0.25">
      <c r="A110" s="17" t="str">
        <f>主c角色库!C404</f>
        <v>庄方宜大招连携</v>
      </c>
      <c r="B110" s="17" t="str">
        <f>主c角色库!D404</f>
        <v>N/a</v>
      </c>
      <c r="C110" s="17">
        <f>主c角色库!E404</f>
        <v>836</v>
      </c>
      <c r="D110" s="17">
        <f>主c角色库!F404</f>
        <v>0.49</v>
      </c>
      <c r="E110" s="17">
        <f>主c角色库!G404</f>
        <v>0</v>
      </c>
      <c r="F110" s="17">
        <f>主c角色库!H404</f>
        <v>4.9240000000000004</v>
      </c>
      <c r="G110" s="17">
        <f>主c角色库!I404</f>
        <v>7379.1713600000012</v>
      </c>
      <c r="H110" s="17">
        <f>主c角色库!J404</f>
        <v>5.4</v>
      </c>
      <c r="I110" s="17">
        <f>主c角色库!K404</f>
        <v>0.05</v>
      </c>
      <c r="J110" s="17">
        <f>主c角色库!L404</f>
        <v>0.5</v>
      </c>
      <c r="K110" s="17">
        <f>主c角色库!M404</f>
        <v>0</v>
      </c>
      <c r="L110" s="17">
        <f>主c角色库!N404</f>
        <v>0.84599999999999986</v>
      </c>
      <c r="M110" s="17">
        <f>主c角色库!O404</f>
        <v>0</v>
      </c>
      <c r="N110" s="17">
        <f>主c角色库!P404</f>
        <v>0</v>
      </c>
      <c r="O110" s="17">
        <f>主c角色库!Q404</f>
        <v>0</v>
      </c>
      <c r="P110" s="17">
        <f>主c角色库!R404</f>
        <v>0</v>
      </c>
      <c r="Q110" s="17">
        <f>主c角色库!S404</f>
        <v>0</v>
      </c>
      <c r="R110" s="17">
        <f>主c角色库!T404</f>
        <v>0</v>
      </c>
      <c r="S110" s="17">
        <f>主c角色库!U404</f>
        <v>0</v>
      </c>
      <c r="T110" s="17">
        <f>主c角色库!V404</f>
        <v>0</v>
      </c>
      <c r="U110" s="17">
        <f>主c角色库!W404</f>
        <v>0</v>
      </c>
      <c r="V110" s="17">
        <f>主c角色库!X404</f>
        <v>0</v>
      </c>
      <c r="W110" s="17">
        <f>主c角色库!Y404</f>
        <v>0</v>
      </c>
      <c r="X110" s="17">
        <f>主c角色库!Z404</f>
        <v>0</v>
      </c>
    </row>
    <row r="111" spans="1:24" x14ac:dyDescent="0.25">
      <c r="A111" t="str">
        <f>主c角色库!C405</f>
        <v>庄方宜大招普攻</v>
      </c>
      <c r="B111" t="str">
        <f>主c角色库!D405</f>
        <v>N/a</v>
      </c>
      <c r="C111">
        <f>主c角色库!E405</f>
        <v>836</v>
      </c>
      <c r="D111">
        <f>主c角色库!F405</f>
        <v>0.49</v>
      </c>
      <c r="E111">
        <f>主c角色库!G405</f>
        <v>0</v>
      </c>
      <c r="F111">
        <f>主c角色库!H405</f>
        <v>4.9240000000000004</v>
      </c>
      <c r="G111">
        <f>主c角色库!I405</f>
        <v>7379.1713600000012</v>
      </c>
      <c r="H111">
        <f>主c角色库!J405</f>
        <v>6.6</v>
      </c>
      <c r="I111">
        <f>主c角色库!K405</f>
        <v>0.05</v>
      </c>
      <c r="J111">
        <f>主c角色库!L405</f>
        <v>0.5</v>
      </c>
      <c r="K111">
        <f>主c角色库!M405</f>
        <v>0</v>
      </c>
      <c r="L111">
        <f>主c角色库!N405</f>
        <v>0.84599999999999986</v>
      </c>
      <c r="M111">
        <f>主c角色库!O405</f>
        <v>0</v>
      </c>
      <c r="N111">
        <f>主c角色库!P405</f>
        <v>0</v>
      </c>
      <c r="O111">
        <f>主c角色库!Q405</f>
        <v>0</v>
      </c>
      <c r="P111">
        <f>主c角色库!R405</f>
        <v>0</v>
      </c>
      <c r="Q111">
        <f>主c角色库!S405</f>
        <v>0</v>
      </c>
      <c r="R111">
        <f>主c角色库!T405</f>
        <v>0</v>
      </c>
      <c r="S111">
        <f>主c角色库!U405</f>
        <v>0</v>
      </c>
      <c r="T111">
        <f>主c角色库!V405</f>
        <v>0</v>
      </c>
      <c r="U111">
        <f>主c角色库!W405</f>
        <v>0</v>
      </c>
      <c r="V111">
        <f>主c角色库!X405</f>
        <v>0</v>
      </c>
      <c r="W111">
        <f>主c角色库!Y405</f>
        <v>0</v>
      </c>
      <c r="X111">
        <f>主c角色库!Z405</f>
        <v>0</v>
      </c>
    </row>
    <row r="112" spans="1:24" x14ac:dyDescent="0.25">
      <c r="A112" t="str">
        <f>主c角色库!C406</f>
        <v>庄方宜大招九剑一导电战技</v>
      </c>
      <c r="B112" t="str">
        <f>主c角色库!D406</f>
        <v>N/a</v>
      </c>
      <c r="C112">
        <f>主c角色库!E406</f>
        <v>836</v>
      </c>
      <c r="D112">
        <f>主c角色库!F406</f>
        <v>0.49</v>
      </c>
      <c r="E112">
        <f>主c角色库!G406</f>
        <v>0</v>
      </c>
      <c r="F112">
        <f>主c角色库!H406</f>
        <v>4.9240000000000004</v>
      </c>
      <c r="G112">
        <f>主c角色库!I406</f>
        <v>7379.1713600000012</v>
      </c>
      <c r="H112">
        <f>主c角色库!J406</f>
        <v>13.86</v>
      </c>
      <c r="I112">
        <f>主c角色库!K406</f>
        <v>0.05</v>
      </c>
      <c r="J112">
        <f>主c角色库!L406</f>
        <v>0.5</v>
      </c>
      <c r="K112">
        <f>主c角色库!M406</f>
        <v>0</v>
      </c>
      <c r="L112">
        <f>主c角色库!N406</f>
        <v>0.84599999999999986</v>
      </c>
      <c r="M112">
        <f>主c角色库!O406</f>
        <v>0</v>
      </c>
      <c r="N112">
        <f>主c角色库!P406</f>
        <v>0</v>
      </c>
      <c r="O112">
        <f>主c角色库!Q406</f>
        <v>0</v>
      </c>
      <c r="P112">
        <f>主c角色库!R406</f>
        <v>0</v>
      </c>
      <c r="Q112">
        <f>主c角色库!S406</f>
        <v>0</v>
      </c>
      <c r="R112">
        <f>主c角色库!T406</f>
        <v>0</v>
      </c>
      <c r="S112">
        <f>主c角色库!U406</f>
        <v>0</v>
      </c>
      <c r="T112">
        <f>主c角色库!V406</f>
        <v>0</v>
      </c>
      <c r="U112">
        <f>主c角色库!W406</f>
        <v>0</v>
      </c>
      <c r="V112">
        <f>主c角色库!X406</f>
        <v>0</v>
      </c>
      <c r="W112">
        <f>主c角色库!Y406</f>
        <v>0</v>
      </c>
      <c r="X112">
        <f>主c角色库!Z406</f>
        <v>0</v>
      </c>
    </row>
    <row r="113" spans="1:24" x14ac:dyDescent="0.25">
      <c r="A113" t="str">
        <f>主c角色库!C407</f>
        <v>庄方宜大招九剑零导电战技</v>
      </c>
      <c r="B113" t="str">
        <f>主c角色库!D407</f>
        <v>N/a</v>
      </c>
      <c r="C113">
        <f>主c角色库!E407</f>
        <v>836</v>
      </c>
      <c r="D113">
        <f>主c角色库!F407</f>
        <v>0.49</v>
      </c>
      <c r="E113">
        <f>主c角色库!G407</f>
        <v>0</v>
      </c>
      <c r="F113">
        <f>主c角色库!H407</f>
        <v>4.9240000000000004</v>
      </c>
      <c r="G113">
        <f>主c角色库!I407</f>
        <v>7379.1713600000012</v>
      </c>
      <c r="H113">
        <f>主c角色库!J407</f>
        <v>11.34</v>
      </c>
      <c r="I113">
        <f>主c角色库!K407</f>
        <v>0.05</v>
      </c>
      <c r="J113">
        <f>主c角色库!L407</f>
        <v>0.5</v>
      </c>
      <c r="K113">
        <f>主c角色库!M407</f>
        <v>0</v>
      </c>
      <c r="L113">
        <f>主c角色库!N407</f>
        <v>0.84599999999999986</v>
      </c>
      <c r="M113">
        <f>主c角色库!O407</f>
        <v>0</v>
      </c>
      <c r="N113">
        <f>主c角色库!P407</f>
        <v>0</v>
      </c>
      <c r="O113">
        <f>主c角色库!Q407</f>
        <v>0</v>
      </c>
      <c r="P113">
        <f>主c角色库!R407</f>
        <v>0</v>
      </c>
      <c r="Q113">
        <f>主c角色库!S407</f>
        <v>0</v>
      </c>
      <c r="R113">
        <f>主c角色库!T407</f>
        <v>0</v>
      </c>
      <c r="S113">
        <f>主c角色库!U407</f>
        <v>0</v>
      </c>
      <c r="T113">
        <f>主c角色库!V407</f>
        <v>0</v>
      </c>
      <c r="U113">
        <f>主c角色库!W407</f>
        <v>0</v>
      </c>
      <c r="V113">
        <f>主c角色库!X407</f>
        <v>0</v>
      </c>
      <c r="W113">
        <f>主c角色库!Y407</f>
        <v>0</v>
      </c>
      <c r="X113">
        <f>主c角色库!Z407</f>
        <v>0</v>
      </c>
    </row>
    <row r="114" spans="1:24" x14ac:dyDescent="0.25">
      <c r="A114" t="str">
        <f>主c角色库!C408</f>
        <v>庄方宜大招九剑二导电战技</v>
      </c>
      <c r="B114" t="str">
        <f>主c角色库!D408</f>
        <v>N/a</v>
      </c>
      <c r="C114">
        <f>主c角色库!E408</f>
        <v>836</v>
      </c>
      <c r="D114">
        <f>主c角色库!F408</f>
        <v>0.49</v>
      </c>
      <c r="E114">
        <f>主c角色库!G408</f>
        <v>0</v>
      </c>
      <c r="F114">
        <f>主c角色库!H408</f>
        <v>4.9240000000000004</v>
      </c>
      <c r="G114">
        <f>主c角色库!I408</f>
        <v>7379.1713600000012</v>
      </c>
      <c r="H114">
        <f>主c角色库!J408</f>
        <v>16.38</v>
      </c>
      <c r="I114">
        <f>主c角色库!K408</f>
        <v>0.05</v>
      </c>
      <c r="J114">
        <f>主c角色库!L408</f>
        <v>0.5</v>
      </c>
      <c r="K114">
        <f>主c角色库!M408</f>
        <v>0</v>
      </c>
      <c r="L114">
        <f>主c角色库!N408</f>
        <v>0.84599999999999986</v>
      </c>
      <c r="M114">
        <f>主c角色库!O408</f>
        <v>0</v>
      </c>
      <c r="N114">
        <f>主c角色库!P408</f>
        <v>0</v>
      </c>
      <c r="O114">
        <f>主c角色库!Q408</f>
        <v>0</v>
      </c>
      <c r="P114">
        <f>主c角色库!R408</f>
        <v>0</v>
      </c>
      <c r="Q114">
        <f>主c角色库!S408</f>
        <v>0</v>
      </c>
      <c r="R114">
        <f>主c角色库!T408</f>
        <v>0</v>
      </c>
      <c r="S114">
        <f>主c角色库!U408</f>
        <v>0</v>
      </c>
      <c r="T114">
        <f>主c角色库!V408</f>
        <v>0</v>
      </c>
      <c r="U114">
        <f>主c角色库!W408</f>
        <v>0</v>
      </c>
      <c r="V114">
        <f>主c角色库!X408</f>
        <v>0</v>
      </c>
      <c r="W114">
        <f>主c角色库!Y408</f>
        <v>0</v>
      </c>
      <c r="X114">
        <f>主c角色库!Z408</f>
        <v>0</v>
      </c>
    </row>
    <row r="115" spans="1:24" x14ac:dyDescent="0.25">
      <c r="A115" t="str">
        <f>主c角色库!C409</f>
        <v>庄方宜大招三剑零导电战技</v>
      </c>
      <c r="B115" t="str">
        <f>主c角色库!D409</f>
        <v>N/a</v>
      </c>
      <c r="C115">
        <f>主c角色库!E409</f>
        <v>836</v>
      </c>
      <c r="D115">
        <f>主c角色库!F409</f>
        <v>0.49</v>
      </c>
      <c r="E115">
        <f>主c角色库!G409</f>
        <v>0</v>
      </c>
      <c r="F115">
        <f>主c角色库!H409</f>
        <v>4.9240000000000004</v>
      </c>
      <c r="G115">
        <f>主c角色库!I409</f>
        <v>7379.1713600000012</v>
      </c>
      <c r="H115">
        <f>主c角色库!J409</f>
        <v>6.48</v>
      </c>
      <c r="I115">
        <f>主c角色库!K409</f>
        <v>0.05</v>
      </c>
      <c r="J115">
        <f>主c角色库!L409</f>
        <v>0.5</v>
      </c>
      <c r="K115">
        <f>主c角色库!M409</f>
        <v>0</v>
      </c>
      <c r="L115">
        <f>主c角色库!N409</f>
        <v>0.84599999999999986</v>
      </c>
      <c r="M115">
        <f>主c角色库!O409</f>
        <v>0</v>
      </c>
      <c r="N115">
        <f>主c角色库!P409</f>
        <v>0</v>
      </c>
      <c r="O115">
        <f>主c角色库!Q409</f>
        <v>0</v>
      </c>
      <c r="P115">
        <f>主c角色库!R409</f>
        <v>0</v>
      </c>
      <c r="Q115">
        <f>主c角色库!S409</f>
        <v>0</v>
      </c>
      <c r="R115">
        <f>主c角色库!T409</f>
        <v>0</v>
      </c>
      <c r="S115">
        <f>主c角色库!U409</f>
        <v>0</v>
      </c>
      <c r="T115">
        <f>主c角色库!V409</f>
        <v>0</v>
      </c>
      <c r="U115">
        <f>主c角色库!W409</f>
        <v>0</v>
      </c>
      <c r="V115">
        <f>主c角色库!X409</f>
        <v>0</v>
      </c>
      <c r="W115">
        <f>主c角色库!Y409</f>
        <v>0</v>
      </c>
      <c r="X115">
        <f>主c角色库!Z409</f>
        <v>0</v>
      </c>
    </row>
    <row r="116" spans="1:24" x14ac:dyDescent="0.25">
      <c r="A116" t="str">
        <f>主c角色库!C410</f>
        <v>庄方宜大招六剑一导电战技</v>
      </c>
      <c r="B116" t="str">
        <f>主c角色库!D410</f>
        <v>N/a</v>
      </c>
      <c r="C116">
        <f>主c角色库!E410</f>
        <v>836</v>
      </c>
      <c r="D116">
        <f>主c角色库!F410</f>
        <v>0.49</v>
      </c>
      <c r="E116">
        <f>主c角色库!G410</f>
        <v>0</v>
      </c>
      <c r="F116">
        <f>主c角色库!H410</f>
        <v>4.9240000000000004</v>
      </c>
      <c r="G116">
        <f>主c角色库!I410</f>
        <v>7379.1713600000012</v>
      </c>
      <c r="H116">
        <f>主c角色库!J410</f>
        <v>10.89</v>
      </c>
      <c r="I116">
        <f>主c角色库!K410</f>
        <v>0.05</v>
      </c>
      <c r="J116">
        <f>主c角色库!L410</f>
        <v>0.5</v>
      </c>
      <c r="K116">
        <f>主c角色库!M410</f>
        <v>0</v>
      </c>
      <c r="L116">
        <f>主c角色库!N410</f>
        <v>0.84599999999999986</v>
      </c>
      <c r="M116">
        <f>主c角色库!O410</f>
        <v>0</v>
      </c>
      <c r="N116">
        <f>主c角色库!P410</f>
        <v>0</v>
      </c>
      <c r="O116">
        <f>主c角色库!Q410</f>
        <v>0</v>
      </c>
      <c r="P116">
        <f>主c角色库!R410</f>
        <v>0</v>
      </c>
      <c r="Q116">
        <f>主c角色库!S410</f>
        <v>0</v>
      </c>
      <c r="R116">
        <f>主c角色库!T410</f>
        <v>0</v>
      </c>
      <c r="S116">
        <f>主c角色库!U410</f>
        <v>0</v>
      </c>
      <c r="T116">
        <f>主c角色库!V410</f>
        <v>0</v>
      </c>
      <c r="U116">
        <f>主c角色库!W410</f>
        <v>0</v>
      </c>
      <c r="V116">
        <f>主c角色库!X410</f>
        <v>0</v>
      </c>
      <c r="W116">
        <f>主c角色库!Y410</f>
        <v>0</v>
      </c>
      <c r="X116">
        <f>主c角色库!Z410</f>
        <v>0</v>
      </c>
    </row>
    <row r="117" spans="1:24" x14ac:dyDescent="0.25">
      <c r="A117" t="str">
        <f>主c角色库!C411</f>
        <v>N/a</v>
      </c>
      <c r="B117" t="str">
        <f>主c角色库!D411</f>
        <v>庄方宜连携一导电</v>
      </c>
      <c r="C117">
        <f>主c角色库!E411</f>
        <v>0</v>
      </c>
      <c r="D117">
        <f>主c角色库!F411</f>
        <v>0</v>
      </c>
      <c r="E117">
        <f>主c角色库!G411</f>
        <v>0</v>
      </c>
      <c r="F117">
        <f>主c角色库!H411</f>
        <v>0</v>
      </c>
      <c r="G117">
        <f>主c角色库!I411</f>
        <v>0</v>
      </c>
      <c r="H117">
        <f>主c角色库!J411</f>
        <v>0</v>
      </c>
      <c r="I117">
        <f>主c角色库!K411</f>
        <v>0</v>
      </c>
      <c r="J117">
        <f>主c角色库!L411</f>
        <v>0</v>
      </c>
      <c r="K117">
        <f>主c角色库!M411</f>
        <v>0</v>
      </c>
      <c r="L117">
        <f>主c角色库!N411</f>
        <v>0</v>
      </c>
      <c r="M117">
        <f>主c角色库!O411</f>
        <v>0</v>
      </c>
      <c r="N117">
        <f>主c角色库!P411</f>
        <v>0</v>
      </c>
      <c r="O117">
        <f>主c角色库!Q411</f>
        <v>0</v>
      </c>
      <c r="P117">
        <f>主c角色库!R411</f>
        <v>0</v>
      </c>
      <c r="Q117">
        <f>主c角色库!S411</f>
        <v>0</v>
      </c>
      <c r="R117">
        <f>主c角色库!T411</f>
        <v>0</v>
      </c>
      <c r="S117">
        <f>主c角色库!U411</f>
        <v>0</v>
      </c>
      <c r="T117">
        <f>主c角色库!V411</f>
        <v>0.12</v>
      </c>
      <c r="U117">
        <f>主c角色库!W411</f>
        <v>0</v>
      </c>
      <c r="V117">
        <f>主c角色库!X411</f>
        <v>0</v>
      </c>
      <c r="W117">
        <f>主c角色库!Y411</f>
        <v>0</v>
      </c>
      <c r="X117">
        <f>主c角色库!Z411</f>
        <v>0</v>
      </c>
    </row>
    <row r="118" spans="1:24" x14ac:dyDescent="0.25">
      <c r="A118" t="str">
        <f>主c角色库!C412</f>
        <v>N/a</v>
      </c>
      <c r="B118" t="str">
        <f>主c角色库!D412</f>
        <v>庄方宜连携二导电</v>
      </c>
      <c r="C118">
        <f>主c角色库!E412</f>
        <v>0</v>
      </c>
      <c r="D118">
        <f>主c角色库!F412</f>
        <v>0</v>
      </c>
      <c r="E118">
        <f>主c角色库!G412</f>
        <v>0</v>
      </c>
      <c r="F118">
        <f>主c角色库!H412</f>
        <v>0</v>
      </c>
      <c r="G118">
        <f>主c角色库!I412</f>
        <v>0</v>
      </c>
      <c r="H118">
        <f>主c角色库!J412</f>
        <v>0</v>
      </c>
      <c r="I118">
        <f>主c角色库!K412</f>
        <v>0</v>
      </c>
      <c r="J118">
        <f>主c角色库!L412</f>
        <v>0</v>
      </c>
      <c r="K118">
        <f>主c角色库!M412</f>
        <v>0</v>
      </c>
      <c r="L118">
        <f>主c角色库!N412</f>
        <v>0</v>
      </c>
      <c r="M118">
        <f>主c角色库!O412</f>
        <v>0</v>
      </c>
      <c r="N118">
        <f>主c角色库!P412</f>
        <v>0</v>
      </c>
      <c r="O118">
        <f>主c角色库!Q412</f>
        <v>0</v>
      </c>
      <c r="P118">
        <f>主c角色库!R412</f>
        <v>0</v>
      </c>
      <c r="Q118">
        <f>主c角色库!S412</f>
        <v>0</v>
      </c>
      <c r="R118">
        <f>主c角色库!T412</f>
        <v>0</v>
      </c>
      <c r="S118">
        <f>主c角色库!U412</f>
        <v>0</v>
      </c>
      <c r="T118">
        <f>主c角色库!V412</f>
        <v>0.16</v>
      </c>
      <c r="U118">
        <f>主c角色库!W412</f>
        <v>0</v>
      </c>
      <c r="V118">
        <f>主c角色库!X412</f>
        <v>0</v>
      </c>
      <c r="W118">
        <f>主c角色库!Y412</f>
        <v>0</v>
      </c>
      <c r="X118">
        <f>主c角色库!Z412</f>
        <v>0</v>
      </c>
    </row>
    <row r="119" spans="1:24" x14ac:dyDescent="0.25">
      <c r="A119" t="str">
        <f>主c角色库!C413</f>
        <v>N/a</v>
      </c>
      <c r="B119" t="str">
        <f>主c角色库!D413</f>
        <v>庄方宜天赋战技后增幅</v>
      </c>
      <c r="C119">
        <f>主c角色库!E413</f>
        <v>0</v>
      </c>
      <c r="D119">
        <f>主c角色库!F413</f>
        <v>0</v>
      </c>
      <c r="E119">
        <f>主c角色库!G413</f>
        <v>0</v>
      </c>
      <c r="F119">
        <f>主c角色库!H413</f>
        <v>0</v>
      </c>
      <c r="G119">
        <f>主c角色库!I413</f>
        <v>0</v>
      </c>
      <c r="H119">
        <f>主c角色库!J413</f>
        <v>0</v>
      </c>
      <c r="I119">
        <f>主c角色库!K413</f>
        <v>0</v>
      </c>
      <c r="J119">
        <f>主c角色库!L413</f>
        <v>0</v>
      </c>
      <c r="K119">
        <f>主c角色库!M413</f>
        <v>0</v>
      </c>
      <c r="L119">
        <f>主c角色库!N413</f>
        <v>0</v>
      </c>
      <c r="M119">
        <f>主c角色库!O413</f>
        <v>0</v>
      </c>
      <c r="N119">
        <f>主c角色库!P413</f>
        <v>0</v>
      </c>
      <c r="O119">
        <f>主c角色库!Q413</f>
        <v>0</v>
      </c>
      <c r="P119">
        <f>主c角色库!R413</f>
        <v>0</v>
      </c>
      <c r="Q119">
        <f>主c角色库!S413</f>
        <v>0</v>
      </c>
      <c r="R119">
        <f>主c角色库!T413</f>
        <v>0</v>
      </c>
      <c r="S119">
        <f>主c角色库!U413</f>
        <v>0.2</v>
      </c>
      <c r="T119">
        <f>主c角色库!V413</f>
        <v>0</v>
      </c>
      <c r="U119">
        <f>主c角色库!W413</f>
        <v>0</v>
      </c>
      <c r="V119">
        <f>主c角色库!X413</f>
        <v>0</v>
      </c>
      <c r="W119">
        <f>主c角色库!Y413</f>
        <v>0</v>
      </c>
      <c r="X119">
        <f>主c角色库!Z413</f>
        <v>0</v>
      </c>
    </row>
    <row r="120" spans="1:24" x14ac:dyDescent="0.25">
      <c r="A120" t="str">
        <f>主c角色库!C414</f>
        <v>N/a</v>
      </c>
      <c r="B120" t="str">
        <f>主c角色库!D414</f>
        <v>庄方宜壤流套一层</v>
      </c>
      <c r="C120">
        <f>主c角色库!E414</f>
        <v>0</v>
      </c>
      <c r="D120">
        <f>主c角色库!F414</f>
        <v>0</v>
      </c>
      <c r="E120">
        <f>主c角色库!G414</f>
        <v>0</v>
      </c>
      <c r="F120">
        <f>主c角色库!H414</f>
        <v>0</v>
      </c>
      <c r="G120">
        <f>主c角色库!I414</f>
        <v>0</v>
      </c>
      <c r="H120">
        <f>主c角色库!J414</f>
        <v>0</v>
      </c>
      <c r="I120">
        <f>主c角色库!K414</f>
        <v>0</v>
      </c>
      <c r="J120">
        <f>主c角色库!L414</f>
        <v>0</v>
      </c>
      <c r="K120">
        <f>主c角色库!M414</f>
        <v>0</v>
      </c>
      <c r="L120">
        <f>主c角色库!N414</f>
        <v>0.15</v>
      </c>
      <c r="M120">
        <f>主c角色库!O414</f>
        <v>0</v>
      </c>
      <c r="N120">
        <f>主c角色库!P414</f>
        <v>0</v>
      </c>
      <c r="O120">
        <f>主c角色库!Q414</f>
        <v>0</v>
      </c>
      <c r="P120">
        <f>主c角色库!R414</f>
        <v>0</v>
      </c>
      <c r="Q120">
        <f>主c角色库!S414</f>
        <v>0</v>
      </c>
      <c r="R120">
        <f>主c角色库!T414</f>
        <v>0</v>
      </c>
      <c r="S120">
        <f>主c角色库!U414</f>
        <v>0</v>
      </c>
      <c r="T120">
        <f>主c角色库!V414</f>
        <v>0</v>
      </c>
      <c r="U120">
        <f>主c角色库!W414</f>
        <v>0</v>
      </c>
      <c r="V120">
        <f>主c角色库!X414</f>
        <v>0</v>
      </c>
      <c r="W120">
        <f>主c角色库!Y414</f>
        <v>0</v>
      </c>
      <c r="X120">
        <f>主c角色库!Z414</f>
        <v>0</v>
      </c>
    </row>
    <row r="121" spans="1:24" x14ac:dyDescent="0.25">
      <c r="A121" t="str">
        <f>主c角色库!C415</f>
        <v>N/a</v>
      </c>
      <c r="B121" t="str">
        <f>主c角色库!D415</f>
        <v>庄方宜壤流套二层</v>
      </c>
      <c r="C121">
        <f>主c角色库!E415</f>
        <v>0</v>
      </c>
      <c r="D121">
        <f>主c角色库!F415</f>
        <v>0</v>
      </c>
      <c r="E121">
        <f>主c角色库!G415</f>
        <v>0</v>
      </c>
      <c r="F121">
        <f>主c角色库!H415</f>
        <v>0</v>
      </c>
      <c r="G121">
        <f>主c角色库!I415</f>
        <v>0</v>
      </c>
      <c r="H121">
        <f>主c角色库!J415</f>
        <v>0</v>
      </c>
      <c r="I121">
        <f>主c角色库!K415</f>
        <v>0</v>
      </c>
      <c r="J121">
        <f>主c角色库!L415</f>
        <v>0</v>
      </c>
      <c r="K121">
        <f>主c角色库!M415</f>
        <v>0</v>
      </c>
      <c r="L121">
        <f>主c角色库!N415</f>
        <v>0.3</v>
      </c>
      <c r="M121">
        <f>主c角色库!O415</f>
        <v>0</v>
      </c>
      <c r="N121">
        <f>主c角色库!P415</f>
        <v>0</v>
      </c>
      <c r="O121">
        <f>主c角色库!Q415</f>
        <v>0</v>
      </c>
      <c r="P121">
        <f>主c角色库!R415</f>
        <v>0</v>
      </c>
      <c r="Q121">
        <f>主c角色库!S415</f>
        <v>0</v>
      </c>
      <c r="R121">
        <f>主c角色库!T415</f>
        <v>0</v>
      </c>
      <c r="S121">
        <f>主c角色库!U415</f>
        <v>0</v>
      </c>
      <c r="T121">
        <f>主c角色库!V415</f>
        <v>0</v>
      </c>
      <c r="U121">
        <f>主c角色库!W415</f>
        <v>0</v>
      </c>
      <c r="V121">
        <f>主c角色库!X415</f>
        <v>0</v>
      </c>
      <c r="W121">
        <f>主c角色库!Y415</f>
        <v>0</v>
      </c>
      <c r="X121">
        <f>主c角色库!Z415</f>
        <v>0</v>
      </c>
    </row>
    <row r="122" spans="1:24" x14ac:dyDescent="0.25">
      <c r="A122" t="str">
        <f>主c角色库!C416</f>
        <v>N/a</v>
      </c>
      <c r="B122" t="str">
        <f>主c角色库!D416</f>
        <v>庄方宜壤流套三层</v>
      </c>
      <c r="C122">
        <f>主c角色库!E416</f>
        <v>0</v>
      </c>
      <c r="D122">
        <f>主c角色库!F416</f>
        <v>0</v>
      </c>
      <c r="E122">
        <f>主c角色库!G416</f>
        <v>0</v>
      </c>
      <c r="F122">
        <f>主c角色库!H416</f>
        <v>0</v>
      </c>
      <c r="G122">
        <f>主c角色库!I416</f>
        <v>0</v>
      </c>
      <c r="H122">
        <f>主c角色库!J416</f>
        <v>0</v>
      </c>
      <c r="I122">
        <f>主c角色库!K416</f>
        <v>0</v>
      </c>
      <c r="J122">
        <f>主c角色库!L416</f>
        <v>0</v>
      </c>
      <c r="K122">
        <f>主c角色库!M416</f>
        <v>0</v>
      </c>
      <c r="L122">
        <f>主c角色库!N416</f>
        <v>0.44999999999999996</v>
      </c>
      <c r="M122">
        <f>主c角色库!O416</f>
        <v>0</v>
      </c>
      <c r="N122">
        <f>主c角色库!P416</f>
        <v>0</v>
      </c>
      <c r="O122">
        <f>主c角色库!Q416</f>
        <v>0</v>
      </c>
      <c r="P122">
        <f>主c角色库!R416</f>
        <v>0</v>
      </c>
      <c r="Q122">
        <f>主c角色库!S416</f>
        <v>0</v>
      </c>
      <c r="R122">
        <f>主c角色库!T416</f>
        <v>0</v>
      </c>
      <c r="S122">
        <f>主c角色库!U416</f>
        <v>0</v>
      </c>
      <c r="T122">
        <f>主c角色库!V416</f>
        <v>0</v>
      </c>
      <c r="U122">
        <f>主c角色库!W416</f>
        <v>0</v>
      </c>
      <c r="V122">
        <f>主c角色库!X416</f>
        <v>0</v>
      </c>
      <c r="W122">
        <f>主c角色库!Y416</f>
        <v>0</v>
      </c>
      <c r="X122">
        <f>主c角色库!Z416</f>
        <v>0</v>
      </c>
    </row>
    <row r="123" spans="1:24" x14ac:dyDescent="0.25">
      <c r="A123" t="str">
        <f>主c角色库!C417</f>
        <v>N/a</v>
      </c>
      <c r="B123" t="str">
        <f>主c角色库!D417</f>
        <v>庄方宜专武消耗一次导电</v>
      </c>
      <c r="C123">
        <f>主c角色库!E417</f>
        <v>0</v>
      </c>
      <c r="D123">
        <f>主c角色库!F417</f>
        <v>0</v>
      </c>
      <c r="E123">
        <f>主c角色库!G417</f>
        <v>0</v>
      </c>
      <c r="F123">
        <f>主c角色库!H417</f>
        <v>0</v>
      </c>
      <c r="G123">
        <f>主c角色库!I417</f>
        <v>0</v>
      </c>
      <c r="H123">
        <f>主c角色库!J417</f>
        <v>0</v>
      </c>
      <c r="I123">
        <f>主c角色库!K417</f>
        <v>0</v>
      </c>
      <c r="J123">
        <f>主c角色库!L417</f>
        <v>0</v>
      </c>
      <c r="K123">
        <f>主c角色库!M417</f>
        <v>0</v>
      </c>
      <c r="L123">
        <f>主c角色库!N417</f>
        <v>0.56000000000000005</v>
      </c>
      <c r="M123">
        <f>主c角色库!O417</f>
        <v>0</v>
      </c>
      <c r="N123">
        <f>主c角色库!P417</f>
        <v>0</v>
      </c>
      <c r="O123">
        <f>主c角色库!Q417</f>
        <v>0</v>
      </c>
      <c r="P123">
        <f>主c角色库!R417</f>
        <v>0</v>
      </c>
      <c r="Q123">
        <f>主c角色库!S417</f>
        <v>0</v>
      </c>
      <c r="R123">
        <f>主c角色库!T417</f>
        <v>0</v>
      </c>
      <c r="S123">
        <f>主c角色库!U417</f>
        <v>0</v>
      </c>
      <c r="T123">
        <f>主c角色库!V417</f>
        <v>0</v>
      </c>
      <c r="U123">
        <f>主c角色库!W417</f>
        <v>0</v>
      </c>
      <c r="V123">
        <f>主c角色库!X417</f>
        <v>0</v>
      </c>
      <c r="W123">
        <f>主c角色库!Y417</f>
        <v>0</v>
      </c>
      <c r="X123">
        <f>主c角色库!Z417</f>
        <v>0</v>
      </c>
    </row>
    <row r="124" spans="1:24" x14ac:dyDescent="0.25">
      <c r="A124" t="str">
        <f>主c角色库!C418</f>
        <v>N/a</v>
      </c>
      <c r="B124" t="str">
        <f>主c角色库!D418</f>
        <v>庄方宜专武消耗两次导电</v>
      </c>
      <c r="C124">
        <f>主c角色库!E418</f>
        <v>0</v>
      </c>
      <c r="D124">
        <f>主c角色库!F418</f>
        <v>0</v>
      </c>
      <c r="E124">
        <f>主c角色库!G418</f>
        <v>0</v>
      </c>
      <c r="F124">
        <f>主c角色库!H418</f>
        <v>0</v>
      </c>
      <c r="G124">
        <f>主c角色库!I418</f>
        <v>0</v>
      </c>
      <c r="H124">
        <f>主c角色库!J418</f>
        <v>0</v>
      </c>
      <c r="I124">
        <f>主c角色库!K418</f>
        <v>0</v>
      </c>
      <c r="J124">
        <f>主c角色库!L418</f>
        <v>0</v>
      </c>
      <c r="K124">
        <f>主c角色库!M418</f>
        <v>0</v>
      </c>
      <c r="L124">
        <f>主c角色库!N418</f>
        <v>1.1200000000000001</v>
      </c>
      <c r="M124">
        <f>主c角色库!O418</f>
        <v>0</v>
      </c>
      <c r="N124">
        <f>主c角色库!P418</f>
        <v>0</v>
      </c>
      <c r="O124">
        <f>主c角色库!Q418</f>
        <v>0</v>
      </c>
      <c r="P124">
        <f>主c角色库!R418</f>
        <v>0</v>
      </c>
      <c r="Q124">
        <f>主c角色库!S418</f>
        <v>0</v>
      </c>
      <c r="R124">
        <f>主c角色库!T418</f>
        <v>0</v>
      </c>
      <c r="S124">
        <f>主c角色库!U418</f>
        <v>0</v>
      </c>
      <c r="T124">
        <f>主c角色库!V418</f>
        <v>0</v>
      </c>
      <c r="U124">
        <f>主c角色库!W418</f>
        <v>0</v>
      </c>
      <c r="V124">
        <f>主c角色库!X418</f>
        <v>0</v>
      </c>
      <c r="W124">
        <f>主c角色库!Y418</f>
        <v>0</v>
      </c>
      <c r="X124">
        <f>主c角色库!Z418</f>
        <v>0</v>
      </c>
    </row>
    <row r="125" spans="1:24" x14ac:dyDescent="0.25">
      <c r="A125" t="str">
        <f>主c角色库!C419</f>
        <v>N/a</v>
      </c>
      <c r="B125" t="str">
        <f>主c角色库!D419</f>
        <v>庄方宜专武开大</v>
      </c>
      <c r="C125">
        <f>主c角色库!E419</f>
        <v>0</v>
      </c>
      <c r="D125">
        <f>主c角色库!F419</f>
        <v>0</v>
      </c>
      <c r="E125">
        <f>主c角色库!G419</f>
        <v>0</v>
      </c>
      <c r="F125">
        <f>主c角色库!H419</f>
        <v>0</v>
      </c>
      <c r="G125">
        <f>主c角色库!I419</f>
        <v>0</v>
      </c>
      <c r="H125">
        <f>主c角色库!J419</f>
        <v>0</v>
      </c>
      <c r="I125">
        <f>主c角色库!K419</f>
        <v>0</v>
      </c>
      <c r="J125">
        <f>主c角色库!L419</f>
        <v>0</v>
      </c>
      <c r="K125">
        <f>主c角色库!M419</f>
        <v>0</v>
      </c>
      <c r="L125">
        <f>主c角色库!N419</f>
        <v>1.1200000000000001</v>
      </c>
      <c r="M125">
        <f>主c角色库!O419</f>
        <v>0</v>
      </c>
      <c r="N125">
        <f>主c角色库!P419</f>
        <v>0</v>
      </c>
      <c r="O125">
        <f>主c角色库!Q419</f>
        <v>0</v>
      </c>
      <c r="P125">
        <f>主c角色库!R419</f>
        <v>0</v>
      </c>
      <c r="Q125">
        <f>主c角色库!S419</f>
        <v>0</v>
      </c>
      <c r="R125">
        <f>主c角色库!T419</f>
        <v>0</v>
      </c>
      <c r="S125">
        <f>主c角色库!U419</f>
        <v>0</v>
      </c>
      <c r="T125">
        <f>主c角色库!V419</f>
        <v>0</v>
      </c>
      <c r="U125">
        <f>主c角色库!W419</f>
        <v>0</v>
      </c>
      <c r="V125">
        <f>主c角色库!X419</f>
        <v>0</v>
      </c>
      <c r="W125">
        <f>主c角色库!Y419</f>
        <v>0</v>
      </c>
      <c r="X125">
        <f>主c角色库!Z419</f>
        <v>0</v>
      </c>
    </row>
    <row r="126" spans="1:24" x14ac:dyDescent="0.25">
      <c r="A126" t="str">
        <f>主c角色库!C420</f>
        <v>N/a</v>
      </c>
      <c r="B126" t="str">
        <f>主c角色库!D420</f>
        <v>庄方宜月卡武消耗导电</v>
      </c>
      <c r="C126">
        <f>主c角色库!E420</f>
        <v>0</v>
      </c>
      <c r="D126">
        <f>主c角色库!F420</f>
        <v>0</v>
      </c>
      <c r="E126">
        <f>主c角色库!G420</f>
        <v>0</v>
      </c>
      <c r="F126">
        <f>主c角色库!H420</f>
        <v>0</v>
      </c>
      <c r="G126">
        <f>主c角色库!I420</f>
        <v>0</v>
      </c>
      <c r="H126">
        <f>主c角色库!J420</f>
        <v>0</v>
      </c>
      <c r="I126">
        <f>主c角色库!K420</f>
        <v>0</v>
      </c>
      <c r="J126">
        <f>主c角色库!L420</f>
        <v>0</v>
      </c>
      <c r="K126">
        <f>主c角色库!M420</f>
        <v>0</v>
      </c>
      <c r="L126">
        <f>主c角色库!N420</f>
        <v>8.7999999999999995E-2</v>
      </c>
      <c r="M126">
        <f>主c角色库!O420</f>
        <v>0</v>
      </c>
      <c r="N126">
        <f>主c角色库!P420</f>
        <v>0</v>
      </c>
      <c r="O126">
        <f>主c角色库!Q420</f>
        <v>0</v>
      </c>
      <c r="P126">
        <f>主c角色库!R420</f>
        <v>0</v>
      </c>
      <c r="Q126">
        <f>主c角色库!S420</f>
        <v>0</v>
      </c>
      <c r="R126">
        <f>主c角色库!T420</f>
        <v>0</v>
      </c>
      <c r="S126">
        <f>主c角色库!U420</f>
        <v>0</v>
      </c>
      <c r="T126">
        <f>主c角色库!V420</f>
        <v>0</v>
      </c>
      <c r="U126">
        <f>主c角色库!W420</f>
        <v>0</v>
      </c>
      <c r="V126">
        <f>主c角色库!X420</f>
        <v>0</v>
      </c>
      <c r="W126">
        <f>主c角色库!Y420</f>
        <v>0</v>
      </c>
      <c r="X126">
        <f>主c角色库!Z420</f>
        <v>0</v>
      </c>
    </row>
    <row r="127" spans="1:24" x14ac:dyDescent="0.25">
      <c r="A127" t="str">
        <f>拐力角色库!C163</f>
        <v>佩里卡连携</v>
      </c>
      <c r="B127" t="str">
        <f>拐力角色库!D163</f>
        <v>N/a</v>
      </c>
      <c r="C127">
        <f>拐力角色库!E163</f>
        <v>0</v>
      </c>
      <c r="D127">
        <f>拐力角色库!F163</f>
        <v>0</v>
      </c>
      <c r="E127">
        <f>拐力角色库!G163</f>
        <v>0</v>
      </c>
      <c r="F127">
        <f>拐力角色库!H163</f>
        <v>1.625</v>
      </c>
      <c r="G127">
        <f>拐力角色库!I163</f>
        <v>0</v>
      </c>
      <c r="H127">
        <f>拐力角色库!J163</f>
        <v>0</v>
      </c>
      <c r="I127">
        <f>拐力角色库!K163</f>
        <v>0</v>
      </c>
      <c r="J127">
        <f>拐力角色库!L163</f>
        <v>0</v>
      </c>
      <c r="K127">
        <f>拐力角色库!M163</f>
        <v>0</v>
      </c>
      <c r="L127">
        <f>拐力角色库!N163</f>
        <v>0</v>
      </c>
      <c r="M127">
        <f>拐力角色库!O163</f>
        <v>0</v>
      </c>
      <c r="N127">
        <f>拐力角色库!P163</f>
        <v>0</v>
      </c>
      <c r="O127">
        <f>拐力角色库!Q163</f>
        <v>0</v>
      </c>
      <c r="P127">
        <f>拐力角色库!R163</f>
        <v>0</v>
      </c>
      <c r="Q127">
        <f>拐力角色库!S163</f>
        <v>0</v>
      </c>
      <c r="R127">
        <f>拐力角色库!T163</f>
        <v>0</v>
      </c>
      <c r="S127">
        <f>拐力角色库!U163</f>
        <v>0</v>
      </c>
      <c r="T127">
        <f>拐力角色库!V163</f>
        <v>0</v>
      </c>
      <c r="U127">
        <f>拐力角色库!W163</f>
        <v>0</v>
      </c>
      <c r="V127">
        <f>拐力角色库!X163</f>
        <v>0</v>
      </c>
      <c r="W127">
        <f>拐力角色库!Y163</f>
        <v>0</v>
      </c>
      <c r="X127">
        <f>拐力角色库!Z163</f>
        <v>0</v>
      </c>
    </row>
    <row r="128" spans="1:24" x14ac:dyDescent="0.25">
      <c r="A128" t="str">
        <f>拐力角色库!C164</f>
        <v>佩里卡战技</v>
      </c>
      <c r="B128" t="str">
        <f>拐力角色库!D164</f>
        <v>N/a</v>
      </c>
      <c r="C128">
        <f>拐力角色库!E164</f>
        <v>0</v>
      </c>
      <c r="D128">
        <f>拐力角色库!F164</f>
        <v>0</v>
      </c>
      <c r="E128">
        <f>拐力角色库!G164</f>
        <v>0</v>
      </c>
      <c r="F128">
        <f>拐力角色库!H164</f>
        <v>1.625</v>
      </c>
      <c r="G128">
        <f>拐力角色库!I164</f>
        <v>0</v>
      </c>
      <c r="H128">
        <f>拐力角色库!J164</f>
        <v>0</v>
      </c>
      <c r="I128">
        <f>拐力角色库!K164</f>
        <v>0</v>
      </c>
      <c r="J128">
        <f>拐力角色库!L164</f>
        <v>0</v>
      </c>
      <c r="K128">
        <f>拐力角色库!M164</f>
        <v>0</v>
      </c>
      <c r="L128">
        <f>拐力角色库!N164</f>
        <v>0</v>
      </c>
      <c r="M128">
        <f>拐力角色库!O164</f>
        <v>0</v>
      </c>
      <c r="N128">
        <f>拐力角色库!P164</f>
        <v>0</v>
      </c>
      <c r="O128">
        <f>拐力角色库!Q164</f>
        <v>0</v>
      </c>
      <c r="P128">
        <f>拐力角色库!R164</f>
        <v>0</v>
      </c>
      <c r="Q128">
        <f>拐力角色库!S164</f>
        <v>0</v>
      </c>
      <c r="R128">
        <f>拐力角色库!T164</f>
        <v>0</v>
      </c>
      <c r="S128">
        <f>拐力角色库!U164</f>
        <v>0</v>
      </c>
      <c r="T128">
        <f>拐力角色库!V164</f>
        <v>0</v>
      </c>
      <c r="U128">
        <f>拐力角色库!W164</f>
        <v>0</v>
      </c>
      <c r="V128">
        <f>拐力角色库!X164</f>
        <v>0</v>
      </c>
      <c r="W128">
        <f>拐力角色库!Y164</f>
        <v>0</v>
      </c>
      <c r="X128">
        <f>拐力角色库!Z164</f>
        <v>0</v>
      </c>
    </row>
    <row r="129" spans="1:24" s="17" customFormat="1" x14ac:dyDescent="0.25">
      <c r="A129" s="17" t="str">
        <f>拐力角色库!C165</f>
        <v>佩里卡大招</v>
      </c>
      <c r="B129" s="17" t="str">
        <f>拐力角色库!D165</f>
        <v>N/a</v>
      </c>
      <c r="C129" s="17">
        <f>拐力角色库!E165</f>
        <v>0</v>
      </c>
      <c r="D129" s="17">
        <f>拐力角色库!F165</f>
        <v>0</v>
      </c>
      <c r="E129" s="17">
        <f>拐力角色库!G165</f>
        <v>0</v>
      </c>
      <c r="F129" s="17">
        <f>拐力角色库!H165</f>
        <v>1.625</v>
      </c>
      <c r="G129" s="17">
        <f>拐力角色库!I165</f>
        <v>0</v>
      </c>
      <c r="H129" s="17">
        <f>拐力角色库!J165</f>
        <v>0</v>
      </c>
      <c r="I129" s="17">
        <f>拐力角色库!K165</f>
        <v>0</v>
      </c>
      <c r="J129" s="17">
        <f>拐力角色库!L165</f>
        <v>0</v>
      </c>
      <c r="K129" s="17">
        <f>拐力角色库!M165</f>
        <v>0</v>
      </c>
      <c r="L129" s="17">
        <f>拐力角色库!N165</f>
        <v>0</v>
      </c>
      <c r="M129" s="17">
        <f>拐力角色库!O165</f>
        <v>0</v>
      </c>
      <c r="N129" s="17">
        <f>拐力角色库!P165</f>
        <v>0</v>
      </c>
      <c r="O129" s="17">
        <f>拐力角色库!Q165</f>
        <v>0</v>
      </c>
      <c r="P129" s="17">
        <f>拐力角色库!R165</f>
        <v>0</v>
      </c>
      <c r="Q129" s="17">
        <f>拐力角色库!S165</f>
        <v>0</v>
      </c>
      <c r="R129" s="17">
        <f>拐力角色库!T165</f>
        <v>0</v>
      </c>
      <c r="S129" s="17">
        <f>拐力角色库!U165</f>
        <v>0</v>
      </c>
      <c r="T129" s="17">
        <f>拐力角色库!V165</f>
        <v>0</v>
      </c>
      <c r="U129" s="17">
        <f>拐力角色库!W165</f>
        <v>0</v>
      </c>
      <c r="V129" s="17">
        <f>拐力角色库!X165</f>
        <v>0</v>
      </c>
      <c r="W129" s="17">
        <f>拐力角色库!Y165</f>
        <v>0</v>
      </c>
      <c r="X129" s="17">
        <f>拐力角色库!Z165</f>
        <v>0</v>
      </c>
    </row>
    <row r="130" spans="1:24" x14ac:dyDescent="0.25">
      <c r="A130" t="str">
        <f>拐力角色库!C166</f>
        <v>N/a</v>
      </c>
      <c r="B130" t="str">
        <f>拐力角色库!D166</f>
        <v>佩里卡连携导电</v>
      </c>
      <c r="C130">
        <f>拐力角色库!E166</f>
        <v>0</v>
      </c>
      <c r="D130">
        <f>拐力角色库!F166</f>
        <v>0</v>
      </c>
      <c r="E130">
        <f>拐力角色库!G166</f>
        <v>0</v>
      </c>
      <c r="F130">
        <f>拐力角色库!H166</f>
        <v>0</v>
      </c>
      <c r="G130">
        <f>拐力角色库!I166</f>
        <v>0</v>
      </c>
      <c r="H130">
        <f>拐力角色库!J166</f>
        <v>0</v>
      </c>
      <c r="I130">
        <f>拐力角色库!K166</f>
        <v>0</v>
      </c>
      <c r="J130">
        <f>拐力角色库!L166</f>
        <v>0</v>
      </c>
      <c r="K130">
        <f>拐力角色库!M166</f>
        <v>0</v>
      </c>
      <c r="L130">
        <f>拐力角色库!N166</f>
        <v>0</v>
      </c>
      <c r="M130">
        <f>拐力角色库!O166</f>
        <v>0</v>
      </c>
      <c r="N130">
        <f>拐力角色库!P166</f>
        <v>0</v>
      </c>
      <c r="O130">
        <f>拐力角色库!Q166</f>
        <v>0</v>
      </c>
      <c r="P130">
        <f>拐力角色库!R166</f>
        <v>0</v>
      </c>
      <c r="Q130">
        <f>拐力角色库!S166</f>
        <v>0</v>
      </c>
      <c r="R130">
        <f>拐力角色库!T166</f>
        <v>0</v>
      </c>
      <c r="S130">
        <f>拐力角色库!U166</f>
        <v>0</v>
      </c>
      <c r="T130">
        <f>拐力角色库!V166</f>
        <v>0.28534545454545451</v>
      </c>
      <c r="U130">
        <f>拐力角色库!W166</f>
        <v>0</v>
      </c>
      <c r="V130">
        <f>拐力角色库!X166</f>
        <v>0</v>
      </c>
      <c r="W130">
        <f>拐力角色库!Y166</f>
        <v>0</v>
      </c>
      <c r="X130">
        <f>拐力角色库!Z166</f>
        <v>0</v>
      </c>
    </row>
    <row r="131" spans="1:24" x14ac:dyDescent="0.25">
      <c r="A131" t="str">
        <f>拐力角色库!C167</f>
        <v>N/a</v>
      </c>
      <c r="B131" s="22" t="str">
        <f>拐力角色库!D167</f>
        <v>佩里卡悼亡诗大招</v>
      </c>
      <c r="C131">
        <f>拐力角色库!E167</f>
        <v>0</v>
      </c>
      <c r="D131">
        <f>拐力角色库!F167</f>
        <v>0.128</v>
      </c>
      <c r="E131">
        <f>拐力角色库!G167</f>
        <v>0</v>
      </c>
      <c r="F131">
        <f>拐力角色库!H167</f>
        <v>0</v>
      </c>
      <c r="G131">
        <f>拐力角色库!I167</f>
        <v>0</v>
      </c>
      <c r="H131">
        <f>拐力角色库!J167</f>
        <v>0</v>
      </c>
      <c r="I131">
        <f>拐力角色库!K167</f>
        <v>0</v>
      </c>
      <c r="J131">
        <f>拐力角色库!L167</f>
        <v>0</v>
      </c>
      <c r="K131">
        <f>拐力角色库!M167</f>
        <v>0</v>
      </c>
      <c r="L131">
        <f>拐力角色库!N167</f>
        <v>0</v>
      </c>
      <c r="M131">
        <f>拐力角色库!O167</f>
        <v>0</v>
      </c>
      <c r="N131">
        <f>拐力角色库!P167</f>
        <v>0</v>
      </c>
      <c r="O131">
        <f>拐力角色库!Q167</f>
        <v>0</v>
      </c>
      <c r="P131">
        <f>拐力角色库!R167</f>
        <v>0</v>
      </c>
      <c r="Q131">
        <f>拐力角色库!S167</f>
        <v>0</v>
      </c>
      <c r="R131">
        <f>拐力角色库!T167</f>
        <v>0</v>
      </c>
      <c r="S131">
        <f>拐力角色库!U167</f>
        <v>0</v>
      </c>
      <c r="T131">
        <f>拐力角色库!V167</f>
        <v>0</v>
      </c>
      <c r="U131">
        <f>拐力角色库!W167</f>
        <v>0</v>
      </c>
      <c r="V131">
        <f>拐力角色库!X167</f>
        <v>0</v>
      </c>
      <c r="W131">
        <f>拐力角色库!Y167</f>
        <v>0</v>
      </c>
      <c r="X131">
        <f>拐力角色库!Z167</f>
        <v>0</v>
      </c>
    </row>
    <row r="132" spans="1:24" x14ac:dyDescent="0.25">
      <c r="A132" t="str">
        <f>拐力角色库!C168</f>
        <v>N/a</v>
      </c>
      <c r="B132" s="22" t="str">
        <f>拐力角色库!D168</f>
        <v>佩里卡迷失导电后</v>
      </c>
      <c r="C132">
        <f>拐力角色库!E168</f>
        <v>0</v>
      </c>
      <c r="D132">
        <f>拐力角色库!F168</f>
        <v>0</v>
      </c>
      <c r="E132">
        <f>拐力角色库!G168</f>
        <v>0</v>
      </c>
      <c r="F132">
        <f>拐力角色库!H168</f>
        <v>0</v>
      </c>
      <c r="G132">
        <f>拐力角色库!I168</f>
        <v>0</v>
      </c>
      <c r="H132">
        <f>拐力角色库!J168</f>
        <v>0</v>
      </c>
      <c r="I132">
        <f>拐力角色库!K168</f>
        <v>0</v>
      </c>
      <c r="J132">
        <f>拐力角色库!L168</f>
        <v>0</v>
      </c>
      <c r="K132">
        <f>拐力角色库!M168</f>
        <v>0</v>
      </c>
      <c r="L132">
        <f>拐力角色库!N168</f>
        <v>0.128</v>
      </c>
      <c r="M132">
        <f>拐力角色库!O168</f>
        <v>0</v>
      </c>
      <c r="N132">
        <f>拐力角色库!P168</f>
        <v>0</v>
      </c>
      <c r="O132">
        <f>拐力角色库!Q168</f>
        <v>0</v>
      </c>
      <c r="P132">
        <f>拐力角色库!R168</f>
        <v>0</v>
      </c>
      <c r="Q132">
        <f>拐力角色库!S168</f>
        <v>0</v>
      </c>
      <c r="R132">
        <f>拐力角色库!T168</f>
        <v>0</v>
      </c>
      <c r="S132">
        <f>拐力角色库!U168</f>
        <v>0</v>
      </c>
      <c r="T132">
        <f>拐力角色库!V168</f>
        <v>0</v>
      </c>
      <c r="U132">
        <f>拐力角色库!W168</f>
        <v>0</v>
      </c>
      <c r="V132">
        <f>拐力角色库!X168</f>
        <v>0</v>
      </c>
      <c r="W132">
        <f>拐力角色库!Y168</f>
        <v>0</v>
      </c>
      <c r="X132" s="29">
        <f>拐力角色库!Z168</f>
        <v>0</v>
      </c>
    </row>
    <row r="133" spans="1:24" x14ac:dyDescent="0.25">
      <c r="A133" t="str">
        <f>先锋角色库!C71</f>
        <v>弧光战技</v>
      </c>
      <c r="B133" s="22" t="str">
        <f>先锋角色库!D71</f>
        <v>N/a</v>
      </c>
      <c r="C133">
        <f>先锋角色库!E71</f>
        <v>0</v>
      </c>
      <c r="D133">
        <f>先锋角色库!F71</f>
        <v>0</v>
      </c>
      <c r="E133">
        <f>先锋角色库!G71</f>
        <v>0</v>
      </c>
      <c r="F133">
        <f>先锋角色库!H71</f>
        <v>2.6510000000000002</v>
      </c>
      <c r="G133">
        <f>先锋角色库!I71</f>
        <v>0</v>
      </c>
      <c r="H133">
        <f>先锋角色库!J71</f>
        <v>0</v>
      </c>
      <c r="I133">
        <f>先锋角色库!K71</f>
        <v>0</v>
      </c>
      <c r="J133">
        <f>先锋角色库!L71</f>
        <v>0</v>
      </c>
      <c r="K133">
        <f>先锋角色库!M71</f>
        <v>0.78</v>
      </c>
      <c r="L133">
        <f>先锋角色库!N71</f>
        <v>0</v>
      </c>
      <c r="M133">
        <f>先锋角色库!O71</f>
        <v>0</v>
      </c>
      <c r="N133">
        <f>先锋角色库!P71</f>
        <v>0</v>
      </c>
      <c r="O133">
        <f>先锋角色库!Q71</f>
        <v>0</v>
      </c>
      <c r="P133">
        <f>先锋角色库!R71</f>
        <v>0</v>
      </c>
      <c r="Q133">
        <f>先锋角色库!S71</f>
        <v>0</v>
      </c>
      <c r="R133">
        <f>先锋角色库!T71</f>
        <v>0</v>
      </c>
      <c r="S133">
        <f>先锋角色库!U71</f>
        <v>0</v>
      </c>
      <c r="T133">
        <f>先锋角色库!V71</f>
        <v>0</v>
      </c>
      <c r="U133">
        <f>先锋角色库!W71</f>
        <v>0</v>
      </c>
      <c r="V133">
        <f>先锋角色库!X71</f>
        <v>0</v>
      </c>
      <c r="W133">
        <f>先锋角色库!Y71</f>
        <v>0</v>
      </c>
      <c r="X133" s="29">
        <f>先锋角色库!Z71</f>
        <v>0</v>
      </c>
    </row>
    <row r="134" spans="1:24" x14ac:dyDescent="0.25">
      <c r="A134" t="str">
        <f>先锋角色库!C72</f>
        <v>弧光连携</v>
      </c>
      <c r="B134" s="22" t="str">
        <f>先锋角色库!D72</f>
        <v>N/a</v>
      </c>
      <c r="C134">
        <f>先锋角色库!E72</f>
        <v>0</v>
      </c>
      <c r="D134">
        <f>先锋角色库!F72</f>
        <v>0</v>
      </c>
      <c r="E134">
        <f>先锋角色库!G72</f>
        <v>0</v>
      </c>
      <c r="F134">
        <f>先锋角色库!H72</f>
        <v>2.6510000000000002</v>
      </c>
      <c r="G134">
        <f>先锋角色库!I72</f>
        <v>0</v>
      </c>
      <c r="H134">
        <f>先锋角色库!J72</f>
        <v>0</v>
      </c>
      <c r="I134">
        <f>先锋角色库!K72</f>
        <v>0</v>
      </c>
      <c r="J134">
        <f>先锋角色库!L72</f>
        <v>0</v>
      </c>
      <c r="K134">
        <f>先锋角色库!M72</f>
        <v>0.78</v>
      </c>
      <c r="L134">
        <f>先锋角色库!N72</f>
        <v>0</v>
      </c>
      <c r="M134">
        <f>先锋角色库!O72</f>
        <v>0</v>
      </c>
      <c r="N134">
        <f>先锋角色库!P72</f>
        <v>0</v>
      </c>
      <c r="O134">
        <f>先锋角色库!Q72</f>
        <v>0</v>
      </c>
      <c r="P134">
        <f>先锋角色库!R72</f>
        <v>0</v>
      </c>
      <c r="Q134">
        <f>先锋角色库!S72</f>
        <v>0</v>
      </c>
      <c r="R134">
        <f>先锋角色库!T72</f>
        <v>0</v>
      </c>
      <c r="S134">
        <f>先锋角色库!U72</f>
        <v>0</v>
      </c>
      <c r="T134">
        <f>先锋角色库!V72</f>
        <v>0</v>
      </c>
      <c r="U134">
        <f>先锋角色库!W72</f>
        <v>0</v>
      </c>
      <c r="V134">
        <f>先锋角色库!X72</f>
        <v>0</v>
      </c>
      <c r="W134">
        <f>先锋角色库!Y72</f>
        <v>0</v>
      </c>
      <c r="X134" s="29">
        <f>先锋角色库!Z72</f>
        <v>0</v>
      </c>
    </row>
    <row r="135" spans="1:24" x14ac:dyDescent="0.25">
      <c r="A135" t="str">
        <f>先锋角色库!C73</f>
        <v>弧光大招</v>
      </c>
      <c r="B135" s="22" t="str">
        <f>先锋角色库!D73</f>
        <v>N/a</v>
      </c>
      <c r="C135">
        <f>先锋角色库!E73</f>
        <v>0</v>
      </c>
      <c r="D135">
        <f>先锋角色库!F73</f>
        <v>0</v>
      </c>
      <c r="E135">
        <f>先锋角色库!G73</f>
        <v>0</v>
      </c>
      <c r="F135">
        <f>先锋角色库!H73</f>
        <v>2.6510000000000002</v>
      </c>
      <c r="G135">
        <f>先锋角色库!I73</f>
        <v>0</v>
      </c>
      <c r="H135">
        <f>先锋角色库!J73</f>
        <v>0</v>
      </c>
      <c r="I135">
        <f>先锋角色库!K73</f>
        <v>0</v>
      </c>
      <c r="J135">
        <f>先锋角色库!L73</f>
        <v>0</v>
      </c>
      <c r="K135">
        <f>先锋角色库!M73</f>
        <v>0.78</v>
      </c>
      <c r="L135">
        <f>先锋角色库!N73</f>
        <v>0</v>
      </c>
      <c r="M135">
        <f>先锋角色库!O73</f>
        <v>0</v>
      </c>
      <c r="N135">
        <f>先锋角色库!P73</f>
        <v>0</v>
      </c>
      <c r="O135">
        <f>先锋角色库!Q73</f>
        <v>0</v>
      </c>
      <c r="P135">
        <f>先锋角色库!R73</f>
        <v>0</v>
      </c>
      <c r="Q135">
        <f>先锋角色库!S73</f>
        <v>0</v>
      </c>
      <c r="R135">
        <f>先锋角色库!T73</f>
        <v>0</v>
      </c>
      <c r="S135">
        <f>先锋角色库!U73</f>
        <v>0</v>
      </c>
      <c r="T135">
        <f>先锋角色库!V73</f>
        <v>0</v>
      </c>
      <c r="U135">
        <f>先锋角色库!W73</f>
        <v>0</v>
      </c>
      <c r="V135">
        <f>先锋角色库!X73</f>
        <v>0</v>
      </c>
      <c r="W135">
        <f>先锋角色库!Y73</f>
        <v>0</v>
      </c>
      <c r="X135" s="29">
        <f>先锋角色库!Z73</f>
        <v>0</v>
      </c>
    </row>
    <row r="136" spans="1:24" s="17" customFormat="1" x14ac:dyDescent="0.25">
      <c r="A136" s="17" t="str">
        <f>先锋角色库!C74</f>
        <v>N/a</v>
      </c>
      <c r="B136" s="17" t="str">
        <f>先锋角色库!D74</f>
        <v>弧光热熔回技力</v>
      </c>
      <c r="C136" s="17">
        <f>先锋角色库!E74</f>
        <v>0</v>
      </c>
      <c r="D136" s="17">
        <f>先锋角色库!F74</f>
        <v>0.08</v>
      </c>
      <c r="E136" s="17">
        <f>先锋角色库!G74</f>
        <v>0</v>
      </c>
      <c r="F136" s="17">
        <f>先锋角色库!H74</f>
        <v>0</v>
      </c>
      <c r="G136" s="17">
        <f>先锋角色库!I74</f>
        <v>0</v>
      </c>
      <c r="H136" s="17">
        <f>先锋角色库!J74</f>
        <v>0</v>
      </c>
      <c r="I136" s="17">
        <f>先锋角色库!K74</f>
        <v>0</v>
      </c>
      <c r="J136" s="17">
        <f>先锋角色库!L74</f>
        <v>0</v>
      </c>
      <c r="K136" s="17">
        <f>先锋角色库!M74</f>
        <v>0</v>
      </c>
      <c r="L136" s="17">
        <f>先锋角色库!N74</f>
        <v>0</v>
      </c>
      <c r="M136" s="17">
        <f>先锋角色库!O74</f>
        <v>0</v>
      </c>
      <c r="N136" s="17">
        <f>先锋角色库!P74</f>
        <v>0</v>
      </c>
      <c r="O136" s="17">
        <f>先锋角色库!Q74</f>
        <v>0</v>
      </c>
      <c r="P136" s="17">
        <f>先锋角色库!R74</f>
        <v>0</v>
      </c>
      <c r="Q136" s="17">
        <f>先锋角色库!S74</f>
        <v>0</v>
      </c>
      <c r="R136" s="17">
        <f>先锋角色库!T74</f>
        <v>0</v>
      </c>
      <c r="S136" s="17">
        <f>先锋角色库!U74</f>
        <v>0</v>
      </c>
      <c r="T136" s="17">
        <f>先锋角色库!V74</f>
        <v>0</v>
      </c>
      <c r="U136" s="17">
        <f>先锋角色库!W74</f>
        <v>0</v>
      </c>
      <c r="V136" s="17">
        <f>先锋角色库!X74</f>
        <v>0</v>
      </c>
      <c r="W136" s="17">
        <f>先锋角色库!Y74</f>
        <v>0</v>
      </c>
      <c r="X136" s="17">
        <f>先锋角色库!Z74</f>
        <v>0</v>
      </c>
    </row>
    <row r="137" spans="1:24" x14ac:dyDescent="0.25">
      <c r="A137" t="str">
        <f>先锋角色库!C75</f>
        <v>N/a</v>
      </c>
      <c r="B137" s="22" t="str">
        <f>先锋角色库!D75</f>
        <v>弧光轻芒回技力</v>
      </c>
      <c r="C137">
        <f>先锋角色库!E75</f>
        <v>0</v>
      </c>
      <c r="D137">
        <f>先锋角色库!F75</f>
        <v>0</v>
      </c>
      <c r="E137">
        <f>先锋角色库!G75</f>
        <v>0</v>
      </c>
      <c r="F137">
        <f>先锋角色库!H75</f>
        <v>0</v>
      </c>
      <c r="G137">
        <f>先锋角色库!I75</f>
        <v>0</v>
      </c>
      <c r="H137">
        <f>先锋角色库!J75</f>
        <v>0</v>
      </c>
      <c r="I137">
        <f>先锋角色库!K75</f>
        <v>0</v>
      </c>
      <c r="J137">
        <f>先锋角色库!L75</f>
        <v>0</v>
      </c>
      <c r="K137">
        <f>先锋角色库!M75</f>
        <v>0</v>
      </c>
      <c r="L137">
        <f>先锋角色库!N75</f>
        <v>4.8000000000000001E-2</v>
      </c>
      <c r="M137">
        <f>先锋角色库!O75</f>
        <v>0</v>
      </c>
      <c r="N137">
        <f>先锋角色库!P75</f>
        <v>0</v>
      </c>
      <c r="O137">
        <f>先锋角色库!Q75</f>
        <v>0</v>
      </c>
      <c r="P137">
        <f>先锋角色库!R75</f>
        <v>0</v>
      </c>
      <c r="Q137">
        <f>先锋角色库!S75</f>
        <v>0</v>
      </c>
      <c r="R137">
        <f>先锋角色库!T75</f>
        <v>0</v>
      </c>
      <c r="S137">
        <f>先锋角色库!U75</f>
        <v>0</v>
      </c>
      <c r="T137">
        <f>先锋角色库!V75</f>
        <v>0</v>
      </c>
      <c r="U137">
        <f>先锋角色库!W75</f>
        <v>0</v>
      </c>
      <c r="V137">
        <f>先锋角色库!X75</f>
        <v>0</v>
      </c>
      <c r="W137">
        <f>先锋角色库!Y75</f>
        <v>0</v>
      </c>
      <c r="X137" s="29">
        <f>先锋角色库!Z75</f>
        <v>0</v>
      </c>
    </row>
    <row r="138" spans="1:24" x14ac:dyDescent="0.25">
      <c r="A138" t="str">
        <f>拐力角色库!C205</f>
        <v>安塔尔普攻</v>
      </c>
      <c r="B138" t="str">
        <f>拐力角色库!D205</f>
        <v>N/a</v>
      </c>
      <c r="C138">
        <f>拐力角色库!E205</f>
        <v>0</v>
      </c>
      <c r="D138">
        <f>拐力角色库!F205</f>
        <v>0</v>
      </c>
      <c r="E138">
        <f>拐力角色库!G205</f>
        <v>0</v>
      </c>
      <c r="F138">
        <f>拐力角色库!H205</f>
        <v>3.9359999999999999</v>
      </c>
      <c r="G138">
        <f>拐力角色库!I205</f>
        <v>0</v>
      </c>
      <c r="H138">
        <f>拐力角色库!J205</f>
        <v>0</v>
      </c>
      <c r="I138">
        <f>拐力角色库!K205</f>
        <v>0</v>
      </c>
      <c r="J138">
        <f>拐力角色库!L205</f>
        <v>0</v>
      </c>
      <c r="K138">
        <f>拐力角色库!M205</f>
        <v>0</v>
      </c>
      <c r="L138">
        <f>拐力角色库!N205</f>
        <v>0</v>
      </c>
      <c r="M138">
        <f>拐力角色库!O205</f>
        <v>0</v>
      </c>
      <c r="N138">
        <f>拐力角色库!P205</f>
        <v>0</v>
      </c>
      <c r="O138">
        <f>拐力角色库!Q205</f>
        <v>0</v>
      </c>
      <c r="P138">
        <f>拐力角色库!R205</f>
        <v>0</v>
      </c>
      <c r="Q138">
        <f>拐力角色库!S205</f>
        <v>0</v>
      </c>
      <c r="R138">
        <f>拐力角色库!T205</f>
        <v>0</v>
      </c>
      <c r="S138">
        <f>拐力角色库!U205</f>
        <v>0</v>
      </c>
      <c r="T138">
        <f>拐力角色库!V205</f>
        <v>0</v>
      </c>
      <c r="U138">
        <f>拐力角色库!W205</f>
        <v>0</v>
      </c>
      <c r="V138">
        <f>拐力角色库!X205</f>
        <v>0</v>
      </c>
      <c r="W138">
        <f>拐力角色库!Y205</f>
        <v>0</v>
      </c>
      <c r="X138">
        <f>拐力角色库!Z205</f>
        <v>0</v>
      </c>
    </row>
    <row r="139" spans="1:24" x14ac:dyDescent="0.25">
      <c r="A139" t="str">
        <f>拐力角色库!C206</f>
        <v>安塔尔前段普攻</v>
      </c>
      <c r="B139" t="str">
        <f>拐力角色库!D206</f>
        <v>N/a</v>
      </c>
      <c r="C139">
        <f>拐力角色库!E206</f>
        <v>0</v>
      </c>
      <c r="D139">
        <f>拐力角色库!F206</f>
        <v>0</v>
      </c>
      <c r="E139">
        <f>拐力角色库!G206</f>
        <v>0</v>
      </c>
      <c r="F139">
        <f>拐力角色库!H206</f>
        <v>3.9359999999999999</v>
      </c>
      <c r="G139">
        <f>拐力角色库!I206</f>
        <v>0</v>
      </c>
      <c r="H139">
        <f>拐力角色库!J206</f>
        <v>0</v>
      </c>
      <c r="I139">
        <f>拐力角色库!K206</f>
        <v>0</v>
      </c>
      <c r="J139">
        <f>拐力角色库!L206</f>
        <v>0</v>
      </c>
      <c r="K139">
        <f>拐力角色库!M206</f>
        <v>0</v>
      </c>
      <c r="L139">
        <f>拐力角色库!N206</f>
        <v>0</v>
      </c>
      <c r="M139">
        <f>拐力角色库!O206</f>
        <v>0</v>
      </c>
      <c r="N139">
        <f>拐力角色库!P206</f>
        <v>0</v>
      </c>
      <c r="O139">
        <f>拐力角色库!Q206</f>
        <v>0</v>
      </c>
      <c r="P139">
        <f>拐力角色库!R206</f>
        <v>0</v>
      </c>
      <c r="Q139">
        <f>拐力角色库!S206</f>
        <v>0</v>
      </c>
      <c r="R139">
        <f>拐力角色库!T206</f>
        <v>0</v>
      </c>
      <c r="S139">
        <f>拐力角色库!U206</f>
        <v>0</v>
      </c>
      <c r="T139">
        <f>拐力角色库!V206</f>
        <v>0</v>
      </c>
      <c r="U139">
        <f>拐力角色库!W206</f>
        <v>0</v>
      </c>
      <c r="V139">
        <f>拐力角色库!X206</f>
        <v>0</v>
      </c>
      <c r="W139">
        <f>拐力角色库!Y206</f>
        <v>0</v>
      </c>
      <c r="X139">
        <f>拐力角色库!Z206</f>
        <v>0</v>
      </c>
    </row>
    <row r="140" spans="1:24" x14ac:dyDescent="0.25">
      <c r="A140" t="str">
        <f>拐力角色库!C207</f>
        <v>安塔尔重击普攻</v>
      </c>
      <c r="B140" t="str">
        <f>拐力角色库!D207</f>
        <v>N/a</v>
      </c>
      <c r="C140">
        <f>拐力角色库!E207</f>
        <v>0</v>
      </c>
      <c r="D140">
        <f>拐力角色库!F207</f>
        <v>0</v>
      </c>
      <c r="E140">
        <f>拐力角色库!G207</f>
        <v>0</v>
      </c>
      <c r="F140">
        <f>拐力角色库!H207</f>
        <v>3.9359999999999999</v>
      </c>
      <c r="G140">
        <f>拐力角色库!I207</f>
        <v>0</v>
      </c>
      <c r="H140">
        <f>拐力角色库!J207</f>
        <v>0</v>
      </c>
      <c r="I140">
        <f>拐力角色库!K207</f>
        <v>0</v>
      </c>
      <c r="J140">
        <f>拐力角色库!L207</f>
        <v>0</v>
      </c>
      <c r="K140">
        <f>拐力角色库!M207</f>
        <v>0</v>
      </c>
      <c r="L140">
        <f>拐力角色库!N207</f>
        <v>0</v>
      </c>
      <c r="M140">
        <f>拐力角色库!O207</f>
        <v>0</v>
      </c>
      <c r="N140">
        <f>拐力角色库!P207</f>
        <v>0</v>
      </c>
      <c r="O140">
        <f>拐力角色库!Q207</f>
        <v>0</v>
      </c>
      <c r="P140">
        <f>拐力角色库!R207</f>
        <v>0</v>
      </c>
      <c r="Q140">
        <f>拐力角色库!S207</f>
        <v>0</v>
      </c>
      <c r="R140">
        <f>拐力角色库!T207</f>
        <v>0</v>
      </c>
      <c r="S140">
        <f>拐力角色库!U207</f>
        <v>0</v>
      </c>
      <c r="T140">
        <f>拐力角色库!V207</f>
        <v>0</v>
      </c>
      <c r="U140">
        <f>拐力角色库!W207</f>
        <v>0</v>
      </c>
      <c r="V140">
        <f>拐力角色库!X207</f>
        <v>0</v>
      </c>
      <c r="W140">
        <f>拐力角色库!Y207</f>
        <v>0</v>
      </c>
      <c r="X140">
        <f>拐力角色库!Z207</f>
        <v>0</v>
      </c>
    </row>
    <row r="141" spans="1:24" x14ac:dyDescent="0.25">
      <c r="A141" t="str">
        <f>拐力角色库!C208</f>
        <v>安塔尔处决普攻</v>
      </c>
      <c r="B141" t="str">
        <f>拐力角色库!D208</f>
        <v>N/a</v>
      </c>
      <c r="C141">
        <f>拐力角色库!E208</f>
        <v>0</v>
      </c>
      <c r="D141">
        <f>拐力角色库!F208</f>
        <v>0</v>
      </c>
      <c r="E141">
        <f>拐力角色库!G208</f>
        <v>0</v>
      </c>
      <c r="F141">
        <f>拐力角色库!H208</f>
        <v>3.9359999999999999</v>
      </c>
      <c r="G141">
        <f>拐力角色库!I208</f>
        <v>0</v>
      </c>
      <c r="H141">
        <f>拐力角色库!J208</f>
        <v>0</v>
      </c>
      <c r="I141">
        <f>拐力角色库!K208</f>
        <v>0</v>
      </c>
      <c r="J141">
        <f>拐力角色库!L208</f>
        <v>0</v>
      </c>
      <c r="K141">
        <f>拐力角色库!M208</f>
        <v>0</v>
      </c>
      <c r="L141">
        <f>拐力角色库!N208</f>
        <v>0</v>
      </c>
      <c r="M141">
        <f>拐力角色库!O208</f>
        <v>0</v>
      </c>
      <c r="N141">
        <f>拐力角色库!P208</f>
        <v>0</v>
      </c>
      <c r="O141">
        <f>拐力角色库!Q208</f>
        <v>0</v>
      </c>
      <c r="P141">
        <f>拐力角色库!R208</f>
        <v>0</v>
      </c>
      <c r="Q141">
        <f>拐力角色库!S208</f>
        <v>0</v>
      </c>
      <c r="R141">
        <f>拐力角色库!T208</f>
        <v>0</v>
      </c>
      <c r="S141">
        <f>拐力角色库!U208</f>
        <v>0</v>
      </c>
      <c r="T141">
        <f>拐力角色库!V208</f>
        <v>0</v>
      </c>
      <c r="U141">
        <f>拐力角色库!W208</f>
        <v>0</v>
      </c>
      <c r="V141">
        <f>拐力角色库!X208</f>
        <v>0</v>
      </c>
      <c r="W141">
        <f>拐力角色库!Y208</f>
        <v>0</v>
      </c>
      <c r="X141">
        <f>拐力角色库!Z208</f>
        <v>0</v>
      </c>
    </row>
    <row r="142" spans="1:24" x14ac:dyDescent="0.25">
      <c r="A142" t="str">
        <f>拐力角色库!C209</f>
        <v>安塔尔下落普攻</v>
      </c>
      <c r="B142" t="str">
        <f>拐力角色库!D209</f>
        <v>N/a</v>
      </c>
      <c r="C142">
        <f>拐力角色库!E209</f>
        <v>0</v>
      </c>
      <c r="D142">
        <f>拐力角色库!F209</f>
        <v>0</v>
      </c>
      <c r="E142">
        <f>拐力角色库!G209</f>
        <v>0</v>
      </c>
      <c r="F142">
        <f>拐力角色库!H209</f>
        <v>3.9359999999999999</v>
      </c>
      <c r="G142">
        <f>拐力角色库!I209</f>
        <v>0</v>
      </c>
      <c r="H142">
        <f>拐力角色库!J209</f>
        <v>0</v>
      </c>
      <c r="I142">
        <f>拐力角色库!K209</f>
        <v>0</v>
      </c>
      <c r="J142">
        <f>拐力角色库!L209</f>
        <v>0</v>
      </c>
      <c r="K142">
        <f>拐力角色库!M209</f>
        <v>0</v>
      </c>
      <c r="L142">
        <f>拐力角色库!N209</f>
        <v>0</v>
      </c>
      <c r="M142">
        <f>拐力角色库!O209</f>
        <v>0</v>
      </c>
      <c r="N142">
        <f>拐力角色库!P209</f>
        <v>0</v>
      </c>
      <c r="O142">
        <f>拐力角色库!Q209</f>
        <v>0</v>
      </c>
      <c r="P142">
        <f>拐力角色库!R209</f>
        <v>0</v>
      </c>
      <c r="Q142">
        <f>拐力角色库!S209</f>
        <v>0</v>
      </c>
      <c r="R142">
        <f>拐力角色库!T209</f>
        <v>0</v>
      </c>
      <c r="S142">
        <f>拐力角色库!U209</f>
        <v>0</v>
      </c>
      <c r="T142">
        <f>拐力角色库!V209</f>
        <v>0</v>
      </c>
      <c r="U142">
        <f>拐力角色库!W209</f>
        <v>0</v>
      </c>
      <c r="V142">
        <f>拐力角色库!X209</f>
        <v>0</v>
      </c>
      <c r="W142">
        <f>拐力角色库!Y209</f>
        <v>0</v>
      </c>
      <c r="X142">
        <f>拐力角色库!Z209</f>
        <v>0</v>
      </c>
    </row>
    <row r="143" spans="1:24" x14ac:dyDescent="0.25">
      <c r="A143" t="str">
        <f>拐力角色库!C210</f>
        <v>N/a</v>
      </c>
      <c r="B143" t="str">
        <f>拐力角色库!D210</f>
        <v>安塔尔战技脆弱</v>
      </c>
      <c r="C143">
        <f>拐力角色库!E210</f>
        <v>0</v>
      </c>
      <c r="D143">
        <f>拐力角色库!F210</f>
        <v>0</v>
      </c>
      <c r="E143">
        <f>拐力角色库!G210</f>
        <v>0</v>
      </c>
      <c r="F143">
        <f>拐力角色库!H210</f>
        <v>0</v>
      </c>
      <c r="G143">
        <f>拐力角色库!I210</f>
        <v>0</v>
      </c>
      <c r="H143">
        <f>拐力角色库!J210</f>
        <v>0</v>
      </c>
      <c r="I143">
        <f>拐力角色库!K210</f>
        <v>0</v>
      </c>
      <c r="J143">
        <f>拐力角色库!L210</f>
        <v>0</v>
      </c>
      <c r="K143">
        <f>拐力角色库!M210</f>
        <v>0</v>
      </c>
      <c r="L143">
        <f>拐力角色库!N210</f>
        <v>0</v>
      </c>
      <c r="M143">
        <f>拐力角色库!O210</f>
        <v>0</v>
      </c>
      <c r="N143">
        <f>拐力角色库!P210</f>
        <v>0</v>
      </c>
      <c r="O143">
        <f>拐力角色库!Q210</f>
        <v>0</v>
      </c>
      <c r="P143">
        <f>拐力角色库!R210</f>
        <v>0</v>
      </c>
      <c r="Q143">
        <f>拐力角色库!S210</f>
        <v>0</v>
      </c>
      <c r="R143">
        <f>拐力角色库!T210</f>
        <v>0.08</v>
      </c>
      <c r="S143">
        <f>拐力角色库!U210</f>
        <v>0</v>
      </c>
      <c r="T143">
        <f>拐力角色库!V210</f>
        <v>0</v>
      </c>
      <c r="U143">
        <f>拐力角色库!W210</f>
        <v>0</v>
      </c>
      <c r="V143">
        <f>拐力角色库!X210</f>
        <v>0</v>
      </c>
      <c r="W143">
        <f>拐力角色库!Y210</f>
        <v>0</v>
      </c>
      <c r="X143">
        <f>拐力角色库!Z210</f>
        <v>0</v>
      </c>
    </row>
    <row r="144" spans="1:24" x14ac:dyDescent="0.25">
      <c r="A144" t="str">
        <f>拐力角色库!C211</f>
        <v>N/a</v>
      </c>
      <c r="B144" t="str">
        <f>拐力角色库!D211</f>
        <v>安达尔大招增幅</v>
      </c>
      <c r="C144">
        <f>拐力角色库!E211</f>
        <v>0</v>
      </c>
      <c r="D144">
        <f>拐力角色库!F211</f>
        <v>0</v>
      </c>
      <c r="E144">
        <f>拐力角色库!G211</f>
        <v>0</v>
      </c>
      <c r="F144">
        <f>拐力角色库!H211</f>
        <v>0</v>
      </c>
      <c r="G144">
        <f>拐力角色库!I211</f>
        <v>0</v>
      </c>
      <c r="H144">
        <f>拐力角色库!J211</f>
        <v>0</v>
      </c>
      <c r="I144">
        <f>拐力角色库!K211</f>
        <v>0</v>
      </c>
      <c r="J144">
        <f>拐力角色库!L211</f>
        <v>0</v>
      </c>
      <c r="K144">
        <f>拐力角色库!M211</f>
        <v>0</v>
      </c>
      <c r="L144">
        <f>拐力角色库!N211</f>
        <v>0</v>
      </c>
      <c r="M144">
        <f>拐力角色库!O211</f>
        <v>0</v>
      </c>
      <c r="N144">
        <f>拐力角色库!P211</f>
        <v>0</v>
      </c>
      <c r="O144">
        <f>拐力角色库!Q211</f>
        <v>0</v>
      </c>
      <c r="P144">
        <f>拐力角色库!R211</f>
        <v>0</v>
      </c>
      <c r="Q144">
        <f>拐力角色库!S211</f>
        <v>0</v>
      </c>
      <c r="R144">
        <f>拐力角色库!T211</f>
        <v>0</v>
      </c>
      <c r="S144">
        <f>拐力角色库!U211</f>
        <v>0.17600000000000002</v>
      </c>
      <c r="T144">
        <f>拐力角色库!V211</f>
        <v>0</v>
      </c>
      <c r="U144">
        <f>拐力角色库!W211</f>
        <v>0</v>
      </c>
      <c r="V144">
        <f>拐力角色库!X211</f>
        <v>0</v>
      </c>
      <c r="W144">
        <f>拐力角色库!Y211</f>
        <v>0</v>
      </c>
      <c r="X144">
        <f>拐力角色库!Z211</f>
        <v>0</v>
      </c>
    </row>
    <row r="145" spans="1:24" x14ac:dyDescent="0.25">
      <c r="A145" t="str">
        <f>拐力角色库!C212</f>
        <v>N/a</v>
      </c>
      <c r="B145" t="str">
        <f>拐力角色库!D212</f>
        <v>安塔尔战技二十秒后</v>
      </c>
      <c r="C145">
        <f>拐力角色库!E212</f>
        <v>0</v>
      </c>
      <c r="D145">
        <f>拐力角色库!F212</f>
        <v>0</v>
      </c>
      <c r="E145">
        <f>拐力角色库!G212</f>
        <v>0</v>
      </c>
      <c r="F145">
        <f>拐力角色库!H212</f>
        <v>0</v>
      </c>
      <c r="G145">
        <f>拐力角色库!I212</f>
        <v>0</v>
      </c>
      <c r="H145">
        <f>拐力角色库!J212</f>
        <v>0</v>
      </c>
      <c r="I145">
        <f>拐力角色库!K212</f>
        <v>0</v>
      </c>
      <c r="J145">
        <f>拐力角色库!L212</f>
        <v>0</v>
      </c>
      <c r="K145">
        <f>拐力角色库!M212</f>
        <v>0</v>
      </c>
      <c r="L145">
        <f>拐力角色库!N212</f>
        <v>0</v>
      </c>
      <c r="M145">
        <f>拐力角色库!O212</f>
        <v>0</v>
      </c>
      <c r="N145">
        <f>拐力角色库!P212</f>
        <v>0</v>
      </c>
      <c r="O145">
        <f>拐力角色库!Q212</f>
        <v>0</v>
      </c>
      <c r="P145">
        <f>拐力角色库!R212</f>
        <v>0</v>
      </c>
      <c r="Q145">
        <f>拐力角色库!S212</f>
        <v>0</v>
      </c>
      <c r="R145">
        <f>拐力角色库!T212</f>
        <v>0.12</v>
      </c>
      <c r="S145">
        <f>拐力角色库!U212</f>
        <v>0</v>
      </c>
      <c r="T145">
        <f>拐力角色库!V212</f>
        <v>0</v>
      </c>
      <c r="U145">
        <f>拐力角色库!W212</f>
        <v>0</v>
      </c>
      <c r="V145">
        <f>拐力角色库!X212</f>
        <v>0</v>
      </c>
      <c r="W145">
        <f>拐力角色库!Y212</f>
        <v>0</v>
      </c>
      <c r="X145">
        <f>拐力角色库!Z212</f>
        <v>0</v>
      </c>
    </row>
    <row r="146" spans="1:24" x14ac:dyDescent="0.25">
      <c r="A146" t="str">
        <f>拐力角色库!C213</f>
        <v>N/a</v>
      </c>
      <c r="B146" t="str">
        <f>拐力角色库!D213</f>
        <v>安塔尔爆破连携后</v>
      </c>
      <c r="C146">
        <f>拐力角色库!E213</f>
        <v>0</v>
      </c>
      <c r="D146">
        <f>拐力角色库!F213</f>
        <v>0</v>
      </c>
      <c r="E146">
        <f>拐力角色库!G213</f>
        <v>0</v>
      </c>
      <c r="F146">
        <f>拐力角色库!H213</f>
        <v>0</v>
      </c>
      <c r="G146">
        <f>拐力角色库!I213</f>
        <v>0</v>
      </c>
      <c r="H146">
        <f>拐力角色库!J213</f>
        <v>0</v>
      </c>
      <c r="I146">
        <f>拐力角色库!K213</f>
        <v>0</v>
      </c>
      <c r="J146">
        <f>拐力角色库!L213</f>
        <v>0</v>
      </c>
      <c r="K146">
        <f>拐力角色库!M213</f>
        <v>0</v>
      </c>
      <c r="L146">
        <f>拐力角色库!N213</f>
        <v>0</v>
      </c>
      <c r="M146">
        <f>拐力角色库!O213</f>
        <v>0</v>
      </c>
      <c r="N146">
        <f>拐力角色库!P213</f>
        <v>0</v>
      </c>
      <c r="O146">
        <f>拐力角色库!Q213</f>
        <v>0</v>
      </c>
      <c r="P146">
        <f>拐力角色库!R213</f>
        <v>0</v>
      </c>
      <c r="Q146">
        <f>拐力角色库!S213</f>
        <v>0</v>
      </c>
      <c r="R146">
        <f>拐力角色库!T213</f>
        <v>0</v>
      </c>
      <c r="S146">
        <f>拐力角色库!U213</f>
        <v>0</v>
      </c>
      <c r="T146">
        <f>拐力角色库!V213</f>
        <v>0.14399999999999999</v>
      </c>
      <c r="U146">
        <f>拐力角色库!W213</f>
        <v>0</v>
      </c>
      <c r="V146">
        <f>拐力角色库!X213</f>
        <v>0</v>
      </c>
      <c r="W146">
        <f>拐力角色库!Y213</f>
        <v>0</v>
      </c>
      <c r="X146">
        <f>拐力角色库!Z213</f>
        <v>0</v>
      </c>
    </row>
  </sheetData>
  <mergeCells count="1">
    <mergeCell ref="N4:U4"/>
  </mergeCells>
  <phoneticPr fontId="1" type="noConversion"/>
  <conditionalFormatting sqref="F26:T57">
    <cfRule type="expression" dxfId="22" priority="4">
      <formula>MOD(ROW(),2)=1</formula>
    </cfRule>
  </conditionalFormatting>
  <conditionalFormatting sqref="A26:A57">
    <cfRule type="expression" dxfId="21" priority="3">
      <formula>MOD(ROW(),2)=1</formula>
    </cfRule>
  </conditionalFormatting>
  <conditionalFormatting sqref="AN3:AT19 AD17:AK20 AD16:AH16 AJ16:AK16 AO20:AT20 AD3:AK15">
    <cfRule type="expression" dxfId="20" priority="2">
      <formula>MOD(ROW(),2)=1</formula>
    </cfRule>
  </conditionalFormatting>
  <conditionalFormatting sqref="AN20">
    <cfRule type="expression" dxfId="19" priority="1">
      <formula>MOD(ROW(),2)=1</formula>
    </cfRule>
  </conditionalFormatting>
  <dataValidations count="5">
    <dataValidation type="list" allowBlank="1" showInputMessage="1" showErrorMessage="1" sqref="A58:A76" xr:uid="{13A41E4C-3711-4287-A136-8FEA68670F9A}">
      <formula1>$A$89:$A$122</formula1>
    </dataValidation>
    <dataValidation type="list" allowBlank="1" showInputMessage="1" showErrorMessage="1" sqref="F27:F61" xr:uid="{590B3C52-9554-4C68-9F8C-08EEA3ABC269}">
      <formula1>"是,否"</formula1>
    </dataValidation>
    <dataValidation type="list" allowBlank="1" showInputMessage="1" showErrorMessage="1" sqref="G58:T81" xr:uid="{63C80DE5-1BE4-404F-9273-8D09063368F1}">
      <formula1>$B$87:$B$137</formula1>
    </dataValidation>
    <dataValidation type="list" allowBlank="1" showInputMessage="1" showErrorMessage="1" sqref="A27:A57" xr:uid="{FE1E37AF-DD2A-4FF4-8E64-488C96B49B88}">
      <formula1>$A$88:$A$137</formula1>
    </dataValidation>
    <dataValidation type="list" allowBlank="1" showInputMessage="1" showErrorMessage="1" sqref="G27:T57" xr:uid="{A95F254B-8474-4D48-B0C0-3B0E8EF6EBA1}">
      <formula1>$B$88:$B$137</formula1>
    </dataValidation>
  </dataValidations>
  <pageMargins left="0.7" right="0.7" top="0.75" bottom="0.75" header="0.3" footer="0.3"/>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41DDB-3416-4C34-ABEB-EF6F0CE10D03}">
  <sheetPr codeName="Sheet9"/>
  <dimension ref="A3:X30"/>
  <sheetViews>
    <sheetView topLeftCell="A13" zoomScaleNormal="100" workbookViewId="0">
      <selection activeCell="B21" sqref="B21"/>
    </sheetView>
  </sheetViews>
  <sheetFormatPr defaultRowHeight="13.8" x14ac:dyDescent="0.25"/>
  <cols>
    <col min="1" max="1" width="18.109375" customWidth="1"/>
    <col min="2" max="2" width="22.88671875" customWidth="1"/>
    <col min="3" max="3" width="46.88671875" customWidth="1"/>
    <col min="4" max="4" width="16.88671875" style="36" customWidth="1"/>
    <col min="6" max="7" width="8.88671875" style="36"/>
  </cols>
  <sheetData>
    <row r="3" spans="1:8" x14ac:dyDescent="0.25">
      <c r="A3" t="s">
        <v>221</v>
      </c>
      <c r="D3" s="36" t="s">
        <v>863</v>
      </c>
      <c r="E3" t="s">
        <v>864</v>
      </c>
      <c r="F3" s="36" t="s">
        <v>861</v>
      </c>
      <c r="G3" s="36" t="s">
        <v>154</v>
      </c>
      <c r="H3" t="s">
        <v>862</v>
      </c>
    </row>
    <row r="4" spans="1:8" ht="27.6" x14ac:dyDescent="0.25">
      <c r="A4" s="14" t="s">
        <v>210</v>
      </c>
      <c r="B4" s="32" t="s">
        <v>198</v>
      </c>
      <c r="C4" s="14" t="s">
        <v>223</v>
      </c>
      <c r="D4" s="38"/>
      <c r="E4">
        <v>180</v>
      </c>
      <c r="F4" s="36">
        <v>0.11</v>
      </c>
    </row>
    <row r="5" spans="1:8" ht="27.6" x14ac:dyDescent="0.25">
      <c r="A5" s="14" t="s">
        <v>211</v>
      </c>
      <c r="B5" s="33" t="s">
        <v>199</v>
      </c>
      <c r="C5" s="14" t="s">
        <v>200</v>
      </c>
      <c r="D5" s="38"/>
      <c r="F5" s="36">
        <v>0.09</v>
      </c>
      <c r="G5" s="36">
        <v>0.18</v>
      </c>
    </row>
    <row r="6" spans="1:8" x14ac:dyDescent="0.25">
      <c r="A6" s="14" t="s">
        <v>212</v>
      </c>
      <c r="B6" s="33" t="s">
        <v>199</v>
      </c>
      <c r="C6" s="14" t="s">
        <v>224</v>
      </c>
      <c r="D6" s="38"/>
      <c r="F6" s="36">
        <v>0.21</v>
      </c>
    </row>
    <row r="7" spans="1:8" x14ac:dyDescent="0.25">
      <c r="A7" s="14" t="s">
        <v>213</v>
      </c>
      <c r="B7" s="33" t="s">
        <v>199</v>
      </c>
      <c r="C7" s="14" t="s">
        <v>201</v>
      </c>
      <c r="D7" s="38"/>
      <c r="G7" s="36">
        <v>0.25</v>
      </c>
    </row>
    <row r="8" spans="1:8" x14ac:dyDescent="0.25">
      <c r="A8" s="14" t="s">
        <v>214</v>
      </c>
      <c r="B8" s="33" t="s">
        <v>199</v>
      </c>
      <c r="C8" s="14" t="s">
        <v>202</v>
      </c>
      <c r="D8" s="38">
        <v>0.27</v>
      </c>
    </row>
    <row r="9" spans="1:8" ht="27.6" x14ac:dyDescent="0.25">
      <c r="A9" s="14" t="s">
        <v>215</v>
      </c>
      <c r="B9" s="34" t="s">
        <v>203</v>
      </c>
      <c r="C9" s="14" t="s">
        <v>204</v>
      </c>
      <c r="D9" s="38">
        <v>7.0000000000000007E-2</v>
      </c>
      <c r="F9" s="36">
        <v>0.03</v>
      </c>
      <c r="G9" s="36">
        <v>7.0000000000000007E-2</v>
      </c>
    </row>
    <row r="10" spans="1:8" ht="27.6" x14ac:dyDescent="0.25">
      <c r="A10" s="14" t="s">
        <v>216</v>
      </c>
      <c r="B10" s="34" t="s">
        <v>203</v>
      </c>
      <c r="C10" s="14" t="s">
        <v>225</v>
      </c>
      <c r="D10" s="38">
        <v>0.18</v>
      </c>
      <c r="F10" s="36">
        <v>0.09</v>
      </c>
    </row>
    <row r="11" spans="1:8" x14ac:dyDescent="0.25">
      <c r="A11" s="14" t="s">
        <v>217</v>
      </c>
      <c r="B11" s="34" t="s">
        <v>203</v>
      </c>
      <c r="C11" s="14" t="s">
        <v>205</v>
      </c>
      <c r="D11" s="38">
        <v>0.12</v>
      </c>
    </row>
    <row r="12" spans="1:8" x14ac:dyDescent="0.25">
      <c r="A12" s="14" t="s">
        <v>218</v>
      </c>
      <c r="B12" s="34" t="s">
        <v>203</v>
      </c>
      <c r="C12" s="14" t="s">
        <v>206</v>
      </c>
      <c r="D12" s="38"/>
      <c r="G12" s="36">
        <v>0.21</v>
      </c>
    </row>
    <row r="13" spans="1:8" x14ac:dyDescent="0.25">
      <c r="A13" s="14" t="s">
        <v>219</v>
      </c>
      <c r="B13" s="34" t="s">
        <v>203</v>
      </c>
      <c r="C13" s="14" t="s">
        <v>207</v>
      </c>
      <c r="D13" s="38"/>
      <c r="G13" s="36">
        <v>0.18</v>
      </c>
    </row>
    <row r="14" spans="1:8" x14ac:dyDescent="0.25">
      <c r="A14" s="14" t="s">
        <v>220</v>
      </c>
      <c r="B14" s="35" t="s">
        <v>208</v>
      </c>
      <c r="C14" s="14" t="s">
        <v>209</v>
      </c>
      <c r="D14" s="38"/>
      <c r="H14">
        <f>15*0.007</f>
        <v>0.105</v>
      </c>
    </row>
    <row r="17" spans="1:24" ht="14.4" thickBot="1" x14ac:dyDescent="0.3">
      <c r="A17" s="28" t="s">
        <v>978</v>
      </c>
      <c r="C17" s="61" t="s">
        <v>755</v>
      </c>
      <c r="D17" s="61"/>
      <c r="E17" s="61"/>
      <c r="F17" s="61"/>
      <c r="G17" s="61"/>
      <c r="H17" s="62" t="s">
        <v>785</v>
      </c>
      <c r="I17" s="62"/>
      <c r="J17" s="62"/>
      <c r="K17" s="62"/>
      <c r="L17" s="63" t="s">
        <v>154</v>
      </c>
      <c r="M17" s="63"/>
      <c r="N17" s="63"/>
      <c r="O17" s="63"/>
      <c r="P17" s="63"/>
      <c r="Q17" s="63"/>
      <c r="R17" s="43" t="s">
        <v>161</v>
      </c>
      <c r="S17" s="43"/>
      <c r="T17" s="43"/>
      <c r="U17" s="43"/>
      <c r="V17" s="43"/>
      <c r="W17" s="43"/>
      <c r="X17" s="43"/>
    </row>
    <row r="18" spans="1:24" x14ac:dyDescent="0.25">
      <c r="A18" s="17" t="s">
        <v>704</v>
      </c>
      <c r="B18" s="17" t="s">
        <v>991</v>
      </c>
      <c r="C18" s="52" t="s">
        <v>92</v>
      </c>
      <c r="D18" s="52" t="s">
        <v>94</v>
      </c>
      <c r="E18" s="52" t="s">
        <v>95</v>
      </c>
      <c r="F18" s="52" t="s">
        <v>93</v>
      </c>
      <c r="G18" s="52" t="s">
        <v>96</v>
      </c>
      <c r="H18" s="64" t="s">
        <v>688</v>
      </c>
      <c r="I18" s="64" t="s">
        <v>689</v>
      </c>
      <c r="J18" s="64" t="s">
        <v>690</v>
      </c>
      <c r="K18" s="64" t="s">
        <v>163</v>
      </c>
      <c r="L18" s="64" t="s">
        <v>707</v>
      </c>
      <c r="M18" s="64" t="s">
        <v>153</v>
      </c>
      <c r="N18" s="64" t="s">
        <v>76</v>
      </c>
      <c r="O18" s="64" t="s">
        <v>77</v>
      </c>
      <c r="P18" s="64" t="s">
        <v>78</v>
      </c>
      <c r="Q18" s="64" t="s">
        <v>703</v>
      </c>
      <c r="R18" s="64" t="s">
        <v>83</v>
      </c>
      <c r="S18" s="64" t="s">
        <v>80</v>
      </c>
      <c r="T18" s="64" t="s">
        <v>79</v>
      </c>
      <c r="U18" s="64" t="s">
        <v>691</v>
      </c>
      <c r="V18" s="64" t="s">
        <v>694</v>
      </c>
      <c r="W18" s="64" t="s">
        <v>693</v>
      </c>
      <c r="X18" s="64" t="s">
        <v>692</v>
      </c>
    </row>
    <row r="19" spans="1:24" x14ac:dyDescent="0.25">
      <c r="A19" t="s">
        <v>805</v>
      </c>
      <c r="B19" t="s">
        <v>805</v>
      </c>
    </row>
    <row r="20" spans="1:24" x14ac:dyDescent="0.25">
      <c r="A20" t="s">
        <v>805</v>
      </c>
      <c r="B20" s="14" t="s">
        <v>210</v>
      </c>
      <c r="D20" s="38"/>
      <c r="E20">
        <v>180</v>
      </c>
      <c r="F20"/>
      <c r="I20" s="36">
        <v>0.11</v>
      </c>
      <c r="L20" s="36"/>
    </row>
    <row r="21" spans="1:24" x14ac:dyDescent="0.25">
      <c r="A21" t="s">
        <v>805</v>
      </c>
      <c r="B21" s="14" t="s">
        <v>211</v>
      </c>
      <c r="D21" s="38"/>
      <c r="F21"/>
      <c r="I21" s="36">
        <v>0.09</v>
      </c>
      <c r="L21" s="36">
        <v>0.18</v>
      </c>
    </row>
    <row r="22" spans="1:24" x14ac:dyDescent="0.25">
      <c r="A22" t="s">
        <v>805</v>
      </c>
      <c r="B22" s="14" t="s">
        <v>212</v>
      </c>
      <c r="D22" s="38"/>
      <c r="F22"/>
      <c r="I22" s="36">
        <v>0.21</v>
      </c>
      <c r="L22" s="36"/>
    </row>
    <row r="23" spans="1:24" x14ac:dyDescent="0.25">
      <c r="A23" t="s">
        <v>805</v>
      </c>
      <c r="B23" s="14" t="s">
        <v>213</v>
      </c>
      <c r="D23" s="38"/>
      <c r="F23"/>
      <c r="I23" s="36"/>
      <c r="L23" s="36">
        <v>0.25</v>
      </c>
    </row>
    <row r="24" spans="1:24" x14ac:dyDescent="0.25">
      <c r="A24" t="s">
        <v>805</v>
      </c>
      <c r="B24" s="14" t="s">
        <v>214</v>
      </c>
      <c r="D24" s="38">
        <v>0.27</v>
      </c>
      <c r="F24"/>
      <c r="I24" s="36"/>
      <c r="L24" s="36"/>
    </row>
    <row r="25" spans="1:24" x14ac:dyDescent="0.25">
      <c r="A25" t="s">
        <v>805</v>
      </c>
      <c r="B25" s="14" t="s">
        <v>215</v>
      </c>
      <c r="D25" s="38">
        <v>7.0000000000000007E-2</v>
      </c>
      <c r="F25"/>
      <c r="I25" s="36">
        <v>0.03</v>
      </c>
      <c r="L25" s="36">
        <v>7.0000000000000007E-2</v>
      </c>
    </row>
    <row r="26" spans="1:24" x14ac:dyDescent="0.25">
      <c r="A26" t="s">
        <v>805</v>
      </c>
      <c r="B26" s="14" t="s">
        <v>216</v>
      </c>
      <c r="D26" s="38">
        <v>0.18</v>
      </c>
      <c r="F26"/>
      <c r="I26" s="36">
        <v>0.09</v>
      </c>
      <c r="L26" s="36"/>
    </row>
    <row r="27" spans="1:24" x14ac:dyDescent="0.25">
      <c r="A27" t="s">
        <v>805</v>
      </c>
      <c r="B27" s="14" t="s">
        <v>217</v>
      </c>
      <c r="D27" s="38">
        <v>0.12</v>
      </c>
      <c r="F27"/>
      <c r="I27" s="36"/>
      <c r="L27" s="36"/>
    </row>
    <row r="28" spans="1:24" x14ac:dyDescent="0.25">
      <c r="A28" t="s">
        <v>805</v>
      </c>
      <c r="B28" s="14" t="s">
        <v>218</v>
      </c>
      <c r="D28" s="38"/>
      <c r="F28"/>
      <c r="I28" s="36"/>
      <c r="L28" s="36">
        <v>0.21</v>
      </c>
    </row>
    <row r="29" spans="1:24" x14ac:dyDescent="0.25">
      <c r="A29" t="s">
        <v>805</v>
      </c>
      <c r="B29" s="14" t="s">
        <v>219</v>
      </c>
      <c r="D29" s="38"/>
      <c r="F29"/>
      <c r="I29" s="36"/>
      <c r="L29" s="36">
        <v>0.18</v>
      </c>
    </row>
    <row r="30" spans="1:24" x14ac:dyDescent="0.25">
      <c r="A30" t="s">
        <v>805</v>
      </c>
      <c r="B30" s="14" t="s">
        <v>220</v>
      </c>
      <c r="D30" s="38"/>
      <c r="F30">
        <f>15*0.007</f>
        <v>0.105</v>
      </c>
      <c r="L30" s="36"/>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E1D31-ACCA-48CE-84F7-B660BE710299}">
  <sheetPr codeName="Sheet5"/>
  <dimension ref="A2:C36"/>
  <sheetViews>
    <sheetView topLeftCell="A13" workbookViewId="0">
      <selection activeCell="C27" sqref="C27"/>
    </sheetView>
  </sheetViews>
  <sheetFormatPr defaultRowHeight="13.8" x14ac:dyDescent="0.25"/>
  <cols>
    <col min="3" max="3" width="69.44140625" customWidth="1"/>
  </cols>
  <sheetData>
    <row r="2" spans="1:3" ht="14.4" thickBot="1" x14ac:dyDescent="0.3">
      <c r="A2" s="168" t="s">
        <v>1119</v>
      </c>
      <c r="B2" s="168"/>
      <c r="C2" s="168"/>
    </row>
    <row r="3" spans="1:3" ht="14.4" thickBot="1" x14ac:dyDescent="0.3">
      <c r="A3" s="100" t="s">
        <v>1098</v>
      </c>
      <c r="B3" s="101" t="s">
        <v>1099</v>
      </c>
      <c r="C3" s="102" t="s">
        <v>1100</v>
      </c>
    </row>
    <row r="4" spans="1:3" x14ac:dyDescent="0.25">
      <c r="A4" s="162">
        <v>0.1</v>
      </c>
      <c r="B4" s="101">
        <v>1</v>
      </c>
      <c r="C4" s="103" t="s">
        <v>1108</v>
      </c>
    </row>
    <row r="5" spans="1:3" x14ac:dyDescent="0.25">
      <c r="A5" s="163"/>
      <c r="B5" s="7">
        <v>2</v>
      </c>
      <c r="C5" s="104" t="s">
        <v>1107</v>
      </c>
    </row>
    <row r="6" spans="1:3" ht="14.4" thickBot="1" x14ac:dyDescent="0.3">
      <c r="A6" s="164"/>
      <c r="B6" s="105">
        <v>3</v>
      </c>
      <c r="C6" s="106" t="s">
        <v>1105</v>
      </c>
    </row>
    <row r="7" spans="1:3" x14ac:dyDescent="0.25">
      <c r="A7" s="162">
        <v>0.2</v>
      </c>
      <c r="B7" s="101">
        <v>1</v>
      </c>
      <c r="C7" s="103" t="s">
        <v>1109</v>
      </c>
    </row>
    <row r="8" spans="1:3" x14ac:dyDescent="0.25">
      <c r="A8" s="163"/>
      <c r="B8" s="7">
        <v>2</v>
      </c>
      <c r="C8" s="104" t="s">
        <v>1110</v>
      </c>
    </row>
    <row r="9" spans="1:3" x14ac:dyDescent="0.25">
      <c r="A9" s="159">
        <v>1</v>
      </c>
      <c r="B9" s="107">
        <v>1</v>
      </c>
      <c r="C9" s="108" t="s">
        <v>1101</v>
      </c>
    </row>
    <row r="10" spans="1:3" x14ac:dyDescent="0.25">
      <c r="A10" s="160"/>
      <c r="B10" s="7">
        <v>2</v>
      </c>
      <c r="C10" s="104" t="s">
        <v>1102</v>
      </c>
    </row>
    <row r="11" spans="1:3" x14ac:dyDescent="0.25">
      <c r="A11" s="160"/>
      <c r="B11" s="7">
        <v>3</v>
      </c>
      <c r="C11" s="104" t="s">
        <v>1103</v>
      </c>
    </row>
    <row r="12" spans="1:3" x14ac:dyDescent="0.25">
      <c r="A12" s="160"/>
      <c r="B12" s="7">
        <v>4</v>
      </c>
      <c r="C12" s="104" t="s">
        <v>1104</v>
      </c>
    </row>
    <row r="13" spans="1:3" x14ac:dyDescent="0.25">
      <c r="A13" s="160"/>
      <c r="B13" s="7">
        <v>5</v>
      </c>
      <c r="C13" s="104" t="s">
        <v>1106</v>
      </c>
    </row>
    <row r="14" spans="1:3" x14ac:dyDescent="0.25">
      <c r="A14" s="160"/>
      <c r="B14" s="7">
        <v>6</v>
      </c>
      <c r="C14" s="104" t="s">
        <v>1111</v>
      </c>
    </row>
    <row r="15" spans="1:3" x14ac:dyDescent="0.25">
      <c r="A15" s="160"/>
      <c r="B15" s="7">
        <v>7</v>
      </c>
      <c r="C15" s="104" t="s">
        <v>1112</v>
      </c>
    </row>
    <row r="16" spans="1:3" x14ac:dyDescent="0.25">
      <c r="A16" s="160"/>
      <c r="B16" s="7">
        <v>8</v>
      </c>
      <c r="C16" s="104" t="s">
        <v>1113</v>
      </c>
    </row>
    <row r="17" spans="1:3" x14ac:dyDescent="0.25">
      <c r="A17" s="160"/>
      <c r="B17" s="7">
        <v>9</v>
      </c>
      <c r="C17" s="104"/>
    </row>
    <row r="18" spans="1:3" ht="14.4" thickBot="1" x14ac:dyDescent="0.3">
      <c r="A18" s="161"/>
      <c r="B18" s="105">
        <v>10</v>
      </c>
      <c r="C18" s="106"/>
    </row>
    <row r="19" spans="1:3" x14ac:dyDescent="0.25">
      <c r="A19" s="165">
        <v>1.1000000000000001</v>
      </c>
      <c r="B19" s="26">
        <v>1</v>
      </c>
      <c r="C19" s="27" t="s">
        <v>1242</v>
      </c>
    </row>
    <row r="20" spans="1:3" ht="14.4" customHeight="1" x14ac:dyDescent="0.25">
      <c r="A20" s="166"/>
      <c r="B20">
        <v>2</v>
      </c>
      <c r="C20" s="29" t="s">
        <v>1241</v>
      </c>
    </row>
    <row r="21" spans="1:3" x14ac:dyDescent="0.25">
      <c r="A21" s="166"/>
      <c r="B21">
        <v>3</v>
      </c>
      <c r="C21" s="29" t="s">
        <v>1264</v>
      </c>
    </row>
    <row r="22" spans="1:3" x14ac:dyDescent="0.25">
      <c r="A22" s="166"/>
      <c r="B22">
        <v>4</v>
      </c>
      <c r="C22" s="29"/>
    </row>
    <row r="23" spans="1:3" ht="14.4" thickBot="1" x14ac:dyDescent="0.3">
      <c r="A23" s="167"/>
      <c r="B23" s="18">
        <v>5</v>
      </c>
      <c r="C23" s="31"/>
    </row>
    <row r="24" spans="1:3" x14ac:dyDescent="0.25">
      <c r="A24" s="165">
        <v>1.2</v>
      </c>
      <c r="B24" s="26">
        <v>1</v>
      </c>
      <c r="C24" s="27" t="s">
        <v>1444</v>
      </c>
    </row>
    <row r="25" spans="1:3" x14ac:dyDescent="0.25">
      <c r="A25" s="166"/>
      <c r="B25">
        <v>2</v>
      </c>
      <c r="C25" s="29" t="s">
        <v>1445</v>
      </c>
    </row>
    <row r="26" spans="1:3" x14ac:dyDescent="0.25">
      <c r="A26" s="166"/>
      <c r="B26">
        <v>3</v>
      </c>
      <c r="C26" s="29"/>
    </row>
    <row r="27" spans="1:3" x14ac:dyDescent="0.25">
      <c r="A27" s="166"/>
      <c r="B27">
        <v>4</v>
      </c>
      <c r="C27" s="29"/>
    </row>
    <row r="28" spans="1:3" ht="14.4" thickBot="1" x14ac:dyDescent="0.3">
      <c r="A28" s="167"/>
      <c r="B28" s="18">
        <v>5</v>
      </c>
      <c r="C28" s="31"/>
    </row>
    <row r="31" spans="1:3" ht="14.4" thickBot="1" x14ac:dyDescent="0.3"/>
    <row r="32" spans="1:3" x14ac:dyDescent="0.25">
      <c r="A32" s="165" t="s">
        <v>1118</v>
      </c>
      <c r="B32" s="26">
        <v>1</v>
      </c>
      <c r="C32" s="27" t="s">
        <v>1114</v>
      </c>
    </row>
    <row r="33" spans="1:3" x14ac:dyDescent="0.25">
      <c r="A33" s="166"/>
      <c r="B33">
        <v>2</v>
      </c>
      <c r="C33" s="29" t="s">
        <v>1109</v>
      </c>
    </row>
    <row r="34" spans="1:3" x14ac:dyDescent="0.25">
      <c r="A34" s="166"/>
      <c r="B34">
        <v>3</v>
      </c>
      <c r="C34" s="29" t="s">
        <v>1115</v>
      </c>
    </row>
    <row r="35" spans="1:3" x14ac:dyDescent="0.25">
      <c r="A35" s="166"/>
      <c r="B35">
        <v>4</v>
      </c>
      <c r="C35" s="29" t="s">
        <v>1116</v>
      </c>
    </row>
    <row r="36" spans="1:3" ht="14.4" thickBot="1" x14ac:dyDescent="0.3">
      <c r="A36" s="167"/>
      <c r="B36" s="18">
        <v>5</v>
      </c>
      <c r="C36" s="31" t="s">
        <v>1117</v>
      </c>
    </row>
  </sheetData>
  <mergeCells count="7">
    <mergeCell ref="A9:A18"/>
    <mergeCell ref="A4:A6"/>
    <mergeCell ref="A7:A8"/>
    <mergeCell ref="A32:A36"/>
    <mergeCell ref="A2:C2"/>
    <mergeCell ref="A19:A23"/>
    <mergeCell ref="A24:A28"/>
  </mergeCells>
  <phoneticPr fontId="1" type="noConversion"/>
  <hyperlinks>
    <hyperlink ref="A2:C2" r:id="rId1" display="bilibili@莫奈路遥" xr:uid="{0D0FD200-4BD9-4452-B3FD-A3975BA863E3}"/>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899258-5EF7-448D-A443-DF47369B44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17</vt:i4>
      </vt:variant>
    </vt:vector>
  </HeadingPairs>
  <TitlesOfParts>
    <vt:vector size="17" baseType="lpstr">
      <vt:lpstr>使用教程</vt:lpstr>
      <vt:lpstr>计算公式参考</vt:lpstr>
      <vt:lpstr>武器库</vt:lpstr>
      <vt:lpstr>994武器库</vt:lpstr>
      <vt:lpstr>拐力角色库</vt:lpstr>
      <vt:lpstr>先锋角色库</vt:lpstr>
      <vt:lpstr>主c角色库</vt:lpstr>
      <vt:lpstr>护甲库</vt:lpstr>
      <vt:lpstr>护手库</vt:lpstr>
      <vt:lpstr>配件库</vt:lpstr>
      <vt:lpstr>套装效果库</vt:lpstr>
      <vt:lpstr>计算器</vt:lpstr>
      <vt:lpstr>计算器模板</vt:lpstr>
      <vt:lpstr>计算器2</vt:lpstr>
      <vt:lpstr>Sheet2</vt:lpstr>
      <vt:lpstr>药物库</vt:lpstr>
      <vt:lpstr>版本信息</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杨嘉俊</dc:creator>
  <cp:lastModifiedBy>杨嘉俊</cp:lastModifiedBy>
  <cp:lastPrinted>2026-04-11T07:09:05Z</cp:lastPrinted>
  <dcterms:created xsi:type="dcterms:W3CDTF">2015-06-05T18:19:34Z</dcterms:created>
  <dcterms:modified xsi:type="dcterms:W3CDTF">2026-04-22T15:56:14Z</dcterms:modified>
</cp:coreProperties>
</file>