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nt1\Office_Shares\RE\RE10\RE10_Common\Annual Reviews\2016 Annual Review\Tables for public links\"/>
    </mc:Choice>
  </mc:AlternateContent>
  <xr:revisionPtr revIDLastSave="0" documentId="13_ncr:1_{75DDBB3E-731E-4062-A34F-C8F7D66A1D1A}" xr6:coauthVersionLast="37" xr6:coauthVersionMax="37" xr10:uidLastSave="{00000000-0000-0000-0000-000000000000}"/>
  <bookViews>
    <workbookView xWindow="0" yWindow="0" windowWidth="21570" windowHeight="10830" xr2:uid="{7B193136-452E-403D-A1A9-121A3C845FBC}"/>
  </bookViews>
  <sheets>
    <sheet name="Readme" sheetId="2" r:id="rId1"/>
    <sheet name="Data_USCivilAviation" sheetId="3" r:id="rId2"/>
    <sheet name="AccidentSummary" sheetId="4"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1356" i="3" l="1"/>
  <c r="V1355" i="3"/>
  <c r="V1354" i="3"/>
  <c r="V1353" i="3"/>
  <c r="V1352" i="3"/>
  <c r="V1351" i="3"/>
  <c r="V1350" i="3"/>
  <c r="V1349" i="3"/>
  <c r="V1348" i="3"/>
  <c r="V1347" i="3"/>
  <c r="V1346" i="3"/>
  <c r="V1345" i="3"/>
  <c r="V1344" i="3"/>
  <c r="V1343" i="3"/>
  <c r="V1342" i="3"/>
  <c r="V1341" i="3"/>
  <c r="V1340" i="3"/>
  <c r="V1339" i="3"/>
  <c r="V1338" i="3"/>
  <c r="V1337" i="3"/>
  <c r="V1336" i="3"/>
  <c r="V1335" i="3"/>
  <c r="V1334" i="3"/>
  <c r="V1333" i="3"/>
  <c r="V1332" i="3"/>
  <c r="V1331" i="3"/>
  <c r="V1330" i="3"/>
  <c r="V1329" i="3"/>
  <c r="V1328" i="3"/>
  <c r="V1327" i="3"/>
  <c r="V1326" i="3"/>
  <c r="V1325" i="3"/>
  <c r="V1324" i="3"/>
  <c r="V1323" i="3"/>
  <c r="V1322" i="3"/>
  <c r="V1321" i="3"/>
  <c r="V1320" i="3"/>
  <c r="V1319" i="3"/>
  <c r="V1318" i="3"/>
  <c r="V1317" i="3"/>
  <c r="V1316" i="3"/>
  <c r="V1315" i="3"/>
  <c r="V1314" i="3"/>
  <c r="V1313" i="3"/>
  <c r="V1312" i="3"/>
  <c r="V1311" i="3"/>
  <c r="V1310" i="3"/>
  <c r="V1309" i="3"/>
  <c r="V1308" i="3"/>
  <c r="V1307" i="3"/>
  <c r="V1306" i="3"/>
  <c r="V1305" i="3"/>
  <c r="V1304" i="3"/>
  <c r="V1303" i="3"/>
  <c r="V1302" i="3"/>
  <c r="V1301" i="3"/>
  <c r="V1300" i="3"/>
  <c r="V1299" i="3"/>
  <c r="V1298" i="3"/>
  <c r="V1297" i="3"/>
  <c r="V1296" i="3"/>
  <c r="V1295" i="3"/>
  <c r="V1294" i="3"/>
  <c r="V1293" i="3"/>
  <c r="V1292" i="3"/>
  <c r="V1291" i="3"/>
  <c r="V1290" i="3"/>
  <c r="V1289" i="3"/>
  <c r="V1288" i="3"/>
  <c r="V1287" i="3"/>
  <c r="V1286" i="3"/>
  <c r="V1285" i="3"/>
  <c r="V1284" i="3"/>
  <c r="V1283" i="3"/>
  <c r="V1282" i="3"/>
  <c r="V1281" i="3"/>
  <c r="V1280" i="3"/>
  <c r="V1279" i="3"/>
  <c r="V1278" i="3"/>
  <c r="V1277" i="3"/>
  <c r="V1276" i="3"/>
  <c r="V1275" i="3"/>
  <c r="V1274" i="3"/>
  <c r="V1273" i="3"/>
  <c r="V1272" i="3"/>
  <c r="V1271" i="3"/>
  <c r="V1270" i="3"/>
  <c r="V1269" i="3"/>
  <c r="V1268" i="3"/>
  <c r="V1267" i="3"/>
  <c r="V1266" i="3"/>
  <c r="V1265" i="3"/>
  <c r="V1264" i="3"/>
  <c r="V1263" i="3"/>
  <c r="V1262" i="3"/>
  <c r="V1261" i="3"/>
  <c r="V1260" i="3"/>
  <c r="V1259" i="3"/>
  <c r="V1258" i="3"/>
  <c r="V1257" i="3"/>
  <c r="V1256" i="3"/>
  <c r="V1255" i="3"/>
  <c r="V1254" i="3"/>
  <c r="V1253" i="3"/>
  <c r="V1252" i="3"/>
  <c r="V1251" i="3"/>
  <c r="V1250" i="3"/>
  <c r="V1249" i="3"/>
  <c r="V1248" i="3"/>
  <c r="V1247" i="3"/>
  <c r="V1246" i="3"/>
  <c r="V1245" i="3"/>
  <c r="V1244" i="3"/>
  <c r="V1243" i="3"/>
  <c r="V1242" i="3"/>
  <c r="V1241" i="3"/>
  <c r="V1240" i="3"/>
  <c r="V1239" i="3"/>
  <c r="V1238" i="3"/>
  <c r="V1237" i="3"/>
  <c r="V1236" i="3"/>
  <c r="V1235" i="3"/>
  <c r="V1234" i="3"/>
  <c r="V1233" i="3"/>
  <c r="V1232" i="3"/>
  <c r="V1231" i="3"/>
  <c r="V1230" i="3"/>
  <c r="V1229" i="3"/>
  <c r="V1228" i="3"/>
  <c r="V1227" i="3"/>
  <c r="V1226" i="3"/>
  <c r="V1225" i="3"/>
  <c r="V1224" i="3"/>
  <c r="V1223" i="3"/>
  <c r="V1222" i="3"/>
  <c r="V1221" i="3"/>
  <c r="V1220" i="3"/>
  <c r="V1219" i="3"/>
  <c r="V1218" i="3"/>
  <c r="V1217" i="3"/>
  <c r="V1216" i="3"/>
  <c r="V1215" i="3"/>
  <c r="V1214" i="3"/>
  <c r="V1213" i="3"/>
  <c r="V1212" i="3"/>
  <c r="V1211" i="3"/>
  <c r="V1210" i="3"/>
  <c r="V1209" i="3"/>
  <c r="V1208" i="3"/>
  <c r="V1207" i="3"/>
  <c r="V1206" i="3"/>
  <c r="V1205" i="3"/>
  <c r="V1204" i="3"/>
  <c r="V1203" i="3"/>
  <c r="V1202" i="3"/>
  <c r="V1201" i="3"/>
  <c r="V1200" i="3"/>
  <c r="V1199" i="3"/>
  <c r="V1198" i="3"/>
  <c r="V1197" i="3"/>
  <c r="V1196" i="3"/>
  <c r="V1195" i="3"/>
  <c r="V1194" i="3"/>
  <c r="V1193" i="3"/>
  <c r="V1192" i="3"/>
  <c r="V1191" i="3"/>
  <c r="V1190" i="3"/>
  <c r="V1189" i="3"/>
  <c r="V1188" i="3"/>
  <c r="V1187" i="3"/>
  <c r="V1186" i="3"/>
  <c r="V1185" i="3"/>
  <c r="V1184" i="3"/>
  <c r="V1183" i="3"/>
  <c r="V1182" i="3"/>
  <c r="V1181" i="3"/>
  <c r="V1180" i="3"/>
  <c r="V1179" i="3"/>
  <c r="V1178" i="3"/>
  <c r="V1177" i="3"/>
  <c r="V1176" i="3"/>
  <c r="V1175" i="3"/>
  <c r="V1174" i="3"/>
  <c r="V1173" i="3"/>
  <c r="V1172" i="3"/>
  <c r="V1171" i="3"/>
  <c r="V1170" i="3"/>
  <c r="V1169" i="3"/>
  <c r="V1168" i="3"/>
  <c r="V1167" i="3"/>
  <c r="V1166" i="3"/>
  <c r="V1165" i="3"/>
  <c r="V1164" i="3"/>
  <c r="V1163" i="3"/>
  <c r="V1162" i="3"/>
  <c r="V1161" i="3"/>
  <c r="V1160" i="3"/>
  <c r="V1159" i="3"/>
  <c r="V1158" i="3"/>
  <c r="V1157" i="3"/>
  <c r="V1156" i="3"/>
  <c r="V1155" i="3"/>
  <c r="V1154" i="3"/>
  <c r="V1153" i="3"/>
  <c r="V1152" i="3"/>
  <c r="V1151" i="3"/>
  <c r="V1150" i="3"/>
  <c r="V1149" i="3"/>
  <c r="V1148" i="3"/>
  <c r="V1147" i="3"/>
  <c r="V1146" i="3"/>
  <c r="V1145" i="3"/>
  <c r="V1144" i="3"/>
  <c r="V1143" i="3"/>
  <c r="V1142" i="3"/>
  <c r="V1141" i="3"/>
  <c r="V1140" i="3"/>
  <c r="V1139" i="3"/>
  <c r="V1138" i="3"/>
  <c r="V1137" i="3"/>
  <c r="V1136" i="3"/>
  <c r="V1135" i="3"/>
  <c r="V1134" i="3"/>
  <c r="V1133" i="3"/>
  <c r="V1132" i="3"/>
  <c r="V1131" i="3"/>
  <c r="V1130" i="3"/>
  <c r="V1129" i="3"/>
  <c r="V1128" i="3"/>
  <c r="V1127" i="3"/>
  <c r="V1126" i="3"/>
  <c r="V1125" i="3"/>
  <c r="V1124" i="3"/>
  <c r="V1123" i="3"/>
  <c r="V1122" i="3"/>
  <c r="V1121" i="3"/>
  <c r="V1120" i="3"/>
  <c r="V1119" i="3"/>
  <c r="V1118" i="3"/>
  <c r="V1117" i="3"/>
  <c r="V1116" i="3"/>
  <c r="V1115" i="3"/>
  <c r="V1114" i="3"/>
  <c r="V1113" i="3"/>
  <c r="V1112" i="3"/>
  <c r="V1111" i="3"/>
  <c r="V1110" i="3"/>
  <c r="V1109" i="3"/>
  <c r="V1108" i="3"/>
  <c r="V1107" i="3"/>
  <c r="V1106" i="3"/>
  <c r="V1105" i="3"/>
  <c r="V1104" i="3"/>
  <c r="V1103" i="3"/>
  <c r="V1102" i="3"/>
  <c r="V1101" i="3"/>
  <c r="V1100" i="3"/>
  <c r="V1099" i="3"/>
  <c r="V1098" i="3"/>
  <c r="V1097" i="3"/>
  <c r="V1096" i="3"/>
  <c r="V1095" i="3"/>
  <c r="V1094" i="3"/>
  <c r="V1093" i="3"/>
  <c r="V1092" i="3"/>
  <c r="V1091" i="3"/>
  <c r="V1090" i="3"/>
  <c r="V1089" i="3"/>
  <c r="V1088" i="3"/>
  <c r="V1087" i="3"/>
  <c r="V1086" i="3"/>
  <c r="V1085" i="3"/>
  <c r="V1084" i="3"/>
  <c r="V1083" i="3"/>
  <c r="V1082" i="3"/>
  <c r="V1081" i="3"/>
  <c r="V1080" i="3"/>
  <c r="V1079" i="3"/>
  <c r="V1078" i="3"/>
  <c r="V1077" i="3"/>
  <c r="V1076" i="3"/>
  <c r="V1075" i="3"/>
  <c r="V1074" i="3"/>
  <c r="V1073" i="3"/>
  <c r="V1072" i="3"/>
  <c r="V1071" i="3"/>
  <c r="V1070" i="3"/>
  <c r="V1069" i="3"/>
  <c r="V1068" i="3"/>
  <c r="V1067" i="3"/>
  <c r="V1066" i="3"/>
  <c r="V1065" i="3"/>
  <c r="V1064" i="3"/>
  <c r="V1063" i="3"/>
  <c r="V1062" i="3"/>
  <c r="V1061" i="3"/>
  <c r="V1060" i="3"/>
  <c r="V1059" i="3"/>
  <c r="V1058" i="3"/>
  <c r="V1057" i="3"/>
  <c r="V1056" i="3"/>
  <c r="V1055" i="3"/>
  <c r="V1054" i="3"/>
  <c r="V1053" i="3"/>
  <c r="V1052" i="3"/>
  <c r="V1051" i="3"/>
  <c r="V1050" i="3"/>
  <c r="V1049" i="3"/>
  <c r="V1048" i="3"/>
  <c r="V1047" i="3"/>
  <c r="V1046" i="3"/>
  <c r="V1045" i="3"/>
  <c r="V1044" i="3"/>
  <c r="V1043" i="3"/>
  <c r="V1042" i="3"/>
  <c r="V1041" i="3"/>
  <c r="V1040" i="3"/>
  <c r="V1039" i="3"/>
  <c r="V1038" i="3"/>
  <c r="V1037" i="3"/>
  <c r="V1036" i="3"/>
  <c r="V1035" i="3"/>
  <c r="V1034" i="3"/>
  <c r="V1033" i="3"/>
  <c r="V1032" i="3"/>
  <c r="V1031" i="3"/>
  <c r="V1030" i="3"/>
  <c r="V1029" i="3"/>
  <c r="V1028" i="3"/>
  <c r="V1027" i="3"/>
  <c r="V1026" i="3"/>
  <c r="V1025" i="3"/>
  <c r="V1024" i="3"/>
  <c r="V1023" i="3"/>
  <c r="V1022" i="3"/>
  <c r="V1021" i="3"/>
  <c r="V1020" i="3"/>
  <c r="V1019" i="3"/>
  <c r="V1018" i="3"/>
  <c r="V1017" i="3"/>
  <c r="V1016" i="3"/>
  <c r="V1015" i="3"/>
  <c r="V1014" i="3"/>
  <c r="V1013" i="3"/>
  <c r="V1012" i="3"/>
  <c r="V1011" i="3"/>
  <c r="V1010" i="3"/>
  <c r="V1009" i="3"/>
  <c r="V1008" i="3"/>
  <c r="V1007" i="3"/>
  <c r="V1006" i="3"/>
  <c r="V1005" i="3"/>
  <c r="V1004" i="3"/>
  <c r="V1003" i="3"/>
  <c r="V1002" i="3"/>
  <c r="V1001" i="3"/>
  <c r="V1000" i="3"/>
  <c r="V999" i="3"/>
  <c r="V998" i="3"/>
  <c r="V997" i="3"/>
  <c r="V996" i="3"/>
  <c r="V995" i="3"/>
  <c r="V994" i="3"/>
  <c r="V993" i="3"/>
  <c r="V992" i="3"/>
  <c r="V991" i="3"/>
  <c r="V990" i="3"/>
  <c r="V989" i="3"/>
  <c r="V988" i="3"/>
  <c r="V987" i="3"/>
  <c r="V986" i="3"/>
  <c r="V985" i="3"/>
  <c r="V984" i="3"/>
  <c r="V983" i="3"/>
  <c r="V982" i="3"/>
  <c r="V981" i="3"/>
  <c r="V980" i="3"/>
  <c r="V979" i="3"/>
  <c r="V978" i="3"/>
  <c r="V977" i="3"/>
  <c r="V976" i="3"/>
  <c r="V975" i="3"/>
  <c r="V974" i="3"/>
  <c r="V973" i="3"/>
  <c r="V972" i="3"/>
  <c r="V971" i="3"/>
  <c r="V970" i="3"/>
  <c r="V969" i="3"/>
  <c r="V968" i="3"/>
  <c r="V967" i="3"/>
  <c r="V966" i="3"/>
  <c r="V965" i="3"/>
  <c r="V964" i="3"/>
  <c r="V963" i="3"/>
  <c r="V962" i="3"/>
  <c r="V961" i="3"/>
  <c r="V960" i="3"/>
  <c r="V959" i="3"/>
  <c r="V958" i="3"/>
  <c r="V957" i="3"/>
  <c r="V956" i="3"/>
  <c r="V955" i="3"/>
  <c r="V954" i="3"/>
  <c r="V953" i="3"/>
  <c r="V952" i="3"/>
  <c r="V951" i="3"/>
  <c r="V950" i="3"/>
  <c r="V949" i="3"/>
  <c r="V948" i="3"/>
  <c r="V947" i="3"/>
  <c r="V946" i="3"/>
  <c r="V945" i="3"/>
  <c r="V944" i="3"/>
  <c r="V943" i="3"/>
  <c r="V942" i="3"/>
  <c r="V941" i="3"/>
  <c r="V940" i="3"/>
  <c r="V939" i="3"/>
  <c r="V938" i="3"/>
  <c r="V937" i="3"/>
  <c r="V936" i="3"/>
  <c r="V935" i="3"/>
  <c r="V934" i="3"/>
  <c r="V933" i="3"/>
  <c r="V932" i="3"/>
  <c r="V931" i="3"/>
  <c r="V930" i="3"/>
  <c r="V929" i="3"/>
  <c r="V928" i="3"/>
  <c r="V927" i="3"/>
  <c r="V926" i="3"/>
  <c r="V925" i="3"/>
  <c r="V924" i="3"/>
  <c r="V923" i="3"/>
  <c r="V922" i="3"/>
  <c r="V921" i="3"/>
  <c r="V920" i="3"/>
  <c r="V919" i="3"/>
  <c r="V918" i="3"/>
  <c r="V917" i="3"/>
  <c r="V916" i="3"/>
  <c r="V915" i="3"/>
  <c r="V914" i="3"/>
  <c r="V913" i="3"/>
  <c r="V912" i="3"/>
  <c r="V911" i="3"/>
  <c r="V910" i="3"/>
  <c r="V909" i="3"/>
  <c r="V908" i="3"/>
  <c r="V907" i="3"/>
  <c r="V906" i="3"/>
  <c r="V905" i="3"/>
  <c r="V904" i="3"/>
  <c r="V903" i="3"/>
  <c r="V902" i="3"/>
  <c r="V901" i="3"/>
  <c r="V900" i="3"/>
  <c r="V899" i="3"/>
  <c r="V898" i="3"/>
  <c r="V897" i="3"/>
  <c r="V896" i="3"/>
  <c r="V895" i="3"/>
  <c r="V894" i="3"/>
  <c r="V893" i="3"/>
  <c r="V892" i="3"/>
  <c r="V891" i="3"/>
  <c r="V890" i="3"/>
  <c r="V889" i="3"/>
  <c r="V888" i="3"/>
  <c r="V887" i="3"/>
  <c r="V886" i="3"/>
  <c r="V885" i="3"/>
  <c r="V884" i="3"/>
  <c r="V883" i="3"/>
  <c r="V882" i="3"/>
  <c r="V881" i="3"/>
  <c r="V880" i="3"/>
  <c r="V879" i="3"/>
  <c r="V878" i="3"/>
  <c r="V877" i="3"/>
  <c r="V876" i="3"/>
  <c r="V875" i="3"/>
  <c r="V874" i="3"/>
  <c r="V873" i="3"/>
  <c r="V872" i="3"/>
  <c r="V871" i="3"/>
  <c r="V870" i="3"/>
  <c r="V869" i="3"/>
  <c r="V868" i="3"/>
  <c r="V867" i="3"/>
  <c r="V866" i="3"/>
  <c r="V865" i="3"/>
  <c r="V864" i="3"/>
  <c r="V863" i="3"/>
  <c r="V862" i="3"/>
  <c r="V861" i="3"/>
  <c r="V860" i="3"/>
  <c r="V859" i="3"/>
  <c r="V858" i="3"/>
  <c r="V857" i="3"/>
  <c r="V856" i="3"/>
  <c r="V855" i="3"/>
  <c r="V854" i="3"/>
  <c r="V853" i="3"/>
  <c r="V852" i="3"/>
  <c r="V851" i="3"/>
  <c r="V850" i="3"/>
  <c r="V849" i="3"/>
  <c r="V848" i="3"/>
  <c r="V847" i="3"/>
  <c r="V846" i="3"/>
  <c r="V845" i="3"/>
  <c r="V844" i="3"/>
  <c r="V843" i="3"/>
  <c r="V842" i="3"/>
  <c r="V841" i="3"/>
  <c r="V840" i="3"/>
  <c r="V839" i="3"/>
  <c r="V838" i="3"/>
  <c r="V837" i="3"/>
  <c r="V836" i="3"/>
  <c r="V835" i="3"/>
  <c r="V834" i="3"/>
  <c r="V833" i="3"/>
  <c r="V832" i="3"/>
  <c r="V831" i="3"/>
  <c r="V830" i="3"/>
  <c r="V829" i="3"/>
  <c r="V828" i="3"/>
  <c r="V827" i="3"/>
  <c r="V826" i="3"/>
  <c r="V825" i="3"/>
  <c r="V824" i="3"/>
  <c r="V823" i="3"/>
  <c r="V822" i="3"/>
  <c r="V821" i="3"/>
  <c r="V820" i="3"/>
  <c r="V819" i="3"/>
  <c r="V818" i="3"/>
  <c r="V817" i="3"/>
  <c r="V816" i="3"/>
  <c r="V815" i="3"/>
  <c r="V814" i="3"/>
  <c r="V813" i="3"/>
  <c r="V812" i="3"/>
  <c r="V811" i="3"/>
  <c r="V810" i="3"/>
  <c r="V809" i="3"/>
  <c r="V808" i="3"/>
  <c r="V807" i="3"/>
  <c r="V806" i="3"/>
  <c r="V805" i="3"/>
  <c r="V804" i="3"/>
  <c r="V803" i="3"/>
  <c r="V802" i="3"/>
  <c r="V801" i="3"/>
  <c r="V800" i="3"/>
  <c r="V799" i="3"/>
  <c r="V798" i="3"/>
  <c r="V797" i="3"/>
  <c r="V796" i="3"/>
  <c r="V795" i="3"/>
  <c r="V794" i="3"/>
  <c r="V793" i="3"/>
  <c r="V792" i="3"/>
  <c r="V791" i="3"/>
  <c r="V790" i="3"/>
  <c r="V789" i="3"/>
  <c r="V788" i="3"/>
  <c r="V787" i="3"/>
  <c r="V786" i="3"/>
  <c r="V785" i="3"/>
  <c r="V784" i="3"/>
  <c r="V783" i="3"/>
  <c r="V782" i="3"/>
  <c r="V781" i="3"/>
  <c r="V780" i="3"/>
  <c r="V779" i="3"/>
  <c r="V778" i="3"/>
  <c r="V777" i="3"/>
  <c r="V776" i="3"/>
  <c r="V775" i="3"/>
  <c r="V774" i="3"/>
  <c r="V773" i="3"/>
  <c r="V772" i="3"/>
  <c r="V771" i="3"/>
  <c r="V770" i="3"/>
  <c r="V769" i="3"/>
  <c r="V768" i="3"/>
  <c r="V767" i="3"/>
  <c r="V766" i="3"/>
  <c r="V765" i="3"/>
  <c r="V764" i="3"/>
  <c r="V763" i="3"/>
  <c r="V762" i="3"/>
  <c r="V761" i="3"/>
  <c r="V760" i="3"/>
  <c r="V759" i="3"/>
  <c r="V758" i="3"/>
  <c r="V757" i="3"/>
  <c r="V756" i="3"/>
  <c r="V755" i="3"/>
  <c r="V754" i="3"/>
  <c r="V753" i="3"/>
  <c r="V752" i="3"/>
  <c r="V751" i="3"/>
  <c r="V750" i="3"/>
  <c r="V749" i="3"/>
  <c r="V748" i="3"/>
  <c r="V747" i="3"/>
  <c r="V746" i="3"/>
  <c r="V745" i="3"/>
  <c r="V744" i="3"/>
  <c r="V743" i="3"/>
  <c r="V742" i="3"/>
  <c r="V741" i="3"/>
  <c r="V740" i="3"/>
  <c r="V739" i="3"/>
  <c r="V738" i="3"/>
  <c r="V737" i="3"/>
  <c r="V736" i="3"/>
  <c r="V735" i="3"/>
  <c r="V734" i="3"/>
  <c r="V733" i="3"/>
  <c r="V732" i="3"/>
  <c r="V731" i="3"/>
  <c r="V730" i="3"/>
  <c r="V729" i="3"/>
  <c r="V728" i="3"/>
  <c r="V727" i="3"/>
  <c r="V726" i="3"/>
  <c r="V725" i="3"/>
  <c r="V724" i="3"/>
  <c r="V723" i="3"/>
  <c r="V722" i="3"/>
  <c r="V721" i="3"/>
  <c r="V720" i="3"/>
  <c r="V719" i="3"/>
  <c r="V718" i="3"/>
  <c r="V717" i="3"/>
  <c r="V716" i="3"/>
  <c r="V715" i="3"/>
  <c r="V714" i="3"/>
  <c r="V713" i="3"/>
  <c r="V712" i="3"/>
  <c r="V711" i="3"/>
  <c r="V710" i="3"/>
  <c r="V709" i="3"/>
  <c r="V708" i="3"/>
  <c r="V707" i="3"/>
  <c r="V706" i="3"/>
  <c r="V705" i="3"/>
  <c r="V704" i="3"/>
  <c r="V703" i="3"/>
  <c r="V702" i="3"/>
  <c r="V701" i="3"/>
  <c r="V700" i="3"/>
  <c r="V699" i="3"/>
  <c r="V698" i="3"/>
  <c r="V697" i="3"/>
  <c r="V696" i="3"/>
  <c r="V695" i="3"/>
  <c r="V694" i="3"/>
  <c r="V693" i="3"/>
  <c r="V692" i="3"/>
  <c r="V691" i="3"/>
  <c r="V690" i="3"/>
  <c r="V689" i="3"/>
  <c r="V688" i="3"/>
  <c r="V687" i="3"/>
  <c r="V686" i="3"/>
  <c r="V685" i="3"/>
  <c r="V684" i="3"/>
  <c r="V683" i="3"/>
  <c r="V682" i="3"/>
  <c r="V681" i="3"/>
  <c r="V680" i="3"/>
  <c r="V679" i="3"/>
  <c r="V678" i="3"/>
  <c r="V677" i="3"/>
  <c r="V676" i="3"/>
  <c r="V675" i="3"/>
  <c r="V674" i="3"/>
  <c r="V673" i="3"/>
  <c r="V672" i="3"/>
  <c r="V671" i="3"/>
  <c r="V670" i="3"/>
  <c r="V669" i="3"/>
  <c r="V668" i="3"/>
  <c r="V667" i="3"/>
  <c r="V666" i="3"/>
  <c r="V665" i="3"/>
  <c r="V664" i="3"/>
  <c r="V663" i="3"/>
  <c r="V662" i="3"/>
  <c r="V661" i="3"/>
  <c r="V660" i="3"/>
  <c r="V659" i="3"/>
  <c r="V658" i="3"/>
  <c r="V657" i="3"/>
  <c r="V656" i="3"/>
  <c r="V655" i="3"/>
  <c r="V654" i="3"/>
  <c r="V653" i="3"/>
  <c r="V652" i="3"/>
  <c r="V651" i="3"/>
  <c r="V650" i="3"/>
  <c r="V649" i="3"/>
  <c r="V648" i="3"/>
  <c r="V647" i="3"/>
  <c r="V646" i="3"/>
  <c r="V645" i="3"/>
  <c r="V644" i="3"/>
  <c r="V643" i="3"/>
  <c r="V642" i="3"/>
  <c r="V641" i="3"/>
  <c r="V640" i="3"/>
  <c r="V639" i="3"/>
  <c r="V638" i="3"/>
  <c r="V637" i="3"/>
  <c r="V636" i="3"/>
  <c r="V635" i="3"/>
  <c r="V634" i="3"/>
  <c r="V633" i="3"/>
  <c r="V632" i="3"/>
  <c r="V631" i="3"/>
  <c r="V630" i="3"/>
  <c r="V629" i="3"/>
  <c r="V628" i="3"/>
  <c r="V627" i="3"/>
  <c r="V626" i="3"/>
  <c r="V625" i="3"/>
  <c r="V624" i="3"/>
  <c r="V623" i="3"/>
  <c r="V622" i="3"/>
  <c r="V621" i="3"/>
  <c r="V620" i="3"/>
  <c r="V619" i="3"/>
  <c r="V618" i="3"/>
  <c r="V617" i="3"/>
  <c r="V616" i="3"/>
  <c r="V615" i="3"/>
  <c r="V614" i="3"/>
  <c r="V613" i="3"/>
  <c r="V612" i="3"/>
  <c r="V611" i="3"/>
  <c r="V610" i="3"/>
  <c r="V609" i="3"/>
  <c r="V608" i="3"/>
  <c r="V607" i="3"/>
  <c r="V606" i="3"/>
  <c r="V605" i="3"/>
  <c r="V604" i="3"/>
  <c r="V603" i="3"/>
  <c r="V602" i="3"/>
  <c r="V601" i="3"/>
  <c r="V600" i="3"/>
  <c r="V599" i="3"/>
  <c r="V598" i="3"/>
  <c r="V597" i="3"/>
  <c r="V596" i="3"/>
  <c r="V595" i="3"/>
  <c r="V594" i="3"/>
  <c r="V593" i="3"/>
  <c r="V592" i="3"/>
  <c r="V591" i="3"/>
  <c r="V590" i="3"/>
  <c r="V589" i="3"/>
  <c r="V588" i="3"/>
  <c r="V587" i="3"/>
  <c r="V586" i="3"/>
  <c r="V585" i="3"/>
  <c r="V584" i="3"/>
  <c r="V583" i="3"/>
  <c r="V582" i="3"/>
  <c r="V581" i="3"/>
  <c r="V580" i="3"/>
  <c r="V579" i="3"/>
  <c r="V578" i="3"/>
  <c r="V577" i="3"/>
  <c r="V576" i="3"/>
  <c r="V575" i="3"/>
  <c r="V574" i="3"/>
  <c r="V573" i="3"/>
  <c r="V572" i="3"/>
  <c r="V571" i="3"/>
  <c r="V570" i="3"/>
  <c r="V569" i="3"/>
  <c r="V568" i="3"/>
  <c r="V567" i="3"/>
  <c r="V566" i="3"/>
  <c r="V565" i="3"/>
  <c r="V564" i="3"/>
  <c r="V563" i="3"/>
  <c r="V562" i="3"/>
  <c r="V561" i="3"/>
  <c r="V560" i="3"/>
  <c r="V559" i="3"/>
  <c r="V558" i="3"/>
  <c r="V557" i="3"/>
  <c r="V556" i="3"/>
  <c r="V555" i="3"/>
  <c r="V554" i="3"/>
  <c r="V553" i="3"/>
  <c r="V552" i="3"/>
  <c r="V551" i="3"/>
  <c r="V550" i="3"/>
  <c r="V549" i="3"/>
  <c r="V548" i="3"/>
  <c r="V547" i="3"/>
  <c r="V546" i="3"/>
  <c r="V545" i="3"/>
  <c r="V544" i="3"/>
  <c r="V543" i="3"/>
  <c r="V542" i="3"/>
  <c r="V541" i="3"/>
  <c r="V540" i="3"/>
  <c r="V539" i="3"/>
  <c r="V538" i="3"/>
  <c r="V537" i="3"/>
  <c r="V536" i="3"/>
  <c r="V535" i="3"/>
  <c r="V534" i="3"/>
  <c r="V533" i="3"/>
  <c r="V532" i="3"/>
  <c r="V531" i="3"/>
  <c r="V530" i="3"/>
  <c r="V529" i="3"/>
  <c r="V528" i="3"/>
  <c r="V527" i="3"/>
  <c r="V526" i="3"/>
  <c r="V525" i="3"/>
  <c r="V524" i="3"/>
  <c r="V523" i="3"/>
  <c r="V522" i="3"/>
  <c r="V521" i="3"/>
  <c r="V520" i="3"/>
  <c r="V519" i="3"/>
  <c r="V518" i="3"/>
  <c r="V517" i="3"/>
  <c r="V516" i="3"/>
  <c r="V515" i="3"/>
  <c r="V514" i="3"/>
  <c r="V513" i="3"/>
  <c r="V512" i="3"/>
  <c r="V511" i="3"/>
  <c r="V510" i="3"/>
  <c r="V509" i="3"/>
  <c r="V508" i="3"/>
  <c r="V507" i="3"/>
  <c r="V506" i="3"/>
  <c r="V505" i="3"/>
  <c r="V504" i="3"/>
  <c r="V503" i="3"/>
  <c r="V502" i="3"/>
  <c r="V501" i="3"/>
  <c r="V500" i="3"/>
  <c r="V499" i="3"/>
  <c r="V498" i="3"/>
  <c r="V497" i="3"/>
  <c r="V496" i="3"/>
  <c r="V495" i="3"/>
  <c r="V494" i="3"/>
  <c r="V493" i="3"/>
  <c r="V492" i="3"/>
  <c r="V491" i="3"/>
  <c r="V490" i="3"/>
  <c r="V489" i="3"/>
  <c r="V488" i="3"/>
  <c r="V487" i="3"/>
  <c r="V486" i="3"/>
  <c r="V485" i="3"/>
  <c r="V484" i="3"/>
  <c r="V483" i="3"/>
  <c r="V482" i="3"/>
  <c r="V481" i="3"/>
  <c r="V480" i="3"/>
  <c r="V479" i="3"/>
  <c r="V478" i="3"/>
  <c r="V477" i="3"/>
  <c r="V476" i="3"/>
  <c r="V475" i="3"/>
  <c r="V474" i="3"/>
  <c r="V473" i="3"/>
  <c r="V472" i="3"/>
  <c r="V471" i="3"/>
  <c r="V470" i="3"/>
  <c r="V469" i="3"/>
  <c r="V468" i="3"/>
  <c r="V467" i="3"/>
  <c r="V466" i="3"/>
  <c r="V465" i="3"/>
  <c r="V464" i="3"/>
  <c r="V463" i="3"/>
  <c r="V462" i="3"/>
  <c r="V461" i="3"/>
  <c r="V460" i="3"/>
  <c r="V459"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alcChain>
</file>

<file path=xl/sharedStrings.xml><?xml version="1.0" encoding="utf-8"?>
<sst xmlns="http://schemas.openxmlformats.org/spreadsheetml/2006/main" count="19146" uniqueCount="5180">
  <si>
    <t>Data_USCivilAviation</t>
  </si>
  <si>
    <t>This worksheet contains NTSB accident data (one row per accident aircraft) for all United States civil aviation accidents in calendar year 2016. Commercial space transportation operations conducted under 14 CFR Part 437 are not included. The data dictionary for this worksheet is shown below.</t>
  </si>
  <si>
    <t>AccidentSummary</t>
  </si>
  <si>
    <t>This worksheet summarizes accidents, fatalities, and fatal accidents for major segments of US civil aviation in 2016, using NTSB accident data.</t>
  </si>
  <si>
    <t>This workbook contains the following worksheets:</t>
  </si>
  <si>
    <t>US Civil Aviation Accident Aircraft, 2016</t>
  </si>
  <si>
    <t>ntsb_no</t>
  </si>
  <si>
    <t>aircraft_key</t>
  </si>
  <si>
    <t>ev_date</t>
  </si>
  <si>
    <t>latitude</t>
  </si>
  <si>
    <t>longitude</t>
  </si>
  <si>
    <t>ev_city</t>
  </si>
  <si>
    <t>ev_state</t>
  </si>
  <si>
    <t>ev_country</t>
  </si>
  <si>
    <t>inj_tot_f</t>
  </si>
  <si>
    <t>inj_tot_s</t>
  </si>
  <si>
    <t>ev_highest_injury</t>
  </si>
  <si>
    <t>damage</t>
  </si>
  <si>
    <t>far_part</t>
  </si>
  <si>
    <t>oper_pax_cargo</t>
  </si>
  <si>
    <t>oper_dom_int</t>
  </si>
  <si>
    <t>oper_sched</t>
  </si>
  <si>
    <t>acft_category</t>
  </si>
  <si>
    <t>type_fly</t>
  </si>
  <si>
    <t>CICTTEvent</t>
  </si>
  <si>
    <t>CICTTPhase</t>
  </si>
  <si>
    <t>IllegalAct</t>
  </si>
  <si>
    <t>accident_report</t>
  </si>
  <si>
    <t>WPR16LA045</t>
  </si>
  <si>
    <t>474636N</t>
  </si>
  <si>
    <t>1170542W</t>
  </si>
  <si>
    <t>Newman Lake</t>
  </si>
  <si>
    <t>WA</t>
  </si>
  <si>
    <t>USA</t>
  </si>
  <si>
    <t>NONE</t>
  </si>
  <si>
    <t>SUBS</t>
  </si>
  <si>
    <t xml:space="preserve">091 </t>
  </si>
  <si>
    <t xml:space="preserve">AIR </t>
  </si>
  <si>
    <t>PERS</t>
  </si>
  <si>
    <t>SCF-PP</t>
  </si>
  <si>
    <t>MNV</t>
  </si>
  <si>
    <t>No</t>
  </si>
  <si>
    <t>GAA16CA094</t>
  </si>
  <si>
    <t>364644N</t>
  </si>
  <si>
    <t>0762644W</t>
  </si>
  <si>
    <t>CHESAPEAKE</t>
  </si>
  <si>
    <t>VA</t>
  </si>
  <si>
    <t>MINR</t>
  </si>
  <si>
    <t>LOC-I</t>
  </si>
  <si>
    <t>TOF</t>
  </si>
  <si>
    <t>ANC16LA012</t>
  </si>
  <si>
    <t>680442N</t>
  </si>
  <si>
    <t>1515347W</t>
  </si>
  <si>
    <t>Anaktuvuk Pass</t>
  </si>
  <si>
    <t>AK</t>
  </si>
  <si>
    <t>SERS</t>
  </si>
  <si>
    <t xml:space="preserve">135 </t>
  </si>
  <si>
    <t xml:space="preserve">PAX </t>
  </si>
  <si>
    <t>DOM</t>
  </si>
  <si>
    <t>SCHD</t>
  </si>
  <si>
    <t>CFIT</t>
  </si>
  <si>
    <t>ENR</t>
  </si>
  <si>
    <t>WPR16LA047</t>
  </si>
  <si>
    <t>345303N</t>
  </si>
  <si>
    <t>1181242W</t>
  </si>
  <si>
    <t>Rosamond</t>
  </si>
  <si>
    <t>CA</t>
  </si>
  <si>
    <t>GAA16CA093</t>
  </si>
  <si>
    <t>414028N</t>
  </si>
  <si>
    <t>0930118W</t>
  </si>
  <si>
    <t>Newton</t>
  </si>
  <si>
    <t>IA</t>
  </si>
  <si>
    <t>RE</t>
  </si>
  <si>
    <t>LDG</t>
  </si>
  <si>
    <t>WPR16LA049</t>
  </si>
  <si>
    <t>445406N</t>
  </si>
  <si>
    <t>1230013W</t>
  </si>
  <si>
    <t>Salem</t>
  </si>
  <si>
    <t>OR</t>
  </si>
  <si>
    <t>APR</t>
  </si>
  <si>
    <t>GAA16CA098</t>
  </si>
  <si>
    <t>363956N</t>
  </si>
  <si>
    <t>0761914W</t>
  </si>
  <si>
    <t>Chesapeake</t>
  </si>
  <si>
    <t>ARC</t>
  </si>
  <si>
    <t>CEN16FA073</t>
  </si>
  <si>
    <t>421004N</t>
  </si>
  <si>
    <t>0965046W</t>
  </si>
  <si>
    <t>Wayne</t>
  </si>
  <si>
    <t>NE</t>
  </si>
  <si>
    <t>FATL</t>
  </si>
  <si>
    <t>UIMC</t>
  </si>
  <si>
    <t>CEN16LA078</t>
  </si>
  <si>
    <t>273224N</t>
  </si>
  <si>
    <t>0970712W</t>
  </si>
  <si>
    <t>Ingleside</t>
  </si>
  <si>
    <t>TX</t>
  </si>
  <si>
    <t>FUEL</t>
  </si>
  <si>
    <t>DCA16CA041</t>
  </si>
  <si>
    <t>355239N</t>
  </si>
  <si>
    <t>0784715W</t>
  </si>
  <si>
    <t>Raleigh</t>
  </si>
  <si>
    <t>NC</t>
  </si>
  <si>
    <t xml:space="preserve">121 </t>
  </si>
  <si>
    <t>TURB</t>
  </si>
  <si>
    <t>WPR16FA046</t>
  </si>
  <si>
    <t>431216N</t>
  </si>
  <si>
    <t>1110419W</t>
  </si>
  <si>
    <t>Alpine</t>
  </si>
  <si>
    <t>WY</t>
  </si>
  <si>
    <t>DEST</t>
  </si>
  <si>
    <t>ERA16CA080</t>
  </si>
  <si>
    <t>275431N</t>
  </si>
  <si>
    <t>0824111W</t>
  </si>
  <si>
    <t>Clearwater</t>
  </si>
  <si>
    <t>FL</t>
  </si>
  <si>
    <t>WPR16LA048</t>
  </si>
  <si>
    <t>355927N</t>
  </si>
  <si>
    <t>1150759W</t>
  </si>
  <si>
    <t>Henderson</t>
  </si>
  <si>
    <t>NV</t>
  </si>
  <si>
    <t>GAA16CA097</t>
  </si>
  <si>
    <t>471048N</t>
  </si>
  <si>
    <t>1132643W</t>
  </si>
  <si>
    <t>Seeley Lake</t>
  </si>
  <si>
    <t>MT</t>
  </si>
  <si>
    <t>CEN16LA092</t>
  </si>
  <si>
    <t>330930N</t>
  </si>
  <si>
    <t>0953716W</t>
  </si>
  <si>
    <t>Sulfur Springs</t>
  </si>
  <si>
    <t>INST</t>
  </si>
  <si>
    <t>LOC-G</t>
  </si>
  <si>
    <t>ERA16LA082</t>
  </si>
  <si>
    <t>320739N</t>
  </si>
  <si>
    <t>0811208W</t>
  </si>
  <si>
    <t>SAVANNAH</t>
  </si>
  <si>
    <t>GA</t>
  </si>
  <si>
    <t>POSI</t>
  </si>
  <si>
    <t>ERA16FA084</t>
  </si>
  <si>
    <t>361146N</t>
  </si>
  <si>
    <t>0861830W</t>
  </si>
  <si>
    <t>Lebanon</t>
  </si>
  <si>
    <t>TN</t>
  </si>
  <si>
    <t>ICL</t>
  </si>
  <si>
    <t>CEN16LA098</t>
  </si>
  <si>
    <t>465514N</t>
  </si>
  <si>
    <t>0964857W</t>
  </si>
  <si>
    <t>Fargo</t>
  </si>
  <si>
    <t>ND</t>
  </si>
  <si>
    <t>ERA16LA086</t>
  </si>
  <si>
    <t>283740N</t>
  </si>
  <si>
    <t>0814810W</t>
  </si>
  <si>
    <t>Minneola</t>
  </si>
  <si>
    <t>WPR16LA050</t>
  </si>
  <si>
    <t>364356N</t>
  </si>
  <si>
    <t>1194913W</t>
  </si>
  <si>
    <t>Fresno</t>
  </si>
  <si>
    <t>GAA16CA348</t>
  </si>
  <si>
    <t>181549N</t>
  </si>
  <si>
    <t>0660005W</t>
  </si>
  <si>
    <t>Carolina</t>
  </si>
  <si>
    <t>PR</t>
  </si>
  <si>
    <t>NSCH</t>
  </si>
  <si>
    <t>GCOL</t>
  </si>
  <si>
    <t>STD</t>
  </si>
  <si>
    <t>GAA16CA101</t>
  </si>
  <si>
    <t>303721N</t>
  </si>
  <si>
    <t>0910828W</t>
  </si>
  <si>
    <t>Baton Rouge</t>
  </si>
  <si>
    <t>LA</t>
  </si>
  <si>
    <t>AOBV</t>
  </si>
  <si>
    <t>BIRD</t>
  </si>
  <si>
    <t>CEN16FA083</t>
  </si>
  <si>
    <t>324102N</t>
  </si>
  <si>
    <t>0945704E</t>
  </si>
  <si>
    <t>Gilmer</t>
  </si>
  <si>
    <t>GAA16CA104</t>
  </si>
  <si>
    <t>311918N</t>
  </si>
  <si>
    <t>0852705W</t>
  </si>
  <si>
    <t>Dothan</t>
  </si>
  <si>
    <t>AL</t>
  </si>
  <si>
    <t>GAA16LA100</t>
  </si>
  <si>
    <t>445002N</t>
  </si>
  <si>
    <t>1190423W</t>
  </si>
  <si>
    <t>Ritter Butte</t>
  </si>
  <si>
    <t>HELI</t>
  </si>
  <si>
    <t>OWRK</t>
  </si>
  <si>
    <t>GAA16CA105</t>
  </si>
  <si>
    <t>410440N</t>
  </si>
  <si>
    <t>1022753W</t>
  </si>
  <si>
    <t>Chappell</t>
  </si>
  <si>
    <t>OTHR</t>
  </si>
  <si>
    <t>ERA16FA089</t>
  </si>
  <si>
    <t>373355N</t>
  </si>
  <si>
    <t>0762657W</t>
  </si>
  <si>
    <t>Wake</t>
  </si>
  <si>
    <t>SCF-NP</t>
  </si>
  <si>
    <t>CEN16FA087</t>
  </si>
  <si>
    <t>315751N</t>
  </si>
  <si>
    <t>1013931W</t>
  </si>
  <si>
    <t>Garden City</t>
  </si>
  <si>
    <t>LALT</t>
  </si>
  <si>
    <t>CEN16FA086</t>
  </si>
  <si>
    <t>400308N</t>
  </si>
  <si>
    <t>1081643W</t>
  </si>
  <si>
    <t>Meeker</t>
  </si>
  <si>
    <t>CO</t>
  </si>
  <si>
    <t>GAA16CA108</t>
  </si>
  <si>
    <t>411201N</t>
  </si>
  <si>
    <t>0743723W</t>
  </si>
  <si>
    <t>Sussex</t>
  </si>
  <si>
    <t>NJ</t>
  </si>
  <si>
    <t>GAA16CA109</t>
  </si>
  <si>
    <t>613125N</t>
  </si>
  <si>
    <t>1660846W</t>
  </si>
  <si>
    <t>Hooper Bay</t>
  </si>
  <si>
    <t>ERA16LA090</t>
  </si>
  <si>
    <t>354925N</t>
  </si>
  <si>
    <t>0843220W</t>
  </si>
  <si>
    <t>Kingston</t>
  </si>
  <si>
    <t>ERA16CA102</t>
  </si>
  <si>
    <t>281350N</t>
  </si>
  <si>
    <t>0820940W</t>
  </si>
  <si>
    <t>Zephyrhills</t>
  </si>
  <si>
    <t>ERA16LA091</t>
  </si>
  <si>
    <t>332530N</t>
  </si>
  <si>
    <t>0832750W</t>
  </si>
  <si>
    <t>Madison</t>
  </si>
  <si>
    <t>WPR16FA055</t>
  </si>
  <si>
    <t>221023N</t>
  </si>
  <si>
    <t>1593929W</t>
  </si>
  <si>
    <t>Hanalei</t>
  </si>
  <si>
    <t>HI</t>
  </si>
  <si>
    <t>CEN16LA090</t>
  </si>
  <si>
    <t>340444N</t>
  </si>
  <si>
    <t>0970633W</t>
  </si>
  <si>
    <t>Overbrook</t>
  </si>
  <si>
    <t>OK</t>
  </si>
  <si>
    <t>WPR16FA054</t>
  </si>
  <si>
    <t>401850N</t>
  </si>
  <si>
    <t>1120451W</t>
  </si>
  <si>
    <t>Cedar Fort</t>
  </si>
  <si>
    <t>UT</t>
  </si>
  <si>
    <t>UNK</t>
  </si>
  <si>
    <t>GAA16CA103</t>
  </si>
  <si>
    <t>324308N</t>
  </si>
  <si>
    <t>0985330W</t>
  </si>
  <si>
    <t>Breckenridge</t>
  </si>
  <si>
    <t>ERA16LA092</t>
  </si>
  <si>
    <t>323353N</t>
  </si>
  <si>
    <t>0825906W</t>
  </si>
  <si>
    <t>Dublin</t>
  </si>
  <si>
    <t>ERA16CA093</t>
  </si>
  <si>
    <t>270418N</t>
  </si>
  <si>
    <t>0822625W</t>
  </si>
  <si>
    <t>Venice</t>
  </si>
  <si>
    <t>GAA16CA106</t>
  </si>
  <si>
    <t>324856N</t>
  </si>
  <si>
    <t>0962118W</t>
  </si>
  <si>
    <t>Terrell</t>
  </si>
  <si>
    <t>GAA16CA107</t>
  </si>
  <si>
    <t>382007N</t>
  </si>
  <si>
    <t>0950654W</t>
  </si>
  <si>
    <t>Ottawa</t>
  </si>
  <si>
    <t>KS</t>
  </si>
  <si>
    <t>ICE</t>
  </si>
  <si>
    <t>GAA16CA110</t>
  </si>
  <si>
    <t>373849N</t>
  </si>
  <si>
    <t>0754544W</t>
  </si>
  <si>
    <t>Melfa</t>
  </si>
  <si>
    <t>CEN16LA093</t>
  </si>
  <si>
    <t>374528N</t>
  </si>
  <si>
    <t>0971310W</t>
  </si>
  <si>
    <t>Wichita</t>
  </si>
  <si>
    <t xml:space="preserve">BUS </t>
  </si>
  <si>
    <t>WPR16LA056</t>
  </si>
  <si>
    <t>361602N</t>
  </si>
  <si>
    <t>1152028W</t>
  </si>
  <si>
    <t>Las Vegas</t>
  </si>
  <si>
    <t>CEN16LA102</t>
  </si>
  <si>
    <t>331322N</t>
  </si>
  <si>
    <t>0972049W</t>
  </si>
  <si>
    <t>Denton</t>
  </si>
  <si>
    <t>GAA16CA113</t>
  </si>
  <si>
    <t>343920N</t>
  </si>
  <si>
    <t>1122507W</t>
  </si>
  <si>
    <t>Prescott</t>
  </si>
  <si>
    <t>AZ</t>
  </si>
  <si>
    <t>WPR16LA057</t>
  </si>
  <si>
    <t>332500N</t>
  </si>
  <si>
    <t>1120116W</t>
  </si>
  <si>
    <t>Phoenix</t>
  </si>
  <si>
    <t>DCA16CA070</t>
  </si>
  <si>
    <t>404114N</t>
  </si>
  <si>
    <t>0741039W</t>
  </si>
  <si>
    <t>Newark</t>
  </si>
  <si>
    <t>GAA16CA112</t>
  </si>
  <si>
    <t>471945N</t>
  </si>
  <si>
    <t>1221336W</t>
  </si>
  <si>
    <t>Auburn</t>
  </si>
  <si>
    <t>GAA16CA121</t>
  </si>
  <si>
    <t>341550N</t>
  </si>
  <si>
    <t>1165122W</t>
  </si>
  <si>
    <t>Big Bear</t>
  </si>
  <si>
    <t>WPR16LA061</t>
  </si>
  <si>
    <t>381210N</t>
  </si>
  <si>
    <t>1211548W</t>
  </si>
  <si>
    <t>Lodi</t>
  </si>
  <si>
    <t>CEN16FA095</t>
  </si>
  <si>
    <t>394127N</t>
  </si>
  <si>
    <t>0835931W</t>
  </si>
  <si>
    <t>Xenia</t>
  </si>
  <si>
    <t>OH</t>
  </si>
  <si>
    <t>GAA16CA129</t>
  </si>
  <si>
    <t>335842N</t>
  </si>
  <si>
    <t>0835742W</t>
  </si>
  <si>
    <t>Lawrenceville</t>
  </si>
  <si>
    <t>WILD</t>
  </si>
  <si>
    <t>ERA16LA094</t>
  </si>
  <si>
    <t>404017N</t>
  </si>
  <si>
    <t>0732245W</t>
  </si>
  <si>
    <t>Lindenhurst</t>
  </si>
  <si>
    <t>NY</t>
  </si>
  <si>
    <t>WPR16LA058</t>
  </si>
  <si>
    <t>352601N</t>
  </si>
  <si>
    <t>1190316W</t>
  </si>
  <si>
    <t>Bakersfield</t>
  </si>
  <si>
    <t>WPR16FA059</t>
  </si>
  <si>
    <t>382844N</t>
  </si>
  <si>
    <t>1224711W</t>
  </si>
  <si>
    <t>Santa Rosa</t>
  </si>
  <si>
    <t>DCA16CA077</t>
  </si>
  <si>
    <t>283000N</t>
  </si>
  <si>
    <t>0793000W</t>
  </si>
  <si>
    <t>Titusville</t>
  </si>
  <si>
    <t>ERA16LA098</t>
  </si>
  <si>
    <t>382034N</t>
  </si>
  <si>
    <t>0822829W</t>
  </si>
  <si>
    <t>Shoals</t>
  </si>
  <si>
    <t>WV</t>
  </si>
  <si>
    <t>GAA16CA116</t>
  </si>
  <si>
    <t>335632N</t>
  </si>
  <si>
    <t>0962342W</t>
  </si>
  <si>
    <t>Durant</t>
  </si>
  <si>
    <t>CEN16LA100</t>
  </si>
  <si>
    <t>394347N</t>
  </si>
  <si>
    <t>0922724W</t>
  </si>
  <si>
    <t>Macon</t>
  </si>
  <si>
    <t>MO</t>
  </si>
  <si>
    <t>ERA16FA097</t>
  </si>
  <si>
    <t>313223N</t>
  </si>
  <si>
    <t>0841127W</t>
  </si>
  <si>
    <t>Albany</t>
  </si>
  <si>
    <t>GAA16LA117</t>
  </si>
  <si>
    <t>300417N</t>
  </si>
  <si>
    <t>0941251W</t>
  </si>
  <si>
    <t>Beaumont</t>
  </si>
  <si>
    <t>GAA16CA115</t>
  </si>
  <si>
    <t>380306N</t>
  </si>
  <si>
    <t>1030713W</t>
  </si>
  <si>
    <t>Las Animas</t>
  </si>
  <si>
    <t>GAA16CA150</t>
  </si>
  <si>
    <t>380253N</t>
  </si>
  <si>
    <t>1033046W</t>
  </si>
  <si>
    <t>La Junta</t>
  </si>
  <si>
    <t>GAA16CA114</t>
  </si>
  <si>
    <t>282030N</t>
  </si>
  <si>
    <t>0804110W</t>
  </si>
  <si>
    <t>Merritt Island</t>
  </si>
  <si>
    <t>WPR16LA060</t>
  </si>
  <si>
    <t>433531N</t>
  </si>
  <si>
    <t>1185720W</t>
  </si>
  <si>
    <t>Burns</t>
  </si>
  <si>
    <t>GAA16CA119</t>
  </si>
  <si>
    <t>255057N</t>
  </si>
  <si>
    <t>0812324W</t>
  </si>
  <si>
    <t>Everglades</t>
  </si>
  <si>
    <t>ADRM</t>
  </si>
  <si>
    <t>TXI</t>
  </si>
  <si>
    <t>CEN16LA101</t>
  </si>
  <si>
    <t>294421N</t>
  </si>
  <si>
    <t>0982704W</t>
  </si>
  <si>
    <t>Bulverde</t>
  </si>
  <si>
    <t>CEN16FA094</t>
  </si>
  <si>
    <t>293025N</t>
  </si>
  <si>
    <t>0952839W</t>
  </si>
  <si>
    <t>Arcola</t>
  </si>
  <si>
    <t>ERA16FA100</t>
  </si>
  <si>
    <t>304043N</t>
  </si>
  <si>
    <t>0881549W</t>
  </si>
  <si>
    <t>Mobile</t>
  </si>
  <si>
    <t>CEN16LA097</t>
  </si>
  <si>
    <t>424213N</t>
  </si>
  <si>
    <t>0875714W</t>
  </si>
  <si>
    <t>Sturtevant</t>
  </si>
  <si>
    <t>WI</t>
  </si>
  <si>
    <t>CTOL</t>
  </si>
  <si>
    <t>CEN16LA096</t>
  </si>
  <si>
    <t>383129N</t>
  </si>
  <si>
    <t>0890525W</t>
  </si>
  <si>
    <t>Centralia</t>
  </si>
  <si>
    <t>IL</t>
  </si>
  <si>
    <t>GYRO</t>
  </si>
  <si>
    <t>GAA16CA123</t>
  </si>
  <si>
    <t>430402N</t>
  </si>
  <si>
    <t>0831620W</t>
  </si>
  <si>
    <t>Lapeer</t>
  </si>
  <si>
    <t>MI</t>
  </si>
  <si>
    <t>ERA16LA103</t>
  </si>
  <si>
    <t>255403N</t>
  </si>
  <si>
    <t>0800716W</t>
  </si>
  <si>
    <t>Miami</t>
  </si>
  <si>
    <t>GAA16CA120</t>
  </si>
  <si>
    <t>413614N</t>
  </si>
  <si>
    <t>1130537W</t>
  </si>
  <si>
    <t>Park Valley</t>
  </si>
  <si>
    <t>WPR16LA063</t>
  </si>
  <si>
    <t>324919N</t>
  </si>
  <si>
    <t>1165812W</t>
  </si>
  <si>
    <t>San Diego</t>
  </si>
  <si>
    <t>GAA16CA133</t>
  </si>
  <si>
    <t>324046N</t>
  </si>
  <si>
    <t>0965158W</t>
  </si>
  <si>
    <t>Dallas</t>
  </si>
  <si>
    <t>GAA16CA126</t>
  </si>
  <si>
    <t>413126N</t>
  </si>
  <si>
    <t>0711706W</t>
  </si>
  <si>
    <t>Newport</t>
  </si>
  <si>
    <t>RI</t>
  </si>
  <si>
    <t>WPR16FA065</t>
  </si>
  <si>
    <t>334707N</t>
  </si>
  <si>
    <t>1182525W</t>
  </si>
  <si>
    <t>San Pedro</t>
  </si>
  <si>
    <t>MAC</t>
  </si>
  <si>
    <t>WPR16FA064</t>
  </si>
  <si>
    <t>330000N</t>
  </si>
  <si>
    <t>1120719W</t>
  </si>
  <si>
    <t>Maricopa</t>
  </si>
  <si>
    <t>WPR16LA081</t>
  </si>
  <si>
    <t>421124N</t>
  </si>
  <si>
    <t>1223938W</t>
  </si>
  <si>
    <t>Ashland</t>
  </si>
  <si>
    <t>ERA16LA104</t>
  </si>
  <si>
    <t>403702N</t>
  </si>
  <si>
    <t>0741441W</t>
  </si>
  <si>
    <t>Linden</t>
  </si>
  <si>
    <t>GAA16CA136</t>
  </si>
  <si>
    <t>453747N</t>
  </si>
  <si>
    <t>1162831W</t>
  </si>
  <si>
    <t>Slate Creek</t>
  </si>
  <si>
    <t>ID</t>
  </si>
  <si>
    <t>GAA16CA122</t>
  </si>
  <si>
    <t>422455N</t>
  </si>
  <si>
    <t>1242530W</t>
  </si>
  <si>
    <t>Gold Beach</t>
  </si>
  <si>
    <t>USOS</t>
  </si>
  <si>
    <t>WPR16LA066</t>
  </si>
  <si>
    <t>342516N</t>
  </si>
  <si>
    <t>1195033W</t>
  </si>
  <si>
    <t>Santa Barbara</t>
  </si>
  <si>
    <t>WPR16LA073</t>
  </si>
  <si>
    <t>454817N</t>
  </si>
  <si>
    <t>1083220W</t>
  </si>
  <si>
    <t>Billings</t>
  </si>
  <si>
    <t>ERA16CA105</t>
  </si>
  <si>
    <t>411430N</t>
  </si>
  <si>
    <t>0765519W</t>
  </si>
  <si>
    <t>Williamsport</t>
  </si>
  <si>
    <t>PA</t>
  </si>
  <si>
    <t>WPR16FA067</t>
  </si>
  <si>
    <t>360541N</t>
  </si>
  <si>
    <t>1185224W</t>
  </si>
  <si>
    <t>Springville</t>
  </si>
  <si>
    <t>PUBU</t>
  </si>
  <si>
    <t>PUBL</t>
  </si>
  <si>
    <t>GAA16CA130</t>
  </si>
  <si>
    <t>324447N</t>
  </si>
  <si>
    <t>0974057W</t>
  </si>
  <si>
    <t>Hudson Oaks</t>
  </si>
  <si>
    <t>ERA16LA106</t>
  </si>
  <si>
    <t>302360N</t>
  </si>
  <si>
    <t>0862817W</t>
  </si>
  <si>
    <t>Destin</t>
  </si>
  <si>
    <t>GAA16CA124</t>
  </si>
  <si>
    <t>404945N</t>
  </si>
  <si>
    <t>0725147W</t>
  </si>
  <si>
    <t>Shirley</t>
  </si>
  <si>
    <t>GAA16CA125</t>
  </si>
  <si>
    <t>352004N</t>
  </si>
  <si>
    <t>0942226W</t>
  </si>
  <si>
    <t>Fort Smith</t>
  </si>
  <si>
    <t>AR</t>
  </si>
  <si>
    <t>GAA16CA127</t>
  </si>
  <si>
    <t>342051N</t>
  </si>
  <si>
    <t>1190339W</t>
  </si>
  <si>
    <t>Santa Paula</t>
  </si>
  <si>
    <t>GAA16LA128</t>
  </si>
  <si>
    <t>442527N</t>
  </si>
  <si>
    <t>1032306W</t>
  </si>
  <si>
    <t>Sturgis</t>
  </si>
  <si>
    <t>SD</t>
  </si>
  <si>
    <t>CEN16LA105</t>
  </si>
  <si>
    <t>450645N</t>
  </si>
  <si>
    <t>0873730W</t>
  </si>
  <si>
    <t>Menominee</t>
  </si>
  <si>
    <t>FLTS</t>
  </si>
  <si>
    <t>DCA16LA096</t>
  </si>
  <si>
    <t>594511N</t>
  </si>
  <si>
    <t>1545446W</t>
  </si>
  <si>
    <t>Iliamna</t>
  </si>
  <si>
    <t>CARG</t>
  </si>
  <si>
    <t>WPR16LA068</t>
  </si>
  <si>
    <t>445159N</t>
  </si>
  <si>
    <t>1231154W</t>
  </si>
  <si>
    <t>Independence</t>
  </si>
  <si>
    <t>WPR16LA069</t>
  </si>
  <si>
    <t>391143N</t>
  </si>
  <si>
    <t>1194425W</t>
  </si>
  <si>
    <t>Carson City</t>
  </si>
  <si>
    <t>WPR16LA070</t>
  </si>
  <si>
    <t>381727N</t>
  </si>
  <si>
    <t>1223727W</t>
  </si>
  <si>
    <t>Petaluma</t>
  </si>
  <si>
    <t>BALL</t>
  </si>
  <si>
    <t>GAA16CA132</t>
  </si>
  <si>
    <t>335829N</t>
  </si>
  <si>
    <t>1173811W</t>
  </si>
  <si>
    <t>Chino</t>
  </si>
  <si>
    <t>GAA16CA141</t>
  </si>
  <si>
    <t>611249N</t>
  </si>
  <si>
    <t>1495041W</t>
  </si>
  <si>
    <t>Anchorage</t>
  </si>
  <si>
    <t>ANC16CA014</t>
  </si>
  <si>
    <t>611224N</t>
  </si>
  <si>
    <t>1571002W</t>
  </si>
  <si>
    <t>Sleetmute</t>
  </si>
  <si>
    <t>DCA16CA089</t>
  </si>
  <si>
    <t>Minneapolis</t>
  </si>
  <si>
    <t>MN</t>
  </si>
  <si>
    <t>GAA16CA131</t>
  </si>
  <si>
    <t>300221N</t>
  </si>
  <si>
    <t>0930511W</t>
  </si>
  <si>
    <t>Bell City</t>
  </si>
  <si>
    <t>WPR16LA071</t>
  </si>
  <si>
    <t>332514N</t>
  </si>
  <si>
    <t>1124110W</t>
  </si>
  <si>
    <t>Buckeye</t>
  </si>
  <si>
    <t>WSFT</t>
  </si>
  <si>
    <t>CEN16LA107</t>
  </si>
  <si>
    <t>304626N</t>
  </si>
  <si>
    <t>0962716W</t>
  </si>
  <si>
    <t>Bryan</t>
  </si>
  <si>
    <t>GAA16CA134</t>
  </si>
  <si>
    <t>370755N</t>
  </si>
  <si>
    <t>0762935W</t>
  </si>
  <si>
    <t>Newport News</t>
  </si>
  <si>
    <t>DCA16CA094</t>
  </si>
  <si>
    <t>421227N</t>
  </si>
  <si>
    <t>0832107E</t>
  </si>
  <si>
    <t>Detroit</t>
  </si>
  <si>
    <t>ERA16FA108</t>
  </si>
  <si>
    <t>350031N</t>
  </si>
  <si>
    <t>0802207W</t>
  </si>
  <si>
    <t>Marshville</t>
  </si>
  <si>
    <t>WPR16FA072</t>
  </si>
  <si>
    <t>212200N</t>
  </si>
  <si>
    <t>1575625W</t>
  </si>
  <si>
    <t>Honolulu</t>
  </si>
  <si>
    <t>GAA16LA135</t>
  </si>
  <si>
    <t>250006N</t>
  </si>
  <si>
    <t>0803213W</t>
  </si>
  <si>
    <t>Tavernier</t>
  </si>
  <si>
    <t>ERA16LA109</t>
  </si>
  <si>
    <t>405740N</t>
  </si>
  <si>
    <t>0730504W</t>
  </si>
  <si>
    <t>Port Jefferson</t>
  </si>
  <si>
    <t>ERA16LA113</t>
  </si>
  <si>
    <t>282637N</t>
  </si>
  <si>
    <t>0811657W</t>
  </si>
  <si>
    <t>Orlando</t>
  </si>
  <si>
    <t>ERA16LA119</t>
  </si>
  <si>
    <t>295733N</t>
  </si>
  <si>
    <t>0812023W</t>
  </si>
  <si>
    <t>St. Augustine</t>
  </si>
  <si>
    <t>F-NI</t>
  </si>
  <si>
    <t>GAA16CA139</t>
  </si>
  <si>
    <t>414109N</t>
  </si>
  <si>
    <t>0812326W</t>
  </si>
  <si>
    <t>Willoughby</t>
  </si>
  <si>
    <t>WPR16LA074</t>
  </si>
  <si>
    <t>341517N</t>
  </si>
  <si>
    <t>1182431W</t>
  </si>
  <si>
    <t>Pacoima</t>
  </si>
  <si>
    <t>CEN16WA110</t>
  </si>
  <si>
    <t>161528N</t>
  </si>
  <si>
    <t>0611545W</t>
  </si>
  <si>
    <t>Saint François</t>
  </si>
  <si>
    <t>FN</t>
  </si>
  <si>
    <t>GP</t>
  </si>
  <si>
    <t>NUSN</t>
  </si>
  <si>
    <t>ERA16LA110</t>
  </si>
  <si>
    <t>293714N</t>
  </si>
  <si>
    <t>0813921W</t>
  </si>
  <si>
    <t>Palatka</t>
  </si>
  <si>
    <t>WPR16LA075</t>
  </si>
  <si>
    <t>334809N</t>
  </si>
  <si>
    <t>1182019W</t>
  </si>
  <si>
    <t>Torrance</t>
  </si>
  <si>
    <t>CEN16LA108</t>
  </si>
  <si>
    <t>390721N</t>
  </si>
  <si>
    <t>1083136W</t>
  </si>
  <si>
    <t>Grand Junction</t>
  </si>
  <si>
    <t>DCA16LA100</t>
  </si>
  <si>
    <t>384455N</t>
  </si>
  <si>
    <t>0902212W</t>
  </si>
  <si>
    <t>St Louis</t>
  </si>
  <si>
    <t>WPR16LA076</t>
  </si>
  <si>
    <t>464438N</t>
  </si>
  <si>
    <t>1170634W</t>
  </si>
  <si>
    <t>Pullman</t>
  </si>
  <si>
    <t>ERA16LA111</t>
  </si>
  <si>
    <t>260026N</t>
  </si>
  <si>
    <t>0801414W</t>
  </si>
  <si>
    <t>Pembroke Pines</t>
  </si>
  <si>
    <t>GAA16CA138</t>
  </si>
  <si>
    <t>471146N</t>
  </si>
  <si>
    <t>1220113W</t>
  </si>
  <si>
    <t>Enumclaw</t>
  </si>
  <si>
    <t>WPR16CA077</t>
  </si>
  <si>
    <t>374136N</t>
  </si>
  <si>
    <t>1214913W</t>
  </si>
  <si>
    <t>Livermore</t>
  </si>
  <si>
    <t>ERA16LA115</t>
  </si>
  <si>
    <t>415437N</t>
  </si>
  <si>
    <t>0704344W</t>
  </si>
  <si>
    <t>Plymouth</t>
  </si>
  <si>
    <t>MA</t>
  </si>
  <si>
    <t>ERA16LA116</t>
  </si>
  <si>
    <t>395029N</t>
  </si>
  <si>
    <t>0771629W</t>
  </si>
  <si>
    <t>Gettysburg</t>
  </si>
  <si>
    <t>CEN16LA115</t>
  </si>
  <si>
    <t>385035N</t>
  </si>
  <si>
    <t>0854854W</t>
  </si>
  <si>
    <t>Seymour</t>
  </si>
  <si>
    <t>IN</t>
  </si>
  <si>
    <t>CEN16LA119</t>
  </si>
  <si>
    <t>391823N</t>
  </si>
  <si>
    <t>0875956W</t>
  </si>
  <si>
    <t>Casey</t>
  </si>
  <si>
    <t>CEN16FA111</t>
  </si>
  <si>
    <t>302123N</t>
  </si>
  <si>
    <t>0960624W</t>
  </si>
  <si>
    <t>Navasota</t>
  </si>
  <si>
    <t>ERA16LA114</t>
  </si>
  <si>
    <t>294153N</t>
  </si>
  <si>
    <t>0821649W</t>
  </si>
  <si>
    <t>Gainesville</t>
  </si>
  <si>
    <t>ERA16LA120</t>
  </si>
  <si>
    <t>335232N</t>
  </si>
  <si>
    <t>0841807W</t>
  </si>
  <si>
    <t>Atlanta</t>
  </si>
  <si>
    <t>CEN16LA112</t>
  </si>
  <si>
    <t>350210N</t>
  </si>
  <si>
    <t>1072202W</t>
  </si>
  <si>
    <t>Laguna Pueblo</t>
  </si>
  <si>
    <t>NM</t>
  </si>
  <si>
    <t>GAA16CA142</t>
  </si>
  <si>
    <t>613418N</t>
  </si>
  <si>
    <t>1493224W</t>
  </si>
  <si>
    <t>Wasilla</t>
  </si>
  <si>
    <t>CEN16FA114</t>
  </si>
  <si>
    <t>322719N</t>
  </si>
  <si>
    <t>0993858W</t>
  </si>
  <si>
    <t>Abilene</t>
  </si>
  <si>
    <t>ERA16LA121</t>
  </si>
  <si>
    <t>310906N</t>
  </si>
  <si>
    <t>0812328W</t>
  </si>
  <si>
    <t>Brunswick</t>
  </si>
  <si>
    <t>ERA16LA122</t>
  </si>
  <si>
    <t>412301N</t>
  </si>
  <si>
    <t>0723021W</t>
  </si>
  <si>
    <t>Chester</t>
  </si>
  <si>
    <t>CT</t>
  </si>
  <si>
    <t>WPR16LA079</t>
  </si>
  <si>
    <t>333600N</t>
  </si>
  <si>
    <t>1113611W</t>
  </si>
  <si>
    <t>Fountain Hills</t>
  </si>
  <si>
    <t>CEN16FA116</t>
  </si>
  <si>
    <t>390703N</t>
  </si>
  <si>
    <t>1045436W</t>
  </si>
  <si>
    <t>Palmer Lake</t>
  </si>
  <si>
    <t>WPR16LA078</t>
  </si>
  <si>
    <t>334928N</t>
  </si>
  <si>
    <t>1163024W</t>
  </si>
  <si>
    <t>Palm Springs</t>
  </si>
  <si>
    <t>GAA16CA143</t>
  </si>
  <si>
    <t>343403N</t>
  </si>
  <si>
    <t>1181830W</t>
  </si>
  <si>
    <t>Agua Dulce</t>
  </si>
  <si>
    <t>CEN16LA118</t>
  </si>
  <si>
    <t>305901N</t>
  </si>
  <si>
    <t>0914845W</t>
  </si>
  <si>
    <t>Simmesport</t>
  </si>
  <si>
    <t>GAA16CA144</t>
  </si>
  <si>
    <t>353909N</t>
  </si>
  <si>
    <t>0922401W</t>
  </si>
  <si>
    <t>Clinton</t>
  </si>
  <si>
    <t>ERA16LA137</t>
  </si>
  <si>
    <t>440336N</t>
  </si>
  <si>
    <t>0690557W</t>
  </si>
  <si>
    <t>Rockland</t>
  </si>
  <si>
    <t>ME</t>
  </si>
  <si>
    <t>CEN16LA121</t>
  </si>
  <si>
    <t>310321N</t>
  </si>
  <si>
    <t>0961502W</t>
  </si>
  <si>
    <t>Normangee</t>
  </si>
  <si>
    <t>WPR16LA080</t>
  </si>
  <si>
    <t>331618N</t>
  </si>
  <si>
    <t>1113425W</t>
  </si>
  <si>
    <t>Queen Creek</t>
  </si>
  <si>
    <t>ERA16LA124</t>
  </si>
  <si>
    <t>404900N</t>
  </si>
  <si>
    <t>0731447W</t>
  </si>
  <si>
    <t>Hauppauge</t>
  </si>
  <si>
    <t>ERA16LA123</t>
  </si>
  <si>
    <t>274326N</t>
  </si>
  <si>
    <t>0823954W</t>
  </si>
  <si>
    <t>St. Petersburg</t>
  </si>
  <si>
    <t>GAA16CA145</t>
  </si>
  <si>
    <t>323656N</t>
  </si>
  <si>
    <t>0955205W</t>
  </si>
  <si>
    <t>Canton</t>
  </si>
  <si>
    <t>DCA16CA113</t>
  </si>
  <si>
    <t>350112N</t>
  </si>
  <si>
    <t>1063000E</t>
  </si>
  <si>
    <t>Albuquerque</t>
  </si>
  <si>
    <t>ERA16CA125</t>
  </si>
  <si>
    <t>352860N</t>
  </si>
  <si>
    <t>0810940W</t>
  </si>
  <si>
    <t>Lincolnton</t>
  </si>
  <si>
    <t>GAA16CA187</t>
  </si>
  <si>
    <t>333712N</t>
  </si>
  <si>
    <t>1115450W</t>
  </si>
  <si>
    <t>Scottsdale</t>
  </si>
  <si>
    <t>ERA16LA126</t>
  </si>
  <si>
    <t>401422N</t>
  </si>
  <si>
    <t>0753324W</t>
  </si>
  <si>
    <t>Pottstown</t>
  </si>
  <si>
    <t>GAA16CA148</t>
  </si>
  <si>
    <t>382509N</t>
  </si>
  <si>
    <t>0822940W</t>
  </si>
  <si>
    <t>WPR16LA088</t>
  </si>
  <si>
    <t>343417N</t>
  </si>
  <si>
    <t>1122509W</t>
  </si>
  <si>
    <t>CEN16FA122</t>
  </si>
  <si>
    <t>360158N</t>
  </si>
  <si>
    <t>1060250W</t>
  </si>
  <si>
    <t>Española</t>
  </si>
  <si>
    <t>GAA16CA146</t>
  </si>
  <si>
    <t>395858N</t>
  </si>
  <si>
    <t>1044208W</t>
  </si>
  <si>
    <t>Brighton</t>
  </si>
  <si>
    <t>WPR16LA082</t>
  </si>
  <si>
    <t>463446N</t>
  </si>
  <si>
    <t>1164840W</t>
  </si>
  <si>
    <t>Juliaetta</t>
  </si>
  <si>
    <t xml:space="preserve">137 </t>
  </si>
  <si>
    <t>AAPL</t>
  </si>
  <si>
    <t>ERA16FA127</t>
  </si>
  <si>
    <t>283326N</t>
  </si>
  <si>
    <t>0814308W</t>
  </si>
  <si>
    <t>Clermont</t>
  </si>
  <si>
    <t>GAA16CA147</t>
  </si>
  <si>
    <t>293116N</t>
  </si>
  <si>
    <t>0951432W</t>
  </si>
  <si>
    <t>Pearland</t>
  </si>
  <si>
    <t>CEN16LA123</t>
  </si>
  <si>
    <t>440006N</t>
  </si>
  <si>
    <t>0891201W</t>
  </si>
  <si>
    <t>Neshkoro</t>
  </si>
  <si>
    <t>GAA16CA149</t>
  </si>
  <si>
    <t>413318N</t>
  </si>
  <si>
    <t>1120344W</t>
  </si>
  <si>
    <t>Brigham City</t>
  </si>
  <si>
    <t>GAA16LA172</t>
  </si>
  <si>
    <t>345350N</t>
  </si>
  <si>
    <t>0810448W</t>
  </si>
  <si>
    <t>Rock Hill</t>
  </si>
  <si>
    <t>SC</t>
  </si>
  <si>
    <t>WPR16LA083</t>
  </si>
  <si>
    <t>375329N</t>
  </si>
  <si>
    <t>1112748W</t>
  </si>
  <si>
    <t>Boulder</t>
  </si>
  <si>
    <t>WPR16FA084</t>
  </si>
  <si>
    <t>431125N</t>
  </si>
  <si>
    <t>1110352W</t>
  </si>
  <si>
    <t>ERA16CA128</t>
  </si>
  <si>
    <t>442759N</t>
  </si>
  <si>
    <t>0730906W</t>
  </si>
  <si>
    <t>South Burlington</t>
  </si>
  <si>
    <t>VT</t>
  </si>
  <si>
    <t>GAA16CA152</t>
  </si>
  <si>
    <t>331611N</t>
  </si>
  <si>
    <t>1114840W</t>
  </si>
  <si>
    <t>Chandler</t>
  </si>
  <si>
    <t>ERA16LA130</t>
  </si>
  <si>
    <t>272055N</t>
  </si>
  <si>
    <t>0821041W</t>
  </si>
  <si>
    <t>Myakka</t>
  </si>
  <si>
    <t>ERA16LA131</t>
  </si>
  <si>
    <t>342111N</t>
  </si>
  <si>
    <t>0850904W</t>
  </si>
  <si>
    <t>Rome</t>
  </si>
  <si>
    <t>DCA16CA181</t>
  </si>
  <si>
    <t>294112N</t>
  </si>
  <si>
    <t>0940217W</t>
  </si>
  <si>
    <t>Port Arthur</t>
  </si>
  <si>
    <t>CEN16CA126</t>
  </si>
  <si>
    <t>315601N</t>
  </si>
  <si>
    <t>1021215W</t>
  </si>
  <si>
    <t>Midland</t>
  </si>
  <si>
    <t>ERA16CA134</t>
  </si>
  <si>
    <t>352110N</t>
  </si>
  <si>
    <t>0784134W</t>
  </si>
  <si>
    <t>Erwin</t>
  </si>
  <si>
    <t>GAA16CA151</t>
  </si>
  <si>
    <t>335707N</t>
  </si>
  <si>
    <t>1172642W</t>
  </si>
  <si>
    <t>Riverside</t>
  </si>
  <si>
    <t>ERA16FA133</t>
  </si>
  <si>
    <t>275511N</t>
  </si>
  <si>
    <t>0822652W</t>
  </si>
  <si>
    <t>Tampa</t>
  </si>
  <si>
    <t>AMAN</t>
  </si>
  <si>
    <t>CEN16LA128</t>
  </si>
  <si>
    <t>323018N</t>
  </si>
  <si>
    <t>0944154W</t>
  </si>
  <si>
    <t>Longview</t>
  </si>
  <si>
    <t>GAA16CA153</t>
  </si>
  <si>
    <t>414137N</t>
  </si>
  <si>
    <t>0880746W</t>
  </si>
  <si>
    <t>Bolingbrook</t>
  </si>
  <si>
    <t>CEN16LA129</t>
  </si>
  <si>
    <t>374336N</t>
  </si>
  <si>
    <t>0971343W</t>
  </si>
  <si>
    <t>GAA16CA161</t>
  </si>
  <si>
    <t>343814N</t>
  </si>
  <si>
    <t>0864630W</t>
  </si>
  <si>
    <t>Huntsville</t>
  </si>
  <si>
    <t>ERA16LA135</t>
  </si>
  <si>
    <t>334059N</t>
  </si>
  <si>
    <t>0785545W</t>
  </si>
  <si>
    <t>Myrtle Beach</t>
  </si>
  <si>
    <t>CEN16FA130</t>
  </si>
  <si>
    <t>421023N</t>
  </si>
  <si>
    <t>1021233W</t>
  </si>
  <si>
    <t>Ellsworth</t>
  </si>
  <si>
    <t>GAA16CA155</t>
  </si>
  <si>
    <t>302342N</t>
  </si>
  <si>
    <t>0973347W</t>
  </si>
  <si>
    <t>Pflugerville</t>
  </si>
  <si>
    <t>GAA16CA157</t>
  </si>
  <si>
    <t>361060N</t>
  </si>
  <si>
    <t>0865312W</t>
  </si>
  <si>
    <t>Nashville</t>
  </si>
  <si>
    <t>WPR16FA086</t>
  </si>
  <si>
    <t>335525N</t>
  </si>
  <si>
    <t>1181953W</t>
  </si>
  <si>
    <t>Hawthorne</t>
  </si>
  <si>
    <t>GAA16CA156</t>
  </si>
  <si>
    <t>402119N</t>
  </si>
  <si>
    <t>0761541W</t>
  </si>
  <si>
    <t>Pine Grove</t>
  </si>
  <si>
    <t xml:space="preserve">GLI </t>
  </si>
  <si>
    <t>GAA16CA154</t>
  </si>
  <si>
    <t>424543N</t>
  </si>
  <si>
    <t>0924817W</t>
  </si>
  <si>
    <t>Allison</t>
  </si>
  <si>
    <t>GAA16CA158</t>
  </si>
  <si>
    <t>392505N</t>
  </si>
  <si>
    <t>0772216W</t>
  </si>
  <si>
    <t>Frederick</t>
  </si>
  <si>
    <t>MD</t>
  </si>
  <si>
    <t>GAA16CA159</t>
  </si>
  <si>
    <t>412713N</t>
  </si>
  <si>
    <t>0870025W</t>
  </si>
  <si>
    <t>Valparaiso</t>
  </si>
  <si>
    <t>GAA16CA160</t>
  </si>
  <si>
    <t>335554N</t>
  </si>
  <si>
    <t>0780423W</t>
  </si>
  <si>
    <t>Oak Island</t>
  </si>
  <si>
    <t>WPR16FA087</t>
  </si>
  <si>
    <t>461308N</t>
  </si>
  <si>
    <t>1234748W</t>
  </si>
  <si>
    <t>Astoria</t>
  </si>
  <si>
    <t>CEN16LA143</t>
  </si>
  <si>
    <t>312850N</t>
  </si>
  <si>
    <t>0924354W</t>
  </si>
  <si>
    <t>Alexandria</t>
  </si>
  <si>
    <t>ERA16LA139</t>
  </si>
  <si>
    <t>344322N</t>
  </si>
  <si>
    <t>0795258W</t>
  </si>
  <si>
    <t>Cheraw</t>
  </si>
  <si>
    <t>GAA16CA169</t>
  </si>
  <si>
    <t>332001N</t>
  </si>
  <si>
    <t>0834341W</t>
  </si>
  <si>
    <t>Monticello</t>
  </si>
  <si>
    <t>CEN16LA135</t>
  </si>
  <si>
    <t>364220N</t>
  </si>
  <si>
    <t>0932656W</t>
  </si>
  <si>
    <t>Galena</t>
  </si>
  <si>
    <t>GAA16CA166</t>
  </si>
  <si>
    <t>264134N</t>
  </si>
  <si>
    <t>0804835W</t>
  </si>
  <si>
    <t>Lake Harbor</t>
  </si>
  <si>
    <t>ERA16FA141</t>
  </si>
  <si>
    <t>382233N</t>
  </si>
  <si>
    <t>0813535W</t>
  </si>
  <si>
    <t>Charleston</t>
  </si>
  <si>
    <t>ERA16FA140</t>
  </si>
  <si>
    <t>311646N</t>
  </si>
  <si>
    <t>0855816W</t>
  </si>
  <si>
    <t>Enterprise</t>
  </si>
  <si>
    <t>CEN16LA131</t>
  </si>
  <si>
    <t>292222N</t>
  </si>
  <si>
    <t>1005538W</t>
  </si>
  <si>
    <t>Del Rio</t>
  </si>
  <si>
    <t>GAA16CA162</t>
  </si>
  <si>
    <t>253021N</t>
  </si>
  <si>
    <t>0803311W</t>
  </si>
  <si>
    <t>Homestead</t>
  </si>
  <si>
    <t>RAMP</t>
  </si>
  <si>
    <t>CEN16LA132</t>
  </si>
  <si>
    <t>404532N</t>
  </si>
  <si>
    <t>0872616W</t>
  </si>
  <si>
    <t>Kentland</t>
  </si>
  <si>
    <t>CEN16LA134</t>
  </si>
  <si>
    <t>321326N</t>
  </si>
  <si>
    <t>0981058W</t>
  </si>
  <si>
    <t>Stephenville</t>
  </si>
  <si>
    <t>GAA16CA163</t>
  </si>
  <si>
    <t>431405N</t>
  </si>
  <si>
    <t>0770729W</t>
  </si>
  <si>
    <t>Sodus</t>
  </si>
  <si>
    <t>GAA16CA164</t>
  </si>
  <si>
    <t>330756N</t>
  </si>
  <si>
    <t>0970051W</t>
  </si>
  <si>
    <t>Lake Dallas</t>
  </si>
  <si>
    <t>GAA16CA165</t>
  </si>
  <si>
    <t>361617N</t>
  </si>
  <si>
    <t>1193524W</t>
  </si>
  <si>
    <t>Hanford</t>
  </si>
  <si>
    <t>GAA16CA168</t>
  </si>
  <si>
    <t>465534N</t>
  </si>
  <si>
    <t>0984059W</t>
  </si>
  <si>
    <t>Jamestown</t>
  </si>
  <si>
    <t>FERY</t>
  </si>
  <si>
    <t>EMG</t>
  </si>
  <si>
    <t>WPR16LA090</t>
  </si>
  <si>
    <t>471151N</t>
  </si>
  <si>
    <t>1224202W</t>
  </si>
  <si>
    <t>McNeil Island</t>
  </si>
  <si>
    <t>GAA16CA171</t>
  </si>
  <si>
    <t>325806N</t>
  </si>
  <si>
    <t>0965011W</t>
  </si>
  <si>
    <t>Addison</t>
  </si>
  <si>
    <t>CEN16LA137</t>
  </si>
  <si>
    <t>301231N</t>
  </si>
  <si>
    <t>1031509W</t>
  </si>
  <si>
    <t>Marathon</t>
  </si>
  <si>
    <t>ERA16LA142</t>
  </si>
  <si>
    <t>363724N</t>
  </si>
  <si>
    <t>0793731W</t>
  </si>
  <si>
    <t>Danville</t>
  </si>
  <si>
    <t>ERA16FA143</t>
  </si>
  <si>
    <t>411502N</t>
  </si>
  <si>
    <t>0751309W</t>
  </si>
  <si>
    <t>Canadensis</t>
  </si>
  <si>
    <t>CEN16LA133</t>
  </si>
  <si>
    <t>405749N</t>
  </si>
  <si>
    <t>0961149W</t>
  </si>
  <si>
    <t>Louisville</t>
  </si>
  <si>
    <t>ERA16LA154</t>
  </si>
  <si>
    <t>402116N</t>
  </si>
  <si>
    <t>0795545W</t>
  </si>
  <si>
    <t>West Mifflin</t>
  </si>
  <si>
    <t>GAA16CA167</t>
  </si>
  <si>
    <t>363538N</t>
  </si>
  <si>
    <t>0783339W</t>
  </si>
  <si>
    <t>Clarksville</t>
  </si>
  <si>
    <t>CEN16RA136</t>
  </si>
  <si>
    <t>472530N</t>
  </si>
  <si>
    <t>0614641W</t>
  </si>
  <si>
    <t>Iles-de-la-Madeleine</t>
  </si>
  <si>
    <t>QC</t>
  </si>
  <si>
    <t>GAA16CA170</t>
  </si>
  <si>
    <t>322936N</t>
  </si>
  <si>
    <t>0805931W</t>
  </si>
  <si>
    <t>Ridgeland</t>
  </si>
  <si>
    <t>CEN16LA139</t>
  </si>
  <si>
    <t>303012N</t>
  </si>
  <si>
    <t>0971423E</t>
  </si>
  <si>
    <t>Beyersville</t>
  </si>
  <si>
    <t>GAA16CA173</t>
  </si>
  <si>
    <t>353913N</t>
  </si>
  <si>
    <t>0805735W</t>
  </si>
  <si>
    <t>Long Island</t>
  </si>
  <si>
    <t>GAA16CA191</t>
  </si>
  <si>
    <t>471708N</t>
  </si>
  <si>
    <t>0681846W</t>
  </si>
  <si>
    <t>Frenchville</t>
  </si>
  <si>
    <t>CEN16LA138</t>
  </si>
  <si>
    <t>364154N</t>
  </si>
  <si>
    <t>1084202W</t>
  </si>
  <si>
    <t>Shiprock</t>
  </si>
  <si>
    <t>CEN16LA153</t>
  </si>
  <si>
    <t>325807N</t>
  </si>
  <si>
    <t>WPR16FA091</t>
  </si>
  <si>
    <t>332019N</t>
  </si>
  <si>
    <t>1170931W</t>
  </si>
  <si>
    <t>Fallbrook</t>
  </si>
  <si>
    <t>ERA16LA145</t>
  </si>
  <si>
    <t>304031N</t>
  </si>
  <si>
    <t>0882550W</t>
  </si>
  <si>
    <t>Hurley</t>
  </si>
  <si>
    <t>MS</t>
  </si>
  <si>
    <t>GAA16CA176</t>
  </si>
  <si>
    <t>353601N</t>
  </si>
  <si>
    <t>0974222W</t>
  </si>
  <si>
    <t>Yukon</t>
  </si>
  <si>
    <t>GAA16CA180</t>
  </si>
  <si>
    <t>355105N</t>
  </si>
  <si>
    <t>0972458W</t>
  </si>
  <si>
    <t>Guthrie</t>
  </si>
  <si>
    <t>CEN16WA149</t>
  </si>
  <si>
    <t>201060N</t>
  </si>
  <si>
    <t>1034200W</t>
  </si>
  <si>
    <t>Atemajac de Brizuela</t>
  </si>
  <si>
    <t>MX</t>
  </si>
  <si>
    <t>ERA16LA153</t>
  </si>
  <si>
    <t>394120N</t>
  </si>
  <si>
    <t>0751522W</t>
  </si>
  <si>
    <t>South Harrison Township</t>
  </si>
  <si>
    <t>GAA16CA175</t>
  </si>
  <si>
    <t>301353N</t>
  </si>
  <si>
    <t>0923503W</t>
  </si>
  <si>
    <t>Kinder</t>
  </si>
  <si>
    <t>GAA16CA181</t>
  </si>
  <si>
    <t>332712N</t>
  </si>
  <si>
    <t>0805135W</t>
  </si>
  <si>
    <t>Orangeburg</t>
  </si>
  <si>
    <t>GAA16CA206</t>
  </si>
  <si>
    <t>300343N</t>
  </si>
  <si>
    <t>0953310W</t>
  </si>
  <si>
    <t>Spring</t>
  </si>
  <si>
    <t>ERA16FA144</t>
  </si>
  <si>
    <t>354931N</t>
  </si>
  <si>
    <t>0833406W</t>
  </si>
  <si>
    <t>Pigeon Forge</t>
  </si>
  <si>
    <t>GAA16CA186</t>
  </si>
  <si>
    <t>265444N</t>
  </si>
  <si>
    <t>0815936W</t>
  </si>
  <si>
    <t>Punta Gorda</t>
  </si>
  <si>
    <t>GAA16CA177</t>
  </si>
  <si>
    <t>355717N</t>
  </si>
  <si>
    <t>0950807W</t>
  </si>
  <si>
    <t>Hulbert</t>
  </si>
  <si>
    <t>GAA16CA179</t>
  </si>
  <si>
    <t>360847N</t>
  </si>
  <si>
    <t>1124531W</t>
  </si>
  <si>
    <t>Supai</t>
  </si>
  <si>
    <t xml:space="preserve">133 </t>
  </si>
  <si>
    <t>EXLD</t>
  </si>
  <si>
    <t>EXTL</t>
  </si>
  <si>
    <t>ERA16LA148</t>
  </si>
  <si>
    <t>321426N</t>
  </si>
  <si>
    <t>0804311W</t>
  </si>
  <si>
    <t>Hilton Head Island</t>
  </si>
  <si>
    <t>GAA16CA185</t>
  </si>
  <si>
    <t>611524N</t>
  </si>
  <si>
    <t>1483457W</t>
  </si>
  <si>
    <t>Palmer</t>
  </si>
  <si>
    <t>GAA16CA188</t>
  </si>
  <si>
    <t>341525N</t>
  </si>
  <si>
    <t>1112021W</t>
  </si>
  <si>
    <t>Payson</t>
  </si>
  <si>
    <t>CEN16WA147</t>
  </si>
  <si>
    <t>540320N</t>
  </si>
  <si>
    <t>0225412E</t>
  </si>
  <si>
    <t>Suwalki</t>
  </si>
  <si>
    <t>PL</t>
  </si>
  <si>
    <t>CEN16LA401</t>
  </si>
  <si>
    <t>292617N</t>
  </si>
  <si>
    <t>0901545W</t>
  </si>
  <si>
    <t>Galliano</t>
  </si>
  <si>
    <t>ERA16LA151</t>
  </si>
  <si>
    <t>313308N</t>
  </si>
  <si>
    <t>0815213W</t>
  </si>
  <si>
    <t>Jesup</t>
  </si>
  <si>
    <t>CEN16FA145</t>
  </si>
  <si>
    <t>322710N</t>
  </si>
  <si>
    <t>0965448W</t>
  </si>
  <si>
    <t>Midlothian</t>
  </si>
  <si>
    <t>ANC16FA017</t>
  </si>
  <si>
    <t>571640N</t>
  </si>
  <si>
    <t>1341434W</t>
  </si>
  <si>
    <t>Angoon</t>
  </si>
  <si>
    <t>GAA16LA182</t>
  </si>
  <si>
    <t>324617N</t>
  </si>
  <si>
    <t>0974422W</t>
  </si>
  <si>
    <t>Weatherford</t>
  </si>
  <si>
    <t>GAA16CA189</t>
  </si>
  <si>
    <t>445127N</t>
  </si>
  <si>
    <t>0930159W</t>
  </si>
  <si>
    <t>South St. Paul</t>
  </si>
  <si>
    <t>ERA16FA150</t>
  </si>
  <si>
    <t>291026N</t>
  </si>
  <si>
    <t>0821327W</t>
  </si>
  <si>
    <t>Ocala</t>
  </si>
  <si>
    <t>CEN16FA146</t>
  </si>
  <si>
    <t>304111N</t>
  </si>
  <si>
    <t>0971732W</t>
  </si>
  <si>
    <t>Taylor</t>
  </si>
  <si>
    <t>GAA16CA183</t>
  </si>
  <si>
    <t>353804N</t>
  </si>
  <si>
    <t>0764514W</t>
  </si>
  <si>
    <t>Pantego</t>
  </si>
  <si>
    <t>GAA16CA184</t>
  </si>
  <si>
    <t>294607N</t>
  </si>
  <si>
    <t>0974632W</t>
  </si>
  <si>
    <t>Fentress</t>
  </si>
  <si>
    <t>SKYD</t>
  </si>
  <si>
    <t>GAA16CA217</t>
  </si>
  <si>
    <t>383936N</t>
  </si>
  <si>
    <t>0903846W</t>
  </si>
  <si>
    <t>Chesterfield</t>
  </si>
  <si>
    <t>ERA16LA152</t>
  </si>
  <si>
    <t>404510N</t>
  </si>
  <si>
    <t>0730313W</t>
  </si>
  <si>
    <t>Bayport</t>
  </si>
  <si>
    <t>CEN16LA151</t>
  </si>
  <si>
    <t>303056N</t>
  </si>
  <si>
    <t>0964215W</t>
  </si>
  <si>
    <t>Caldwell</t>
  </si>
  <si>
    <t>GAA16CA190</t>
  </si>
  <si>
    <t>331609N</t>
  </si>
  <si>
    <t>GAA16CA192</t>
  </si>
  <si>
    <t>385749N</t>
  </si>
  <si>
    <t>0942218W</t>
  </si>
  <si>
    <t>Lee's Summit</t>
  </si>
  <si>
    <t>ERA16LA156</t>
  </si>
  <si>
    <t>290615N</t>
  </si>
  <si>
    <t>0811853W</t>
  </si>
  <si>
    <t>Deland</t>
  </si>
  <si>
    <t>WPR16LA092</t>
  </si>
  <si>
    <t>362738N</t>
  </si>
  <si>
    <t>1165247W</t>
  </si>
  <si>
    <t>Death Valley</t>
  </si>
  <si>
    <t>DCA16CA133</t>
  </si>
  <si>
    <t xml:space="preserve">San Diego </t>
  </si>
  <si>
    <t>ERA16LA157</t>
  </si>
  <si>
    <t>360624N</t>
  </si>
  <si>
    <t>0843544W</t>
  </si>
  <si>
    <t>Wartburg</t>
  </si>
  <si>
    <t>CEN16LA157</t>
  </si>
  <si>
    <t>404917N</t>
  </si>
  <si>
    <t>0823100W</t>
  </si>
  <si>
    <t>Mansfield</t>
  </si>
  <si>
    <t>GAA16CA196</t>
  </si>
  <si>
    <t>443120N</t>
  </si>
  <si>
    <t>0850611W</t>
  </si>
  <si>
    <t>Moorestown</t>
  </si>
  <si>
    <t>ERA16LA159</t>
  </si>
  <si>
    <t>342644N</t>
  </si>
  <si>
    <t>0842645W</t>
  </si>
  <si>
    <t>Jasper</t>
  </si>
  <si>
    <t>ERA16LA158</t>
  </si>
  <si>
    <t>255500N</t>
  </si>
  <si>
    <t>0794200W</t>
  </si>
  <si>
    <t>Atlantic Ocean</t>
  </si>
  <si>
    <t>AO</t>
  </si>
  <si>
    <t>UN</t>
  </si>
  <si>
    <t>GAA16CA194</t>
  </si>
  <si>
    <t>361007N</t>
  </si>
  <si>
    <t>0970513W</t>
  </si>
  <si>
    <t>Stillwater</t>
  </si>
  <si>
    <t>ERA16CA160</t>
  </si>
  <si>
    <t>391023N</t>
  </si>
  <si>
    <t>0764125W</t>
  </si>
  <si>
    <t>Baltimore</t>
  </si>
  <si>
    <t>ERA16LA162</t>
  </si>
  <si>
    <t>343448N</t>
  </si>
  <si>
    <t>0775642W</t>
  </si>
  <si>
    <t>Burgaw</t>
  </si>
  <si>
    <t>WPR16LA093</t>
  </si>
  <si>
    <t>332429N</t>
  </si>
  <si>
    <t>1182444W</t>
  </si>
  <si>
    <t>Avalon</t>
  </si>
  <si>
    <t>CEN16WA160</t>
  </si>
  <si>
    <t>203054N</t>
  </si>
  <si>
    <t>0865544W</t>
  </si>
  <si>
    <t>Cozumel</t>
  </si>
  <si>
    <t>ERA16FA161</t>
  </si>
  <si>
    <t>430649N</t>
  </si>
  <si>
    <t>0752520W</t>
  </si>
  <si>
    <t>Westmoreland</t>
  </si>
  <si>
    <t>CEN16LA154</t>
  </si>
  <si>
    <t>325959N</t>
  </si>
  <si>
    <t>0911854W</t>
  </si>
  <si>
    <t>Kilbourne</t>
  </si>
  <si>
    <t>GAA16CA193</t>
  </si>
  <si>
    <t>482814N</t>
  </si>
  <si>
    <t>1222518W</t>
  </si>
  <si>
    <t>Burlington</t>
  </si>
  <si>
    <t>CEN16LA156</t>
  </si>
  <si>
    <t>450503N</t>
  </si>
  <si>
    <t>0930931W</t>
  </si>
  <si>
    <t>Arden Hills</t>
  </si>
  <si>
    <t>PUBS</t>
  </si>
  <si>
    <t>ERA16LA164</t>
  </si>
  <si>
    <t>272606N</t>
  </si>
  <si>
    <t>0804038W</t>
  </si>
  <si>
    <t>Okeechobee</t>
  </si>
  <si>
    <t>WPR16LA094</t>
  </si>
  <si>
    <t>363342N</t>
  </si>
  <si>
    <t>1193757W</t>
  </si>
  <si>
    <t>Selma</t>
  </si>
  <si>
    <t>GAA16CA195</t>
  </si>
  <si>
    <t>613541N</t>
  </si>
  <si>
    <t>1490517W</t>
  </si>
  <si>
    <t>GAA16CA204</t>
  </si>
  <si>
    <t>612945N</t>
  </si>
  <si>
    <t>1490833W</t>
  </si>
  <si>
    <t>ERA16FA165</t>
  </si>
  <si>
    <t>385830N</t>
  </si>
  <si>
    <t>0761920W</t>
  </si>
  <si>
    <t>Stevensville</t>
  </si>
  <si>
    <t>ERA16LA166</t>
  </si>
  <si>
    <t>410352N</t>
  </si>
  <si>
    <t>0751507W</t>
  </si>
  <si>
    <t>Tannersville</t>
  </si>
  <si>
    <t>CEN16FA158</t>
  </si>
  <si>
    <t>302137N</t>
  </si>
  <si>
    <t>0894924W</t>
  </si>
  <si>
    <t>Slidell</t>
  </si>
  <si>
    <t>ERA16LA167</t>
  </si>
  <si>
    <t>400000N</t>
  </si>
  <si>
    <t>0760000W</t>
  </si>
  <si>
    <t>Myerstown</t>
  </si>
  <si>
    <t>ANC16FA019</t>
  </si>
  <si>
    <t>612319N</t>
  </si>
  <si>
    <t>1493342W</t>
  </si>
  <si>
    <t>Chugiak</t>
  </si>
  <si>
    <t>GAA16CA202</t>
  </si>
  <si>
    <t>341249N</t>
  </si>
  <si>
    <t>1190540W</t>
  </si>
  <si>
    <t>Camarillo</t>
  </si>
  <si>
    <t>GAA16CA251</t>
  </si>
  <si>
    <t>390406N</t>
  </si>
  <si>
    <t>0753206W</t>
  </si>
  <si>
    <t>Church Hill</t>
  </si>
  <si>
    <t>CEN16LA161</t>
  </si>
  <si>
    <t>260418N</t>
  </si>
  <si>
    <t>0972835W</t>
  </si>
  <si>
    <t>Los Fresnos</t>
  </si>
  <si>
    <t>WPR16FA095</t>
  </si>
  <si>
    <t>455406N</t>
  </si>
  <si>
    <t>1224414W</t>
  </si>
  <si>
    <t>Woodland</t>
  </si>
  <si>
    <t>CEN16LA162</t>
  </si>
  <si>
    <t>355935N</t>
  </si>
  <si>
    <t>0955312W</t>
  </si>
  <si>
    <t>Bixby</t>
  </si>
  <si>
    <t>CEN16LA163</t>
  </si>
  <si>
    <t>400150N</t>
  </si>
  <si>
    <t>0861505W</t>
  </si>
  <si>
    <t>Zionsville</t>
  </si>
  <si>
    <t>WSTRW</t>
  </si>
  <si>
    <t>CEN16LA164</t>
  </si>
  <si>
    <t>361112N</t>
  </si>
  <si>
    <t>0960900W</t>
  </si>
  <si>
    <t>Sand Springs</t>
  </si>
  <si>
    <t>GAA16CA201</t>
  </si>
  <si>
    <t>394703N</t>
  </si>
  <si>
    <t>1043215W</t>
  </si>
  <si>
    <t>Denver</t>
  </si>
  <si>
    <t>GAA16CA197</t>
  </si>
  <si>
    <t>330219N</t>
  </si>
  <si>
    <t>1165445W</t>
  </si>
  <si>
    <t>Ramona</t>
  </si>
  <si>
    <t>CEN16LA166</t>
  </si>
  <si>
    <t>405014N</t>
  </si>
  <si>
    <t>0895323W</t>
  </si>
  <si>
    <t>Brimfield</t>
  </si>
  <si>
    <t>GAA16LA199</t>
  </si>
  <si>
    <t>411237N</t>
  </si>
  <si>
    <t>0862217W</t>
  </si>
  <si>
    <t>Culver</t>
  </si>
  <si>
    <t>ULTR</t>
  </si>
  <si>
    <t>GAA16CA210</t>
  </si>
  <si>
    <t>624255N</t>
  </si>
  <si>
    <t>1511915W</t>
  </si>
  <si>
    <t>Talkeetna</t>
  </si>
  <si>
    <t>ANC16LA021</t>
  </si>
  <si>
    <t>613335N</t>
  </si>
  <si>
    <t>1494218W</t>
  </si>
  <si>
    <t>ERA16CA178</t>
  </si>
  <si>
    <t>335407N</t>
  </si>
  <si>
    <t>0871850W</t>
  </si>
  <si>
    <t>GAA16CA239</t>
  </si>
  <si>
    <t>304352N</t>
  </si>
  <si>
    <t>0860914W</t>
  </si>
  <si>
    <t>Defuniak Springs</t>
  </si>
  <si>
    <t>ERA16FA168</t>
  </si>
  <si>
    <t>343458N</t>
  </si>
  <si>
    <t>0822109W</t>
  </si>
  <si>
    <t>Belton</t>
  </si>
  <si>
    <t>WPR16LA096</t>
  </si>
  <si>
    <t>381152N</t>
  </si>
  <si>
    <t>1210436W</t>
  </si>
  <si>
    <t>Clements</t>
  </si>
  <si>
    <t>GAA16CA198</t>
  </si>
  <si>
    <t>313834N</t>
  </si>
  <si>
    <t>1005807W</t>
  </si>
  <si>
    <t>Sterling City</t>
  </si>
  <si>
    <t>GAA16CA205</t>
  </si>
  <si>
    <t>321554N</t>
  </si>
  <si>
    <t>1110725W</t>
  </si>
  <si>
    <t>Marana</t>
  </si>
  <si>
    <t>LOLI</t>
  </si>
  <si>
    <t>CEN16FA169</t>
  </si>
  <si>
    <t>403639N</t>
  </si>
  <si>
    <t>0805828W</t>
  </si>
  <si>
    <t>Carrollton</t>
  </si>
  <si>
    <t>ERA16LA181</t>
  </si>
  <si>
    <t>362846N</t>
  </si>
  <si>
    <t>0775525W</t>
  </si>
  <si>
    <t>Littleton</t>
  </si>
  <si>
    <t>ERA16FA169</t>
  </si>
  <si>
    <t>361158N</t>
  </si>
  <si>
    <t>0813848W</t>
  </si>
  <si>
    <t>Boone</t>
  </si>
  <si>
    <t>ERA16FA170</t>
  </si>
  <si>
    <t>261417N</t>
  </si>
  <si>
    <t>0800530W</t>
  </si>
  <si>
    <t>Pompano Beach</t>
  </si>
  <si>
    <t>GAA16CA200</t>
  </si>
  <si>
    <t>380640N</t>
  </si>
  <si>
    <t>0960650W</t>
  </si>
  <si>
    <t>CEN16LA168</t>
  </si>
  <si>
    <t>294650N</t>
  </si>
  <si>
    <t>0953243E</t>
  </si>
  <si>
    <t>Houston</t>
  </si>
  <si>
    <t>GAA16CA203</t>
  </si>
  <si>
    <t>402112N</t>
  </si>
  <si>
    <t>0945500W</t>
  </si>
  <si>
    <t>Maryville</t>
  </si>
  <si>
    <t>ERA16LA171</t>
  </si>
  <si>
    <t>302459N</t>
  </si>
  <si>
    <t>0874201W</t>
  </si>
  <si>
    <t>Foley</t>
  </si>
  <si>
    <t>CEN16WA179</t>
  </si>
  <si>
    <t>421217N</t>
  </si>
  <si>
    <t>0011443E</t>
  </si>
  <si>
    <t>Andorra, Lleida, Spain</t>
  </si>
  <si>
    <t>SP</t>
  </si>
  <si>
    <t>ERA16LA265</t>
  </si>
  <si>
    <t>402743N</t>
  </si>
  <si>
    <t>0795641W</t>
  </si>
  <si>
    <t>Pittsburgh</t>
  </si>
  <si>
    <t>GAA16CA208</t>
  </si>
  <si>
    <t>0962340W</t>
  </si>
  <si>
    <t>DCA16CA139</t>
  </si>
  <si>
    <t>373708N</t>
  </si>
  <si>
    <t>1222232W</t>
  </si>
  <si>
    <t>San Francisco</t>
  </si>
  <si>
    <t>GAA16CA211</t>
  </si>
  <si>
    <t>373932N</t>
  </si>
  <si>
    <t>1220722W</t>
  </si>
  <si>
    <t>Hayward</t>
  </si>
  <si>
    <t>CEN16LA177</t>
  </si>
  <si>
    <t>383829N</t>
  </si>
  <si>
    <t>0954809W</t>
  </si>
  <si>
    <t>Osage City</t>
  </si>
  <si>
    <t>GAA16CA207</t>
  </si>
  <si>
    <t>601114N</t>
  </si>
  <si>
    <t>1542106W</t>
  </si>
  <si>
    <t>Port Alsworth</t>
  </si>
  <si>
    <t>CEN16LA170</t>
  </si>
  <si>
    <t>395500N</t>
  </si>
  <si>
    <t>0855052W</t>
  </si>
  <si>
    <t>Fortville</t>
  </si>
  <si>
    <t>WPR16LA099</t>
  </si>
  <si>
    <t>360026N</t>
  </si>
  <si>
    <t>1205244W</t>
  </si>
  <si>
    <t>San Ardo</t>
  </si>
  <si>
    <t>WPR16FA097</t>
  </si>
  <si>
    <t>394824N</t>
  </si>
  <si>
    <t>1151210W</t>
  </si>
  <si>
    <t>ERA16LA173</t>
  </si>
  <si>
    <t>405454N</t>
  </si>
  <si>
    <t>0724731W</t>
  </si>
  <si>
    <t>Calverton</t>
  </si>
  <si>
    <t>ERA16LA172</t>
  </si>
  <si>
    <t>332832N</t>
  </si>
  <si>
    <t>0843334W</t>
  </si>
  <si>
    <t>Tyrone</t>
  </si>
  <si>
    <t>GAA16CA209</t>
  </si>
  <si>
    <t>372631N</t>
  </si>
  <si>
    <t>1220835W</t>
  </si>
  <si>
    <t>Palo Alto</t>
  </si>
  <si>
    <t>ERA16LA174</t>
  </si>
  <si>
    <t>425354N</t>
  </si>
  <si>
    <t>0721615W</t>
  </si>
  <si>
    <t>Keene</t>
  </si>
  <si>
    <t>NH</t>
  </si>
  <si>
    <t>GAA16CA212</t>
  </si>
  <si>
    <t>421924N</t>
  </si>
  <si>
    <t>0885536W</t>
  </si>
  <si>
    <t>Poplar Grove</t>
  </si>
  <si>
    <t>ERA16LA177</t>
  </si>
  <si>
    <t>421602N</t>
  </si>
  <si>
    <t>0715232W</t>
  </si>
  <si>
    <t>Worcester</t>
  </si>
  <si>
    <t>CEN16LA189</t>
  </si>
  <si>
    <t>310509N</t>
  </si>
  <si>
    <t>0974111W</t>
  </si>
  <si>
    <t>Killeen</t>
  </si>
  <si>
    <t>GAA16CA215</t>
  </si>
  <si>
    <t>433352N</t>
  </si>
  <si>
    <t>1161310W</t>
  </si>
  <si>
    <t>Boise</t>
  </si>
  <si>
    <t>GAA16CA218</t>
  </si>
  <si>
    <t>330121N</t>
  </si>
  <si>
    <t>0965012W</t>
  </si>
  <si>
    <t>Plano</t>
  </si>
  <si>
    <t>GAA16CA225</t>
  </si>
  <si>
    <t>261359N</t>
  </si>
  <si>
    <t>0973855W</t>
  </si>
  <si>
    <t>Harlingen</t>
  </si>
  <si>
    <t>CEN16LA184</t>
  </si>
  <si>
    <t>364355N</t>
  </si>
  <si>
    <t>0970559W</t>
  </si>
  <si>
    <t>Ponca City</t>
  </si>
  <si>
    <t>GAA16CA219</t>
  </si>
  <si>
    <t>331815N</t>
  </si>
  <si>
    <t>1113923W</t>
  </si>
  <si>
    <t>Mesa</t>
  </si>
  <si>
    <t>ERA16FA176</t>
  </si>
  <si>
    <t>405004N</t>
  </si>
  <si>
    <t>0732925W</t>
  </si>
  <si>
    <t>Syosset</t>
  </si>
  <si>
    <t>GAA16CA213</t>
  </si>
  <si>
    <t>453260N</t>
  </si>
  <si>
    <t>1222401W</t>
  </si>
  <si>
    <t>Troutdale</t>
  </si>
  <si>
    <t>GAA16CA216</t>
  </si>
  <si>
    <t>480939N</t>
  </si>
  <si>
    <t>1220933W</t>
  </si>
  <si>
    <t>Arlington</t>
  </si>
  <si>
    <t>ANC16LA024</t>
  </si>
  <si>
    <t>584406N</t>
  </si>
  <si>
    <t>1570119W</t>
  </si>
  <si>
    <t>Naknek</t>
  </si>
  <si>
    <t>CEN16FA171</t>
  </si>
  <si>
    <t>441248N</t>
  </si>
  <si>
    <t>0875737W</t>
  </si>
  <si>
    <t>Reedsville</t>
  </si>
  <si>
    <t>GAA16CA214</t>
  </si>
  <si>
    <t>371211N</t>
  </si>
  <si>
    <t>1075209W</t>
  </si>
  <si>
    <t>Durango</t>
  </si>
  <si>
    <t>CEN16LA173</t>
  </si>
  <si>
    <t>301328N</t>
  </si>
  <si>
    <t>0930001W</t>
  </si>
  <si>
    <t>Iowa</t>
  </si>
  <si>
    <t>ANC16LA022</t>
  </si>
  <si>
    <t>582848N</t>
  </si>
  <si>
    <t>1341232W</t>
  </si>
  <si>
    <t>Juneau</t>
  </si>
  <si>
    <t>CEN16FA172</t>
  </si>
  <si>
    <t>345018N</t>
  </si>
  <si>
    <t>0921516W</t>
  </si>
  <si>
    <t>North Little Rock</t>
  </si>
  <si>
    <t>CEN16LA175</t>
  </si>
  <si>
    <t>454150N</t>
  </si>
  <si>
    <t>0925708W</t>
  </si>
  <si>
    <t>Rush City</t>
  </si>
  <si>
    <t>GAA16CA222</t>
  </si>
  <si>
    <t>341625N</t>
  </si>
  <si>
    <t>0834953W</t>
  </si>
  <si>
    <t>ANC16CA025</t>
  </si>
  <si>
    <t>613014N</t>
  </si>
  <si>
    <t>1423345W</t>
  </si>
  <si>
    <t>McCarthy</t>
  </si>
  <si>
    <t>WPR16LA101</t>
  </si>
  <si>
    <t>340651N</t>
  </si>
  <si>
    <t>1171257W</t>
  </si>
  <si>
    <t>San Bernardino</t>
  </si>
  <si>
    <t>ANC16FA023</t>
  </si>
  <si>
    <t>592701N</t>
  </si>
  <si>
    <t>1351220W</t>
  </si>
  <si>
    <t>Skagway</t>
  </si>
  <si>
    <t>GAA16CA220</t>
  </si>
  <si>
    <t>373759N</t>
  </si>
  <si>
    <t>0841958W</t>
  </si>
  <si>
    <t>Richmond</t>
  </si>
  <si>
    <t>KY</t>
  </si>
  <si>
    <t>GAA16CA221</t>
  </si>
  <si>
    <t>390440N</t>
  </si>
  <si>
    <t>0841239W</t>
  </si>
  <si>
    <t>Batavia</t>
  </si>
  <si>
    <t>GAA16CA223</t>
  </si>
  <si>
    <t>305312N</t>
  </si>
  <si>
    <t>0940207W</t>
  </si>
  <si>
    <t>GAA16CA226</t>
  </si>
  <si>
    <t>390846N</t>
  </si>
  <si>
    <t>0863700W</t>
  </si>
  <si>
    <t>Bloomington</t>
  </si>
  <si>
    <t>WPR16LA104</t>
  </si>
  <si>
    <t>391737N</t>
  </si>
  <si>
    <t>1221505W</t>
  </si>
  <si>
    <t>Maxwell</t>
  </si>
  <si>
    <t>WPR16FA102</t>
  </si>
  <si>
    <t>333825N</t>
  </si>
  <si>
    <t>1122147W</t>
  </si>
  <si>
    <t>Surprise</t>
  </si>
  <si>
    <t>ERA16LA179</t>
  </si>
  <si>
    <t>363345N</t>
  </si>
  <si>
    <t>0800810W</t>
  </si>
  <si>
    <t>Critz</t>
  </si>
  <si>
    <t>GAA16CA228</t>
  </si>
  <si>
    <t>340747N</t>
  </si>
  <si>
    <t>1162425W</t>
  </si>
  <si>
    <t>Yucca Valley</t>
  </si>
  <si>
    <t>GAA16CA229</t>
  </si>
  <si>
    <t>304330N</t>
  </si>
  <si>
    <t>0871207W</t>
  </si>
  <si>
    <t>Pace</t>
  </si>
  <si>
    <t>WPR16FA103</t>
  </si>
  <si>
    <t>370339N</t>
  </si>
  <si>
    <t>1174811W</t>
  </si>
  <si>
    <t>Pomona</t>
  </si>
  <si>
    <t>GAA16CA224</t>
  </si>
  <si>
    <t>395002N</t>
  </si>
  <si>
    <t>1003225W</t>
  </si>
  <si>
    <t>Oberlin</t>
  </si>
  <si>
    <t>GAA16CA227</t>
  </si>
  <si>
    <t>341003N</t>
  </si>
  <si>
    <t>1014307W</t>
  </si>
  <si>
    <t>Plainview</t>
  </si>
  <si>
    <t>WPR16LA105</t>
  </si>
  <si>
    <t>375132N</t>
  </si>
  <si>
    <t>1201000W</t>
  </si>
  <si>
    <t>Groveland</t>
  </si>
  <si>
    <t>CEN16LA178</t>
  </si>
  <si>
    <t>0812637W</t>
  </si>
  <si>
    <t>Akron</t>
  </si>
  <si>
    <t>CEN16LA187</t>
  </si>
  <si>
    <t>364632N</t>
  </si>
  <si>
    <t>0895628W</t>
  </si>
  <si>
    <t>Dexter</t>
  </si>
  <si>
    <t>WPR16LA106</t>
  </si>
  <si>
    <t>350118N</t>
  </si>
  <si>
    <t>1104355W</t>
  </si>
  <si>
    <t>Winslow</t>
  </si>
  <si>
    <t>GAA16CA230</t>
  </si>
  <si>
    <t>CEN16LA180</t>
  </si>
  <si>
    <t>300527N</t>
  </si>
  <si>
    <t>0922501W</t>
  </si>
  <si>
    <t>Lyons Point</t>
  </si>
  <si>
    <t>GAA16CA232</t>
  </si>
  <si>
    <t>415506N</t>
  </si>
  <si>
    <t>0724635W</t>
  </si>
  <si>
    <t>Simsbury</t>
  </si>
  <si>
    <t>WPR16LA107</t>
  </si>
  <si>
    <t>381212N</t>
  </si>
  <si>
    <t>1211519W</t>
  </si>
  <si>
    <t>Acampo</t>
  </si>
  <si>
    <t>GAA16CA236</t>
  </si>
  <si>
    <t>385735N</t>
  </si>
  <si>
    <t>0942217W</t>
  </si>
  <si>
    <t>GAA16CA237</t>
  </si>
  <si>
    <t>335816N</t>
  </si>
  <si>
    <t>1124740W</t>
  </si>
  <si>
    <t>Wickenburg</t>
  </si>
  <si>
    <t>WPR16LA110</t>
  </si>
  <si>
    <t>350332N</t>
  </si>
  <si>
    <t>1180902W</t>
  </si>
  <si>
    <t>Mojave</t>
  </si>
  <si>
    <t>WPR16LA108</t>
  </si>
  <si>
    <t>350904N</t>
  </si>
  <si>
    <t>1180100W</t>
  </si>
  <si>
    <t>California City</t>
  </si>
  <si>
    <t>WPR16LA109</t>
  </si>
  <si>
    <t>361238N</t>
  </si>
  <si>
    <t>1151137W</t>
  </si>
  <si>
    <t>CEN16LA182</t>
  </si>
  <si>
    <t>360432N</t>
  </si>
  <si>
    <t>0910340W</t>
  </si>
  <si>
    <t>Portia</t>
  </si>
  <si>
    <t>CEN16LA183</t>
  </si>
  <si>
    <t>354000N</t>
  </si>
  <si>
    <t>0973654W</t>
  </si>
  <si>
    <t>Edmond</t>
  </si>
  <si>
    <t>ERA16LA183</t>
  </si>
  <si>
    <t>362224N</t>
  </si>
  <si>
    <t>0862430W</t>
  </si>
  <si>
    <t>Gallatin</t>
  </si>
  <si>
    <t>CEN16LA185</t>
  </si>
  <si>
    <t>331234N</t>
  </si>
  <si>
    <t>0964437W</t>
  </si>
  <si>
    <t>McKinney</t>
  </si>
  <si>
    <t>GAA16CA238</t>
  </si>
  <si>
    <t>403212N</t>
  </si>
  <si>
    <t>0815721W</t>
  </si>
  <si>
    <t>Millersburg</t>
  </si>
  <si>
    <t>GAA16CA243</t>
  </si>
  <si>
    <t>285204N</t>
  </si>
  <si>
    <t>0823413W</t>
  </si>
  <si>
    <t>Crystal River</t>
  </si>
  <si>
    <t>CEN16LA200</t>
  </si>
  <si>
    <t>344960N</t>
  </si>
  <si>
    <t>0921508W</t>
  </si>
  <si>
    <t>Little Rock</t>
  </si>
  <si>
    <t>ERA16FA182</t>
  </si>
  <si>
    <t>0841811W</t>
  </si>
  <si>
    <t>ASHO</t>
  </si>
  <si>
    <t>ERA16LA184</t>
  </si>
  <si>
    <t>393429N</t>
  </si>
  <si>
    <t>0775817W</t>
  </si>
  <si>
    <t>Hedgesville</t>
  </si>
  <si>
    <t>DCA16CA153</t>
  </si>
  <si>
    <t>Philadelphia</t>
  </si>
  <si>
    <t>CEN16LA181</t>
  </si>
  <si>
    <t>315027N</t>
  </si>
  <si>
    <t>0970427W</t>
  </si>
  <si>
    <t>West</t>
  </si>
  <si>
    <t>GAA16CA235</t>
  </si>
  <si>
    <t>371421N</t>
  </si>
  <si>
    <t>0764258W</t>
  </si>
  <si>
    <t>Williamsburg</t>
  </si>
  <si>
    <t>ANC16CA027</t>
  </si>
  <si>
    <t>623422N</t>
  </si>
  <si>
    <t>1493220W</t>
  </si>
  <si>
    <t>GAA16CA240</t>
  </si>
  <si>
    <t>315834N</t>
  </si>
  <si>
    <t>0805116W</t>
  </si>
  <si>
    <t>Tybee Island</t>
  </si>
  <si>
    <t>WPR16LA113</t>
  </si>
  <si>
    <t>354321N</t>
  </si>
  <si>
    <t>1191339W</t>
  </si>
  <si>
    <t>Delano</t>
  </si>
  <si>
    <t>GAA16CA253</t>
  </si>
  <si>
    <t>352126N</t>
  </si>
  <si>
    <t>0965634W</t>
  </si>
  <si>
    <t>Shawnee</t>
  </si>
  <si>
    <t>GAA16CA256</t>
  </si>
  <si>
    <t>445109N</t>
  </si>
  <si>
    <t>0930151W</t>
  </si>
  <si>
    <t>South St Paul</t>
  </si>
  <si>
    <t>WPR16FA111</t>
  </si>
  <si>
    <t>341329N</t>
  </si>
  <si>
    <t>1180822W</t>
  </si>
  <si>
    <t>Altadena</t>
  </si>
  <si>
    <t>GAA16CA234</t>
  </si>
  <si>
    <t>264703N</t>
  </si>
  <si>
    <t>0804136W</t>
  </si>
  <si>
    <t>Pahokee</t>
  </si>
  <si>
    <t>CEN16LA186</t>
  </si>
  <si>
    <t>302303N</t>
  </si>
  <si>
    <t>1034101W</t>
  </si>
  <si>
    <t>GAA16CA244</t>
  </si>
  <si>
    <t>401234N</t>
  </si>
  <si>
    <t>0854831W</t>
  </si>
  <si>
    <t>Frankton</t>
  </si>
  <si>
    <t>CEN16LA192</t>
  </si>
  <si>
    <t>304306N</t>
  </si>
  <si>
    <t>0912843W</t>
  </si>
  <si>
    <t>New Roads</t>
  </si>
  <si>
    <t>ERA16FA185</t>
  </si>
  <si>
    <t>341728N</t>
  </si>
  <si>
    <t>0884555W</t>
  </si>
  <si>
    <t>Tupelo</t>
  </si>
  <si>
    <t>ERA16FA186</t>
  </si>
  <si>
    <t>252953N</t>
  </si>
  <si>
    <t>0803330W</t>
  </si>
  <si>
    <t>ERA16FA189</t>
  </si>
  <si>
    <t>411736N</t>
  </si>
  <si>
    <t>0743507W</t>
  </si>
  <si>
    <t>Wantage</t>
  </si>
  <si>
    <t>ERA16LA190</t>
  </si>
  <si>
    <t>301055N</t>
  </si>
  <si>
    <t>0823437W</t>
  </si>
  <si>
    <t>Lake City</t>
  </si>
  <si>
    <t>CEN16WA398</t>
  </si>
  <si>
    <t>495538N</t>
  </si>
  <si>
    <t>0021141E</t>
  </si>
  <si>
    <t>Ailly-sur-Somme</t>
  </si>
  <si>
    <t>FR</t>
  </si>
  <si>
    <t>WPR16FA112</t>
  </si>
  <si>
    <t>332739N</t>
  </si>
  <si>
    <t>1114342W</t>
  </si>
  <si>
    <t>GAA16CA242</t>
  </si>
  <si>
    <t>391324N</t>
  </si>
  <si>
    <t>1210015W</t>
  </si>
  <si>
    <t>Grass Valley</t>
  </si>
  <si>
    <t>CEN16FA188</t>
  </si>
  <si>
    <t>382942N</t>
  </si>
  <si>
    <t>1021724W</t>
  </si>
  <si>
    <t>Sheridan Lake</t>
  </si>
  <si>
    <t>GAA16CA245</t>
  </si>
  <si>
    <t>374644N</t>
  </si>
  <si>
    <t>0891454W</t>
  </si>
  <si>
    <t>Carbondale</t>
  </si>
  <si>
    <t>GAA16CA247</t>
  </si>
  <si>
    <t>403411N</t>
  </si>
  <si>
    <t>1222424W</t>
  </si>
  <si>
    <t>Redding</t>
  </si>
  <si>
    <t>GAA16CA252</t>
  </si>
  <si>
    <t>610616N</t>
  </si>
  <si>
    <t>1512227W</t>
  </si>
  <si>
    <t>Nikolai Creek</t>
  </si>
  <si>
    <t>CEN16CA194</t>
  </si>
  <si>
    <t>423412N</t>
  </si>
  <si>
    <t>0842512W</t>
  </si>
  <si>
    <t>Mason</t>
  </si>
  <si>
    <t>ERA16FA188</t>
  </si>
  <si>
    <t>355127N</t>
  </si>
  <si>
    <t>0833111W</t>
  </si>
  <si>
    <t>Sevierville</t>
  </si>
  <si>
    <t>GAA16CA248</t>
  </si>
  <si>
    <t>400819N</t>
  </si>
  <si>
    <t>0751549W</t>
  </si>
  <si>
    <t>BLUE BELL</t>
  </si>
  <si>
    <t>ERA16LA192</t>
  </si>
  <si>
    <t>430145N</t>
  </si>
  <si>
    <t>0780954W</t>
  </si>
  <si>
    <t>GAA16CA257</t>
  </si>
  <si>
    <t>421307N</t>
  </si>
  <si>
    <t>0920123W</t>
  </si>
  <si>
    <t>Vinton</t>
  </si>
  <si>
    <t>CEN16LA196</t>
  </si>
  <si>
    <t>413134N</t>
  </si>
  <si>
    <t>0934428W</t>
  </si>
  <si>
    <t>West Des Moines</t>
  </si>
  <si>
    <t>GAA16CA268</t>
  </si>
  <si>
    <t>370740N</t>
  </si>
  <si>
    <t>0762945W</t>
  </si>
  <si>
    <t>WPR16LA114</t>
  </si>
  <si>
    <t>400727N</t>
  </si>
  <si>
    <t>1110006W</t>
  </si>
  <si>
    <t>Fruitland</t>
  </si>
  <si>
    <t>GAA16CA249</t>
  </si>
  <si>
    <t>324938N</t>
  </si>
  <si>
    <t>1165822W</t>
  </si>
  <si>
    <t>El Cajon</t>
  </si>
  <si>
    <t>GAA16CA262</t>
  </si>
  <si>
    <t>392801N</t>
  </si>
  <si>
    <t>0770101W</t>
  </si>
  <si>
    <t>Westminster</t>
  </si>
  <si>
    <t>GAA16CA250</t>
  </si>
  <si>
    <t>390244N</t>
  </si>
  <si>
    <t>1041735W</t>
  </si>
  <si>
    <t>Calhan</t>
  </si>
  <si>
    <t>GAA16CA255</t>
  </si>
  <si>
    <t>454558N</t>
  </si>
  <si>
    <t>0931104W</t>
  </si>
  <si>
    <t>Braham</t>
  </si>
  <si>
    <t>GAA16CA258</t>
  </si>
  <si>
    <t>461415N</t>
  </si>
  <si>
    <t>1180821W</t>
  </si>
  <si>
    <t>Waitsburg</t>
  </si>
  <si>
    <t>GAA16CA264</t>
  </si>
  <si>
    <t>600736N</t>
  </si>
  <si>
    <t>1492512W</t>
  </si>
  <si>
    <t>Seward</t>
  </si>
  <si>
    <t>WPR16FA115</t>
  </si>
  <si>
    <t>340116N</t>
  </si>
  <si>
    <t>1182643W</t>
  </si>
  <si>
    <t>Santa Monica</t>
  </si>
  <si>
    <t>CEN16LA190</t>
  </si>
  <si>
    <t>424317N</t>
  </si>
  <si>
    <t>0823547W</t>
  </si>
  <si>
    <t>Marine City</t>
  </si>
  <si>
    <t>GAA16CA254</t>
  </si>
  <si>
    <t>331518N</t>
  </si>
  <si>
    <t>0842401W</t>
  </si>
  <si>
    <t>Griffin</t>
  </si>
  <si>
    <t>ERA16LA191</t>
  </si>
  <si>
    <t>351404N</t>
  </si>
  <si>
    <t>0871529W</t>
  </si>
  <si>
    <t>Lawrenceburg</t>
  </si>
  <si>
    <t>WPR16FA116</t>
  </si>
  <si>
    <t>215345N</t>
  </si>
  <si>
    <t>1593559W</t>
  </si>
  <si>
    <t>Hanapepe</t>
  </si>
  <si>
    <t>ERA16LA193</t>
  </si>
  <si>
    <t>294306N</t>
  </si>
  <si>
    <t>0815850W</t>
  </si>
  <si>
    <t>Melrose</t>
  </si>
  <si>
    <t>CEN16LA197</t>
  </si>
  <si>
    <t>332630N</t>
  </si>
  <si>
    <t>0940216W</t>
  </si>
  <si>
    <t>Texarkana</t>
  </si>
  <si>
    <t>EXEC</t>
  </si>
  <si>
    <t>WPR16LA119</t>
  </si>
  <si>
    <t>212749N</t>
  </si>
  <si>
    <t>1581255W</t>
  </si>
  <si>
    <t>Waianae</t>
  </si>
  <si>
    <t>GAA16CA272</t>
  </si>
  <si>
    <t>593205N</t>
  </si>
  <si>
    <t>1533317W</t>
  </si>
  <si>
    <t>Chinita Bay</t>
  </si>
  <si>
    <t>WPR16LA122</t>
  </si>
  <si>
    <t>380748N</t>
  </si>
  <si>
    <t>1211012W</t>
  </si>
  <si>
    <t>CEN16LA193</t>
  </si>
  <si>
    <t>405652N</t>
  </si>
  <si>
    <t>0995551W</t>
  </si>
  <si>
    <t>Cozad</t>
  </si>
  <si>
    <t>ERA16FA194</t>
  </si>
  <si>
    <t>381555N</t>
  </si>
  <si>
    <t>0775128W</t>
  </si>
  <si>
    <t>Rhoadesville</t>
  </si>
  <si>
    <t>UND</t>
  </si>
  <si>
    <t>GAA16CA259</t>
  </si>
  <si>
    <t>391724N</t>
  </si>
  <si>
    <t>1193036W</t>
  </si>
  <si>
    <t>Reno</t>
  </si>
  <si>
    <t>GAA16CA260</t>
  </si>
  <si>
    <t>611114N</t>
  </si>
  <si>
    <t>1495757W</t>
  </si>
  <si>
    <t>GAA16CA261</t>
  </si>
  <si>
    <t>411836N</t>
  </si>
  <si>
    <t>0743345W</t>
  </si>
  <si>
    <t>Blairstown</t>
  </si>
  <si>
    <t>WPR16CA121</t>
  </si>
  <si>
    <t>420416N</t>
  </si>
  <si>
    <t>1241714W</t>
  </si>
  <si>
    <t>Brookings</t>
  </si>
  <si>
    <t>WPR16LA117</t>
  </si>
  <si>
    <t>390002N</t>
  </si>
  <si>
    <t>1194504W</t>
  </si>
  <si>
    <t>Minden</t>
  </si>
  <si>
    <t>ERA16LA195</t>
  </si>
  <si>
    <t>404730N</t>
  </si>
  <si>
    <t>0735907W</t>
  </si>
  <si>
    <t>New York</t>
  </si>
  <si>
    <t>CEN16LA201</t>
  </si>
  <si>
    <t>433458N</t>
  </si>
  <si>
    <t>0964434W</t>
  </si>
  <si>
    <t>Sioux Falls</t>
  </si>
  <si>
    <t>GAA16CA267</t>
  </si>
  <si>
    <t>350114N</t>
  </si>
  <si>
    <t>1063516W</t>
  </si>
  <si>
    <t>ALBUQUERQUE</t>
  </si>
  <si>
    <t>GAA16CA287</t>
  </si>
  <si>
    <t>611047N</t>
  </si>
  <si>
    <t>1484135W</t>
  </si>
  <si>
    <t>GAA16CA311</t>
  </si>
  <si>
    <t>375145N</t>
  </si>
  <si>
    <t>1201046W</t>
  </si>
  <si>
    <t>GAA16CA528</t>
  </si>
  <si>
    <t>301640N</t>
  </si>
  <si>
    <t>0814821W</t>
  </si>
  <si>
    <t>Jacksonville</t>
  </si>
  <si>
    <t>WPR16FA118</t>
  </si>
  <si>
    <t>341922N</t>
  </si>
  <si>
    <t>1190857W</t>
  </si>
  <si>
    <t>GAA16CA269</t>
  </si>
  <si>
    <t>315626N</t>
  </si>
  <si>
    <t>1021155W</t>
  </si>
  <si>
    <t>GAA16CA283</t>
  </si>
  <si>
    <t>293009N</t>
  </si>
  <si>
    <t>0981438W</t>
  </si>
  <si>
    <t>Spring Branch</t>
  </si>
  <si>
    <t>WPR16FAMS1</t>
  </si>
  <si>
    <t>332411N</t>
  </si>
  <si>
    <t>1182434W</t>
  </si>
  <si>
    <t>GAA16CA266</t>
  </si>
  <si>
    <t>341028N</t>
  </si>
  <si>
    <t>0915608W</t>
  </si>
  <si>
    <t>Pine Bluff</t>
  </si>
  <si>
    <t>ERA16CA197</t>
  </si>
  <si>
    <t>431513N</t>
  </si>
  <si>
    <t>0715152W</t>
  </si>
  <si>
    <t>Warner</t>
  </si>
  <si>
    <t>OPS16LA011</t>
  </si>
  <si>
    <t>374253N</t>
  </si>
  <si>
    <t>1211903W</t>
  </si>
  <si>
    <t>Oakland</t>
  </si>
  <si>
    <t>CEN16LA202</t>
  </si>
  <si>
    <t>322015N</t>
  </si>
  <si>
    <t>1041548E</t>
  </si>
  <si>
    <t>Carlsbad</t>
  </si>
  <si>
    <t>GAA16CA270</t>
  </si>
  <si>
    <t>391606N</t>
  </si>
  <si>
    <t>1085152W</t>
  </si>
  <si>
    <t>Mack</t>
  </si>
  <si>
    <t>GAA16CA273</t>
  </si>
  <si>
    <t>620451N</t>
  </si>
  <si>
    <t>1502927W</t>
  </si>
  <si>
    <t>Shulin Lake</t>
  </si>
  <si>
    <t>GAA16CA265</t>
  </si>
  <si>
    <t>454216N</t>
  </si>
  <si>
    <t>1084534W</t>
  </si>
  <si>
    <t>Laurel</t>
  </si>
  <si>
    <t>ERA16LA201</t>
  </si>
  <si>
    <t>374020N</t>
  </si>
  <si>
    <t>0863811W</t>
  </si>
  <si>
    <t>Fordsville</t>
  </si>
  <si>
    <t>GAA16CA275</t>
  </si>
  <si>
    <t>433215N</t>
  </si>
  <si>
    <t>0840428W</t>
  </si>
  <si>
    <t>Saginaw</t>
  </si>
  <si>
    <t>CEN16LA206</t>
  </si>
  <si>
    <t>443648N</t>
  </si>
  <si>
    <t>0884351W</t>
  </si>
  <si>
    <t>Clintonville</t>
  </si>
  <si>
    <t>GAA16CA282</t>
  </si>
  <si>
    <t>404526N</t>
  </si>
  <si>
    <t>1191246W</t>
  </si>
  <si>
    <t>Gerlach</t>
  </si>
  <si>
    <t>ERA16LA199</t>
  </si>
  <si>
    <t>302528N</t>
  </si>
  <si>
    <t>0873207W</t>
  </si>
  <si>
    <t>Elberta</t>
  </si>
  <si>
    <t>GAA16CA274</t>
  </si>
  <si>
    <t>400026N</t>
  </si>
  <si>
    <t>0820045W</t>
  </si>
  <si>
    <t>Zanesville</t>
  </si>
  <si>
    <t>GAA16CA278</t>
  </si>
  <si>
    <t>410009N</t>
  </si>
  <si>
    <t>0814518W</t>
  </si>
  <si>
    <t>Wadsworth</t>
  </si>
  <si>
    <t>GAA16CA340</t>
  </si>
  <si>
    <t>395634N</t>
  </si>
  <si>
    <t>0745045W</t>
  </si>
  <si>
    <t>Lumberton</t>
  </si>
  <si>
    <t>GAA16CA271</t>
  </si>
  <si>
    <t>464729N</t>
  </si>
  <si>
    <t>1161033W</t>
  </si>
  <si>
    <t>Elk River</t>
  </si>
  <si>
    <t>ERA16LA200</t>
  </si>
  <si>
    <t>394950N</t>
  </si>
  <si>
    <t>0754650W</t>
  </si>
  <si>
    <t>Toughkenamon</t>
  </si>
  <si>
    <t>CEN16LA203</t>
  </si>
  <si>
    <t>314452N</t>
  </si>
  <si>
    <t>1023253W</t>
  </si>
  <si>
    <t>Penwell</t>
  </si>
  <si>
    <t>Yes</t>
  </si>
  <si>
    <t>GAA16CA303</t>
  </si>
  <si>
    <t>385440N</t>
  </si>
  <si>
    <t>1213334W</t>
  </si>
  <si>
    <t>Nicolaus</t>
  </si>
  <si>
    <t>GAA16CA279</t>
  </si>
  <si>
    <t>361233N</t>
  </si>
  <si>
    <t>1151143W</t>
  </si>
  <si>
    <t>GAA16CA280</t>
  </si>
  <si>
    <t>420656N</t>
  </si>
  <si>
    <t>0875411W</t>
  </si>
  <si>
    <t>Prospect Heights</t>
  </si>
  <si>
    <t>WPR16LA127</t>
  </si>
  <si>
    <t>473148N</t>
  </si>
  <si>
    <t>1221807W</t>
  </si>
  <si>
    <t>Seattle</t>
  </si>
  <si>
    <t>ERA16LA202</t>
  </si>
  <si>
    <t>362829N</t>
  </si>
  <si>
    <t>0814817W</t>
  </si>
  <si>
    <t>Mountain City</t>
  </si>
  <si>
    <t>GAA16CA277</t>
  </si>
  <si>
    <t>403330N</t>
  </si>
  <si>
    <t>0880402W</t>
  </si>
  <si>
    <t>Loda</t>
  </si>
  <si>
    <t>CEN16LA207</t>
  </si>
  <si>
    <t>261128N</t>
  </si>
  <si>
    <t>0980656W</t>
  </si>
  <si>
    <t>Alamo</t>
  </si>
  <si>
    <t>GAA16CA276</t>
  </si>
  <si>
    <t>393746N</t>
  </si>
  <si>
    <t>0750129W</t>
  </si>
  <si>
    <t>Williamstown</t>
  </si>
  <si>
    <t>GAA16CA281</t>
  </si>
  <si>
    <t>471601N</t>
  </si>
  <si>
    <t>1220404W</t>
  </si>
  <si>
    <t>Black Diamond</t>
  </si>
  <si>
    <t>ERA16CA203</t>
  </si>
  <si>
    <t>405231N</t>
  </si>
  <si>
    <t>0741653W</t>
  </si>
  <si>
    <t>Fairfield</t>
  </si>
  <si>
    <t>GAA16CA284</t>
  </si>
  <si>
    <t>480338N</t>
  </si>
  <si>
    <t>1140004W</t>
  </si>
  <si>
    <t>Ferndale</t>
  </si>
  <si>
    <t>GAA16CA285</t>
  </si>
  <si>
    <t>461521N</t>
  </si>
  <si>
    <t>1140732W</t>
  </si>
  <si>
    <t>Hamilton</t>
  </si>
  <si>
    <t>GAA16CA289</t>
  </si>
  <si>
    <t>364826N</t>
  </si>
  <si>
    <t>1174654W</t>
  </si>
  <si>
    <t>Lone Pine</t>
  </si>
  <si>
    <t>GAA16CA288</t>
  </si>
  <si>
    <t>361760N</t>
  </si>
  <si>
    <t>0921259W</t>
  </si>
  <si>
    <t>GAA16CA308</t>
  </si>
  <si>
    <t>423309N</t>
  </si>
  <si>
    <t>0941060W</t>
  </si>
  <si>
    <t>Fort Dodge</t>
  </si>
  <si>
    <t>DCA16CA182</t>
  </si>
  <si>
    <t>360448N</t>
  </si>
  <si>
    <t>1150908W</t>
  </si>
  <si>
    <t>DCA16RA175</t>
  </si>
  <si>
    <t>372748N</t>
  </si>
  <si>
    <t>1262624E</t>
  </si>
  <si>
    <t>Incheon</t>
  </si>
  <si>
    <t>INT</t>
  </si>
  <si>
    <t>WPR16FA120</t>
  </si>
  <si>
    <t>470854N</t>
  </si>
  <si>
    <t>1165914W</t>
  </si>
  <si>
    <t>De Smet</t>
  </si>
  <si>
    <t>ANC16LA029</t>
  </si>
  <si>
    <t>645751N</t>
  </si>
  <si>
    <t>1482442W</t>
  </si>
  <si>
    <t>Fairbanks</t>
  </si>
  <si>
    <t>CEN16LA208</t>
  </si>
  <si>
    <t>332448N</t>
  </si>
  <si>
    <t>1020915E</t>
  </si>
  <si>
    <t>Ropesville</t>
  </si>
  <si>
    <t>GAA16CA286</t>
  </si>
  <si>
    <t>ERA16LA204</t>
  </si>
  <si>
    <t>382332N</t>
  </si>
  <si>
    <t>0771900W</t>
  </si>
  <si>
    <t>Stafford</t>
  </si>
  <si>
    <t>CEN16LA218</t>
  </si>
  <si>
    <t>383700N</t>
  </si>
  <si>
    <t>0900760W</t>
  </si>
  <si>
    <t>East St. Louis</t>
  </si>
  <si>
    <t>CEN16LA219</t>
  </si>
  <si>
    <t>331551N</t>
  </si>
  <si>
    <t>0972758W</t>
  </si>
  <si>
    <t>Decatur</t>
  </si>
  <si>
    <t>CEN16FA209</t>
  </si>
  <si>
    <t>441708N</t>
  </si>
  <si>
    <t>0972733W</t>
  </si>
  <si>
    <t>GAA16CA290</t>
  </si>
  <si>
    <t>300007N</t>
  </si>
  <si>
    <t>0941038W</t>
  </si>
  <si>
    <t>GAA16CA291</t>
  </si>
  <si>
    <t>333509N</t>
  </si>
  <si>
    <t>0801232W</t>
  </si>
  <si>
    <t>Manning</t>
  </si>
  <si>
    <t>GAA16CA295</t>
  </si>
  <si>
    <t>333145N</t>
  </si>
  <si>
    <t>0823038W</t>
  </si>
  <si>
    <t>Thomson</t>
  </si>
  <si>
    <t>GAA16CA296</t>
  </si>
  <si>
    <t>383413N</t>
  </si>
  <si>
    <t>0900918W</t>
  </si>
  <si>
    <t>Cahokia/St. Louis</t>
  </si>
  <si>
    <t>GAA16CA297</t>
  </si>
  <si>
    <t>313401N</t>
  </si>
  <si>
    <t>0942021W</t>
  </si>
  <si>
    <t>Chireno</t>
  </si>
  <si>
    <t>CEN16FA210</t>
  </si>
  <si>
    <t>340658N</t>
  </si>
  <si>
    <t>0921238W</t>
  </si>
  <si>
    <t>GAA16CA292</t>
  </si>
  <si>
    <t>424504N</t>
  </si>
  <si>
    <t>0881504W</t>
  </si>
  <si>
    <t>Rochester</t>
  </si>
  <si>
    <t>GAA16CA293</t>
  </si>
  <si>
    <t>443907N</t>
  </si>
  <si>
    <t>0925158W</t>
  </si>
  <si>
    <t>Hastings</t>
  </si>
  <si>
    <t>GAA16CA294</t>
  </si>
  <si>
    <t>381558N</t>
  </si>
  <si>
    <t>0772658W</t>
  </si>
  <si>
    <t>Fredericksburg</t>
  </si>
  <si>
    <t>GAA16CA301</t>
  </si>
  <si>
    <t>400749N</t>
  </si>
  <si>
    <t>0834516W</t>
  </si>
  <si>
    <t>Urbana</t>
  </si>
  <si>
    <t>GAA16CA315</t>
  </si>
  <si>
    <t>405057N</t>
  </si>
  <si>
    <t>0775055W</t>
  </si>
  <si>
    <t>State College</t>
  </si>
  <si>
    <t>GAA16CA316</t>
  </si>
  <si>
    <t>342959N</t>
  </si>
  <si>
    <t>0833324W</t>
  </si>
  <si>
    <t>Cornelia</t>
  </si>
  <si>
    <t>CEN16FA211</t>
  </si>
  <si>
    <t>293936N</t>
  </si>
  <si>
    <t>0951722W</t>
  </si>
  <si>
    <t>CEN16FA212</t>
  </si>
  <si>
    <t>461441N</t>
  </si>
  <si>
    <t>0993241W</t>
  </si>
  <si>
    <t>Wishek</t>
  </si>
  <si>
    <t>CEN16LA213</t>
  </si>
  <si>
    <t>260633N</t>
  </si>
  <si>
    <t>0972939W</t>
  </si>
  <si>
    <t>Laureles</t>
  </si>
  <si>
    <t>GAA16CA298</t>
  </si>
  <si>
    <t>442453N</t>
  </si>
  <si>
    <t>1151909W</t>
  </si>
  <si>
    <t>Stanley</t>
  </si>
  <si>
    <t>GAA16CA302</t>
  </si>
  <si>
    <t>332451N</t>
  </si>
  <si>
    <t>0804841W</t>
  </si>
  <si>
    <t>Rowesville</t>
  </si>
  <si>
    <t>GAA16CA314</t>
  </si>
  <si>
    <t>405651N</t>
  </si>
  <si>
    <t>0741852W</t>
  </si>
  <si>
    <t>Lincoln Park</t>
  </si>
  <si>
    <t>GAA16CA300</t>
  </si>
  <si>
    <t>395251N</t>
  </si>
  <si>
    <t>0804408W</t>
  </si>
  <si>
    <t>Moundsville</t>
  </si>
  <si>
    <t>GAA16CA337</t>
  </si>
  <si>
    <t>384900N</t>
  </si>
  <si>
    <t>1060718W</t>
  </si>
  <si>
    <t>Buena Vista</t>
  </si>
  <si>
    <t>WPR16FA124</t>
  </si>
  <si>
    <t>335512N</t>
  </si>
  <si>
    <t>1182129W</t>
  </si>
  <si>
    <t>GAA16CA299</t>
  </si>
  <si>
    <t>303558N</t>
  </si>
  <si>
    <t>0982434W</t>
  </si>
  <si>
    <t>Sunrise Beach Village</t>
  </si>
  <si>
    <t>CEN16FA214</t>
  </si>
  <si>
    <t>374612N</t>
  </si>
  <si>
    <t>0890025W</t>
  </si>
  <si>
    <t>Marion</t>
  </si>
  <si>
    <t>ERA16LA209</t>
  </si>
  <si>
    <t>340739N</t>
  </si>
  <si>
    <t>0782023W</t>
  </si>
  <si>
    <t>ERA16LA210</t>
  </si>
  <si>
    <t>423515N</t>
  </si>
  <si>
    <t>0775655W</t>
  </si>
  <si>
    <t>Nunda</t>
  </si>
  <si>
    <t>ERA16CA211</t>
  </si>
  <si>
    <t>GAA16CA304</t>
  </si>
  <si>
    <t>355632N</t>
  </si>
  <si>
    <t>0794108W</t>
  </si>
  <si>
    <t>Climax</t>
  </si>
  <si>
    <t>GAA16CA305</t>
  </si>
  <si>
    <t>461600N</t>
  </si>
  <si>
    <t>1190706W</t>
  </si>
  <si>
    <t>Pasco</t>
  </si>
  <si>
    <t>ERA16LA213</t>
  </si>
  <si>
    <t>284244N</t>
  </si>
  <si>
    <t>0813506W</t>
  </si>
  <si>
    <t>Apopka</t>
  </si>
  <si>
    <t>GAA16CA312</t>
  </si>
  <si>
    <t>324153N</t>
  </si>
  <si>
    <t>0945656W</t>
  </si>
  <si>
    <t>ERA16CA214</t>
  </si>
  <si>
    <t>342523N</t>
  </si>
  <si>
    <t>0903129W</t>
  </si>
  <si>
    <t>Dundee</t>
  </si>
  <si>
    <t>CEN16LA228</t>
  </si>
  <si>
    <t>321545N</t>
  </si>
  <si>
    <t>1074308W</t>
  </si>
  <si>
    <t>Deming</t>
  </si>
  <si>
    <t>ERA16FA208</t>
  </si>
  <si>
    <t>350251N</t>
  </si>
  <si>
    <t>0850105W</t>
  </si>
  <si>
    <t>Collegedale</t>
  </si>
  <si>
    <t>GAA16CA306</t>
  </si>
  <si>
    <t>350141N</t>
  </si>
  <si>
    <t>0811510W</t>
  </si>
  <si>
    <t>York</t>
  </si>
  <si>
    <t>GAA16CA307</t>
  </si>
  <si>
    <t>412709N</t>
  </si>
  <si>
    <t>GAA16CA309</t>
  </si>
  <si>
    <t>440059N</t>
  </si>
  <si>
    <t>1170041W</t>
  </si>
  <si>
    <t>Ontario</t>
  </si>
  <si>
    <t>CEN16LA217</t>
  </si>
  <si>
    <t>0961516W</t>
  </si>
  <si>
    <t>Westport</t>
  </si>
  <si>
    <t>ANC16CA031</t>
  </si>
  <si>
    <t>640524N</t>
  </si>
  <si>
    <t>1480448W</t>
  </si>
  <si>
    <t>CEN16FA215</t>
  </si>
  <si>
    <t>354935N</t>
  </si>
  <si>
    <t>0903257W</t>
  </si>
  <si>
    <t>Jonesboro</t>
  </si>
  <si>
    <t>GAA16CA313</t>
  </si>
  <si>
    <t>370351N</t>
  </si>
  <si>
    <t>0891310W</t>
  </si>
  <si>
    <t>Cairo</t>
  </si>
  <si>
    <t>ERA16LA212</t>
  </si>
  <si>
    <t>380420N</t>
  </si>
  <si>
    <t>0851402W</t>
  </si>
  <si>
    <t>Taylorsville</t>
  </si>
  <si>
    <t>GAA16CA310</t>
  </si>
  <si>
    <t>353133N</t>
  </si>
  <si>
    <t>0921000W</t>
  </si>
  <si>
    <t>Greers Ferry</t>
  </si>
  <si>
    <t>GAA16CA319</t>
  </si>
  <si>
    <t>471915N</t>
  </si>
  <si>
    <t>1095631W</t>
  </si>
  <si>
    <t>ERA16CA227</t>
  </si>
  <si>
    <t>390423N</t>
  </si>
  <si>
    <t>0791534W</t>
  </si>
  <si>
    <t>Maysville</t>
  </si>
  <si>
    <t>GAA16CA385</t>
  </si>
  <si>
    <t>332806N</t>
  </si>
  <si>
    <t>0993510W</t>
  </si>
  <si>
    <t>Munday</t>
  </si>
  <si>
    <t>DCA16CA202</t>
  </si>
  <si>
    <t>403839N</t>
  </si>
  <si>
    <t>0734714W</t>
  </si>
  <si>
    <t>Jamaica</t>
  </si>
  <si>
    <t>CEN16FA216</t>
  </si>
  <si>
    <t>394420N</t>
  </si>
  <si>
    <t>0871310W</t>
  </si>
  <si>
    <t>Rockville</t>
  </si>
  <si>
    <t>GAA16CA317</t>
  </si>
  <si>
    <t>451333N</t>
  </si>
  <si>
    <t>1230656W</t>
  </si>
  <si>
    <t>McMinnville</t>
  </si>
  <si>
    <t>GAA16CA318</t>
  </si>
  <si>
    <t>320745N</t>
  </si>
  <si>
    <t>1132909W</t>
  </si>
  <si>
    <t>Ajo</t>
  </si>
  <si>
    <t>PUBF</t>
  </si>
  <si>
    <t>WPR16LA125</t>
  </si>
  <si>
    <t>371940N</t>
  </si>
  <si>
    <t>1182350W</t>
  </si>
  <si>
    <t>Bishop</t>
  </si>
  <si>
    <t>CEN16LA249</t>
  </si>
  <si>
    <t>283647N</t>
  </si>
  <si>
    <t>0963732E</t>
  </si>
  <si>
    <t>Port Lavaca</t>
  </si>
  <si>
    <t>CEN16LA221</t>
  </si>
  <si>
    <t>294360N</t>
  </si>
  <si>
    <t>0960333W</t>
  </si>
  <si>
    <t>Sealy</t>
  </si>
  <si>
    <t>GAA16CA320</t>
  </si>
  <si>
    <t>353456N</t>
  </si>
  <si>
    <t>1060621W</t>
  </si>
  <si>
    <t>Santa Fe</t>
  </si>
  <si>
    <t>GAA16CA321</t>
  </si>
  <si>
    <t>321745N</t>
  </si>
  <si>
    <t>0913224W</t>
  </si>
  <si>
    <t>Delhi</t>
  </si>
  <si>
    <t>CEN16FA224</t>
  </si>
  <si>
    <t>374920N</t>
  </si>
  <si>
    <t>1065422W</t>
  </si>
  <si>
    <t>Creede</t>
  </si>
  <si>
    <t>ERA16FA215</t>
  </si>
  <si>
    <t>405034N</t>
  </si>
  <si>
    <t>0775033W</t>
  </si>
  <si>
    <t>CEN16FA220</t>
  </si>
  <si>
    <t>384447N</t>
  </si>
  <si>
    <t>0852814W</t>
  </si>
  <si>
    <t>ERA16LA220</t>
  </si>
  <si>
    <t>442342N</t>
  </si>
  <si>
    <t>0711216W</t>
  </si>
  <si>
    <t>Gorham</t>
  </si>
  <si>
    <t>ERA16CA222</t>
  </si>
  <si>
    <t>355640N</t>
  </si>
  <si>
    <t>0812924W</t>
  </si>
  <si>
    <t>Lenoir</t>
  </si>
  <si>
    <t>CEN16WA226</t>
  </si>
  <si>
    <t>544019N</t>
  </si>
  <si>
    <t>0253011E</t>
  </si>
  <si>
    <t>Kyviškes</t>
  </si>
  <si>
    <t>LH</t>
  </si>
  <si>
    <t>GAA16CA504</t>
  </si>
  <si>
    <t>262552N</t>
  </si>
  <si>
    <t>0812418W</t>
  </si>
  <si>
    <t>Immokalee</t>
  </si>
  <si>
    <t>ERA16LA216</t>
  </si>
  <si>
    <t>414250N</t>
  </si>
  <si>
    <t>0695858W</t>
  </si>
  <si>
    <t>Chatham</t>
  </si>
  <si>
    <t>ANC16LA032</t>
  </si>
  <si>
    <t>591410N</t>
  </si>
  <si>
    <t>1614301W</t>
  </si>
  <si>
    <t>Goodnews Bay</t>
  </si>
  <si>
    <t>ERA16LA225</t>
  </si>
  <si>
    <t>265508N</t>
  </si>
  <si>
    <t>0815927W</t>
  </si>
  <si>
    <t>GAA16CA324</t>
  </si>
  <si>
    <t>612055N</t>
  </si>
  <si>
    <t>1483144W</t>
  </si>
  <si>
    <t>GAA16CA323</t>
  </si>
  <si>
    <t>433154N</t>
  </si>
  <si>
    <t>0895856W</t>
  </si>
  <si>
    <t>Reedsburg</t>
  </si>
  <si>
    <t>CEN16LA230</t>
  </si>
  <si>
    <t>384824N</t>
  </si>
  <si>
    <t>0945724W</t>
  </si>
  <si>
    <t>Gardner</t>
  </si>
  <si>
    <t>GAA16LA325</t>
  </si>
  <si>
    <t>461852N</t>
  </si>
  <si>
    <t>0943214W</t>
  </si>
  <si>
    <t>Brainerd</t>
  </si>
  <si>
    <t>GAA16CA326</t>
  </si>
  <si>
    <t>472903N</t>
  </si>
  <si>
    <t>0970430W</t>
  </si>
  <si>
    <t>Cummings</t>
  </si>
  <si>
    <t>GAA16CA327</t>
  </si>
  <si>
    <t>402942N</t>
  </si>
  <si>
    <t>1073123W</t>
  </si>
  <si>
    <t>Craig</t>
  </si>
  <si>
    <t>GAA16CA328</t>
  </si>
  <si>
    <t>261037N</t>
  </si>
  <si>
    <t>0981428W</t>
  </si>
  <si>
    <t>McAllen</t>
  </si>
  <si>
    <t>GAA16CA331</t>
  </si>
  <si>
    <t>384721N</t>
  </si>
  <si>
    <t>0973939W</t>
  </si>
  <si>
    <t>Salina</t>
  </si>
  <si>
    <t>GAA16CA342</t>
  </si>
  <si>
    <t>412802N</t>
  </si>
  <si>
    <t>0743538W</t>
  </si>
  <si>
    <t>Cuddybackville</t>
  </si>
  <si>
    <t>GAA16CA322</t>
  </si>
  <si>
    <t>444015N</t>
  </si>
  <si>
    <t>0885321W</t>
  </si>
  <si>
    <t>ERA16LA217</t>
  </si>
  <si>
    <t>411910N</t>
  </si>
  <si>
    <t>0714833W</t>
  </si>
  <si>
    <t>Westerly</t>
  </si>
  <si>
    <t>CEN16LA223</t>
  </si>
  <si>
    <t>384752N</t>
  </si>
  <si>
    <t>1042741W</t>
  </si>
  <si>
    <t>Colorado Springs</t>
  </si>
  <si>
    <t>WPR16LA128</t>
  </si>
  <si>
    <t>344008N</t>
  </si>
  <si>
    <t>1122416W</t>
  </si>
  <si>
    <t>ERA16CA246</t>
  </si>
  <si>
    <t>352525N</t>
  </si>
  <si>
    <t>0854351W</t>
  </si>
  <si>
    <t>Clifton</t>
  </si>
  <si>
    <t>WPR16FA126</t>
  </si>
  <si>
    <t>373620N</t>
  </si>
  <si>
    <t>1220207W</t>
  </si>
  <si>
    <t>CEN16LA225</t>
  </si>
  <si>
    <t>294356N</t>
  </si>
  <si>
    <t>0952008W</t>
  </si>
  <si>
    <t>CEN16LA222</t>
  </si>
  <si>
    <t>382035N</t>
  </si>
  <si>
    <t>0921440W</t>
  </si>
  <si>
    <t>Henley</t>
  </si>
  <si>
    <t>ERA16CA218</t>
  </si>
  <si>
    <t>411004N</t>
  </si>
  <si>
    <t>0713501W</t>
  </si>
  <si>
    <t>Block Island</t>
  </si>
  <si>
    <t>ERA16WA219</t>
  </si>
  <si>
    <t>254160N</t>
  </si>
  <si>
    <t>0791526W</t>
  </si>
  <si>
    <t>South Bimini</t>
  </si>
  <si>
    <t>BF</t>
  </si>
  <si>
    <t xml:space="preserve">UNK </t>
  </si>
  <si>
    <t>CEN16LA227</t>
  </si>
  <si>
    <t>333606N</t>
  </si>
  <si>
    <t>Bowie</t>
  </si>
  <si>
    <t>ANC16LA034</t>
  </si>
  <si>
    <t>594549N</t>
  </si>
  <si>
    <t>1511930W</t>
  </si>
  <si>
    <t>Homer</t>
  </si>
  <si>
    <t>ERA16LA224</t>
  </si>
  <si>
    <t>413034N</t>
  </si>
  <si>
    <t>0751503W</t>
  </si>
  <si>
    <t>Honesdale</t>
  </si>
  <si>
    <t>ERA16LA226</t>
  </si>
  <si>
    <t>353125N</t>
  </si>
  <si>
    <t>0850531W</t>
  </si>
  <si>
    <t>Dayton</t>
  </si>
  <si>
    <t>GAA16CA341</t>
  </si>
  <si>
    <t>410917N</t>
  </si>
  <si>
    <t>1121948W</t>
  </si>
  <si>
    <t>Freemont Island</t>
  </si>
  <si>
    <t>GAA16CA527</t>
  </si>
  <si>
    <t>404344N</t>
  </si>
  <si>
    <t>0732448W</t>
  </si>
  <si>
    <t>Farmingdale</t>
  </si>
  <si>
    <t>CEN16LA231</t>
  </si>
  <si>
    <t>450842N</t>
  </si>
  <si>
    <t>0931237W</t>
  </si>
  <si>
    <t>Blaine</t>
  </si>
  <si>
    <t>GAA16CA330</t>
  </si>
  <si>
    <t>390131N</t>
  </si>
  <si>
    <t>1223944W</t>
  </si>
  <si>
    <t>Clearlake Oaks</t>
  </si>
  <si>
    <t>GAA16CA339</t>
  </si>
  <si>
    <t>392418N</t>
  </si>
  <si>
    <t>1220057W</t>
  </si>
  <si>
    <t>Princeton</t>
  </si>
  <si>
    <t>GAA16CA361</t>
  </si>
  <si>
    <t>394520N</t>
  </si>
  <si>
    <t>0823926W</t>
  </si>
  <si>
    <t>Lancaster</t>
  </si>
  <si>
    <t>WPR16LA129</t>
  </si>
  <si>
    <t>411126N</t>
  </si>
  <si>
    <t>1120028W</t>
  </si>
  <si>
    <t>CEN16LA229</t>
  </si>
  <si>
    <t>374841N</t>
  </si>
  <si>
    <t>0933505W</t>
  </si>
  <si>
    <t>Humansville</t>
  </si>
  <si>
    <t>GAA16CA347</t>
  </si>
  <si>
    <t>304450N</t>
  </si>
  <si>
    <t>0981404W</t>
  </si>
  <si>
    <t>Burnet</t>
  </si>
  <si>
    <t>ERA16LA228</t>
  </si>
  <si>
    <t>355308N</t>
  </si>
  <si>
    <t>0835724W</t>
  </si>
  <si>
    <t>Knoxville</t>
  </si>
  <si>
    <t>ERA16CA229</t>
  </si>
  <si>
    <t>285201N</t>
  </si>
  <si>
    <t>0823404W</t>
  </si>
  <si>
    <t>WPR16FA130</t>
  </si>
  <si>
    <t>342740N</t>
  </si>
  <si>
    <t>1134060W</t>
  </si>
  <si>
    <t>Wikieup</t>
  </si>
  <si>
    <t>GAA16CA332</t>
  </si>
  <si>
    <t>342723N</t>
  </si>
  <si>
    <t>1023322W</t>
  </si>
  <si>
    <t>Lazbuddie</t>
  </si>
  <si>
    <t>CEN16LA234</t>
  </si>
  <si>
    <t>325342N</t>
  </si>
  <si>
    <t>1055802W</t>
  </si>
  <si>
    <t>Alamogordo</t>
  </si>
  <si>
    <t>GAA16CA350</t>
  </si>
  <si>
    <t>371433N</t>
  </si>
  <si>
    <t>0932316W</t>
  </si>
  <si>
    <t>Springfield</t>
  </si>
  <si>
    <t>ERA16LA234</t>
  </si>
  <si>
    <t>413736N</t>
  </si>
  <si>
    <t>0735303W</t>
  </si>
  <si>
    <t>Poughkeepsie</t>
  </si>
  <si>
    <t>WPR16FA131</t>
  </si>
  <si>
    <t>475001N</t>
  </si>
  <si>
    <t>1162901W</t>
  </si>
  <si>
    <t>Coeur d'Alene</t>
  </si>
  <si>
    <t>GAA16CA333</t>
  </si>
  <si>
    <t>321536N</t>
  </si>
  <si>
    <t>1064912W</t>
  </si>
  <si>
    <t>Anthony</t>
  </si>
  <si>
    <t>GAA16CA334</t>
  </si>
  <si>
    <t>403155N</t>
  </si>
  <si>
    <t>0860318W</t>
  </si>
  <si>
    <t>Kokomo</t>
  </si>
  <si>
    <t>GAA16CA336</t>
  </si>
  <si>
    <t>384541N</t>
  </si>
  <si>
    <t>1080828W</t>
  </si>
  <si>
    <t>Delta</t>
  </si>
  <si>
    <t>ERA16LA230</t>
  </si>
  <si>
    <t>260004N</t>
  </si>
  <si>
    <t>0801427W</t>
  </si>
  <si>
    <t>Hollywood</t>
  </si>
  <si>
    <t>GAA16CA338</t>
  </si>
  <si>
    <t>421533N</t>
  </si>
  <si>
    <t>0842742W</t>
  </si>
  <si>
    <t>Jackson</t>
  </si>
  <si>
    <t>ANC16LA035</t>
  </si>
  <si>
    <t>613638N</t>
  </si>
  <si>
    <t>1500504W</t>
  </si>
  <si>
    <t>Big Lake</t>
  </si>
  <si>
    <t>ERA16WA232</t>
  </si>
  <si>
    <t>244153N</t>
  </si>
  <si>
    <t>0774744W</t>
  </si>
  <si>
    <t>Fresh Creek</t>
  </si>
  <si>
    <t>GAA16CA344</t>
  </si>
  <si>
    <t>423314N</t>
  </si>
  <si>
    <t>0714533W</t>
  </si>
  <si>
    <t>Fitchburg</t>
  </si>
  <si>
    <t>GAA16CA346</t>
  </si>
  <si>
    <t>430326N</t>
  </si>
  <si>
    <t>0834823W</t>
  </si>
  <si>
    <t>Flushing</t>
  </si>
  <si>
    <t>WPR16CA147</t>
  </si>
  <si>
    <t>332200N</t>
  </si>
  <si>
    <t>1203460W</t>
  </si>
  <si>
    <t>Beckwourth</t>
  </si>
  <si>
    <t>ERA16LA231</t>
  </si>
  <si>
    <t>DCA16CA193</t>
  </si>
  <si>
    <t>New Orleans</t>
  </si>
  <si>
    <t>CABIN</t>
  </si>
  <si>
    <t>GAA16CA335</t>
  </si>
  <si>
    <t>402757N</t>
  </si>
  <si>
    <t>0831706W</t>
  </si>
  <si>
    <t>Richwood</t>
  </si>
  <si>
    <t>CEN16LA235</t>
  </si>
  <si>
    <t>410341N</t>
  </si>
  <si>
    <t>0875019W</t>
  </si>
  <si>
    <t>Kankakee</t>
  </si>
  <si>
    <t>GAA16CA349</t>
  </si>
  <si>
    <t>393948N</t>
  </si>
  <si>
    <t>1195239W</t>
  </si>
  <si>
    <t>CEN16LA239</t>
  </si>
  <si>
    <t>394410N</t>
  </si>
  <si>
    <t>1041943W</t>
  </si>
  <si>
    <t>Strasburg</t>
  </si>
  <si>
    <t>CEN16LA247</t>
  </si>
  <si>
    <t>400946N</t>
  </si>
  <si>
    <t>1050949W</t>
  </si>
  <si>
    <t>Longmont</t>
  </si>
  <si>
    <t>GAA16CA375</t>
  </si>
  <si>
    <t>474532N</t>
  </si>
  <si>
    <t>1164443W</t>
  </si>
  <si>
    <t>Hayden Lake</t>
  </si>
  <si>
    <t>WPR16LA171</t>
  </si>
  <si>
    <t>480428N</t>
  </si>
  <si>
    <t>1131425W</t>
  </si>
  <si>
    <t>Schafer Meadows</t>
  </si>
  <si>
    <t>WPR16LA132</t>
  </si>
  <si>
    <t>324508N</t>
  </si>
  <si>
    <t>1152754W</t>
  </si>
  <si>
    <t>El Centro</t>
  </si>
  <si>
    <t>CEN16LA236</t>
  </si>
  <si>
    <t>422321N</t>
  </si>
  <si>
    <t>0830015W</t>
  </si>
  <si>
    <t>BANT</t>
  </si>
  <si>
    <t>ANC16CA041</t>
  </si>
  <si>
    <t>612617N</t>
  </si>
  <si>
    <t>1484005W</t>
  </si>
  <si>
    <t>GAA16CA345</t>
  </si>
  <si>
    <t>475415N</t>
  </si>
  <si>
    <t>1221618W</t>
  </si>
  <si>
    <t>Everett</t>
  </si>
  <si>
    <t>DCA16CA197</t>
  </si>
  <si>
    <t>330600N</t>
  </si>
  <si>
    <t>1142400W</t>
  </si>
  <si>
    <t>Yuma</t>
  </si>
  <si>
    <t>WPR16LA137</t>
  </si>
  <si>
    <t>325922N</t>
  </si>
  <si>
    <t>1153011W</t>
  </si>
  <si>
    <t>Brawley</t>
  </si>
  <si>
    <t>GAA16CA343</t>
  </si>
  <si>
    <t>392503N</t>
  </si>
  <si>
    <t>0772228W</t>
  </si>
  <si>
    <t>ANC16CA036</t>
  </si>
  <si>
    <t>584044N</t>
  </si>
  <si>
    <t>1563858W</t>
  </si>
  <si>
    <t>King Salmon</t>
  </si>
  <si>
    <t>ERA16LA235</t>
  </si>
  <si>
    <t>332225N</t>
  </si>
  <si>
    <t>0843505W</t>
  </si>
  <si>
    <t>Peachtree City</t>
  </si>
  <si>
    <t>ERA16CA237</t>
  </si>
  <si>
    <t>413056N</t>
  </si>
  <si>
    <t>0751506W</t>
  </si>
  <si>
    <t>GAA16LA352</t>
  </si>
  <si>
    <t>282031N</t>
  </si>
  <si>
    <t>0804116W</t>
  </si>
  <si>
    <t>CEN16LA245</t>
  </si>
  <si>
    <t>424745N</t>
  </si>
  <si>
    <t>0865501E</t>
  </si>
  <si>
    <t>Holland</t>
  </si>
  <si>
    <t>ERA16CA277</t>
  </si>
  <si>
    <t>330035N</t>
  </si>
  <si>
    <t>0833202W</t>
  </si>
  <si>
    <t>Gray</t>
  </si>
  <si>
    <t>ERA16LA236</t>
  </si>
  <si>
    <t>341900N</t>
  </si>
  <si>
    <t>0810629W</t>
  </si>
  <si>
    <t>Winnsboro</t>
  </si>
  <si>
    <t>GAA16CA354</t>
  </si>
  <si>
    <t>412637N</t>
  </si>
  <si>
    <t>1064939W</t>
  </si>
  <si>
    <t>Saratoga</t>
  </si>
  <si>
    <t>CEN16LA243</t>
  </si>
  <si>
    <t>401326N</t>
  </si>
  <si>
    <t>0832103W</t>
  </si>
  <si>
    <t>Marysville</t>
  </si>
  <si>
    <t>GAA16CA359</t>
  </si>
  <si>
    <t>350931N</t>
  </si>
  <si>
    <t>1015026W</t>
  </si>
  <si>
    <t>Amarillo</t>
  </si>
  <si>
    <t>GAA16CA362</t>
  </si>
  <si>
    <t>391758N</t>
  </si>
  <si>
    <t>1145019W</t>
  </si>
  <si>
    <t>Ely</t>
  </si>
  <si>
    <t>GAA16CA365</t>
  </si>
  <si>
    <t>325438N</t>
  </si>
  <si>
    <t>0994403W</t>
  </si>
  <si>
    <t>Stamford</t>
  </si>
  <si>
    <t>WPR16LA136</t>
  </si>
  <si>
    <t>381723N</t>
  </si>
  <si>
    <t>1191228W</t>
  </si>
  <si>
    <t>Bridgeport</t>
  </si>
  <si>
    <t>GAA16CA357</t>
  </si>
  <si>
    <t>401954N</t>
  </si>
  <si>
    <t>0945005W</t>
  </si>
  <si>
    <t>GAA16CA358</t>
  </si>
  <si>
    <t>1115024W</t>
  </si>
  <si>
    <t>Bountiful</t>
  </si>
  <si>
    <t>CEN16LA242</t>
  </si>
  <si>
    <t>452011N</t>
  </si>
  <si>
    <t>0930016W</t>
  </si>
  <si>
    <t>Wyoming</t>
  </si>
  <si>
    <t>GAA16CA363</t>
  </si>
  <si>
    <t>341603N</t>
  </si>
  <si>
    <t>0865131W</t>
  </si>
  <si>
    <t>Cullman</t>
  </si>
  <si>
    <t>GAA16CA364</t>
  </si>
  <si>
    <t>390831N</t>
  </si>
  <si>
    <t>0964008W</t>
  </si>
  <si>
    <t>Manhattan</t>
  </si>
  <si>
    <t>ERA16CA303</t>
  </si>
  <si>
    <t>441914N</t>
  </si>
  <si>
    <t>0694750W</t>
  </si>
  <si>
    <t>Augusta</t>
  </si>
  <si>
    <t>WPR16LA133</t>
  </si>
  <si>
    <t>450547N</t>
  </si>
  <si>
    <t>1134123W</t>
  </si>
  <si>
    <t>Salmon</t>
  </si>
  <si>
    <t>WPR16LA134</t>
  </si>
  <si>
    <t>325941N</t>
  </si>
  <si>
    <t>1153106W</t>
  </si>
  <si>
    <t>GAA16CA353</t>
  </si>
  <si>
    <t>480447N</t>
  </si>
  <si>
    <t>1131442W</t>
  </si>
  <si>
    <t>Hungry Horse</t>
  </si>
  <si>
    <t>ERA16CA239</t>
  </si>
  <si>
    <t>382954N</t>
  </si>
  <si>
    <t>0785335W</t>
  </si>
  <si>
    <t>Harrisonburg</t>
  </si>
  <si>
    <t>ERA16LA242</t>
  </si>
  <si>
    <t>0752752W</t>
  </si>
  <si>
    <t>DE</t>
  </si>
  <si>
    <t>CEN16LA244</t>
  </si>
  <si>
    <t>320556N</t>
  </si>
  <si>
    <t>0952649W</t>
  </si>
  <si>
    <t>Bullard</t>
  </si>
  <si>
    <t>GAA16CA360</t>
  </si>
  <si>
    <t>255954N</t>
  </si>
  <si>
    <t>0801429W</t>
  </si>
  <si>
    <t>CEN16LA252</t>
  </si>
  <si>
    <t>441945N</t>
  </si>
  <si>
    <t>0844730W</t>
  </si>
  <si>
    <t>Houghton Lake Heights</t>
  </si>
  <si>
    <t>CEN16LA254</t>
  </si>
  <si>
    <t>302447N</t>
  </si>
  <si>
    <t>0975426W</t>
  </si>
  <si>
    <t>Austin</t>
  </si>
  <si>
    <t>ERA16LA255</t>
  </si>
  <si>
    <t>415811N</t>
  </si>
  <si>
    <t>0735152W</t>
  </si>
  <si>
    <t>Rhinebeck</t>
  </si>
  <si>
    <t>GAA16CA356</t>
  </si>
  <si>
    <t>343052N</t>
  </si>
  <si>
    <t>1174550W</t>
  </si>
  <si>
    <t>Llano</t>
  </si>
  <si>
    <t>CEN16FA240</t>
  </si>
  <si>
    <t>431854N</t>
  </si>
  <si>
    <t>0834219W</t>
  </si>
  <si>
    <t>Frankenmuth</t>
  </si>
  <si>
    <t>ERA16FA238</t>
  </si>
  <si>
    <t>261516N</t>
  </si>
  <si>
    <t>0802456W</t>
  </si>
  <si>
    <t>Weston</t>
  </si>
  <si>
    <t>ANC16LA038</t>
  </si>
  <si>
    <t>593540N</t>
  </si>
  <si>
    <t>1511449W</t>
  </si>
  <si>
    <t>Halibut Cove</t>
  </si>
  <si>
    <t>GAA16CA355</t>
  </si>
  <si>
    <t>410003N</t>
  </si>
  <si>
    <t>0983656W</t>
  </si>
  <si>
    <t>ERA16CA241</t>
  </si>
  <si>
    <t>404906N</t>
  </si>
  <si>
    <t>0725200W</t>
  </si>
  <si>
    <t>CEN16LA255</t>
  </si>
  <si>
    <t>431960N</t>
  </si>
  <si>
    <t>0893115W</t>
  </si>
  <si>
    <t>ANC16CA040</t>
  </si>
  <si>
    <t>643049N</t>
  </si>
  <si>
    <t>1652308W</t>
  </si>
  <si>
    <t>Nome</t>
  </si>
  <si>
    <t>CEN16FA241</t>
  </si>
  <si>
    <t>385145N</t>
  </si>
  <si>
    <t>1060925W</t>
  </si>
  <si>
    <t>WPR16LA135</t>
  </si>
  <si>
    <t>471924N</t>
  </si>
  <si>
    <t>1163409W</t>
  </si>
  <si>
    <t>St. Maries</t>
  </si>
  <si>
    <t>CEN16LA250</t>
  </si>
  <si>
    <t>323820N</t>
  </si>
  <si>
    <t>0914625W</t>
  </si>
  <si>
    <t>Oak Ridge</t>
  </si>
  <si>
    <t>WPR16LA138</t>
  </si>
  <si>
    <t>420444N</t>
  </si>
  <si>
    <t>1241960W</t>
  </si>
  <si>
    <t>ERA16LA244</t>
  </si>
  <si>
    <t>412811N</t>
  </si>
  <si>
    <t>0712534W</t>
  </si>
  <si>
    <t>Narragansett</t>
  </si>
  <si>
    <t>CEN16LA246</t>
  </si>
  <si>
    <t>422426N</t>
  </si>
  <si>
    <t>0882226W</t>
  </si>
  <si>
    <t>Wonder Lake</t>
  </si>
  <si>
    <t>GAA16CA368</t>
  </si>
  <si>
    <t>294842N</t>
  </si>
  <si>
    <t>0982534W</t>
  </si>
  <si>
    <t>DCA16FA199</t>
  </si>
  <si>
    <t>321446N</t>
  </si>
  <si>
    <t>0965511W</t>
  </si>
  <si>
    <t>Italy</t>
  </si>
  <si>
    <t>CEN16LA251</t>
  </si>
  <si>
    <t>283951N</t>
  </si>
  <si>
    <t>0964637W</t>
  </si>
  <si>
    <t>Placedo</t>
  </si>
  <si>
    <t>CEN16CA258</t>
  </si>
  <si>
    <t>450811N</t>
  </si>
  <si>
    <t>0871114W</t>
  </si>
  <si>
    <t>Ephraim</t>
  </si>
  <si>
    <t>GAA16CA370</t>
  </si>
  <si>
    <t>432907N</t>
  </si>
  <si>
    <t>0710958W</t>
  </si>
  <si>
    <t>New Durham</t>
  </si>
  <si>
    <t>ERA16LA272</t>
  </si>
  <si>
    <t>361012N</t>
  </si>
  <si>
    <t>0835420W</t>
  </si>
  <si>
    <t>Maynardville</t>
  </si>
  <si>
    <t>CEN16LA256</t>
  </si>
  <si>
    <t>410934N</t>
  </si>
  <si>
    <t>1044903W</t>
  </si>
  <si>
    <t>Cheyenne</t>
  </si>
  <si>
    <t>CEN16LA259</t>
  </si>
  <si>
    <t>331049N</t>
  </si>
  <si>
    <t>0974943W</t>
  </si>
  <si>
    <t>CEN16LA260</t>
  </si>
  <si>
    <t>361724N</t>
  </si>
  <si>
    <t>0895911E</t>
  </si>
  <si>
    <t>Kennett</t>
  </si>
  <si>
    <t>GAA16CA367</t>
  </si>
  <si>
    <t>351844N</t>
  </si>
  <si>
    <t>0915244W</t>
  </si>
  <si>
    <t>Searcy</t>
  </si>
  <si>
    <t>GAA16CA377</t>
  </si>
  <si>
    <t>CEN16FA261</t>
  </si>
  <si>
    <t>294902N</t>
  </si>
  <si>
    <t>0953957W</t>
  </si>
  <si>
    <t>GAA16CA369</t>
  </si>
  <si>
    <t>451110N</t>
  </si>
  <si>
    <t>1091528W</t>
  </si>
  <si>
    <t>Red Lodge</t>
  </si>
  <si>
    <t>ERA16LA250</t>
  </si>
  <si>
    <t>283009N</t>
  </si>
  <si>
    <t>0813135W</t>
  </si>
  <si>
    <t>Windermere</t>
  </si>
  <si>
    <t>GAA16CA371</t>
  </si>
  <si>
    <t>324841N</t>
  </si>
  <si>
    <t>1170817W</t>
  </si>
  <si>
    <t>WPR16LA139</t>
  </si>
  <si>
    <t>363946N</t>
  </si>
  <si>
    <t>1213623W</t>
  </si>
  <si>
    <t>Salinas</t>
  </si>
  <si>
    <t>CEN16LA263</t>
  </si>
  <si>
    <t>413103N</t>
  </si>
  <si>
    <t>0883616W</t>
  </si>
  <si>
    <t>ERA16LA247</t>
  </si>
  <si>
    <t>444657N</t>
  </si>
  <si>
    <t>0692260W</t>
  </si>
  <si>
    <t>West Pittsfield</t>
  </si>
  <si>
    <t>GAA16CA366</t>
  </si>
  <si>
    <t>423036N</t>
  </si>
  <si>
    <t>1232317W</t>
  </si>
  <si>
    <t>Grants Pass</t>
  </si>
  <si>
    <t>CEN16LA264</t>
  </si>
  <si>
    <t>422122N</t>
  </si>
  <si>
    <t>0835046W</t>
  </si>
  <si>
    <t>ERA16LA254</t>
  </si>
  <si>
    <t>372731N</t>
  </si>
  <si>
    <t>0865059W</t>
  </si>
  <si>
    <t>Hartford</t>
  </si>
  <si>
    <t>PPAR</t>
  </si>
  <si>
    <t>GAA16CA372</t>
  </si>
  <si>
    <t>333445N</t>
  </si>
  <si>
    <t>1122455W</t>
  </si>
  <si>
    <t>GAA16CA472</t>
  </si>
  <si>
    <t>205352N</t>
  </si>
  <si>
    <t>1562548W</t>
  </si>
  <si>
    <t>Kahului</t>
  </si>
  <si>
    <t>ERA16LA253</t>
  </si>
  <si>
    <t>384115N</t>
  </si>
  <si>
    <t>0752133W</t>
  </si>
  <si>
    <t>Georgetown</t>
  </si>
  <si>
    <t>ERA16FA248</t>
  </si>
  <si>
    <t>365258N</t>
  </si>
  <si>
    <t>0884044W</t>
  </si>
  <si>
    <t>Hickory</t>
  </si>
  <si>
    <t>ERA16LA251</t>
  </si>
  <si>
    <t>284537N</t>
  </si>
  <si>
    <t>0813621W</t>
  </si>
  <si>
    <t>Zellwood</t>
  </si>
  <si>
    <t>ERA16LA252</t>
  </si>
  <si>
    <t>275636N</t>
  </si>
  <si>
    <t>0814660W</t>
  </si>
  <si>
    <t>Bartow</t>
  </si>
  <si>
    <t>GAA16CA373</t>
  </si>
  <si>
    <t>370317N</t>
  </si>
  <si>
    <t>0843652W</t>
  </si>
  <si>
    <t>Somerset</t>
  </si>
  <si>
    <t>GAA16CA374</t>
  </si>
  <si>
    <t>343309N</t>
  </si>
  <si>
    <t>0834928W</t>
  </si>
  <si>
    <t>Cleveland</t>
  </si>
  <si>
    <t>WPR16LA140</t>
  </si>
  <si>
    <t>194420N</t>
  </si>
  <si>
    <t>1560244W</t>
  </si>
  <si>
    <t>Kona</t>
  </si>
  <si>
    <t>CEN16WA268</t>
  </si>
  <si>
    <t>455713N</t>
  </si>
  <si>
    <t>0135143E</t>
  </si>
  <si>
    <t>Ajdovscina</t>
  </si>
  <si>
    <t>SI</t>
  </si>
  <si>
    <t>GAA16CA378</t>
  </si>
  <si>
    <t>ERA16LA260</t>
  </si>
  <si>
    <t>351228N</t>
  </si>
  <si>
    <t>0892340W</t>
  </si>
  <si>
    <t>Somerville</t>
  </si>
  <si>
    <t>GAA16CA376</t>
  </si>
  <si>
    <t>462742N</t>
  </si>
  <si>
    <t>1140442W</t>
  </si>
  <si>
    <t>CEN16LA266</t>
  </si>
  <si>
    <t>375935N</t>
  </si>
  <si>
    <t>0970624W</t>
  </si>
  <si>
    <t>Whitewater</t>
  </si>
  <si>
    <t>ERA16FA257</t>
  </si>
  <si>
    <t>424650N</t>
  </si>
  <si>
    <t>0741955W</t>
  </si>
  <si>
    <t>Esperance</t>
  </si>
  <si>
    <t>CEN16LA267</t>
  </si>
  <si>
    <t>400952N</t>
  </si>
  <si>
    <t>GAA16CA379</t>
  </si>
  <si>
    <t>373933N</t>
  </si>
  <si>
    <t>0963140W</t>
  </si>
  <si>
    <t>ERA16LA258</t>
  </si>
  <si>
    <t>421234N</t>
  </si>
  <si>
    <t>0710930W</t>
  </si>
  <si>
    <t>Westwood</t>
  </si>
  <si>
    <t>GAA16CA382</t>
  </si>
  <si>
    <t>480044N</t>
  </si>
  <si>
    <t>1222613W</t>
  </si>
  <si>
    <t>Langley</t>
  </si>
  <si>
    <t>ERA16LA261</t>
  </si>
  <si>
    <t>342719N</t>
  </si>
  <si>
    <t>0845621W</t>
  </si>
  <si>
    <t>Calhoun</t>
  </si>
  <si>
    <t>CEN16LA299</t>
  </si>
  <si>
    <t>420212N</t>
  </si>
  <si>
    <t>0892334W</t>
  </si>
  <si>
    <t>Mt Morris</t>
  </si>
  <si>
    <t>WPR16LA141</t>
  </si>
  <si>
    <t>390001N</t>
  </si>
  <si>
    <t>1194507W</t>
  </si>
  <si>
    <t>WPR16LA142</t>
  </si>
  <si>
    <t>460956N</t>
  </si>
  <si>
    <t>1212939W</t>
  </si>
  <si>
    <t>Mt. Adams</t>
  </si>
  <si>
    <t>ERA16CA259</t>
  </si>
  <si>
    <t>WPR16LA146</t>
  </si>
  <si>
    <t>435025N</t>
  </si>
  <si>
    <t>1163005W</t>
  </si>
  <si>
    <t>Emmett</t>
  </si>
  <si>
    <t>GAA16CA384</t>
  </si>
  <si>
    <t>375950N</t>
  </si>
  <si>
    <t>0913651W</t>
  </si>
  <si>
    <t>St. James</t>
  </si>
  <si>
    <t>CEN16FA269</t>
  </si>
  <si>
    <t>462440N</t>
  </si>
  <si>
    <t>0874607W</t>
  </si>
  <si>
    <t>Ishpeming</t>
  </si>
  <si>
    <t>WPR16FA144</t>
  </si>
  <si>
    <t>413551N</t>
  </si>
  <si>
    <t>1115052W</t>
  </si>
  <si>
    <t>Logan</t>
  </si>
  <si>
    <t>WPR16CA145</t>
  </si>
  <si>
    <t>463625N</t>
  </si>
  <si>
    <t>1115858W</t>
  </si>
  <si>
    <t>Helena</t>
  </si>
  <si>
    <t>CEN16LA271</t>
  </si>
  <si>
    <t>334326N</t>
  </si>
  <si>
    <t>0933919E</t>
  </si>
  <si>
    <t>Hope</t>
  </si>
  <si>
    <t>CEN16LA273</t>
  </si>
  <si>
    <t>ANC16LA048</t>
  </si>
  <si>
    <t>591438N</t>
  </si>
  <si>
    <t>1353125W</t>
  </si>
  <si>
    <t>Haines</t>
  </si>
  <si>
    <t>GAA16CA383</t>
  </si>
  <si>
    <t>355647N</t>
  </si>
  <si>
    <t>0812919W</t>
  </si>
  <si>
    <t>GAA16CA386</t>
  </si>
  <si>
    <t>383937N</t>
  </si>
  <si>
    <t>0903845W</t>
  </si>
  <si>
    <t>CEN16LA270</t>
  </si>
  <si>
    <t>324338N</t>
  </si>
  <si>
    <t>0974056W</t>
  </si>
  <si>
    <t>ERA16LA263</t>
  </si>
  <si>
    <t>383756N</t>
  </si>
  <si>
    <t>0775238W</t>
  </si>
  <si>
    <t>Warrenton</t>
  </si>
  <si>
    <t>CEN16LA274</t>
  </si>
  <si>
    <t>424749N</t>
  </si>
  <si>
    <t>0882228W</t>
  </si>
  <si>
    <t>East Troy</t>
  </si>
  <si>
    <t>ANC16LA046</t>
  </si>
  <si>
    <t>595645N</t>
  </si>
  <si>
    <t>1562134W</t>
  </si>
  <si>
    <t>Illiamna</t>
  </si>
  <si>
    <t>CEN16LA275</t>
  </si>
  <si>
    <t>442237N</t>
  </si>
  <si>
    <t>0981150W</t>
  </si>
  <si>
    <t>Huron</t>
  </si>
  <si>
    <t>ANC16LA047</t>
  </si>
  <si>
    <t>612543N</t>
  </si>
  <si>
    <t>1425530W</t>
  </si>
  <si>
    <t>ANC16CA055</t>
  </si>
  <si>
    <t>610944N</t>
  </si>
  <si>
    <t>1463254W</t>
  </si>
  <si>
    <t>Valdez</t>
  </si>
  <si>
    <t>ERA16CA264</t>
  </si>
  <si>
    <t>395733N</t>
  </si>
  <si>
    <t>0793927W</t>
  </si>
  <si>
    <t>Connellsville</t>
  </si>
  <si>
    <t>ANC16CA049</t>
  </si>
  <si>
    <t>602018N</t>
  </si>
  <si>
    <t>1461529W</t>
  </si>
  <si>
    <t>Cordova</t>
  </si>
  <si>
    <t>GAA16CA391</t>
  </si>
  <si>
    <t>391224N</t>
  </si>
  <si>
    <t>0840106W</t>
  </si>
  <si>
    <t>Blanchester</t>
  </si>
  <si>
    <t>ERA16CA302</t>
  </si>
  <si>
    <t>355200N</t>
  </si>
  <si>
    <t>0822021W</t>
  </si>
  <si>
    <t>Burnsville</t>
  </si>
  <si>
    <t>CEN16FA278</t>
  </si>
  <si>
    <t>362220N</t>
  </si>
  <si>
    <t>Fairmont</t>
  </si>
  <si>
    <t>CEN16FA276</t>
  </si>
  <si>
    <t>0881227W</t>
  </si>
  <si>
    <t>Plainfield</t>
  </si>
  <si>
    <t>CEN16CA277</t>
  </si>
  <si>
    <t>390346N</t>
  </si>
  <si>
    <t>0953504W</t>
  </si>
  <si>
    <t>Topeka</t>
  </si>
  <si>
    <t>CEN16LA288</t>
  </si>
  <si>
    <t>445759N</t>
  </si>
  <si>
    <t>0922315E</t>
  </si>
  <si>
    <t>Baldwin</t>
  </si>
  <si>
    <t>CEN16LA281</t>
  </si>
  <si>
    <t>395226N</t>
  </si>
  <si>
    <t>0834114W</t>
  </si>
  <si>
    <t>ERA16LA266</t>
  </si>
  <si>
    <t>280344N</t>
  </si>
  <si>
    <t>0814514W</t>
  </si>
  <si>
    <t>Winter Haven</t>
  </si>
  <si>
    <t>GAA16CA387</t>
  </si>
  <si>
    <t>330950N</t>
  </si>
  <si>
    <t>0845103W</t>
  </si>
  <si>
    <t>Hogansville</t>
  </si>
  <si>
    <t>GAA16CA390</t>
  </si>
  <si>
    <t>361720N</t>
  </si>
  <si>
    <t>0952842W</t>
  </si>
  <si>
    <t>Claremore</t>
  </si>
  <si>
    <t>CEN16LA287</t>
  </si>
  <si>
    <t>440104N</t>
  </si>
  <si>
    <t>0924953W</t>
  </si>
  <si>
    <t>Dodge Center</t>
  </si>
  <si>
    <t>CEN16LA289</t>
  </si>
  <si>
    <t>432315N</t>
  </si>
  <si>
    <t>0933718W</t>
  </si>
  <si>
    <t>Lake Mills</t>
  </si>
  <si>
    <t>WPR16FA148</t>
  </si>
  <si>
    <t>384810N</t>
  </si>
  <si>
    <t>1214603W</t>
  </si>
  <si>
    <t>Zamora</t>
  </si>
  <si>
    <t>WPR16LA149</t>
  </si>
  <si>
    <t>351500N</t>
  </si>
  <si>
    <t>1181760W</t>
  </si>
  <si>
    <t>WPR16LA150</t>
  </si>
  <si>
    <t>374942N</t>
  </si>
  <si>
    <t>1213733W</t>
  </si>
  <si>
    <t>Byron</t>
  </si>
  <si>
    <t>ERA16LA267</t>
  </si>
  <si>
    <t>412701N</t>
  </si>
  <si>
    <t>0722736W</t>
  </si>
  <si>
    <t>East Haddam</t>
  </si>
  <si>
    <t>ERA16LA268</t>
  </si>
  <si>
    <t>274848N</t>
  </si>
  <si>
    <t>0802944W</t>
  </si>
  <si>
    <t>Sebastian</t>
  </si>
  <si>
    <t>ERA16LA271</t>
  </si>
  <si>
    <t>403703N</t>
  </si>
  <si>
    <t>0741440W</t>
  </si>
  <si>
    <t>GAA16CA395</t>
  </si>
  <si>
    <t>362114N</t>
  </si>
  <si>
    <t>0954812W</t>
  </si>
  <si>
    <t>Collinsville</t>
  </si>
  <si>
    <t>CEN16LA283</t>
  </si>
  <si>
    <t>435740N</t>
  </si>
  <si>
    <t>0883325W</t>
  </si>
  <si>
    <t>Oshkosh</t>
  </si>
  <si>
    <t>CEN16FA282</t>
  </si>
  <si>
    <t>411957N</t>
  </si>
  <si>
    <t>0962619W</t>
  </si>
  <si>
    <t>Leshara</t>
  </si>
  <si>
    <t>ERA16LA270</t>
  </si>
  <si>
    <t>395359N</t>
  </si>
  <si>
    <t>0800922W</t>
  </si>
  <si>
    <t>Waynesburg</t>
  </si>
  <si>
    <t>GAA16CA389</t>
  </si>
  <si>
    <t>413956N</t>
  </si>
  <si>
    <t>0701653W</t>
  </si>
  <si>
    <t>Hyannis</t>
  </si>
  <si>
    <t>ERA16LA274</t>
  </si>
  <si>
    <t>370535N</t>
  </si>
  <si>
    <t>0840403W</t>
  </si>
  <si>
    <t>London</t>
  </si>
  <si>
    <t>GAA16CA426</t>
  </si>
  <si>
    <t>331348N</t>
  </si>
  <si>
    <t>0803224W</t>
  </si>
  <si>
    <t>ERA16FA269</t>
  </si>
  <si>
    <t>402120N</t>
  </si>
  <si>
    <t>0795557W</t>
  </si>
  <si>
    <t>CEN16LA284</t>
  </si>
  <si>
    <t>404958N</t>
  </si>
  <si>
    <t>0885808W</t>
  </si>
  <si>
    <t>Minonk</t>
  </si>
  <si>
    <t>GAA16CA393</t>
  </si>
  <si>
    <t>412540N</t>
  </si>
  <si>
    <t>0922240W</t>
  </si>
  <si>
    <t>What Cheer</t>
  </si>
  <si>
    <t>CEN16FA286</t>
  </si>
  <si>
    <t>293720N</t>
  </si>
  <si>
    <t>0953924W</t>
  </si>
  <si>
    <t>Sugar Land</t>
  </si>
  <si>
    <t>GAA16CA410</t>
  </si>
  <si>
    <t>471604N</t>
  </si>
  <si>
    <t>1223441W</t>
  </si>
  <si>
    <t>Gig Harbor</t>
  </si>
  <si>
    <t>DCA16CA208</t>
  </si>
  <si>
    <t>412434N</t>
  </si>
  <si>
    <t>0815117W</t>
  </si>
  <si>
    <t>WPR16FA152</t>
  </si>
  <si>
    <t>380137N</t>
  </si>
  <si>
    <t>1202446W</t>
  </si>
  <si>
    <t>Columbia</t>
  </si>
  <si>
    <t>GAA16CA394</t>
  </si>
  <si>
    <t>372845N</t>
  </si>
  <si>
    <t>1053756W</t>
  </si>
  <si>
    <t>Alamosa</t>
  </si>
  <si>
    <t>GAA16CA397</t>
  </si>
  <si>
    <t>410813N</t>
  </si>
  <si>
    <t>0882636W</t>
  </si>
  <si>
    <t>Dwight</t>
  </si>
  <si>
    <t>GAA16CA398</t>
  </si>
  <si>
    <t>331205N</t>
  </si>
  <si>
    <t>0971153W</t>
  </si>
  <si>
    <t>GAA16CA399</t>
  </si>
  <si>
    <t>442829N</t>
  </si>
  <si>
    <t>0943204W</t>
  </si>
  <si>
    <t xml:space="preserve">Bird Island </t>
  </si>
  <si>
    <t>GAA16CA396</t>
  </si>
  <si>
    <t>371422N</t>
  </si>
  <si>
    <t>0764259W</t>
  </si>
  <si>
    <t>CEN16LA291</t>
  </si>
  <si>
    <t>411742N</t>
  </si>
  <si>
    <t>0970609W</t>
  </si>
  <si>
    <t>David City</t>
  </si>
  <si>
    <t>CEN16FA290</t>
  </si>
  <si>
    <t>434648N</t>
  </si>
  <si>
    <t>0882920W</t>
  </si>
  <si>
    <t>Fond du Lac</t>
  </si>
  <si>
    <t>ERA16LA276</t>
  </si>
  <si>
    <t>302345N</t>
  </si>
  <si>
    <t>0854845W</t>
  </si>
  <si>
    <t>Panama City</t>
  </si>
  <si>
    <t>CEN16FA295</t>
  </si>
  <si>
    <t>435844N</t>
  </si>
  <si>
    <t>0911249E</t>
  </si>
  <si>
    <t>Holmen</t>
  </si>
  <si>
    <t>GAA16CA402</t>
  </si>
  <si>
    <t>355844N</t>
  </si>
  <si>
    <t>GAA16CA403</t>
  </si>
  <si>
    <t>435002N</t>
  </si>
  <si>
    <t>1114818W</t>
  </si>
  <si>
    <t>Rexburg</t>
  </si>
  <si>
    <t>DCA16CA205</t>
  </si>
  <si>
    <t>284800N</t>
  </si>
  <si>
    <t>0673560W</t>
  </si>
  <si>
    <t>Bermuda</t>
  </si>
  <si>
    <t>BD</t>
  </si>
  <si>
    <t>GAA16CA388</t>
  </si>
  <si>
    <t>444724N</t>
  </si>
  <si>
    <t>0714935W</t>
  </si>
  <si>
    <t>Island Pond</t>
  </si>
  <si>
    <t>WPR16FA153</t>
  </si>
  <si>
    <t>410138N</t>
  </si>
  <si>
    <t>1240037W</t>
  </si>
  <si>
    <t>McKinleyville</t>
  </si>
  <si>
    <t>CEN16LA292</t>
  </si>
  <si>
    <t>422136N</t>
  </si>
  <si>
    <t>0945905W</t>
  </si>
  <si>
    <t>Sac City</t>
  </si>
  <si>
    <t>GAA16CA400</t>
  </si>
  <si>
    <t>404752N</t>
  </si>
  <si>
    <t>0742454W</t>
  </si>
  <si>
    <t>MORRISTOWN</t>
  </si>
  <si>
    <t>GAA16CA404</t>
  </si>
  <si>
    <t>GAA16CA405</t>
  </si>
  <si>
    <t>461911N</t>
  </si>
  <si>
    <t>1200326W</t>
  </si>
  <si>
    <t>Outlook</t>
  </si>
  <si>
    <t>CEN16LA303</t>
  </si>
  <si>
    <t>453340N</t>
  </si>
  <si>
    <t>0955118W</t>
  </si>
  <si>
    <t>Morris</t>
  </si>
  <si>
    <t>CEN16LA293</t>
  </si>
  <si>
    <t>435849N</t>
  </si>
  <si>
    <t>0883327W</t>
  </si>
  <si>
    <t>CEN16LA294</t>
  </si>
  <si>
    <t>435929N</t>
  </si>
  <si>
    <t>0883335W</t>
  </si>
  <si>
    <t>DCA16MA204</t>
  </si>
  <si>
    <t>294800N</t>
  </si>
  <si>
    <t>0973560W</t>
  </si>
  <si>
    <t>Lockhart</t>
  </si>
  <si>
    <t>GAA16CA401</t>
  </si>
  <si>
    <t>443721N</t>
  </si>
  <si>
    <t>0861152W</t>
  </si>
  <si>
    <t>Frankfort</t>
  </si>
  <si>
    <t>GAA16CA408</t>
  </si>
  <si>
    <t>373727N</t>
  </si>
  <si>
    <t>1205658W</t>
  </si>
  <si>
    <t>Modesto</t>
  </si>
  <si>
    <t>CEN16LA296</t>
  </si>
  <si>
    <t>440747N</t>
  </si>
  <si>
    <t>0874057W</t>
  </si>
  <si>
    <t>Manitowoc</t>
  </si>
  <si>
    <t>GAA16CA415</t>
  </si>
  <si>
    <t>281740N</t>
  </si>
  <si>
    <t>0812622W</t>
  </si>
  <si>
    <t>Kissimmee</t>
  </si>
  <si>
    <t>ERA16CA278</t>
  </si>
  <si>
    <t>275741N</t>
  </si>
  <si>
    <t>0803334W</t>
  </si>
  <si>
    <t>Valkaria</t>
  </si>
  <si>
    <t>CEN16LA297</t>
  </si>
  <si>
    <t>413457N</t>
  </si>
  <si>
    <t>0883232W</t>
  </si>
  <si>
    <t>GAA16CA406</t>
  </si>
  <si>
    <t>1131440W</t>
  </si>
  <si>
    <t>Kalispell</t>
  </si>
  <si>
    <t>ANC16CA053</t>
  </si>
  <si>
    <t>613942N</t>
  </si>
  <si>
    <t>1570843W</t>
  </si>
  <si>
    <t>WPR16FA154</t>
  </si>
  <si>
    <t>453710N</t>
  </si>
  <si>
    <t>1211006W</t>
  </si>
  <si>
    <t>The Dalles</t>
  </si>
  <si>
    <t>WPR16LA155</t>
  </si>
  <si>
    <t>400106N</t>
  </si>
  <si>
    <t>1112858W</t>
  </si>
  <si>
    <t>Spanish Fork</t>
  </si>
  <si>
    <t>GAA16CA407</t>
  </si>
  <si>
    <t>454638N</t>
  </si>
  <si>
    <t>1225149W</t>
  </si>
  <si>
    <t>Scappoose</t>
  </si>
  <si>
    <t>GAA16CA411</t>
  </si>
  <si>
    <t>333755N</t>
  </si>
  <si>
    <t>1144301W</t>
  </si>
  <si>
    <t>Blythe</t>
  </si>
  <si>
    <t>WPR16LA156</t>
  </si>
  <si>
    <t>343939N</t>
  </si>
  <si>
    <t>1122459W</t>
  </si>
  <si>
    <t>WPR16FA157</t>
  </si>
  <si>
    <t>341153N</t>
  </si>
  <si>
    <t>1182907W</t>
  </si>
  <si>
    <t>Van Nuys</t>
  </si>
  <si>
    <t>CEN16LA300</t>
  </si>
  <si>
    <t>404300N</t>
  </si>
  <si>
    <t>0851500W</t>
  </si>
  <si>
    <t>Bluffton</t>
  </si>
  <si>
    <t>WPR16FA158</t>
  </si>
  <si>
    <t>350623N</t>
  </si>
  <si>
    <t>1114327W</t>
  </si>
  <si>
    <t>Flagstaff</t>
  </si>
  <si>
    <t>ANC16CA050</t>
  </si>
  <si>
    <t>644534N</t>
  </si>
  <si>
    <t>1472332W</t>
  </si>
  <si>
    <t>North Pole</t>
  </si>
  <si>
    <t>ERA16FA279</t>
  </si>
  <si>
    <t>302226N</t>
  </si>
  <si>
    <t>0862815W</t>
  </si>
  <si>
    <t>WPR16LA159</t>
  </si>
  <si>
    <t>441313N</t>
  </si>
  <si>
    <t>1165427W</t>
  </si>
  <si>
    <t>Weiser</t>
  </si>
  <si>
    <t>GAA16CA414</t>
  </si>
  <si>
    <t>343254N</t>
  </si>
  <si>
    <t>0890128W</t>
  </si>
  <si>
    <t>New Albany</t>
  </si>
  <si>
    <t>GAA16CA419</t>
  </si>
  <si>
    <t>470701N</t>
  </si>
  <si>
    <t>1092235W</t>
  </si>
  <si>
    <t>Lewiston</t>
  </si>
  <si>
    <t>CEN16LA309</t>
  </si>
  <si>
    <t>441304N</t>
  </si>
  <si>
    <t>0883258W</t>
  </si>
  <si>
    <t>Neenah</t>
  </si>
  <si>
    <t>GAA16CA421</t>
  </si>
  <si>
    <t>335557N</t>
  </si>
  <si>
    <t>0780418W</t>
  </si>
  <si>
    <t>GAA16CA412</t>
  </si>
  <si>
    <t>343903N</t>
  </si>
  <si>
    <t>1064937W</t>
  </si>
  <si>
    <t>Belen</t>
  </si>
  <si>
    <t>CEN16LA302</t>
  </si>
  <si>
    <t>434613N</t>
  </si>
  <si>
    <t>0883005W</t>
  </si>
  <si>
    <t>GAA16CA413</t>
  </si>
  <si>
    <t>394220N</t>
  </si>
  <si>
    <t>0750158W</t>
  </si>
  <si>
    <t>Cross Keys</t>
  </si>
  <si>
    <t>CEN16FA304</t>
  </si>
  <si>
    <t>295952N</t>
  </si>
  <si>
    <t>0912420W</t>
  </si>
  <si>
    <t>Jeanerette</t>
  </si>
  <si>
    <t>GAA16CA416</t>
  </si>
  <si>
    <t>333813N</t>
  </si>
  <si>
    <t>1160923W</t>
  </si>
  <si>
    <t>GAA16CA417</t>
  </si>
  <si>
    <t>475409N</t>
  </si>
  <si>
    <t>1221659W</t>
  </si>
  <si>
    <t>DCA16CA209</t>
  </si>
  <si>
    <t>190000N</t>
  </si>
  <si>
    <t>0810000W</t>
  </si>
  <si>
    <t>Grand Cayman Island (GCM)</t>
  </si>
  <si>
    <t>CB</t>
  </si>
  <si>
    <t>CJ</t>
  </si>
  <si>
    <t>ANC16CA051</t>
  </si>
  <si>
    <t>593507N</t>
  </si>
  <si>
    <t>1511946W</t>
  </si>
  <si>
    <t>CEN16LA305</t>
  </si>
  <si>
    <t>430739N</t>
  </si>
  <si>
    <t>0854045W</t>
  </si>
  <si>
    <t>Sparta</t>
  </si>
  <si>
    <t>CEN16LA306</t>
  </si>
  <si>
    <t>385255N</t>
  </si>
  <si>
    <t>0835258W</t>
  </si>
  <si>
    <t>Russellville</t>
  </si>
  <si>
    <t>DCA16CA207</t>
  </si>
  <si>
    <t>390000N</t>
  </si>
  <si>
    <t>PBT</t>
  </si>
  <si>
    <t>ERA16LA285</t>
  </si>
  <si>
    <t>394953N</t>
  </si>
  <si>
    <t>0754527W</t>
  </si>
  <si>
    <t>TOUGHKENAMON</t>
  </si>
  <si>
    <t>CEN16LA313</t>
  </si>
  <si>
    <t>390329N</t>
  </si>
  <si>
    <t>0835439E</t>
  </si>
  <si>
    <t>Mt. Orab</t>
  </si>
  <si>
    <t>GAA16CA423</t>
  </si>
  <si>
    <t>381759N</t>
  </si>
  <si>
    <t>0755314W</t>
  </si>
  <si>
    <t>Bivalve</t>
  </si>
  <si>
    <t>ANC16FA052</t>
  </si>
  <si>
    <t>613411N</t>
  </si>
  <si>
    <t>1493246W</t>
  </si>
  <si>
    <t>CEN16LA310</t>
  </si>
  <si>
    <t>412455N</t>
  </si>
  <si>
    <t>0933341W</t>
  </si>
  <si>
    <t>Indianola</t>
  </si>
  <si>
    <t>CEN16LA314</t>
  </si>
  <si>
    <t>465331N</t>
  </si>
  <si>
    <t>0981137W</t>
  </si>
  <si>
    <t>Valley City</t>
  </si>
  <si>
    <t>GAA16CA424</t>
  </si>
  <si>
    <t>435239N</t>
  </si>
  <si>
    <t>1212709W</t>
  </si>
  <si>
    <t>Sunriver</t>
  </si>
  <si>
    <t>CEN16LA332</t>
  </si>
  <si>
    <t>371350N</t>
  </si>
  <si>
    <t>0935549W</t>
  </si>
  <si>
    <t>Miller</t>
  </si>
  <si>
    <t>CEN16LA356</t>
  </si>
  <si>
    <t>313644N</t>
  </si>
  <si>
    <t>0971349W</t>
  </si>
  <si>
    <t>Waco</t>
  </si>
  <si>
    <t>CEN16FA307</t>
  </si>
  <si>
    <t>352151N</t>
  </si>
  <si>
    <t>0991216W</t>
  </si>
  <si>
    <t>Burns Flat</t>
  </si>
  <si>
    <t>ERA16LA280</t>
  </si>
  <si>
    <t>421941N</t>
  </si>
  <si>
    <t>0723640W</t>
  </si>
  <si>
    <t>Northampton</t>
  </si>
  <si>
    <t>CEN16FA308</t>
  </si>
  <si>
    <t>412551N</t>
  </si>
  <si>
    <t>0881458W</t>
  </si>
  <si>
    <t>Channahon</t>
  </si>
  <si>
    <t>CEN16LA311</t>
  </si>
  <si>
    <t>402945N</t>
  </si>
  <si>
    <t>0825408W</t>
  </si>
  <si>
    <t>Cardington</t>
  </si>
  <si>
    <t>ERA16LA284</t>
  </si>
  <si>
    <t>431219N</t>
  </si>
  <si>
    <t>0711346W</t>
  </si>
  <si>
    <t>Northwood</t>
  </si>
  <si>
    <t>GAA16CA422</t>
  </si>
  <si>
    <t>452542N</t>
  </si>
  <si>
    <t>1225632W</t>
  </si>
  <si>
    <t>Hillsborough</t>
  </si>
  <si>
    <t>GAA16CA471</t>
  </si>
  <si>
    <t>391650N</t>
  </si>
  <si>
    <t>0834033W</t>
  </si>
  <si>
    <t>Hillsboro</t>
  </si>
  <si>
    <t>WPR16FA160</t>
  </si>
  <si>
    <t>390138N</t>
  </si>
  <si>
    <t>1193612W</t>
  </si>
  <si>
    <t>GAA16CA420</t>
  </si>
  <si>
    <t>433011N</t>
  </si>
  <si>
    <t>1141741W</t>
  </si>
  <si>
    <t>Hailey</t>
  </si>
  <si>
    <t>ERA16LA281</t>
  </si>
  <si>
    <t>380722N</t>
  </si>
  <si>
    <t>0850733W</t>
  </si>
  <si>
    <t>Shelbyville</t>
  </si>
  <si>
    <t>ERA16LA282</t>
  </si>
  <si>
    <t>174203N</t>
  </si>
  <si>
    <t>0644804W</t>
  </si>
  <si>
    <t>St. Croix</t>
  </si>
  <si>
    <t>VI</t>
  </si>
  <si>
    <t>ANC16CA056</t>
  </si>
  <si>
    <t>614330N</t>
  </si>
  <si>
    <t>1480409W</t>
  </si>
  <si>
    <t>Chickaloon</t>
  </si>
  <si>
    <t>CEN16CA321</t>
  </si>
  <si>
    <t>410147N</t>
  </si>
  <si>
    <t>0892626W</t>
  </si>
  <si>
    <t>Sparland</t>
  </si>
  <si>
    <t>ERA16LA286</t>
  </si>
  <si>
    <t>422635N</t>
  </si>
  <si>
    <t>0754814W</t>
  </si>
  <si>
    <t>McDonough</t>
  </si>
  <si>
    <t>CEN16LA312</t>
  </si>
  <si>
    <t>352357N</t>
  </si>
  <si>
    <t>0910007W</t>
  </si>
  <si>
    <t>Hickory Ridge</t>
  </si>
  <si>
    <t>ANC16LA054</t>
  </si>
  <si>
    <t>591217N</t>
  </si>
  <si>
    <t>1545813W</t>
  </si>
  <si>
    <t>WPR16LA163</t>
  </si>
  <si>
    <t>334804N</t>
  </si>
  <si>
    <t>1182006W</t>
  </si>
  <si>
    <t>GAA16CA425</t>
  </si>
  <si>
    <t>324853N</t>
  </si>
  <si>
    <t>1170824W</t>
  </si>
  <si>
    <t>CEN16LA316</t>
  </si>
  <si>
    <t>412153N</t>
  </si>
  <si>
    <t>0940127W</t>
  </si>
  <si>
    <t>Winterset</t>
  </si>
  <si>
    <t>CEN16FA315</t>
  </si>
  <si>
    <t>333403N</t>
  </si>
  <si>
    <t>0963439W</t>
  </si>
  <si>
    <t>Howe</t>
  </si>
  <si>
    <t>CEN16CA317</t>
  </si>
  <si>
    <t>393425N</t>
  </si>
  <si>
    <t>0863705W</t>
  </si>
  <si>
    <t>Eminence</t>
  </si>
  <si>
    <t>DCA16CA211</t>
  </si>
  <si>
    <t>403824N</t>
  </si>
  <si>
    <t>0734648W</t>
  </si>
  <si>
    <t>CEN16CA319</t>
  </si>
  <si>
    <t>323955N</t>
  </si>
  <si>
    <t>0970538W</t>
  </si>
  <si>
    <t>GAA16CA427</t>
  </si>
  <si>
    <t>424148N</t>
  </si>
  <si>
    <t>0785455W</t>
  </si>
  <si>
    <t>Hamburg</t>
  </si>
  <si>
    <t>CEN16LA322</t>
  </si>
  <si>
    <t>432708N</t>
  </si>
  <si>
    <t>0825033W</t>
  </si>
  <si>
    <t>Sandusky</t>
  </si>
  <si>
    <t>GAA16CA433</t>
  </si>
  <si>
    <t>353010N</t>
  </si>
  <si>
    <t>0921153W</t>
  </si>
  <si>
    <t>Quitman</t>
  </si>
  <si>
    <t>ERA16FA288</t>
  </si>
  <si>
    <t>381546N</t>
  </si>
  <si>
    <t>0772711W</t>
  </si>
  <si>
    <t>WPR16LA164</t>
  </si>
  <si>
    <t>465932N</t>
  </si>
  <si>
    <t>1240825W</t>
  </si>
  <si>
    <t>Ocean Shores</t>
  </si>
  <si>
    <t>WPR16LA165</t>
  </si>
  <si>
    <t>390304N</t>
  </si>
  <si>
    <t>1115122W</t>
  </si>
  <si>
    <t>Gunnison</t>
  </si>
  <si>
    <t>GAA16CA428</t>
  </si>
  <si>
    <t>400805N</t>
  </si>
  <si>
    <t>1194403W</t>
  </si>
  <si>
    <t>ERA16CA290</t>
  </si>
  <si>
    <t>370516N</t>
  </si>
  <si>
    <t>0840431W</t>
  </si>
  <si>
    <t>GAA16CA431</t>
  </si>
  <si>
    <t>453217N</t>
  </si>
  <si>
    <t>1225652W</t>
  </si>
  <si>
    <t>ANC16LA059</t>
  </si>
  <si>
    <t>613002N</t>
  </si>
  <si>
    <t>1494021W</t>
  </si>
  <si>
    <t>ANC16FA057</t>
  </si>
  <si>
    <t>612514N</t>
  </si>
  <si>
    <t>1492942W</t>
  </si>
  <si>
    <t>CEN16LA320</t>
  </si>
  <si>
    <t>413320N</t>
  </si>
  <si>
    <t>0934129W</t>
  </si>
  <si>
    <t>Des Moines</t>
  </si>
  <si>
    <t>ERA16LA291</t>
  </si>
  <si>
    <t>401706N</t>
  </si>
  <si>
    <t>0741322W</t>
  </si>
  <si>
    <t>Marlboro</t>
  </si>
  <si>
    <t>GAA16CA429</t>
  </si>
  <si>
    <t>452126N</t>
  </si>
  <si>
    <t>1171512W</t>
  </si>
  <si>
    <t>Joseph</t>
  </si>
  <si>
    <t>ERA16LA293</t>
  </si>
  <si>
    <t>404919N</t>
  </si>
  <si>
    <t>0725201W</t>
  </si>
  <si>
    <t>CEN16LA323</t>
  </si>
  <si>
    <t>362252N</t>
  </si>
  <si>
    <t>0960037W</t>
  </si>
  <si>
    <t>Skiatook</t>
  </si>
  <si>
    <t>GAA16CA454</t>
  </si>
  <si>
    <t>261136N</t>
  </si>
  <si>
    <t>0800951W</t>
  </si>
  <si>
    <t>Fort Lauderdale</t>
  </si>
  <si>
    <t>ERA16FA289</t>
  </si>
  <si>
    <t>0873559W</t>
  </si>
  <si>
    <t>Northport</t>
  </si>
  <si>
    <t>GAA16CA430</t>
  </si>
  <si>
    <t>342905N</t>
  </si>
  <si>
    <t>1174935W</t>
  </si>
  <si>
    <t>CEN16LA324</t>
  </si>
  <si>
    <t>450860N</t>
  </si>
  <si>
    <t>0930701W</t>
  </si>
  <si>
    <t>Lino Lakes</t>
  </si>
  <si>
    <t>GAA16CA473</t>
  </si>
  <si>
    <t>385026N</t>
  </si>
  <si>
    <t>0920009W</t>
  </si>
  <si>
    <t>Fulton</t>
  </si>
  <si>
    <t>GAA16CA432</t>
  </si>
  <si>
    <t>440205N</t>
  </si>
  <si>
    <t>0710735W</t>
  </si>
  <si>
    <t>North Conway</t>
  </si>
  <si>
    <t>GAA16CA436</t>
  </si>
  <si>
    <t>594803N</t>
  </si>
  <si>
    <t>1515046W</t>
  </si>
  <si>
    <t>Anchor Point</t>
  </si>
  <si>
    <t>ERA16CA294</t>
  </si>
  <si>
    <t>331841N</t>
  </si>
  <si>
    <t>0844611W</t>
  </si>
  <si>
    <t>Newnan</t>
  </si>
  <si>
    <t>GAA16CA434</t>
  </si>
  <si>
    <t>611545N</t>
  </si>
  <si>
    <t>1493917W</t>
  </si>
  <si>
    <t>GAA16CA437</t>
  </si>
  <si>
    <t>443926N</t>
  </si>
  <si>
    <t>0934644W</t>
  </si>
  <si>
    <t>Belle Plaine</t>
  </si>
  <si>
    <t>GAA16CA441</t>
  </si>
  <si>
    <t>401414N</t>
  </si>
  <si>
    <t>0810039W</t>
  </si>
  <si>
    <t>Cadiz</t>
  </si>
  <si>
    <t>DCA16LA214</t>
  </si>
  <si>
    <t>313305N</t>
  </si>
  <si>
    <t>0970921W</t>
  </si>
  <si>
    <t>GAA16CA455</t>
  </si>
  <si>
    <t>614219N</t>
  </si>
  <si>
    <t>1570901W</t>
  </si>
  <si>
    <t>WPR16FA166</t>
  </si>
  <si>
    <t>361406N</t>
  </si>
  <si>
    <t>1150202W</t>
  </si>
  <si>
    <t>CEN16LA329</t>
  </si>
  <si>
    <t>402917N</t>
  </si>
  <si>
    <t>0894033W</t>
  </si>
  <si>
    <t>Pekin</t>
  </si>
  <si>
    <t>GAA16CA439</t>
  </si>
  <si>
    <t>300436N</t>
  </si>
  <si>
    <t>0915656W</t>
  </si>
  <si>
    <t>Broussard</t>
  </si>
  <si>
    <t>CEN16LA326</t>
  </si>
  <si>
    <t>441302N</t>
  </si>
  <si>
    <t>0960438W</t>
  </si>
  <si>
    <t>Ruthton</t>
  </si>
  <si>
    <t>CEN16FA328</t>
  </si>
  <si>
    <t>374442N</t>
  </si>
  <si>
    <t>1060133W</t>
  </si>
  <si>
    <t>Center</t>
  </si>
  <si>
    <t>ERA16LA295</t>
  </si>
  <si>
    <t>260136N</t>
  </si>
  <si>
    <t>0803534W</t>
  </si>
  <si>
    <t>GAA16CA440</t>
  </si>
  <si>
    <t>611701N</t>
  </si>
  <si>
    <t>1482646W</t>
  </si>
  <si>
    <t>GAA16CA443</t>
  </si>
  <si>
    <t>420928N</t>
  </si>
  <si>
    <t>1214404W</t>
  </si>
  <si>
    <t>Klamath Falls</t>
  </si>
  <si>
    <t>ERA16LA300</t>
  </si>
  <si>
    <t>423126N</t>
  </si>
  <si>
    <t>0712930W</t>
  </si>
  <si>
    <t>ERA16LA296</t>
  </si>
  <si>
    <t>425432N</t>
  </si>
  <si>
    <t>0771931W</t>
  </si>
  <si>
    <t>Canandaigua</t>
  </si>
  <si>
    <t>GAA16CA442</t>
  </si>
  <si>
    <t>611503N</t>
  </si>
  <si>
    <t>1494834W</t>
  </si>
  <si>
    <t>ERA16LA305</t>
  </si>
  <si>
    <t>285036N</t>
  </si>
  <si>
    <t>0813748W</t>
  </si>
  <si>
    <t>Eustis</t>
  </si>
  <si>
    <t>GAA16CA438</t>
  </si>
  <si>
    <t>350348N</t>
  </si>
  <si>
    <t>0863347W</t>
  </si>
  <si>
    <t>Fayetteville</t>
  </si>
  <si>
    <t>GAA16CA444</t>
  </si>
  <si>
    <t>392804N</t>
  </si>
  <si>
    <t>1171151W</t>
  </si>
  <si>
    <t>GAA16CA446</t>
  </si>
  <si>
    <t>433828N</t>
  </si>
  <si>
    <t>1163805W</t>
  </si>
  <si>
    <t>GAA16CA448</t>
  </si>
  <si>
    <t>253843N</t>
  </si>
  <si>
    <t>0802558W</t>
  </si>
  <si>
    <t>GAA16CA497</t>
  </si>
  <si>
    <t>310915N</t>
  </si>
  <si>
    <t>0812332W</t>
  </si>
  <si>
    <t>CEN16LA330</t>
  </si>
  <si>
    <t>420401N</t>
  </si>
  <si>
    <t>1105649W</t>
  </si>
  <si>
    <t>Cokeville</t>
  </si>
  <si>
    <t>GAA16CA445</t>
  </si>
  <si>
    <t>591241N</t>
  </si>
  <si>
    <t>1513318W</t>
  </si>
  <si>
    <t>Nanwalek</t>
  </si>
  <si>
    <t>GAA16CA447</t>
  </si>
  <si>
    <t>411436N</t>
  </si>
  <si>
    <t>0765529W</t>
  </si>
  <si>
    <t>ERA16LA299</t>
  </si>
  <si>
    <t>272744N</t>
  </si>
  <si>
    <t>0812039W</t>
  </si>
  <si>
    <t>Sebring</t>
  </si>
  <si>
    <t>GAA16CA452</t>
  </si>
  <si>
    <t>464352N</t>
  </si>
  <si>
    <t>1204158W</t>
  </si>
  <si>
    <t>Naches</t>
  </si>
  <si>
    <t>ANC16CA058</t>
  </si>
  <si>
    <t>603151N</t>
  </si>
  <si>
    <t>1501531W</t>
  </si>
  <si>
    <t>Sterling</t>
  </si>
  <si>
    <t>ERA16FA297</t>
  </si>
  <si>
    <t>272910N</t>
  </si>
  <si>
    <t>0811660W</t>
  </si>
  <si>
    <t>CEN16FA331</t>
  </si>
  <si>
    <t>375336N</t>
  </si>
  <si>
    <t>1074960W</t>
  </si>
  <si>
    <t>Telluride</t>
  </si>
  <si>
    <t>WPR16LA167</t>
  </si>
  <si>
    <t>335214N</t>
  </si>
  <si>
    <t>1175854W</t>
  </si>
  <si>
    <t>Fullerton</t>
  </si>
  <si>
    <t>GAA16CA449</t>
  </si>
  <si>
    <t>332116N</t>
  </si>
  <si>
    <t>1171502W</t>
  </si>
  <si>
    <t>GAA16CA450</t>
  </si>
  <si>
    <t>355912N</t>
  </si>
  <si>
    <t>1134903W</t>
  </si>
  <si>
    <t>Peach Springs</t>
  </si>
  <si>
    <t>GAA16CA453</t>
  </si>
  <si>
    <t>412244N</t>
  </si>
  <si>
    <t>0795126W</t>
  </si>
  <si>
    <t>Franklin</t>
  </si>
  <si>
    <t>CEN16LA336</t>
  </si>
  <si>
    <t>335920N</t>
  </si>
  <si>
    <t>0982931W</t>
  </si>
  <si>
    <t>Wichita Falls</t>
  </si>
  <si>
    <t>WPR16LA174</t>
  </si>
  <si>
    <t>442941N</t>
  </si>
  <si>
    <t>1231727W</t>
  </si>
  <si>
    <t>Corvallis</t>
  </si>
  <si>
    <t>GAA16CA502</t>
  </si>
  <si>
    <t>CEN16FA333</t>
  </si>
  <si>
    <t>393258N</t>
  </si>
  <si>
    <t>0872209W</t>
  </si>
  <si>
    <t>Terre Haute</t>
  </si>
  <si>
    <t>CEN16LA334</t>
  </si>
  <si>
    <t>383022N</t>
  </si>
  <si>
    <t>0982346W</t>
  </si>
  <si>
    <t>Bushton</t>
  </si>
  <si>
    <t>CEN16LA335</t>
  </si>
  <si>
    <t>372839N</t>
  </si>
  <si>
    <t>0881252W</t>
  </si>
  <si>
    <t>Cave-In-Rock</t>
  </si>
  <si>
    <t>GAA16CA451</t>
  </si>
  <si>
    <t>315749N</t>
  </si>
  <si>
    <t>0834657W</t>
  </si>
  <si>
    <t>Cordele</t>
  </si>
  <si>
    <t>CEN16WA337</t>
  </si>
  <si>
    <t>491910N</t>
  </si>
  <si>
    <t>0082552E</t>
  </si>
  <si>
    <t>Speyer</t>
  </si>
  <si>
    <t>GE</t>
  </si>
  <si>
    <t>GAA16CA458</t>
  </si>
  <si>
    <t>651600N</t>
  </si>
  <si>
    <t>1451360W</t>
  </si>
  <si>
    <t>Central</t>
  </si>
  <si>
    <t>ERA16WA310</t>
  </si>
  <si>
    <t>252820N</t>
  </si>
  <si>
    <t>0764129W</t>
  </si>
  <si>
    <t>Eleuthera</t>
  </si>
  <si>
    <t>CEN16LA348</t>
  </si>
  <si>
    <t>385824N</t>
  </si>
  <si>
    <t>1044912W</t>
  </si>
  <si>
    <t>GLDT</t>
  </si>
  <si>
    <t>CEN16CA360</t>
  </si>
  <si>
    <t>0862626W</t>
  </si>
  <si>
    <t>WPR16LA168</t>
  </si>
  <si>
    <t>194435N</t>
  </si>
  <si>
    <t>1560158W</t>
  </si>
  <si>
    <t>Kailua/Kona</t>
  </si>
  <si>
    <t>ERA16LA301</t>
  </si>
  <si>
    <t>Iron Station</t>
  </si>
  <si>
    <t>CEN16CA359</t>
  </si>
  <si>
    <t>WPR16FA169</t>
  </si>
  <si>
    <t>444009N</t>
  </si>
  <si>
    <t>1210912W</t>
  </si>
  <si>
    <t>Madras</t>
  </si>
  <si>
    <t>DCA16FA217</t>
  </si>
  <si>
    <t>Pensacola</t>
  </si>
  <si>
    <t>CEN16LA338</t>
  </si>
  <si>
    <t>300342N</t>
  </si>
  <si>
    <t>0900139W</t>
  </si>
  <si>
    <t>GAA16CA456</t>
  </si>
  <si>
    <t>604627N</t>
  </si>
  <si>
    <t>1515355W</t>
  </si>
  <si>
    <t>Kenai</t>
  </si>
  <si>
    <t>CEN16LA339</t>
  </si>
  <si>
    <t>333605N</t>
  </si>
  <si>
    <t>0950425W</t>
  </si>
  <si>
    <t>ANC16LA060</t>
  </si>
  <si>
    <t>643040N</t>
  </si>
  <si>
    <t>1464056W</t>
  </si>
  <si>
    <t>Salcha</t>
  </si>
  <si>
    <t>ERA16CA304</t>
  </si>
  <si>
    <t>440000N</t>
  </si>
  <si>
    <t>0700000W</t>
  </si>
  <si>
    <t>Livermore Falls</t>
  </si>
  <si>
    <t>WPR16WA190</t>
  </si>
  <si>
    <t>390112N</t>
  </si>
  <si>
    <t>1000560E</t>
  </si>
  <si>
    <t>Zhangye Ganzhou</t>
  </si>
  <si>
    <t>CH</t>
  </si>
  <si>
    <t>WPR16FA170</t>
  </si>
  <si>
    <t>464340N</t>
  </si>
  <si>
    <t>1133910W</t>
  </si>
  <si>
    <t>ERA16CA308</t>
  </si>
  <si>
    <t>415447N</t>
  </si>
  <si>
    <t>0724641W</t>
  </si>
  <si>
    <t>CEN16LA354</t>
  </si>
  <si>
    <t>365422N</t>
  </si>
  <si>
    <t>0940046W</t>
  </si>
  <si>
    <t>Monett</t>
  </si>
  <si>
    <t>WPR16FA172</t>
  </si>
  <si>
    <t>393116N</t>
  </si>
  <si>
    <t>1194556W</t>
  </si>
  <si>
    <t>Sparks</t>
  </si>
  <si>
    <t>GAA16CA459</t>
  </si>
  <si>
    <t>425502N</t>
  </si>
  <si>
    <t>1144554W</t>
  </si>
  <si>
    <t>Gooding</t>
  </si>
  <si>
    <t>CEN16LA342</t>
  </si>
  <si>
    <t>414732N</t>
  </si>
  <si>
    <t>0810329W</t>
  </si>
  <si>
    <t>GAA16CA460</t>
  </si>
  <si>
    <t>390837N</t>
  </si>
  <si>
    <t>0780840W</t>
  </si>
  <si>
    <t>Winchester</t>
  </si>
  <si>
    <t>GAA16CA461</t>
  </si>
  <si>
    <t>343033N</t>
  </si>
  <si>
    <t>1112823W</t>
  </si>
  <si>
    <t>Sedona</t>
  </si>
  <si>
    <t>CEN16LA355</t>
  </si>
  <si>
    <t>383409N</t>
  </si>
  <si>
    <t>0934449W</t>
  </si>
  <si>
    <t>Post Oak</t>
  </si>
  <si>
    <t>CEN16CA364</t>
  </si>
  <si>
    <t>433540N</t>
  </si>
  <si>
    <t>0964358W</t>
  </si>
  <si>
    <t>GAA16CA496</t>
  </si>
  <si>
    <t>392301N</t>
  </si>
  <si>
    <t>1123008W</t>
  </si>
  <si>
    <t>CEN16FA341</t>
  </si>
  <si>
    <t>362043N</t>
  </si>
  <si>
    <t>0941310W</t>
  </si>
  <si>
    <t>Bentonville</t>
  </si>
  <si>
    <t>ANC16FA061</t>
  </si>
  <si>
    <t>614753N</t>
  </si>
  <si>
    <t>1612956W</t>
  </si>
  <si>
    <t>Russian Mission</t>
  </si>
  <si>
    <t>CEN16LA343</t>
  </si>
  <si>
    <t>472251N</t>
  </si>
  <si>
    <t>0924952W</t>
  </si>
  <si>
    <t>Hibbing</t>
  </si>
  <si>
    <t>CEN16LA350</t>
  </si>
  <si>
    <t>483456N</t>
  </si>
  <si>
    <t>1005117W</t>
  </si>
  <si>
    <t>Upham</t>
  </si>
  <si>
    <t>DCA16CA220</t>
  </si>
  <si>
    <t>International Waters</t>
  </si>
  <si>
    <t>ERA16CA313</t>
  </si>
  <si>
    <t>404711N</t>
  </si>
  <si>
    <t>0735243W</t>
  </si>
  <si>
    <t>Rikers Island</t>
  </si>
  <si>
    <t>GAA16CA487</t>
  </si>
  <si>
    <t>611247N</t>
  </si>
  <si>
    <t>1495024W</t>
  </si>
  <si>
    <t>CEN16FA344</t>
  </si>
  <si>
    <t>431015N</t>
  </si>
  <si>
    <t>0971802W</t>
  </si>
  <si>
    <t>Viborg</t>
  </si>
  <si>
    <t>WPR16LA175</t>
  </si>
  <si>
    <t>211522N</t>
  </si>
  <si>
    <t>1574825W</t>
  </si>
  <si>
    <t>GAA16CA474</t>
  </si>
  <si>
    <t>594244N</t>
  </si>
  <si>
    <t>1402053W</t>
  </si>
  <si>
    <t>Yakutat</t>
  </si>
  <si>
    <t>GAA16CA529</t>
  </si>
  <si>
    <t>401647N</t>
  </si>
  <si>
    <t>0830656W</t>
  </si>
  <si>
    <t>Delaware</t>
  </si>
  <si>
    <t>CEN16FA346</t>
  </si>
  <si>
    <t>301616N</t>
  </si>
  <si>
    <t>0944757W</t>
  </si>
  <si>
    <t>Moss Hill</t>
  </si>
  <si>
    <t>ERA16FA309</t>
  </si>
  <si>
    <t>260248N</t>
  </si>
  <si>
    <t>0800343W</t>
  </si>
  <si>
    <t>GAA16CA463</t>
  </si>
  <si>
    <t>702922N</t>
  </si>
  <si>
    <t>1550351W</t>
  </si>
  <si>
    <t>Barrow</t>
  </si>
  <si>
    <t>GAA16CA464</t>
  </si>
  <si>
    <t>334549N</t>
  </si>
  <si>
    <t>1171307W</t>
  </si>
  <si>
    <t>Perris</t>
  </si>
  <si>
    <t>GAA16CA468</t>
  </si>
  <si>
    <t>625324N</t>
  </si>
  <si>
    <t>1491019W</t>
  </si>
  <si>
    <t>CEN16LA363</t>
  </si>
  <si>
    <t>424732N</t>
  </si>
  <si>
    <t>0865903E</t>
  </si>
  <si>
    <t>GAA16CA485</t>
  </si>
  <si>
    <t>483859N</t>
  </si>
  <si>
    <t>1203007W</t>
  </si>
  <si>
    <t>Mazama</t>
  </si>
  <si>
    <t>GAA16CA486</t>
  </si>
  <si>
    <t>611952N</t>
  </si>
  <si>
    <t>1440158W</t>
  </si>
  <si>
    <t>GAA16CA507</t>
  </si>
  <si>
    <t>404755N</t>
  </si>
  <si>
    <t>0814144W</t>
  </si>
  <si>
    <t>Dalton</t>
  </si>
  <si>
    <t>CEN16LA349</t>
  </si>
  <si>
    <t>360041N</t>
  </si>
  <si>
    <t>1065814W</t>
  </si>
  <si>
    <t>Cuba</t>
  </si>
  <si>
    <t>CEN16LA352</t>
  </si>
  <si>
    <t>420001N</t>
  </si>
  <si>
    <t>1035259W</t>
  </si>
  <si>
    <t>Morrill</t>
  </si>
  <si>
    <t>CEN16LA353</t>
  </si>
  <si>
    <t>400914N</t>
  </si>
  <si>
    <t>0831628W</t>
  </si>
  <si>
    <t>Plain City</t>
  </si>
  <si>
    <t>GAA16CA479</t>
  </si>
  <si>
    <t>350657N</t>
  </si>
  <si>
    <t>0842118W</t>
  </si>
  <si>
    <t>Benton</t>
  </si>
  <si>
    <t>GAA16CA462</t>
  </si>
  <si>
    <t>292251N</t>
  </si>
  <si>
    <t>0991029W</t>
  </si>
  <si>
    <t>Hondo</t>
  </si>
  <si>
    <t>GAA16CA465</t>
  </si>
  <si>
    <t>385355N</t>
  </si>
  <si>
    <t>1195938W</t>
  </si>
  <si>
    <t>South Lake Tahoe</t>
  </si>
  <si>
    <t>GAA16CA467</t>
  </si>
  <si>
    <t>330728N</t>
  </si>
  <si>
    <t>0940948W</t>
  </si>
  <si>
    <t>GAA16CA478</t>
  </si>
  <si>
    <t>344020N</t>
  </si>
  <si>
    <t>0825309W</t>
  </si>
  <si>
    <t>Clemson</t>
  </si>
  <si>
    <t>ERA16FA311</t>
  </si>
  <si>
    <t>275626N</t>
  </si>
  <si>
    <t>0804217W</t>
  </si>
  <si>
    <t>Palm Bay</t>
  </si>
  <si>
    <t>GAA16CA469</t>
  </si>
  <si>
    <t>381118N</t>
  </si>
  <si>
    <t>0845539W</t>
  </si>
  <si>
    <t>GAA16CA512</t>
  </si>
  <si>
    <t>353246N</t>
  </si>
  <si>
    <t>0900741W</t>
  </si>
  <si>
    <t>Wilson</t>
  </si>
  <si>
    <t>ERA16FA312</t>
  </si>
  <si>
    <t>333724N</t>
  </si>
  <si>
    <t>0850857W</t>
  </si>
  <si>
    <t>GAA16CA470</t>
  </si>
  <si>
    <t>400635N</t>
  </si>
  <si>
    <t>0965604W</t>
  </si>
  <si>
    <t>Diller</t>
  </si>
  <si>
    <t>CEN16FA361</t>
  </si>
  <si>
    <t>410525N</t>
  </si>
  <si>
    <t>0930631W</t>
  </si>
  <si>
    <t>Chariton</t>
  </si>
  <si>
    <t>GAA16CA482</t>
  </si>
  <si>
    <t>621211N</t>
  </si>
  <si>
    <t>1452344W</t>
  </si>
  <si>
    <t>Gulkana</t>
  </si>
  <si>
    <t>GAA16CA481</t>
  </si>
  <si>
    <t>292020N</t>
  </si>
  <si>
    <t>0982812W</t>
  </si>
  <si>
    <t>San Antonio</t>
  </si>
  <si>
    <t>GAA16CA505</t>
  </si>
  <si>
    <t>334139N</t>
  </si>
  <si>
    <t>1085103W</t>
  </si>
  <si>
    <t>Reserve</t>
  </si>
  <si>
    <t>WPR16FA176</t>
  </si>
  <si>
    <t>335757N</t>
  </si>
  <si>
    <t>1124847W</t>
  </si>
  <si>
    <t>ANC16LA062</t>
  </si>
  <si>
    <t>573938N</t>
  </si>
  <si>
    <t>1531908W</t>
  </si>
  <si>
    <t>Kodiak</t>
  </si>
  <si>
    <t>GAA16CA480</t>
  </si>
  <si>
    <t>361944N</t>
  </si>
  <si>
    <t>0895620W</t>
  </si>
  <si>
    <t>Peach Orchard</t>
  </si>
  <si>
    <t>GAA16CA477</t>
  </si>
  <si>
    <t>383903N</t>
  </si>
  <si>
    <t>0774723W</t>
  </si>
  <si>
    <t>ERA16CA314</t>
  </si>
  <si>
    <t>343450N</t>
  </si>
  <si>
    <t>0834056W</t>
  </si>
  <si>
    <t>GAA16CA489</t>
  </si>
  <si>
    <t>391655N</t>
  </si>
  <si>
    <t>1204243W</t>
  </si>
  <si>
    <t>Emigrant Gap</t>
  </si>
  <si>
    <t>GAA16CA524</t>
  </si>
  <si>
    <t>483435N</t>
  </si>
  <si>
    <t>1165219W</t>
  </si>
  <si>
    <t>Nordman</t>
  </si>
  <si>
    <t>GAA16CA475</t>
  </si>
  <si>
    <t>284232N</t>
  </si>
  <si>
    <t>0813459W</t>
  </si>
  <si>
    <t>ANC16FA065</t>
  </si>
  <si>
    <t>610731N</t>
  </si>
  <si>
    <t>1494456W</t>
  </si>
  <si>
    <t>GAA16CA476</t>
  </si>
  <si>
    <t>432535N</t>
  </si>
  <si>
    <t>0884203W</t>
  </si>
  <si>
    <t>WPR16LA179</t>
  </si>
  <si>
    <t>312130N</t>
  </si>
  <si>
    <t>1095235W</t>
  </si>
  <si>
    <t>Bisbee</t>
  </si>
  <si>
    <t>GAA16CA492</t>
  </si>
  <si>
    <t>474225N</t>
  </si>
  <si>
    <t>1041133W</t>
  </si>
  <si>
    <t>Sidney</t>
  </si>
  <si>
    <t>GAA16CA522</t>
  </si>
  <si>
    <t>445331N</t>
  </si>
  <si>
    <t>1160607W</t>
  </si>
  <si>
    <t>McCall</t>
  </si>
  <si>
    <t>WPR16FA178</t>
  </si>
  <si>
    <t>393014N</t>
  </si>
  <si>
    <t>1194636W</t>
  </si>
  <si>
    <t>CEN16LA366</t>
  </si>
  <si>
    <t>430821N</t>
  </si>
  <si>
    <t>0851522W</t>
  </si>
  <si>
    <t>Greenville</t>
  </si>
  <si>
    <t>GAA16CA483</t>
  </si>
  <si>
    <t>333643N</t>
  </si>
  <si>
    <t>0834348W</t>
  </si>
  <si>
    <t>Covington</t>
  </si>
  <si>
    <t>GAA16CA484</t>
  </si>
  <si>
    <t>385051N</t>
  </si>
  <si>
    <t>0944415W</t>
  </si>
  <si>
    <t>Olathe</t>
  </si>
  <si>
    <t>CEN16CA383</t>
  </si>
  <si>
    <t>423530N</t>
  </si>
  <si>
    <t>0892230W</t>
  </si>
  <si>
    <t>Brodhead</t>
  </si>
  <si>
    <t>WPR16LA188</t>
  </si>
  <si>
    <t>484956N</t>
  </si>
  <si>
    <t>1210916W</t>
  </si>
  <si>
    <t>Rockport</t>
  </si>
  <si>
    <t>CEN16LA374</t>
  </si>
  <si>
    <t>413513N</t>
  </si>
  <si>
    <t>0834829W</t>
  </si>
  <si>
    <t>Bowling Green</t>
  </si>
  <si>
    <t>CEN16RA399</t>
  </si>
  <si>
    <t>143504N</t>
  </si>
  <si>
    <t>0903632W</t>
  </si>
  <si>
    <t>Guatemala City</t>
  </si>
  <si>
    <t>GT</t>
  </si>
  <si>
    <t>CEN16FA370</t>
  </si>
  <si>
    <t>395837N</t>
  </si>
  <si>
    <t>0843235W</t>
  </si>
  <si>
    <t>Arcanum</t>
  </si>
  <si>
    <t>CEN16LA369</t>
  </si>
  <si>
    <t>444006N</t>
  </si>
  <si>
    <t>0933757W</t>
  </si>
  <si>
    <t>Jordan</t>
  </si>
  <si>
    <t>GAA16CA488</t>
  </si>
  <si>
    <t>374203N</t>
  </si>
  <si>
    <t>1130556W</t>
  </si>
  <si>
    <t>Cedar City</t>
  </si>
  <si>
    <t>GAA16CA490</t>
  </si>
  <si>
    <t>392036N</t>
  </si>
  <si>
    <t>0812626W</t>
  </si>
  <si>
    <t>Parkersburg</t>
  </si>
  <si>
    <t>GAA16CA491</t>
  </si>
  <si>
    <t>412708N</t>
  </si>
  <si>
    <t>0870030W</t>
  </si>
  <si>
    <t>ERA16FA316</t>
  </si>
  <si>
    <t>312603N</t>
  </si>
  <si>
    <t>0831026W</t>
  </si>
  <si>
    <t>Alapaha</t>
  </si>
  <si>
    <t>WPR16LA181</t>
  </si>
  <si>
    <t>394210N</t>
  </si>
  <si>
    <t>1195322W</t>
  </si>
  <si>
    <t>ERA16LA318</t>
  </si>
  <si>
    <t>400720N</t>
  </si>
  <si>
    <t>0761740W</t>
  </si>
  <si>
    <t>GAA16CA494</t>
  </si>
  <si>
    <t>353707N</t>
  </si>
  <si>
    <t>0784157W</t>
  </si>
  <si>
    <t>ANC16LA067</t>
  </si>
  <si>
    <t>652812N</t>
  </si>
  <si>
    <t>1472018W</t>
  </si>
  <si>
    <t>ANC16LA068</t>
  </si>
  <si>
    <t>613650N</t>
  </si>
  <si>
    <t>1491940W</t>
  </si>
  <si>
    <t>GAA16CA498</t>
  </si>
  <si>
    <t>270416N</t>
  </si>
  <si>
    <t>0822627W</t>
  </si>
  <si>
    <t>GAA16CA510</t>
  </si>
  <si>
    <t>271427N</t>
  </si>
  <si>
    <t>0802918W</t>
  </si>
  <si>
    <t>Port St. Lucie</t>
  </si>
  <si>
    <t>GAA16CA519</t>
  </si>
  <si>
    <t>455922N</t>
  </si>
  <si>
    <t>1145029W</t>
  </si>
  <si>
    <t>Kooskia</t>
  </si>
  <si>
    <t>GAA16CA523</t>
  </si>
  <si>
    <t>403641N</t>
  </si>
  <si>
    <t>1122103W</t>
  </si>
  <si>
    <t>Tooele</t>
  </si>
  <si>
    <t>CEN16FA372</t>
  </si>
  <si>
    <t>455229N</t>
  </si>
  <si>
    <t>0952353W</t>
  </si>
  <si>
    <t>WPR16FA182</t>
  </si>
  <si>
    <t>450709N</t>
  </si>
  <si>
    <t>1050209W</t>
  </si>
  <si>
    <t>Broadus</t>
  </si>
  <si>
    <t>WPR16FA183</t>
  </si>
  <si>
    <t>331912N</t>
  </si>
  <si>
    <t>1114652W</t>
  </si>
  <si>
    <t>Gilbert</t>
  </si>
  <si>
    <t>WPR16LA184</t>
  </si>
  <si>
    <t>394038N</t>
  </si>
  <si>
    <t>1195240W</t>
  </si>
  <si>
    <t>GAA16CA499</t>
  </si>
  <si>
    <t>405816N</t>
  </si>
  <si>
    <t>0745951W</t>
  </si>
  <si>
    <t>GAA16CA500</t>
  </si>
  <si>
    <t>394005N</t>
  </si>
  <si>
    <t>1195235W</t>
  </si>
  <si>
    <t>GAA16CA509</t>
  </si>
  <si>
    <t>390252N</t>
  </si>
  <si>
    <t>1225344W</t>
  </si>
  <si>
    <t>Lakeport</t>
  </si>
  <si>
    <t>CEN16FA373</t>
  </si>
  <si>
    <t>450845N</t>
  </si>
  <si>
    <t>0871150W</t>
  </si>
  <si>
    <t>ANC16CA066</t>
  </si>
  <si>
    <t>632248N</t>
  </si>
  <si>
    <t>1562136W</t>
  </si>
  <si>
    <t>McGrath</t>
  </si>
  <si>
    <t>WPR16LA185</t>
  </si>
  <si>
    <t>393952N</t>
  </si>
  <si>
    <t>1195328W</t>
  </si>
  <si>
    <t>ERA16LA319</t>
  </si>
  <si>
    <t>391519N</t>
  </si>
  <si>
    <t>0760701W</t>
  </si>
  <si>
    <t>Chestertown</t>
  </si>
  <si>
    <t>CEN16LA379</t>
  </si>
  <si>
    <t>383944N</t>
  </si>
  <si>
    <t>0903907W</t>
  </si>
  <si>
    <t>GAA16CA511</t>
  </si>
  <si>
    <t>385717N</t>
  </si>
  <si>
    <t>1210454W</t>
  </si>
  <si>
    <t>WPR16LA187</t>
  </si>
  <si>
    <t>472921N</t>
  </si>
  <si>
    <t>1221234W</t>
  </si>
  <si>
    <t>Renton</t>
  </si>
  <si>
    <t>GAA16CA517</t>
  </si>
  <si>
    <t>393945N</t>
  </si>
  <si>
    <t>1195206W</t>
  </si>
  <si>
    <t>GAA16LA525</t>
  </si>
  <si>
    <t>383421N</t>
  </si>
  <si>
    <t>1215125W</t>
  </si>
  <si>
    <t>Davis</t>
  </si>
  <si>
    <t>CEN16LA375</t>
  </si>
  <si>
    <t>351002N</t>
  </si>
  <si>
    <t>1075407W</t>
  </si>
  <si>
    <t>Grants</t>
  </si>
  <si>
    <t>GAA16CA495</t>
  </si>
  <si>
    <t>444220N</t>
  </si>
  <si>
    <t>0731444W</t>
  </si>
  <si>
    <t>Grand Isle</t>
  </si>
  <si>
    <t>CEN16FA378</t>
  </si>
  <si>
    <t>385738N</t>
  </si>
  <si>
    <t>0942232W</t>
  </si>
  <si>
    <t>GAA16CA503</t>
  </si>
  <si>
    <t>632858N</t>
  </si>
  <si>
    <t>1461705W</t>
  </si>
  <si>
    <t>GAA16CA501</t>
  </si>
  <si>
    <t>410623N</t>
  </si>
  <si>
    <t>0922659W</t>
  </si>
  <si>
    <t>Ottumwa</t>
  </si>
  <si>
    <t>ERA16LA320</t>
  </si>
  <si>
    <t>353600N</t>
  </si>
  <si>
    <t>0885456W</t>
  </si>
  <si>
    <t>CEN16LA380</t>
  </si>
  <si>
    <t>324654N</t>
  </si>
  <si>
    <t>0980337W</t>
  </si>
  <si>
    <t>Mineral Wells</t>
  </si>
  <si>
    <t>GAA16CA506</t>
  </si>
  <si>
    <t>CEN16LA382</t>
  </si>
  <si>
    <t>405223N</t>
  </si>
  <si>
    <t>0815634W</t>
  </si>
  <si>
    <t>Wooster</t>
  </si>
  <si>
    <t>ANC16CA073</t>
  </si>
  <si>
    <t>604425N</t>
  </si>
  <si>
    <t>1521242W</t>
  </si>
  <si>
    <t>Soldotna</t>
  </si>
  <si>
    <t>CEN16LA381</t>
  </si>
  <si>
    <t>374451N</t>
  </si>
  <si>
    <t>0971316W</t>
  </si>
  <si>
    <t>ERA16LA326</t>
  </si>
  <si>
    <t>312555N</t>
  </si>
  <si>
    <t>0853714W</t>
  </si>
  <si>
    <t>Ozark</t>
  </si>
  <si>
    <t>ERA16LA322</t>
  </si>
  <si>
    <t>365615N</t>
  </si>
  <si>
    <t>0761831W</t>
  </si>
  <si>
    <t>Norfolk</t>
  </si>
  <si>
    <t>ERA16LA328</t>
  </si>
  <si>
    <t>332939N</t>
  </si>
  <si>
    <t>0901046W</t>
  </si>
  <si>
    <t>Greenwood</t>
  </si>
  <si>
    <t>CEN16LA387</t>
  </si>
  <si>
    <t>413110N</t>
  </si>
  <si>
    <t>0883620W</t>
  </si>
  <si>
    <t>ANC16CA069</t>
  </si>
  <si>
    <t>614515N</t>
  </si>
  <si>
    <t>1500305W</t>
  </si>
  <si>
    <t>Willow</t>
  </si>
  <si>
    <t>DCA16CA226</t>
  </si>
  <si>
    <t>385711N</t>
  </si>
  <si>
    <t>0772723W</t>
  </si>
  <si>
    <t>Dulles</t>
  </si>
  <si>
    <t>CEN16LA394</t>
  </si>
  <si>
    <t>293032N</t>
  </si>
  <si>
    <t>0951359W</t>
  </si>
  <si>
    <t>GAA16CA526</t>
  </si>
  <si>
    <t>271145N</t>
  </si>
  <si>
    <t>0815012W</t>
  </si>
  <si>
    <t>ARCADIA</t>
  </si>
  <si>
    <t>ERA16FA324</t>
  </si>
  <si>
    <t>423556N</t>
  </si>
  <si>
    <t>0785330W</t>
  </si>
  <si>
    <t>North Collins</t>
  </si>
  <si>
    <t>ERA16FA325</t>
  </si>
  <si>
    <t>403334N</t>
  </si>
  <si>
    <t>0745926W</t>
  </si>
  <si>
    <t>Pittstown</t>
  </si>
  <si>
    <t>GAA16CA513</t>
  </si>
  <si>
    <t>1194509W</t>
  </si>
  <si>
    <t>GAA16CA516</t>
  </si>
  <si>
    <t>670841N</t>
  </si>
  <si>
    <t>1621631W</t>
  </si>
  <si>
    <t>Kotzebue</t>
  </si>
  <si>
    <t>ANC16LA071</t>
  </si>
  <si>
    <t>634720N</t>
  </si>
  <si>
    <t>1464755W</t>
  </si>
  <si>
    <t>Delta Junction</t>
  </si>
  <si>
    <t>GAA16CA515</t>
  </si>
  <si>
    <t>422539N</t>
  </si>
  <si>
    <t>0731733W</t>
  </si>
  <si>
    <t>Pittsfield</t>
  </si>
  <si>
    <t>ANC16LA072</t>
  </si>
  <si>
    <t>611112N</t>
  </si>
  <si>
    <t>1495756W</t>
  </si>
  <si>
    <t>GAA16CA514</t>
  </si>
  <si>
    <t>415519N</t>
  </si>
  <si>
    <t>0722726W</t>
  </si>
  <si>
    <t>Ellington</t>
  </si>
  <si>
    <t>ERA16FA329</t>
  </si>
  <si>
    <t>391408N</t>
  </si>
  <si>
    <t>0770811W</t>
  </si>
  <si>
    <t>Laytonsville</t>
  </si>
  <si>
    <t>ERA16LA330</t>
  </si>
  <si>
    <t>432515N</t>
  </si>
  <si>
    <t>0714650W</t>
  </si>
  <si>
    <t>Andover</t>
  </si>
  <si>
    <t>ERA16LA333</t>
  </si>
  <si>
    <t>370319N</t>
  </si>
  <si>
    <t>0791742W</t>
  </si>
  <si>
    <t>Hurt</t>
  </si>
  <si>
    <t>GAA16CA518</t>
  </si>
  <si>
    <t>422526N</t>
  </si>
  <si>
    <t>1183620W</t>
  </si>
  <si>
    <t>Andrews</t>
  </si>
  <si>
    <t>CEN16LA386</t>
  </si>
  <si>
    <t>343632N</t>
  </si>
  <si>
    <t>0982612W</t>
  </si>
  <si>
    <t>Lawton</t>
  </si>
  <si>
    <t>GAA16CA520</t>
  </si>
  <si>
    <t>385916N</t>
  </si>
  <si>
    <t>1225337W</t>
  </si>
  <si>
    <t>CEN16CA393</t>
  </si>
  <si>
    <t>465305N</t>
  </si>
  <si>
    <t>0964708W</t>
  </si>
  <si>
    <t>WPR16LA189</t>
  </si>
  <si>
    <t>482751N</t>
  </si>
  <si>
    <t>1225712W</t>
  </si>
  <si>
    <t>Lopez Island</t>
  </si>
  <si>
    <t>ERA16LA331</t>
  </si>
  <si>
    <t>341818N</t>
  </si>
  <si>
    <t>0802828W</t>
  </si>
  <si>
    <t>Camden</t>
  </si>
  <si>
    <t>CEN16CA390</t>
  </si>
  <si>
    <t>405614N</t>
  </si>
  <si>
    <t>0871057W</t>
  </si>
  <si>
    <t>Rensselaer</t>
  </si>
  <si>
    <t>CEN16LA391</t>
  </si>
  <si>
    <t>464204N</t>
  </si>
  <si>
    <t>0923013W</t>
  </si>
  <si>
    <t>Cloquet</t>
  </si>
  <si>
    <t>ERA17FA001</t>
  </si>
  <si>
    <t>354326N</t>
  </si>
  <si>
    <t>0812316W</t>
  </si>
  <si>
    <t>CEN17LA001</t>
  </si>
  <si>
    <t>301432N</t>
  </si>
  <si>
    <t>0924017W</t>
  </si>
  <si>
    <t>Jennings</t>
  </si>
  <si>
    <t>CEN17LA003</t>
  </si>
  <si>
    <t>303422N</t>
  </si>
  <si>
    <t>0972635W</t>
  </si>
  <si>
    <t>GAA17CA001</t>
  </si>
  <si>
    <t>644854N</t>
  </si>
  <si>
    <t>1475123W</t>
  </si>
  <si>
    <t>CEN17LA009</t>
  </si>
  <si>
    <t>375528N</t>
  </si>
  <si>
    <t>0952400W</t>
  </si>
  <si>
    <t>Iola</t>
  </si>
  <si>
    <t>GAA17CA008</t>
  </si>
  <si>
    <t>390016N</t>
  </si>
  <si>
    <t>0951240W</t>
  </si>
  <si>
    <t>Lawrence</t>
  </si>
  <si>
    <t>ERA17LA005</t>
  </si>
  <si>
    <t>310000N</t>
  </si>
  <si>
    <t>0890000W</t>
  </si>
  <si>
    <t>ERA17LA026</t>
  </si>
  <si>
    <t>261150N</t>
  </si>
  <si>
    <t>0801015W</t>
  </si>
  <si>
    <t>ANC17MA001</t>
  </si>
  <si>
    <t>590956N</t>
  </si>
  <si>
    <t>1603912W</t>
  </si>
  <si>
    <t>Togiak</t>
  </si>
  <si>
    <t>WPR17CA001</t>
  </si>
  <si>
    <t>345214N</t>
  </si>
  <si>
    <t>1181243W</t>
  </si>
  <si>
    <t>GAA17CA003</t>
  </si>
  <si>
    <t>385907N</t>
  </si>
  <si>
    <t>0953550W</t>
  </si>
  <si>
    <t>Berryton</t>
  </si>
  <si>
    <t>CEN17LA004</t>
  </si>
  <si>
    <t>465250N</t>
  </si>
  <si>
    <t>1005940E</t>
  </si>
  <si>
    <t>Mandan</t>
  </si>
  <si>
    <t>GAA17CA004</t>
  </si>
  <si>
    <t>323252N</t>
  </si>
  <si>
    <t>0834937W</t>
  </si>
  <si>
    <t>Fort Valley</t>
  </si>
  <si>
    <t>CEN17LA010</t>
  </si>
  <si>
    <t>345658N</t>
  </si>
  <si>
    <t>1005241W</t>
  </si>
  <si>
    <t>Clarendon</t>
  </si>
  <si>
    <t>CEN17CA013</t>
  </si>
  <si>
    <t>350804N</t>
  </si>
  <si>
    <t>1063652W</t>
  </si>
  <si>
    <t>GAA17CA005</t>
  </si>
  <si>
    <t>431206N</t>
  </si>
  <si>
    <t>0713014W</t>
  </si>
  <si>
    <t>Concord</t>
  </si>
  <si>
    <t>CEN17LA011</t>
  </si>
  <si>
    <t>293908N</t>
  </si>
  <si>
    <t>0955033W</t>
  </si>
  <si>
    <t>Fulshear</t>
  </si>
  <si>
    <t>GAA17CA029</t>
  </si>
  <si>
    <t>334812N</t>
  </si>
  <si>
    <t>1182023W</t>
  </si>
  <si>
    <t>CEN17FA005</t>
  </si>
  <si>
    <t>291623N</t>
  </si>
  <si>
    <t>0950417W</t>
  </si>
  <si>
    <t>Hitchcock</t>
  </si>
  <si>
    <t>CEN17LA006</t>
  </si>
  <si>
    <t>423042N</t>
  </si>
  <si>
    <t>0881232W</t>
  </si>
  <si>
    <t>Wilmot</t>
  </si>
  <si>
    <t>GAA17CA007</t>
  </si>
  <si>
    <t>405618N</t>
  </si>
  <si>
    <t>0902553W</t>
  </si>
  <si>
    <t>Galesburg</t>
  </si>
  <si>
    <t>WPR17LA005</t>
  </si>
  <si>
    <t>200644N</t>
  </si>
  <si>
    <t>1554109W</t>
  </si>
  <si>
    <t>Waimea</t>
  </si>
  <si>
    <t>GAA17CA052</t>
  </si>
  <si>
    <t>434641N</t>
  </si>
  <si>
    <t>0714514W</t>
  </si>
  <si>
    <t>Portsmouth</t>
  </si>
  <si>
    <t>WPR17LA002</t>
  </si>
  <si>
    <t>325832N</t>
  </si>
  <si>
    <t>1124343W</t>
  </si>
  <si>
    <t>Gila Bend</t>
  </si>
  <si>
    <t>GAA17CA011</t>
  </si>
  <si>
    <t>484712N</t>
  </si>
  <si>
    <t>1223215W</t>
  </si>
  <si>
    <t>Bellingham</t>
  </si>
  <si>
    <t>DCA17CA005</t>
  </si>
  <si>
    <t>395142N</t>
  </si>
  <si>
    <t>1044023W</t>
  </si>
  <si>
    <t>GAA17CA023</t>
  </si>
  <si>
    <t>613542N</t>
  </si>
  <si>
    <t>1490519W</t>
  </si>
  <si>
    <t>GAA17CA025</t>
  </si>
  <si>
    <t>211810N</t>
  </si>
  <si>
    <t>1580443W</t>
  </si>
  <si>
    <t>Kapolei</t>
  </si>
  <si>
    <t>CEN17FA012</t>
  </si>
  <si>
    <t>451136N</t>
  </si>
  <si>
    <t>0930816W</t>
  </si>
  <si>
    <t>GAA17CA010</t>
  </si>
  <si>
    <t>392324N</t>
  </si>
  <si>
    <t>1200542W</t>
  </si>
  <si>
    <t>Boca Reservoir</t>
  </si>
  <si>
    <t>ERA17LA006</t>
  </si>
  <si>
    <t>344132N</t>
  </si>
  <si>
    <t>0860036W</t>
  </si>
  <si>
    <t>Scottsboro</t>
  </si>
  <si>
    <t>ERA17LA007</t>
  </si>
  <si>
    <t>413760N</t>
  </si>
  <si>
    <t>0730248W</t>
  </si>
  <si>
    <t>GAA17CA014</t>
  </si>
  <si>
    <t>331828N</t>
  </si>
  <si>
    <t>1113920W</t>
  </si>
  <si>
    <t>GAA17CA015</t>
  </si>
  <si>
    <t>393137N</t>
  </si>
  <si>
    <t>1074310W</t>
  </si>
  <si>
    <t>Rifle</t>
  </si>
  <si>
    <t>GAA17CA017</t>
  </si>
  <si>
    <t>441316N</t>
  </si>
  <si>
    <t>0734715W</t>
  </si>
  <si>
    <t>Keene Valley</t>
  </si>
  <si>
    <t>GAA17CA019</t>
  </si>
  <si>
    <t>420660N</t>
  </si>
  <si>
    <t>1064260W</t>
  </si>
  <si>
    <t>Hanna</t>
  </si>
  <si>
    <t>ERA17CA008</t>
  </si>
  <si>
    <t>375834N</t>
  </si>
  <si>
    <t>0795143W</t>
  </si>
  <si>
    <t>Ashwood</t>
  </si>
  <si>
    <t>GAA17CA013</t>
  </si>
  <si>
    <t>293216N</t>
  </si>
  <si>
    <t>0982827W</t>
  </si>
  <si>
    <t>GAA17CA016</t>
  </si>
  <si>
    <t>390260N</t>
  </si>
  <si>
    <t>CEN17LA015</t>
  </si>
  <si>
    <t>304046N</t>
  </si>
  <si>
    <t>0950048W</t>
  </si>
  <si>
    <t>Livingston</t>
  </si>
  <si>
    <t>GAA17CA012</t>
  </si>
  <si>
    <t>302324N</t>
  </si>
  <si>
    <t>0884513W</t>
  </si>
  <si>
    <t>Ocean Springs</t>
  </si>
  <si>
    <t>CEN17LA014</t>
  </si>
  <si>
    <t>292643N</t>
  </si>
  <si>
    <t>0955752W</t>
  </si>
  <si>
    <t>Beasley</t>
  </si>
  <si>
    <t>GAA17CA018</t>
  </si>
  <si>
    <t>431506N</t>
  </si>
  <si>
    <t>0732817W</t>
  </si>
  <si>
    <t>Argyle</t>
  </si>
  <si>
    <t>WPR17LA003</t>
  </si>
  <si>
    <t>434328N</t>
  </si>
  <si>
    <t>1120916W</t>
  </si>
  <si>
    <t>Roberts</t>
  </si>
  <si>
    <t>ERA17LA019</t>
  </si>
  <si>
    <t>351912N</t>
  </si>
  <si>
    <t>0885700W</t>
  </si>
  <si>
    <t>Toone</t>
  </si>
  <si>
    <t>GAA17CA022</t>
  </si>
  <si>
    <t>290958N</t>
  </si>
  <si>
    <t>0821323W</t>
  </si>
  <si>
    <t>ERA17FA011</t>
  </si>
  <si>
    <t>414412N</t>
  </si>
  <si>
    <t>0723858W</t>
  </si>
  <si>
    <t>East Hartford</t>
  </si>
  <si>
    <t>SEC</t>
  </si>
  <si>
    <t>ERA17CA012</t>
  </si>
  <si>
    <t>355726N</t>
  </si>
  <si>
    <t>0834803W</t>
  </si>
  <si>
    <t>ERA17CA013</t>
  </si>
  <si>
    <t>294307N</t>
  </si>
  <si>
    <t>0825040W</t>
  </si>
  <si>
    <t>Bell</t>
  </si>
  <si>
    <t>GAA17CA020</t>
  </si>
  <si>
    <t>360801N</t>
  </si>
  <si>
    <t>0940920W</t>
  </si>
  <si>
    <t>Lowell</t>
  </si>
  <si>
    <t>WPR17LA004</t>
  </si>
  <si>
    <t>334152N</t>
  </si>
  <si>
    <t>1120910W</t>
  </si>
  <si>
    <t>GAA17CA021</t>
  </si>
  <si>
    <t>381457N</t>
  </si>
  <si>
    <t>0865713W</t>
  </si>
  <si>
    <t>Huntingburg</t>
  </si>
  <si>
    <t>GAA17CA028</t>
  </si>
  <si>
    <t>344805N</t>
  </si>
  <si>
    <t>0782253W</t>
  </si>
  <si>
    <t>Garland</t>
  </si>
  <si>
    <t>ERA17LA014</t>
  </si>
  <si>
    <t>415545N</t>
  </si>
  <si>
    <t>0712907W</t>
  </si>
  <si>
    <t>Pawtucket</t>
  </si>
  <si>
    <t>GAA17CA027</t>
  </si>
  <si>
    <t>612404N</t>
  </si>
  <si>
    <t>1483602W</t>
  </si>
  <si>
    <t>GAA17CA026</t>
  </si>
  <si>
    <t>401623N</t>
  </si>
  <si>
    <t>0792437W</t>
  </si>
  <si>
    <t>Latrobe</t>
  </si>
  <si>
    <t>ERA17LA018</t>
  </si>
  <si>
    <t>290342N</t>
  </si>
  <si>
    <t>0822236W</t>
  </si>
  <si>
    <t>Dunnellon</t>
  </si>
  <si>
    <t>GAA17CA051</t>
  </si>
  <si>
    <t>614727N</t>
  </si>
  <si>
    <t>1482114W</t>
  </si>
  <si>
    <t>ERA17LA016</t>
  </si>
  <si>
    <t>405830N</t>
  </si>
  <si>
    <t>0753212W</t>
  </si>
  <si>
    <t>Albrightsville</t>
  </si>
  <si>
    <t>CEN17LA018</t>
  </si>
  <si>
    <t>305157N</t>
  </si>
  <si>
    <t>0940158W</t>
  </si>
  <si>
    <t>WPR17FA008</t>
  </si>
  <si>
    <t>385517N</t>
  </si>
  <si>
    <t>1201230W</t>
  </si>
  <si>
    <t>GAA17CA031</t>
  </si>
  <si>
    <t>304407N</t>
  </si>
  <si>
    <t>0981424W</t>
  </si>
  <si>
    <t>GAA17CA038</t>
  </si>
  <si>
    <t>393011N</t>
  </si>
  <si>
    <t>0835147W</t>
  </si>
  <si>
    <t>Wilmington</t>
  </si>
  <si>
    <t>GAA17CA047</t>
  </si>
  <si>
    <t>395020N</t>
  </si>
  <si>
    <t>0835042W</t>
  </si>
  <si>
    <t>ERA17LA015</t>
  </si>
  <si>
    <t>333159N</t>
  </si>
  <si>
    <t>0841019W</t>
  </si>
  <si>
    <t>Stockbridge</t>
  </si>
  <si>
    <t>CEN17FA016</t>
  </si>
  <si>
    <t>392354N</t>
  </si>
  <si>
    <t>0840608W</t>
  </si>
  <si>
    <t>Oregonia</t>
  </si>
  <si>
    <t>GAA17CA024</t>
  </si>
  <si>
    <t>390434N</t>
  </si>
  <si>
    <t>0773325W</t>
  </si>
  <si>
    <t>Leesburg</t>
  </si>
  <si>
    <t>CEN17LA019</t>
  </si>
  <si>
    <t>352825N</t>
  </si>
  <si>
    <t>0961834E</t>
  </si>
  <si>
    <t>Mc Alester</t>
  </si>
  <si>
    <t>GAA17CA037</t>
  </si>
  <si>
    <t>355752N</t>
  </si>
  <si>
    <t>0952031W</t>
  </si>
  <si>
    <t>Wagoner</t>
  </si>
  <si>
    <t>ERA17LA020</t>
  </si>
  <si>
    <t>331634N</t>
  </si>
  <si>
    <t>0842437W</t>
  </si>
  <si>
    <t>Vaughn</t>
  </si>
  <si>
    <t>GAA17CA042</t>
  </si>
  <si>
    <t>253914N</t>
  </si>
  <si>
    <t>ERA17WA090</t>
  </si>
  <si>
    <t>194706N</t>
  </si>
  <si>
    <t>0703832W</t>
  </si>
  <si>
    <t>Puerto Plata</t>
  </si>
  <si>
    <t>DR</t>
  </si>
  <si>
    <t>GAA17CA030</t>
  </si>
  <si>
    <t>360136N</t>
  </si>
  <si>
    <t>0902639W</t>
  </si>
  <si>
    <t>Paragould</t>
  </si>
  <si>
    <t>CEN17LA022</t>
  </si>
  <si>
    <t>302351N</t>
  </si>
  <si>
    <t>0973359E</t>
  </si>
  <si>
    <t>CEN17LA023</t>
  </si>
  <si>
    <t>0973359W</t>
  </si>
  <si>
    <t>WPR17LA009</t>
  </si>
  <si>
    <t>433831N</t>
  </si>
  <si>
    <t>1163809W</t>
  </si>
  <si>
    <t>ERA17LA023</t>
  </si>
  <si>
    <t>394928N</t>
  </si>
  <si>
    <t>0745919W</t>
  </si>
  <si>
    <t>Lindenwold</t>
  </si>
  <si>
    <t>ERA17LA024</t>
  </si>
  <si>
    <t>290815N</t>
  </si>
  <si>
    <t>0830247W</t>
  </si>
  <si>
    <t>Cedar Key</t>
  </si>
  <si>
    <t>GAA17CA033</t>
  </si>
  <si>
    <t>355648N</t>
  </si>
  <si>
    <t>1145139W</t>
  </si>
  <si>
    <t>Boulder City</t>
  </si>
  <si>
    <t>GAA17CA035</t>
  </si>
  <si>
    <t>364618N</t>
  </si>
  <si>
    <t>1194230W</t>
  </si>
  <si>
    <t>GAA17CA032</t>
  </si>
  <si>
    <t>333356N</t>
  </si>
  <si>
    <t>0850311W</t>
  </si>
  <si>
    <t>CEN17LA021</t>
  </si>
  <si>
    <t>441607N</t>
  </si>
  <si>
    <t>0932811W</t>
  </si>
  <si>
    <t>Morristown</t>
  </si>
  <si>
    <t>GAA17CA036</t>
  </si>
  <si>
    <t>450457N</t>
  </si>
  <si>
    <t>0701250W</t>
  </si>
  <si>
    <t>Carrabassett</t>
  </si>
  <si>
    <t>GAA17CA039</t>
  </si>
  <si>
    <t>391144N</t>
  </si>
  <si>
    <t>1194406W</t>
  </si>
  <si>
    <t>GAA17CA041</t>
  </si>
  <si>
    <t>611257N</t>
  </si>
  <si>
    <t>1495109W</t>
  </si>
  <si>
    <t>WPR17LA012</t>
  </si>
  <si>
    <t>400322N</t>
  </si>
  <si>
    <t>1183440W</t>
  </si>
  <si>
    <t>Lovelock</t>
  </si>
  <si>
    <t>ERA17FA027</t>
  </si>
  <si>
    <t>311809N</t>
  </si>
  <si>
    <t>0821648W</t>
  </si>
  <si>
    <t>Blackshear</t>
  </si>
  <si>
    <t>GAA17CA050</t>
  </si>
  <si>
    <t>304706N</t>
  </si>
  <si>
    <t>0983943W</t>
  </si>
  <si>
    <t>WPR17LA015</t>
  </si>
  <si>
    <t>CEN17FA024</t>
  </si>
  <si>
    <t>380609N</t>
  </si>
  <si>
    <t>0923221W</t>
  </si>
  <si>
    <t>Osage Beach</t>
  </si>
  <si>
    <t>WPR17LA011</t>
  </si>
  <si>
    <t>361433N</t>
  </si>
  <si>
    <t>1201304W</t>
  </si>
  <si>
    <t>Coalinga</t>
  </si>
  <si>
    <t>GAA17CA043</t>
  </si>
  <si>
    <t>280347N</t>
  </si>
  <si>
    <t>0814512W</t>
  </si>
  <si>
    <t>ERA17LA029</t>
  </si>
  <si>
    <t>354134N</t>
  </si>
  <si>
    <t>0804238W</t>
  </si>
  <si>
    <t>Mount Ulla</t>
  </si>
  <si>
    <t>GAA17CA053</t>
  </si>
  <si>
    <t>375032N</t>
  </si>
  <si>
    <t>0972105W</t>
  </si>
  <si>
    <t>Valley Center</t>
  </si>
  <si>
    <t>GAA17CA034</t>
  </si>
  <si>
    <t>374024N</t>
  </si>
  <si>
    <t>1211747W</t>
  </si>
  <si>
    <t>Tracy</t>
  </si>
  <si>
    <t>CEN17LA025</t>
  </si>
  <si>
    <t>442308N</t>
  </si>
  <si>
    <t>1063714W</t>
  </si>
  <si>
    <t>Buffalo</t>
  </si>
  <si>
    <t>GAA17CA040</t>
  </si>
  <si>
    <t>271144N</t>
  </si>
  <si>
    <t>0815025W</t>
  </si>
  <si>
    <t>Arcadia</t>
  </si>
  <si>
    <t>GAA17CA044</t>
  </si>
  <si>
    <t>GAA17CA046</t>
  </si>
  <si>
    <t>400536N</t>
  </si>
  <si>
    <t>0923240W</t>
  </si>
  <si>
    <t>Kirksville</t>
  </si>
  <si>
    <t>GAA17CA049</t>
  </si>
  <si>
    <t>384326N</t>
  </si>
  <si>
    <t>1204515W</t>
  </si>
  <si>
    <t>Placerville</t>
  </si>
  <si>
    <t>WPR17FA013</t>
  </si>
  <si>
    <t>375808N</t>
  </si>
  <si>
    <t>1215322W</t>
  </si>
  <si>
    <t>Nortonville</t>
  </si>
  <si>
    <t>CEN17LA032</t>
  </si>
  <si>
    <t>275447N</t>
  </si>
  <si>
    <t>0971241W</t>
  </si>
  <si>
    <t>GAA17CA054</t>
  </si>
  <si>
    <t>405348N</t>
  </si>
  <si>
    <t>1174821W</t>
  </si>
  <si>
    <t>Winnemucca</t>
  </si>
  <si>
    <t>GAA17CA074</t>
  </si>
  <si>
    <t>400733N</t>
  </si>
  <si>
    <t>0761707W</t>
  </si>
  <si>
    <t>ERA17CA056</t>
  </si>
  <si>
    <t>180039N</t>
  </si>
  <si>
    <t>0663348W</t>
  </si>
  <si>
    <t>Ponce</t>
  </si>
  <si>
    <t>CEN17FA026</t>
  </si>
  <si>
    <t>293131N</t>
  </si>
  <si>
    <t>0951420W</t>
  </si>
  <si>
    <t>GAA17CA048</t>
  </si>
  <si>
    <t>372740N</t>
  </si>
  <si>
    <t>1220654W</t>
  </si>
  <si>
    <t>CEN17LA027</t>
  </si>
  <si>
    <t>344715N</t>
  </si>
  <si>
    <t>1022317W</t>
  </si>
  <si>
    <t>Hereford</t>
  </si>
  <si>
    <t>CEN17LA031</t>
  </si>
  <si>
    <t>391236N</t>
  </si>
  <si>
    <t>0935540W</t>
  </si>
  <si>
    <t>Lexington</t>
  </si>
  <si>
    <t>CEN17WA086</t>
  </si>
  <si>
    <t>491311N</t>
  </si>
  <si>
    <t>0070647E</t>
  </si>
  <si>
    <t>Saarbrucken</t>
  </si>
  <si>
    <t>DCA17FA021</t>
  </si>
  <si>
    <t>415808N</t>
  </si>
  <si>
    <t>0875504W</t>
  </si>
  <si>
    <t>Chicago</t>
  </si>
  <si>
    <t>DCA17MA022</t>
  </si>
  <si>
    <t>260439N</t>
  </si>
  <si>
    <t>0800840W</t>
  </si>
  <si>
    <t>CEN17FA028</t>
  </si>
  <si>
    <t>334310N</t>
  </si>
  <si>
    <t>0945230W</t>
  </si>
  <si>
    <t>ANC17FA004</t>
  </si>
  <si>
    <t>610541N</t>
  </si>
  <si>
    <t>1532649W</t>
  </si>
  <si>
    <t>WPR17LA014</t>
  </si>
  <si>
    <t>463518N</t>
  </si>
  <si>
    <t>1180723W</t>
  </si>
  <si>
    <t>Starbuck</t>
  </si>
  <si>
    <t>CEN17LA030</t>
  </si>
  <si>
    <t>364153N</t>
  </si>
  <si>
    <t>1075930W</t>
  </si>
  <si>
    <t>Bloomfield</t>
  </si>
  <si>
    <t>CEN17LA099</t>
  </si>
  <si>
    <t>282560N</t>
  </si>
  <si>
    <t>0994600W</t>
  </si>
  <si>
    <t>Asherton</t>
  </si>
  <si>
    <t>ANC17FA003</t>
  </si>
  <si>
    <t>612856N</t>
  </si>
  <si>
    <t>1484626W</t>
  </si>
  <si>
    <t>ERA17LA031</t>
  </si>
  <si>
    <t>350422N</t>
  </si>
  <si>
    <t>0770235W</t>
  </si>
  <si>
    <t>New Bern</t>
  </si>
  <si>
    <t>CEN17LA033</t>
  </si>
  <si>
    <t>324123N</t>
  </si>
  <si>
    <t>0965113W</t>
  </si>
  <si>
    <t>GAA17CA289</t>
  </si>
  <si>
    <t>304659N</t>
  </si>
  <si>
    <t>GAA17CA055</t>
  </si>
  <si>
    <t>384316N</t>
  </si>
  <si>
    <t>0773054W</t>
  </si>
  <si>
    <t>Bristow</t>
  </si>
  <si>
    <t>CEN17LA029</t>
  </si>
  <si>
    <t>382119N</t>
  </si>
  <si>
    <t>0854417W</t>
  </si>
  <si>
    <t>Jeffersonville</t>
  </si>
  <si>
    <t>ERA17LA033</t>
  </si>
  <si>
    <t>435931N</t>
  </si>
  <si>
    <t>0760114W</t>
  </si>
  <si>
    <t>Watertown</t>
  </si>
  <si>
    <t>ERA17LA034</t>
  </si>
  <si>
    <t>275753N</t>
  </si>
  <si>
    <t>0814713W</t>
  </si>
  <si>
    <t>CEN17LA034</t>
  </si>
  <si>
    <t>303153N</t>
  </si>
  <si>
    <t>0910903W</t>
  </si>
  <si>
    <t>ERA17LA032</t>
  </si>
  <si>
    <t>352103N</t>
  </si>
  <si>
    <t>0791745W</t>
  </si>
  <si>
    <t>Cameron</t>
  </si>
  <si>
    <t>ERA17CA047</t>
  </si>
  <si>
    <t>335212N</t>
  </si>
  <si>
    <t>ERA17LA037</t>
  </si>
  <si>
    <t>284736N</t>
  </si>
  <si>
    <t>0810508W</t>
  </si>
  <si>
    <t>Geneva</t>
  </si>
  <si>
    <t>GAA17CA059</t>
  </si>
  <si>
    <t>375050N</t>
  </si>
  <si>
    <t>0961732W</t>
  </si>
  <si>
    <t>Eureka</t>
  </si>
  <si>
    <t>GAA17CA069</t>
  </si>
  <si>
    <t>373425N</t>
  </si>
  <si>
    <t>0844544W</t>
  </si>
  <si>
    <t>CEN17FA035</t>
  </si>
  <si>
    <t>433313N</t>
  </si>
  <si>
    <t>1094231W</t>
  </si>
  <si>
    <t>Dubois</t>
  </si>
  <si>
    <t>GAA17CA056</t>
  </si>
  <si>
    <t>383428N</t>
  </si>
  <si>
    <t>1215129W</t>
  </si>
  <si>
    <t>GAA17CA058</t>
  </si>
  <si>
    <t>304653N</t>
  </si>
  <si>
    <t>0831634W</t>
  </si>
  <si>
    <t>Valdosta</t>
  </si>
  <si>
    <t>GAA17CA063</t>
  </si>
  <si>
    <t>404931N</t>
  </si>
  <si>
    <t>0775927W</t>
  </si>
  <si>
    <t>Port Matilda</t>
  </si>
  <si>
    <t>GAA17LA090</t>
  </si>
  <si>
    <t>431014N</t>
  </si>
  <si>
    <t>0884315W</t>
  </si>
  <si>
    <t>GAA17CA057</t>
  </si>
  <si>
    <t>611519N</t>
  </si>
  <si>
    <t>1502400W</t>
  </si>
  <si>
    <t xml:space="preserve">Mouth of The Big Susitna River </t>
  </si>
  <si>
    <t>CEN17LA036</t>
  </si>
  <si>
    <t>295324N</t>
  </si>
  <si>
    <t>0975131W</t>
  </si>
  <si>
    <t>San Marcos</t>
  </si>
  <si>
    <t>CEN17LA037</t>
  </si>
  <si>
    <t>442260N</t>
  </si>
  <si>
    <t>0885109E</t>
  </si>
  <si>
    <t>Royalton</t>
  </si>
  <si>
    <t>GAA17CA060</t>
  </si>
  <si>
    <t>393858N</t>
  </si>
  <si>
    <t>1050235W</t>
  </si>
  <si>
    <t>Englewood</t>
  </si>
  <si>
    <t>ERA17CA039</t>
  </si>
  <si>
    <t>460655N</t>
  </si>
  <si>
    <t>0674803W</t>
  </si>
  <si>
    <t>Houlton</t>
  </si>
  <si>
    <t>ERA17LA040</t>
  </si>
  <si>
    <t>413214N</t>
  </si>
  <si>
    <t>0714531W</t>
  </si>
  <si>
    <t>Hopkinton</t>
  </si>
  <si>
    <t>GAA17CA062</t>
  </si>
  <si>
    <t>GAA17CA065</t>
  </si>
  <si>
    <t>272327N</t>
  </si>
  <si>
    <t>0823325W</t>
  </si>
  <si>
    <t>Sarasota</t>
  </si>
  <si>
    <t>GAA17CA076</t>
  </si>
  <si>
    <t>450617N</t>
  </si>
  <si>
    <t>1144755W</t>
  </si>
  <si>
    <t>ERA17FA038</t>
  </si>
  <si>
    <t>292429N</t>
  </si>
  <si>
    <t>0813052W</t>
  </si>
  <si>
    <t>Crescent City</t>
  </si>
  <si>
    <t>ERA17LA041</t>
  </si>
  <si>
    <t>292042N</t>
  </si>
  <si>
    <t>0810753W</t>
  </si>
  <si>
    <t>Ormond Beach</t>
  </si>
  <si>
    <t>WPR17LA018</t>
  </si>
  <si>
    <t>334417N</t>
  </si>
  <si>
    <t>1165114W</t>
  </si>
  <si>
    <t>Hemet</t>
  </si>
  <si>
    <t>WPR17LA019</t>
  </si>
  <si>
    <t>323921N</t>
  </si>
  <si>
    <t>1143625W</t>
  </si>
  <si>
    <t>ERA17LA042</t>
  </si>
  <si>
    <t>GAA17CA067</t>
  </si>
  <si>
    <t>431210N</t>
  </si>
  <si>
    <t>0713008W</t>
  </si>
  <si>
    <t>GAA17CA068</t>
  </si>
  <si>
    <t>274844N</t>
  </si>
  <si>
    <t>0970522W</t>
  </si>
  <si>
    <t>Port Aransas</t>
  </si>
  <si>
    <t>ERA17LA045</t>
  </si>
  <si>
    <t>352458N</t>
  </si>
  <si>
    <t>0774849W</t>
  </si>
  <si>
    <t>Snow Hill</t>
  </si>
  <si>
    <t>ERA17WA049</t>
  </si>
  <si>
    <t>180110N</t>
  </si>
  <si>
    <t>0764647W</t>
  </si>
  <si>
    <t>JM</t>
  </si>
  <si>
    <t>GAA17CA073</t>
  </si>
  <si>
    <t>370815N</t>
  </si>
  <si>
    <t>1131825W</t>
  </si>
  <si>
    <t>Hurricane</t>
  </si>
  <si>
    <t>ANC17LA006</t>
  </si>
  <si>
    <t>604649N</t>
  </si>
  <si>
    <t>1615009W</t>
  </si>
  <si>
    <t>Bethel</t>
  </si>
  <si>
    <t>GAA17CA072</t>
  </si>
  <si>
    <t>470614N</t>
  </si>
  <si>
    <t>1221714W</t>
  </si>
  <si>
    <t>Payallup</t>
  </si>
  <si>
    <t>CEN17LA038</t>
  </si>
  <si>
    <t>315248N</t>
  </si>
  <si>
    <t>0991648W</t>
  </si>
  <si>
    <t>Coleman</t>
  </si>
  <si>
    <t>ANC17LA005</t>
  </si>
  <si>
    <t>600112N</t>
  </si>
  <si>
    <t>1513521W</t>
  </si>
  <si>
    <t>Ninilchik</t>
  </si>
  <si>
    <t>WPR17LA020</t>
  </si>
  <si>
    <t>342717N</t>
  </si>
  <si>
    <t>1100327W</t>
  </si>
  <si>
    <t>GAA17CA066</t>
  </si>
  <si>
    <t>350317N</t>
  </si>
  <si>
    <t>0922115W</t>
  </si>
  <si>
    <t>Conway</t>
  </si>
  <si>
    <t>CEN17LA039</t>
  </si>
  <si>
    <t>285715N</t>
  </si>
  <si>
    <t>0983112W</t>
  </si>
  <si>
    <t>Pleasanton</t>
  </si>
  <si>
    <t>GAA17CA070</t>
  </si>
  <si>
    <t>454643N</t>
  </si>
  <si>
    <t>0913726W</t>
  </si>
  <si>
    <t>Stone Lake</t>
  </si>
  <si>
    <t>ERA17LA044</t>
  </si>
  <si>
    <t>262013N</t>
  </si>
  <si>
    <t>0803731W</t>
  </si>
  <si>
    <t>CEN17LA041</t>
  </si>
  <si>
    <t>303157N</t>
  </si>
  <si>
    <t>Port Allen</t>
  </si>
  <si>
    <t>GAA17CA061</t>
  </si>
  <si>
    <t>0732825W</t>
  </si>
  <si>
    <t>Plattsburgh</t>
  </si>
  <si>
    <t>GAA17CA071</t>
  </si>
  <si>
    <t>385453N</t>
  </si>
  <si>
    <t>1212113W</t>
  </si>
  <si>
    <t>Lincoln</t>
  </si>
  <si>
    <t>GAA17CA082</t>
  </si>
  <si>
    <t>383552N</t>
  </si>
  <si>
    <t>1215328W</t>
  </si>
  <si>
    <t>Winters</t>
  </si>
  <si>
    <t>WPR17FA021</t>
  </si>
  <si>
    <t>210559N</t>
  </si>
  <si>
    <t>1564732W</t>
  </si>
  <si>
    <t>Pukoo</t>
  </si>
  <si>
    <t>ERA17LA046</t>
  </si>
  <si>
    <t>395924N</t>
  </si>
  <si>
    <t>0753455W</t>
  </si>
  <si>
    <t>West Chester</t>
  </si>
  <si>
    <t>ERA17LA054</t>
  </si>
  <si>
    <t>404758N</t>
  </si>
  <si>
    <t>ERA17FA050</t>
  </si>
  <si>
    <t>331104N</t>
  </si>
  <si>
    <t>0842305W</t>
  </si>
  <si>
    <t>Williamson</t>
  </si>
  <si>
    <t>ERA17LA048</t>
  </si>
  <si>
    <t>350743N</t>
  </si>
  <si>
    <t>0892121W</t>
  </si>
  <si>
    <t>Moscow</t>
  </si>
  <si>
    <t>GAA17CA081</t>
  </si>
  <si>
    <t>302407N</t>
  </si>
  <si>
    <t>0862824W</t>
  </si>
  <si>
    <t>WPR17FA023</t>
  </si>
  <si>
    <t>373112N</t>
  </si>
  <si>
    <t>1223041W</t>
  </si>
  <si>
    <t>Moss Beach</t>
  </si>
  <si>
    <t>WPR17FA024</t>
  </si>
  <si>
    <t>405002N</t>
  </si>
  <si>
    <t>1154659W</t>
  </si>
  <si>
    <t>Elko</t>
  </si>
  <si>
    <t>GAA17CA086</t>
  </si>
  <si>
    <t>263210N</t>
  </si>
  <si>
    <t>0814519W</t>
  </si>
  <si>
    <t>Ft. Myers</t>
  </si>
  <si>
    <t>GAA17CA092</t>
  </si>
  <si>
    <t>400455N</t>
  </si>
  <si>
    <t>0750038W</t>
  </si>
  <si>
    <t>ERA17FA052</t>
  </si>
  <si>
    <t>393953N</t>
  </si>
  <si>
    <t>0742805W</t>
  </si>
  <si>
    <t>New Gretna</t>
  </si>
  <si>
    <t>ERA17WA060</t>
  </si>
  <si>
    <t>455236N</t>
  </si>
  <si>
    <t>0085106E</t>
  </si>
  <si>
    <t>Varese</t>
  </si>
  <si>
    <t>IT</t>
  </si>
  <si>
    <t>GAA17CA080</t>
  </si>
  <si>
    <t>391313N</t>
  </si>
  <si>
    <t>0744737W</t>
  </si>
  <si>
    <t>Woodbine</t>
  </si>
  <si>
    <t>CEN17LA042</t>
  </si>
  <si>
    <t>330853N</t>
  </si>
  <si>
    <t>0944201W</t>
  </si>
  <si>
    <t>Daingerfield</t>
  </si>
  <si>
    <t>GAA17CA079</t>
  </si>
  <si>
    <t>352910N</t>
  </si>
  <si>
    <t>0845552W</t>
  </si>
  <si>
    <t>ANC17LA014</t>
  </si>
  <si>
    <t>625710N</t>
  </si>
  <si>
    <t>1553620W</t>
  </si>
  <si>
    <t>DCA17CA096</t>
  </si>
  <si>
    <t>371944N</t>
  </si>
  <si>
    <t>0770657W</t>
  </si>
  <si>
    <t>Hopewell</t>
  </si>
  <si>
    <t>GAA17CA078</t>
  </si>
  <si>
    <t>WPR17FA025</t>
  </si>
  <si>
    <t>340952N</t>
  </si>
  <si>
    <t>1173954W</t>
  </si>
  <si>
    <t>Upland</t>
  </si>
  <si>
    <t>ERA17LA053</t>
  </si>
  <si>
    <t>340000N</t>
  </si>
  <si>
    <t>0820000W</t>
  </si>
  <si>
    <t>Simpsonville</t>
  </si>
  <si>
    <t>GAA17CA077</t>
  </si>
  <si>
    <t>324847N</t>
  </si>
  <si>
    <t>1170815W</t>
  </si>
  <si>
    <t>ERA17LA063</t>
  </si>
  <si>
    <t>371745N</t>
  </si>
  <si>
    <t>0811227W</t>
  </si>
  <si>
    <t>Bluefield</t>
  </si>
  <si>
    <t>ANC17LA007</t>
  </si>
  <si>
    <t>612453N</t>
  </si>
  <si>
    <t>1615729W</t>
  </si>
  <si>
    <t>GAA17CA085</t>
  </si>
  <si>
    <t>332517N</t>
  </si>
  <si>
    <t>0850941W</t>
  </si>
  <si>
    <t>Roopville</t>
  </si>
  <si>
    <t>ERA17WA055</t>
  </si>
  <si>
    <t>325019S</t>
  </si>
  <si>
    <t>0700502W</t>
  </si>
  <si>
    <t>CI</t>
  </si>
  <si>
    <t>ERA17LA057</t>
  </si>
  <si>
    <t>322952N</t>
  </si>
  <si>
    <t>0845817W</t>
  </si>
  <si>
    <t>Columbus</t>
  </si>
  <si>
    <t>CEN17LA043</t>
  </si>
  <si>
    <t>465021N</t>
  </si>
  <si>
    <t>0963951W</t>
  </si>
  <si>
    <t>Moorhead</t>
  </si>
  <si>
    <t>CEN17LA044</t>
  </si>
  <si>
    <t>331031N</t>
  </si>
  <si>
    <t>0974942W</t>
  </si>
  <si>
    <t>GAA17CA084</t>
  </si>
  <si>
    <t>302349N</t>
  </si>
  <si>
    <t>0872056W</t>
  </si>
  <si>
    <t>WPR17LA038</t>
  </si>
  <si>
    <t>325218N</t>
  </si>
  <si>
    <t>1093807W</t>
  </si>
  <si>
    <t>Safford</t>
  </si>
  <si>
    <t>WPR17FA029</t>
  </si>
  <si>
    <t>325937N</t>
  </si>
  <si>
    <t>1150119W</t>
  </si>
  <si>
    <t>Glamis</t>
  </si>
  <si>
    <t>ANC17LA008</t>
  </si>
  <si>
    <t>611131N</t>
  </si>
  <si>
    <t>1484113W</t>
  </si>
  <si>
    <t>GAA17CA120</t>
  </si>
  <si>
    <t>384319N</t>
  </si>
  <si>
    <t>0903032W</t>
  </si>
  <si>
    <t>St. Louis</t>
  </si>
  <si>
    <t>WPR17LA030</t>
  </si>
  <si>
    <t>333649N</t>
  </si>
  <si>
    <t>1115517W</t>
  </si>
  <si>
    <t>CEN17FA045</t>
  </si>
  <si>
    <t>CEN17FA046</t>
  </si>
  <si>
    <t>375560N</t>
  </si>
  <si>
    <t>1674621E</t>
  </si>
  <si>
    <t>Mt Vernon</t>
  </si>
  <si>
    <t>GAA17CA089</t>
  </si>
  <si>
    <t>0823023W</t>
  </si>
  <si>
    <t>GAA17CA088</t>
  </si>
  <si>
    <t>400352N</t>
  </si>
  <si>
    <t>1114336W</t>
  </si>
  <si>
    <t>ANC17LA011</t>
  </si>
  <si>
    <t>534706N</t>
  </si>
  <si>
    <t>1664235W</t>
  </si>
  <si>
    <t>Unalaska</t>
  </si>
  <si>
    <t>GAA17CA139</t>
  </si>
  <si>
    <t>383508N</t>
  </si>
  <si>
    <t>0774235W</t>
  </si>
  <si>
    <t>CEN17LA048</t>
  </si>
  <si>
    <t>413153N</t>
  </si>
  <si>
    <t>0855148W</t>
  </si>
  <si>
    <t>Goshen</t>
  </si>
  <si>
    <t>GAA17CA087</t>
  </si>
  <si>
    <t>425738N</t>
  </si>
  <si>
    <t>0704949W</t>
  </si>
  <si>
    <t>North Hampton</t>
  </si>
  <si>
    <t>CEN17LA047</t>
  </si>
  <si>
    <t>383204N</t>
  </si>
  <si>
    <t>1065554W</t>
  </si>
  <si>
    <t>WPR17LA032</t>
  </si>
  <si>
    <t>381357N</t>
  </si>
  <si>
    <t>1223802W</t>
  </si>
  <si>
    <t>WPR17LA034</t>
  </si>
  <si>
    <t>384004N</t>
  </si>
  <si>
    <t>1212402W</t>
  </si>
  <si>
    <t>Sacramento</t>
  </si>
  <si>
    <t>CEN17WA049</t>
  </si>
  <si>
    <t>395124N</t>
  </si>
  <si>
    <t>0040128W</t>
  </si>
  <si>
    <t>Toledo</t>
  </si>
  <si>
    <t>ERA17FA066</t>
  </si>
  <si>
    <t>311311N</t>
  </si>
  <si>
    <t>0840917W</t>
  </si>
  <si>
    <t>Camilla</t>
  </si>
  <si>
    <t>WPR17LA031</t>
  </si>
  <si>
    <t>465233N</t>
  </si>
  <si>
    <t>1135949W</t>
  </si>
  <si>
    <t>Missoula</t>
  </si>
  <si>
    <t>GAA17CA091</t>
  </si>
  <si>
    <t>363750N</t>
  </si>
  <si>
    <t>0800105W</t>
  </si>
  <si>
    <t>Martinsville</t>
  </si>
  <si>
    <t>CEN17LA136</t>
  </si>
  <si>
    <t>274843N</t>
  </si>
  <si>
    <t>0970520W</t>
  </si>
  <si>
    <t>WPR17FA033</t>
  </si>
  <si>
    <t>342560N</t>
  </si>
  <si>
    <t>1195102W</t>
  </si>
  <si>
    <t>ANC17FA009</t>
  </si>
  <si>
    <t>643231N</t>
  </si>
  <si>
    <t>1474528W</t>
  </si>
  <si>
    <t>CEN17FA050</t>
  </si>
  <si>
    <t>441919N</t>
  </si>
  <si>
    <t>1082011W</t>
  </si>
  <si>
    <t>Basin</t>
  </si>
  <si>
    <t>ANC17FA010</t>
  </si>
  <si>
    <t>601750N</t>
  </si>
  <si>
    <t>1540702W</t>
  </si>
  <si>
    <t>GAA17CA093</t>
  </si>
  <si>
    <t>331208N</t>
  </si>
  <si>
    <t>GAA17CA094</t>
  </si>
  <si>
    <t>211826N</t>
  </si>
  <si>
    <t>1580413W</t>
  </si>
  <si>
    <t>WPR17WA040</t>
  </si>
  <si>
    <t>012501N</t>
  </si>
  <si>
    <t>1035204E</t>
  </si>
  <si>
    <t>Singapore</t>
  </si>
  <si>
    <t>SN</t>
  </si>
  <si>
    <t>CEN17FA053</t>
  </si>
  <si>
    <t>421332N</t>
  </si>
  <si>
    <t>0883739W</t>
  </si>
  <si>
    <t>Marengo</t>
  </si>
  <si>
    <t>ERA17LA067</t>
  </si>
  <si>
    <t>363847N</t>
  </si>
  <si>
    <t>0765505W</t>
  </si>
  <si>
    <t>CEN17LA055</t>
  </si>
  <si>
    <t>281017N</t>
  </si>
  <si>
    <t>0974538W</t>
  </si>
  <si>
    <t>Tynan</t>
  </si>
  <si>
    <t>WPR17LA036</t>
  </si>
  <si>
    <t>340400N</t>
  </si>
  <si>
    <t>1155812W</t>
  </si>
  <si>
    <t>Mecca</t>
  </si>
  <si>
    <t>WPR17LA037</t>
  </si>
  <si>
    <t>482955N</t>
  </si>
  <si>
    <t>1223945W</t>
  </si>
  <si>
    <t>Anacortes</t>
  </si>
  <si>
    <t>ERA17LA069</t>
  </si>
  <si>
    <t>405725N</t>
  </si>
  <si>
    <t>0725431W</t>
  </si>
  <si>
    <t>Shoreham</t>
  </si>
  <si>
    <t>GAA17CA097</t>
  </si>
  <si>
    <t>302010N</t>
  </si>
  <si>
    <t>0813046W</t>
  </si>
  <si>
    <t>WPR17FA035</t>
  </si>
  <si>
    <t>384511N</t>
  </si>
  <si>
    <t>1094510W</t>
  </si>
  <si>
    <t>Moab</t>
  </si>
  <si>
    <t>ERA17CA068</t>
  </si>
  <si>
    <t>290307N</t>
  </si>
  <si>
    <t>0810207W</t>
  </si>
  <si>
    <t>New Smyrna Beach</t>
  </si>
  <si>
    <t>DCA17CA042</t>
  </si>
  <si>
    <t>395136N</t>
  </si>
  <si>
    <t>1044012W</t>
  </si>
  <si>
    <t>GAA17CA149</t>
  </si>
  <si>
    <t>292753N</t>
  </si>
  <si>
    <t>0811225W</t>
  </si>
  <si>
    <t>Palm Coast</t>
  </si>
  <si>
    <t>GAA17CA095</t>
  </si>
  <si>
    <t>321202N</t>
  </si>
  <si>
    <t>1082520W</t>
  </si>
  <si>
    <t>Separ</t>
  </si>
  <si>
    <t>ANC17FA012</t>
  </si>
  <si>
    <t>605640N</t>
  </si>
  <si>
    <t>1593715W</t>
  </si>
  <si>
    <t>Aniak</t>
  </si>
  <si>
    <t>GAA17CA096</t>
  </si>
  <si>
    <t>353243N</t>
  </si>
  <si>
    <t>0842249W</t>
  </si>
  <si>
    <t>Madisonville</t>
  </si>
  <si>
    <t>GAA17CA101</t>
  </si>
  <si>
    <t>615137N</t>
  </si>
  <si>
    <t>1512420W</t>
  </si>
  <si>
    <t>CEN17LA057</t>
  </si>
  <si>
    <t>425617N</t>
  </si>
  <si>
    <t>0850338W</t>
  </si>
  <si>
    <t>Ionia</t>
  </si>
  <si>
    <t>GAA17CA109</t>
  </si>
  <si>
    <t>411215N</t>
  </si>
  <si>
    <t>0895813W</t>
  </si>
  <si>
    <t>Kewanee</t>
  </si>
  <si>
    <t>ERA17LA070</t>
  </si>
  <si>
    <t>291600N</t>
  </si>
  <si>
    <t>0811517W</t>
  </si>
  <si>
    <t>ANC17LA013</t>
  </si>
  <si>
    <t>614602N</t>
  </si>
  <si>
    <t>1490816W</t>
  </si>
  <si>
    <t>CEN17LA058</t>
  </si>
  <si>
    <t>451144N</t>
  </si>
  <si>
    <t>0930946W</t>
  </si>
  <si>
    <t>GAA17CA098</t>
  </si>
  <si>
    <t>343617N</t>
  </si>
  <si>
    <t>1170928W</t>
  </si>
  <si>
    <t>Apple Valley</t>
  </si>
  <si>
    <t>ERA17LA071</t>
  </si>
  <si>
    <t>275212N</t>
  </si>
  <si>
    <t>0803328W</t>
  </si>
  <si>
    <t>CEN17LA059</t>
  </si>
  <si>
    <t>465924N</t>
  </si>
  <si>
    <t>0941213W</t>
  </si>
  <si>
    <t>Longville</t>
  </si>
  <si>
    <t>CEN17LA060</t>
  </si>
  <si>
    <t>0815721E</t>
  </si>
  <si>
    <t>GAA17CA103</t>
  </si>
  <si>
    <t>323223N</t>
  </si>
  <si>
    <t>0934440W</t>
  </si>
  <si>
    <t>Shreveport</t>
  </si>
  <si>
    <t>ERA17FA072</t>
  </si>
  <si>
    <t>435853N</t>
  </si>
  <si>
    <t>0730540W</t>
  </si>
  <si>
    <t>Middlebury</t>
  </si>
  <si>
    <t>GAA17CA099</t>
  </si>
  <si>
    <t>414360N</t>
  </si>
  <si>
    <t>GAA17CA100</t>
  </si>
  <si>
    <t>481128N</t>
  </si>
  <si>
    <t>0964239W</t>
  </si>
  <si>
    <t>Warren</t>
  </si>
  <si>
    <t>CEN17LA065</t>
  </si>
  <si>
    <t>443138N</t>
  </si>
  <si>
    <t>1090039E</t>
  </si>
  <si>
    <t>Cody</t>
  </si>
  <si>
    <t>CEN17LA070</t>
  </si>
  <si>
    <t>423956N</t>
  </si>
  <si>
    <t>0832514W</t>
  </si>
  <si>
    <t>Pontiac</t>
  </si>
  <si>
    <t>GAA17CA104</t>
  </si>
  <si>
    <t>292806N</t>
  </si>
  <si>
    <t>0811200W</t>
  </si>
  <si>
    <t>WPR17FA041</t>
  </si>
  <si>
    <t>365040N</t>
  </si>
  <si>
    <t>1195215W</t>
  </si>
  <si>
    <t>ERA17FA073</t>
  </si>
  <si>
    <t>353907N</t>
  </si>
  <si>
    <t>0832730W</t>
  </si>
  <si>
    <t>Gatlinburg</t>
  </si>
  <si>
    <t>ERA17LA075</t>
  </si>
  <si>
    <t>345909N</t>
  </si>
  <si>
    <t>0854322W</t>
  </si>
  <si>
    <t>CEN17LA061</t>
  </si>
  <si>
    <t>374540N</t>
  </si>
  <si>
    <t>0902543W</t>
  </si>
  <si>
    <t>Farmington</t>
  </si>
  <si>
    <t>ERA17FA074</t>
  </si>
  <si>
    <t>290449N</t>
  </si>
  <si>
    <t>0810248W</t>
  </si>
  <si>
    <t>Port Orange</t>
  </si>
  <si>
    <t>WPR17LA042</t>
  </si>
  <si>
    <t>393034N</t>
  </si>
  <si>
    <t>1221301W</t>
  </si>
  <si>
    <t>Willows</t>
  </si>
  <si>
    <t>CEN17LA062</t>
  </si>
  <si>
    <t>370728N</t>
  </si>
  <si>
    <t>0904254W</t>
  </si>
  <si>
    <t>Piedmont</t>
  </si>
  <si>
    <t>CEN17LA090</t>
  </si>
  <si>
    <t>431752N</t>
  </si>
  <si>
    <t>0894521E</t>
  </si>
  <si>
    <t>Prairie Du Sac</t>
  </si>
  <si>
    <t>WPR17LA043</t>
  </si>
  <si>
    <t>341716N</t>
  </si>
  <si>
    <t>1173905W</t>
  </si>
  <si>
    <t>Mt. Baldy</t>
  </si>
  <si>
    <t>GAA17CA105</t>
  </si>
  <si>
    <t>361059N</t>
  </si>
  <si>
    <t>0865311W</t>
  </si>
  <si>
    <t>WPR17FA044</t>
  </si>
  <si>
    <t>474925N</t>
  </si>
  <si>
    <t>1224724W</t>
  </si>
  <si>
    <t>Dabob</t>
  </si>
  <si>
    <t>CEN17FA072</t>
  </si>
  <si>
    <t>413317N</t>
  </si>
  <si>
    <t>0814212W</t>
  </si>
  <si>
    <t>WPR17LA050</t>
  </si>
  <si>
    <t>350402N</t>
  </si>
  <si>
    <t>1140708W</t>
  </si>
  <si>
    <t>Kingman</t>
  </si>
  <si>
    <t>ERA17LA077</t>
  </si>
  <si>
    <t>290354N</t>
  </si>
  <si>
    <t>0822216W</t>
  </si>
  <si>
    <t>WPR17FAMS2</t>
  </si>
  <si>
    <t>211350N</t>
  </si>
  <si>
    <t>1571108W</t>
  </si>
  <si>
    <t>Open water</t>
  </si>
  <si>
    <t>CEN17FA063</t>
  </si>
  <si>
    <t>331224N</t>
  </si>
  <si>
    <t>CEN17FA064</t>
  </si>
  <si>
    <t>372115N</t>
  </si>
  <si>
    <t>0884841W</t>
  </si>
  <si>
    <t>Vienna</t>
  </si>
  <si>
    <t>CEN17LA066</t>
  </si>
  <si>
    <t>385531N</t>
  </si>
  <si>
    <t>0942241W</t>
  </si>
  <si>
    <t>GAA17CA106</t>
  </si>
  <si>
    <t>465304N</t>
  </si>
  <si>
    <t>1170439W</t>
  </si>
  <si>
    <t>Palouse</t>
  </si>
  <si>
    <t>GAA17CA108</t>
  </si>
  <si>
    <t>325723N</t>
  </si>
  <si>
    <t>1114550W</t>
  </si>
  <si>
    <t>Casa Grande</t>
  </si>
  <si>
    <t>Accident Summary for Major Segments of US Civil Aviation, 2016</t>
  </si>
  <si>
    <t>Segment</t>
  </si>
  <si>
    <t>Accidents</t>
  </si>
  <si>
    <t>Fatal Accidents</t>
  </si>
  <si>
    <t>Fatalities</t>
  </si>
  <si>
    <t>Part 121 Air Carriers</t>
  </si>
  <si>
    <t>Part 135 Commuter and On-Demand Carriers</t>
  </si>
  <si>
    <t>Part 91 General Aviation</t>
  </si>
  <si>
    <t>Total US Civil Aviation</t>
  </si>
  <si>
    <t>Data dictionary:</t>
  </si>
  <si>
    <t>Each accident/incident is assigned a unique case number by the NTSB. This number is used as a reference in all documents referring to the event. The first 3 characters are a letter abbreviation of the NTSB office that filed the report. The next 2 numbers represent the fiscal year in which the accident occurred. The next letter indicates the type of investigation; for example M is major, F is regional, I is incident only, L is limited, G is government agency. The next letter is the transportation mode, A is for aviation. The last numbers are a sequential numbering of investigations for each mode within each office for a fiscal year. The first investigation of each year is assigned 001. In the case of an accident involving more than one aircraft, an additional letter suffix (A/B) is added to identify the record for each aircraft.</t>
  </si>
  <si>
    <t>The aircraft key variable is used to distinguish between individual aircraft in the event of an occurrence involving more than one aircraft. For example. if two aircraft collide, they will be assigned Ids of 1 and 2.</t>
  </si>
  <si>
    <t>The date of the event.</t>
  </si>
  <si>
    <t>Latitude and longitude are entered for the event site in degrees, minutes of arc, and seconds of arc. If the event occurred on an airport, the published coordinates for that airport can be entered. If the event was not on an airport, position coordinates may be obtained using  Global Positioning System equipment. A latitude / longitude lookup tool is also available from the US Geological survey at http://geonames.usgs.gov/pls/gnis/web_query.gnis_web_query_form. Latitude should be entered in the format DD:MM:SS N/S. For example, 37°43’09”N should be entered as 374309N.</t>
  </si>
  <si>
    <t>The city or place location closest to the site of the event.</t>
  </si>
  <si>
    <t>The state in which the event occurred (if in the US). Also includes the Pacific Ocean as PO, the Caribbean Sea as CB, the Atlantic Ocean as AO, the Gulf of Mexico as GM, and Puerto Rico as PR.</t>
  </si>
  <si>
    <t>The country in which the event took place.</t>
  </si>
  <si>
    <t>The total number of fatalities that resulted from an event.</t>
  </si>
  <si>
    <t>The total number of serious injuries that resulted from an event.</t>
  </si>
  <si>
    <t>Indicates the highest level of injury among all injuries sustained as a result of the event. (FATL=fatal, SERS=serious, MINR=minor, NONE=none, UNK=unknown)</t>
  </si>
  <si>
    <t>Indicates the severity of damage to the accident aircraft. For the purposes of this variable, aircraft damage categories are defined in 49 CFR 830.2. (DEST=destroyed, SUBS=substantial, MINR=minor, NONE=none, UNK=unknown)</t>
  </si>
  <si>
    <t>The applicable regulation part (14 CFR) or authority the aircraft was operating under at the time of the accident. (ARMF=armed forces, NUSC=non-US commercial, NUSN=non-US non-commercial, PUBF=public use - federal, PUBS=public use - state, PUBL=public use-local, PUBU=public use, UNK=unknown)</t>
  </si>
  <si>
    <t>If the accident flight was conducting revenue operations under 14 CFR 121, 125, 129, or 135,  indicates the make up of aircraft load. (PAX=passenger only, PACA=passenger/cargo, CARG=cargo, MAIL=mail, N/A=not applicable, UNK=unknown)</t>
  </si>
  <si>
    <t>If the accident flight was conducting revenue operations under 14 CFR 121, 125, 129, or 135, indicates whether the accident aircraft was operating on a domestic or international flight at the time of the accident. Note that this refers to where the aircraft was being operated, and not the origin of the air carrier. (DOM=domestic, INT=international, N/A=not applicable, UNK=unknown)</t>
  </si>
  <si>
    <t>If the accident aircraft was conducting air carrier operations under 14 CFR 121, 125, 129, or 135, indicates whether it was operating as a "scheduled or commuter" air carrier or a "non-scheduled or air taxi" carrier. (SCHD=scheduled, NSCH=non-scheduled, UNK=unknown)</t>
  </si>
  <si>
    <t>The category of the involved aircraft. In this case, the definition of aircraft category is the same as that used with respect to the certification, ratings, privileges, and limitations of airmen. Also note that there is some overlap of category and class in the available choices. (AIR=airplane, BALL=balloon, BLIM=blimp, GLI=glider, GYRO=gyrocraft, HELI=helicopter, PLFT=powered-lift, PPAR=powered parachute, WSFT=weight shift, ULTR=ultralight, UNK=unknown)</t>
  </si>
  <si>
    <t>If the accident aircraft was operating under 14 CFR part 91,103,133, or 137, this was the primary purpose of flight. (AAPL=aerial application, ADRP=air drop, AOBV=aerial observation, ASHO=air race/show, BANT=banner tow, BUS=business, EXEC=executive/corporate, FERY=ferry, FLTS=flight test, EXLD=external load, FIRF=fire fighting, GLDT=glider tow, INST=instructional, OTH=other, OWRK=other work use, PERS=personal, POSI=positioning, PUBU=public use, UNK=unknown)</t>
  </si>
  <si>
    <t>The defining event of the accident aircraft. For a list of event codes, see http://www.intlaviationstandards.org/Documents/OccurrenceCategoryDefinitions.pdf</t>
  </si>
  <si>
    <t>The phase of flight associated with the defining event of the accident aircraft. For a list of phase of flight codes, see http://www.intlaviationstandards.org/Documents/PhaseofFlightDefinitions.pdf</t>
  </si>
  <si>
    <t>Indicates if the accident flight involved an illegal act (such as suicide, sabotage, stolen aircraft, or terrorism). In this report, accidents involving illegal acts are included in accident counts but are excluded from accident rate computations.</t>
  </si>
  <si>
    <t>A link to the NTSB accident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</si>
</sst>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2" fillId="0" borderId="0" xfId="0" applyFont="1" applyAlignment="1">
      <alignment vertical="center"/>
    </xf>
    <xf numFmtId="14" fontId="0" fillId="0" borderId="0" xfId="0" applyNumberFormat="1"/>
    <xf numFmtId="0" fontId="3" fillId="0" borderId="0" xfId="0" applyFont="1"/>
    <xf numFmtId="0" fontId="1" fillId="0" borderId="0" xfId="0" applyFont="1" applyAlignment="1">
      <alignment horizontal="left"/>
    </xf>
    <xf numFmtId="0" fontId="0" fillId="0" borderId="0" xfId="0" applyAlignment="1">
      <alignment horizontal="left"/>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AE943-B446-4CF6-AABB-EE4A7ED8DD9A}">
  <dimension ref="A1:B27"/>
  <sheetViews>
    <sheetView tabSelected="1" workbookViewId="0"/>
  </sheetViews>
  <sheetFormatPr defaultRowHeight="15" x14ac:dyDescent="0.25"/>
  <cols>
    <col min="1" max="1" width="19.85546875" style="3" bestFit="1" customWidth="1"/>
    <col min="2" max="2" width="128.5703125" style="2" customWidth="1"/>
    <col min="3" max="16384" width="9.140625" style="3"/>
  </cols>
  <sheetData>
    <row r="1" spans="1:2" x14ac:dyDescent="0.25">
      <c r="A1" s="1" t="s">
        <v>4</v>
      </c>
    </row>
    <row r="2" spans="1:2" ht="45" x14ac:dyDescent="0.25">
      <c r="A2" s="4" t="s">
        <v>0</v>
      </c>
      <c r="B2" s="2" t="s">
        <v>1</v>
      </c>
    </row>
    <row r="3" spans="1:2" x14ac:dyDescent="0.25">
      <c r="A3" s="4" t="s">
        <v>2</v>
      </c>
      <c r="B3" s="2" t="s">
        <v>3</v>
      </c>
    </row>
    <row r="5" spans="1:2" x14ac:dyDescent="0.25">
      <c r="A5" s="1" t="s">
        <v>5158</v>
      </c>
    </row>
    <row r="6" spans="1:2" ht="90" x14ac:dyDescent="0.25">
      <c r="A6" s="4" t="s">
        <v>6</v>
      </c>
      <c r="B6" s="2" t="s">
        <v>5159</v>
      </c>
    </row>
    <row r="7" spans="1:2" ht="30" x14ac:dyDescent="0.25">
      <c r="A7" s="4" t="s">
        <v>7</v>
      </c>
      <c r="B7" s="2" t="s">
        <v>5160</v>
      </c>
    </row>
    <row r="8" spans="1:2" x14ac:dyDescent="0.25">
      <c r="A8" s="4" t="s">
        <v>8</v>
      </c>
      <c r="B8" s="2" t="s">
        <v>5161</v>
      </c>
    </row>
    <row r="9" spans="1:2" ht="75" x14ac:dyDescent="0.25">
      <c r="A9" s="4" t="s">
        <v>9</v>
      </c>
      <c r="B9" s="2" t="s">
        <v>5162</v>
      </c>
    </row>
    <row r="10" spans="1:2" ht="75" x14ac:dyDescent="0.25">
      <c r="A10" s="4" t="s">
        <v>10</v>
      </c>
      <c r="B10" s="2" t="s">
        <v>5162</v>
      </c>
    </row>
    <row r="11" spans="1:2" x14ac:dyDescent="0.25">
      <c r="A11" s="4" t="s">
        <v>11</v>
      </c>
      <c r="B11" s="2" t="s">
        <v>5163</v>
      </c>
    </row>
    <row r="12" spans="1:2" ht="30" x14ac:dyDescent="0.25">
      <c r="A12" s="4" t="s">
        <v>12</v>
      </c>
      <c r="B12" s="2" t="s">
        <v>5164</v>
      </c>
    </row>
    <row r="13" spans="1:2" x14ac:dyDescent="0.25">
      <c r="A13" s="4" t="s">
        <v>13</v>
      </c>
      <c r="B13" s="2" t="s">
        <v>5165</v>
      </c>
    </row>
    <row r="14" spans="1:2" x14ac:dyDescent="0.25">
      <c r="A14" s="4" t="s">
        <v>14</v>
      </c>
      <c r="B14" s="2" t="s">
        <v>5166</v>
      </c>
    </row>
    <row r="15" spans="1:2" x14ac:dyDescent="0.25">
      <c r="A15" s="4" t="s">
        <v>15</v>
      </c>
      <c r="B15" s="2" t="s">
        <v>5167</v>
      </c>
    </row>
    <row r="16" spans="1:2" ht="30" x14ac:dyDescent="0.25">
      <c r="A16" s="4" t="s">
        <v>16</v>
      </c>
      <c r="B16" s="2" t="s">
        <v>5168</v>
      </c>
    </row>
    <row r="17" spans="1:2" ht="30" x14ac:dyDescent="0.25">
      <c r="A17" s="4" t="s">
        <v>17</v>
      </c>
      <c r="B17" s="2" t="s">
        <v>5169</v>
      </c>
    </row>
    <row r="18" spans="1:2" ht="45" x14ac:dyDescent="0.25">
      <c r="A18" s="4" t="s">
        <v>18</v>
      </c>
      <c r="B18" s="2" t="s">
        <v>5170</v>
      </c>
    </row>
    <row r="19" spans="1:2" ht="30" x14ac:dyDescent="0.25">
      <c r="A19" s="4" t="s">
        <v>19</v>
      </c>
      <c r="B19" s="2" t="s">
        <v>5171</v>
      </c>
    </row>
    <row r="20" spans="1:2" ht="45" x14ac:dyDescent="0.25">
      <c r="A20" s="4" t="s">
        <v>20</v>
      </c>
      <c r="B20" s="2" t="s">
        <v>5172</v>
      </c>
    </row>
    <row r="21" spans="1:2" ht="30" x14ac:dyDescent="0.25">
      <c r="A21" s="4" t="s">
        <v>21</v>
      </c>
      <c r="B21" s="2" t="s">
        <v>5173</v>
      </c>
    </row>
    <row r="22" spans="1:2" ht="60" x14ac:dyDescent="0.25">
      <c r="A22" s="4" t="s">
        <v>22</v>
      </c>
      <c r="B22" s="2" t="s">
        <v>5174</v>
      </c>
    </row>
    <row r="23" spans="1:2" ht="60" x14ac:dyDescent="0.25">
      <c r="A23" s="4" t="s">
        <v>23</v>
      </c>
      <c r="B23" s="2" t="s">
        <v>5175</v>
      </c>
    </row>
    <row r="24" spans="1:2" ht="30" x14ac:dyDescent="0.25">
      <c r="A24" s="4" t="s">
        <v>24</v>
      </c>
      <c r="B24" s="2" t="s">
        <v>5176</v>
      </c>
    </row>
    <row r="25" spans="1:2" ht="30" x14ac:dyDescent="0.25">
      <c r="A25" s="4" t="s">
        <v>25</v>
      </c>
      <c r="B25" s="2" t="s">
        <v>5177</v>
      </c>
    </row>
    <row r="26" spans="1:2" ht="30" x14ac:dyDescent="0.25">
      <c r="A26" s="4" t="s">
        <v>26</v>
      </c>
      <c r="B26" s="2" t="s">
        <v>5178</v>
      </c>
    </row>
    <row r="27" spans="1:2" x14ac:dyDescent="0.25">
      <c r="A27" s="4" t="s">
        <v>27</v>
      </c>
      <c r="B27" s="2" t="s">
        <v>5179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4B15E-CCC5-4444-8696-908A2FE95FB3}">
  <dimension ref="A1:V1356"/>
  <sheetViews>
    <sheetView workbookViewId="0">
      <selection sqref="A1:XFD1"/>
    </sheetView>
  </sheetViews>
  <sheetFormatPr defaultRowHeight="15" x14ac:dyDescent="0.25"/>
  <cols>
    <col min="1" max="1" width="13.42578125" bestFit="1" customWidth="1"/>
    <col min="2" max="2" width="12" bestFit="1" customWidth="1"/>
    <col min="3" max="3" width="10.7109375" bestFit="1" customWidth="1"/>
    <col min="4" max="4" width="8.42578125" bestFit="1" customWidth="1"/>
    <col min="5" max="5" width="9.85546875" bestFit="1" customWidth="1"/>
    <col min="6" max="6" width="28.85546875" bestFit="1" customWidth="1"/>
    <col min="7" max="7" width="9" bestFit="1" customWidth="1"/>
    <col min="8" max="8" width="11.28515625" bestFit="1" customWidth="1"/>
    <col min="9" max="9" width="9" bestFit="1" customWidth="1"/>
    <col min="11" max="11" width="17.140625" bestFit="1" customWidth="1"/>
    <col min="12" max="13" width="8.85546875" bestFit="1" customWidth="1"/>
    <col min="14" max="14" width="16" bestFit="1" customWidth="1"/>
    <col min="15" max="15" width="14" bestFit="1" customWidth="1"/>
    <col min="16" max="16" width="11.5703125" bestFit="1" customWidth="1"/>
    <col min="17" max="17" width="13.85546875" bestFit="1" customWidth="1"/>
    <col min="18" max="18" width="8.5703125" bestFit="1" customWidth="1"/>
    <col min="19" max="19" width="11.28515625" bestFit="1" customWidth="1"/>
    <col min="20" max="20" width="11.7109375" bestFit="1" customWidth="1"/>
    <col min="21" max="21" width="9.5703125" bestFit="1" customWidth="1"/>
    <col min="22" max="22" width="15.42578125" bestFit="1" customWidth="1"/>
  </cols>
  <sheetData>
    <row r="1" spans="1:22" s="8" customFormat="1" x14ac:dyDescent="0.25">
      <c r="A1" s="7" t="s">
        <v>5</v>
      </c>
    </row>
    <row r="2" spans="1:22" s="6" customFormat="1" x14ac:dyDescent="0.25">
      <c r="A2" s="6" t="s">
        <v>6</v>
      </c>
      <c r="B2" s="6" t="s">
        <v>7</v>
      </c>
      <c r="C2" s="6" t="s">
        <v>8</v>
      </c>
      <c r="D2" s="6" t="s">
        <v>9</v>
      </c>
      <c r="E2" s="6" t="s">
        <v>10</v>
      </c>
      <c r="F2" s="6" t="s">
        <v>11</v>
      </c>
      <c r="G2" s="6" t="s">
        <v>12</v>
      </c>
      <c r="H2" s="6" t="s">
        <v>13</v>
      </c>
      <c r="I2" s="6" t="s">
        <v>14</v>
      </c>
      <c r="J2" s="6" t="s">
        <v>15</v>
      </c>
      <c r="K2" s="6" t="s">
        <v>16</v>
      </c>
      <c r="L2" s="6" t="s">
        <v>17</v>
      </c>
      <c r="M2" s="6" t="s">
        <v>18</v>
      </c>
      <c r="N2" s="6" t="s">
        <v>19</v>
      </c>
      <c r="O2" s="6" t="s">
        <v>20</v>
      </c>
      <c r="P2" s="6" t="s">
        <v>21</v>
      </c>
      <c r="Q2" s="6" t="s">
        <v>22</v>
      </c>
      <c r="R2" s="6" t="s">
        <v>23</v>
      </c>
      <c r="S2" s="6" t="s">
        <v>24</v>
      </c>
      <c r="T2" s="6" t="s">
        <v>25</v>
      </c>
      <c r="U2" s="6" t="s">
        <v>26</v>
      </c>
      <c r="V2" s="6" t="s">
        <v>27</v>
      </c>
    </row>
    <row r="3" spans="1:22" x14ac:dyDescent="0.25">
      <c r="A3" t="s">
        <v>28</v>
      </c>
      <c r="B3">
        <v>1</v>
      </c>
      <c r="C3" s="5">
        <v>42370</v>
      </c>
      <c r="D3" t="s">
        <v>29</v>
      </c>
      <c r="E3" t="s">
        <v>30</v>
      </c>
      <c r="F3" t="s">
        <v>31</v>
      </c>
      <c r="G3" t="s">
        <v>32</v>
      </c>
      <c r="H3" t="s">
        <v>33</v>
      </c>
      <c r="K3" t="s">
        <v>34</v>
      </c>
      <c r="L3" t="s">
        <v>35</v>
      </c>
      <c r="M3" t="s">
        <v>36</v>
      </c>
      <c r="Q3" t="s">
        <v>37</v>
      </c>
      <c r="R3" t="s">
        <v>38</v>
      </c>
      <c r="S3" t="s">
        <v>39</v>
      </c>
      <c r="T3" t="s">
        <v>40</v>
      </c>
      <c r="U3" t="s">
        <v>41</v>
      </c>
      <c r="V3" s="9" t="str">
        <f>HYPERLINK("https://app.ntsb.gov/pdfgenerator/ReportGeneratorFile.ashx?EventID=20160104X02458&amp;AKey=1&amp;Rtype=Final&amp;IType=LA","PDF Report")</f>
        <v>PDF Report</v>
      </c>
    </row>
    <row r="4" spans="1:22" x14ac:dyDescent="0.25">
      <c r="A4" t="s">
        <v>42</v>
      </c>
      <c r="B4">
        <v>1</v>
      </c>
      <c r="C4" s="5">
        <v>42370</v>
      </c>
      <c r="D4" t="s">
        <v>43</v>
      </c>
      <c r="E4" t="s">
        <v>44</v>
      </c>
      <c r="F4" t="s">
        <v>45</v>
      </c>
      <c r="G4" t="s">
        <v>46</v>
      </c>
      <c r="H4" t="s">
        <v>33</v>
      </c>
      <c r="K4" t="s">
        <v>47</v>
      </c>
      <c r="L4" t="s">
        <v>35</v>
      </c>
      <c r="M4" t="s">
        <v>36</v>
      </c>
      <c r="Q4" t="s">
        <v>37</v>
      </c>
      <c r="R4" t="s">
        <v>38</v>
      </c>
      <c r="S4" t="s">
        <v>48</v>
      </c>
      <c r="T4" t="s">
        <v>49</v>
      </c>
      <c r="U4" t="s">
        <v>41</v>
      </c>
      <c r="V4" s="9" t="str">
        <f>HYPERLINK("https://app.ntsb.gov/pdfgenerator/ReportGeneratorFile.ashx?EventID=20160105X05240&amp;AKey=1&amp;Rtype=Final&amp;IType=CA","PDF Report")</f>
        <v>PDF Report</v>
      </c>
    </row>
    <row r="5" spans="1:22" x14ac:dyDescent="0.25">
      <c r="A5" t="s">
        <v>50</v>
      </c>
      <c r="B5">
        <v>1</v>
      </c>
      <c r="C5" s="5">
        <v>42371</v>
      </c>
      <c r="D5" t="s">
        <v>51</v>
      </c>
      <c r="E5" t="s">
        <v>52</v>
      </c>
      <c r="F5" t="s">
        <v>53</v>
      </c>
      <c r="G5" t="s">
        <v>54</v>
      </c>
      <c r="H5" t="s">
        <v>33</v>
      </c>
      <c r="J5">
        <v>5</v>
      </c>
      <c r="K5" t="s">
        <v>55</v>
      </c>
      <c r="L5" t="s">
        <v>35</v>
      </c>
      <c r="M5" t="s">
        <v>56</v>
      </c>
      <c r="N5" t="s">
        <v>57</v>
      </c>
      <c r="O5" t="s">
        <v>58</v>
      </c>
      <c r="P5" t="s">
        <v>59</v>
      </c>
      <c r="Q5" t="s">
        <v>37</v>
      </c>
      <c r="S5" t="s">
        <v>60</v>
      </c>
      <c r="T5" t="s">
        <v>61</v>
      </c>
      <c r="U5" t="s">
        <v>41</v>
      </c>
      <c r="V5" s="9" t="str">
        <f>HYPERLINK("https://app.ntsb.gov/pdfgenerator/ReportGeneratorFile.ashx?EventID=20160104X11840&amp;AKey=1&amp;Rtype=Final&amp;IType=LA","PDF Report")</f>
        <v>PDF Report</v>
      </c>
    </row>
    <row r="6" spans="1:22" x14ac:dyDescent="0.25">
      <c r="A6" t="s">
        <v>62</v>
      </c>
      <c r="B6">
        <v>1</v>
      </c>
      <c r="C6" s="5">
        <v>42371</v>
      </c>
      <c r="D6" t="s">
        <v>63</v>
      </c>
      <c r="E6" t="s">
        <v>64</v>
      </c>
      <c r="F6" t="s">
        <v>65</v>
      </c>
      <c r="G6" t="s">
        <v>66</v>
      </c>
      <c r="H6" t="s">
        <v>33</v>
      </c>
      <c r="K6" t="s">
        <v>34</v>
      </c>
      <c r="L6" t="s">
        <v>35</v>
      </c>
      <c r="M6" t="s">
        <v>36</v>
      </c>
      <c r="Q6" t="s">
        <v>37</v>
      </c>
      <c r="R6" t="s">
        <v>38</v>
      </c>
      <c r="S6" t="s">
        <v>39</v>
      </c>
      <c r="T6" t="s">
        <v>61</v>
      </c>
      <c r="U6" t="s">
        <v>41</v>
      </c>
      <c r="V6" s="9" t="str">
        <f>HYPERLINK("https://app.ntsb.gov/pdfgenerator/ReportGeneratorFile.ashx?EventID=20160105X61511&amp;AKey=1&amp;Rtype=Final&amp;IType=LA","PDF Report")</f>
        <v>PDF Report</v>
      </c>
    </row>
    <row r="7" spans="1:22" x14ac:dyDescent="0.25">
      <c r="A7" t="s">
        <v>67</v>
      </c>
      <c r="B7">
        <v>1</v>
      </c>
      <c r="C7" s="5">
        <v>42371</v>
      </c>
      <c r="D7" t="s">
        <v>68</v>
      </c>
      <c r="E7" t="s">
        <v>69</v>
      </c>
      <c r="F7" t="s">
        <v>70</v>
      </c>
      <c r="G7" t="s">
        <v>71</v>
      </c>
      <c r="H7" t="s">
        <v>33</v>
      </c>
      <c r="K7" t="s">
        <v>34</v>
      </c>
      <c r="L7" t="s">
        <v>35</v>
      </c>
      <c r="M7" t="s">
        <v>36</v>
      </c>
      <c r="Q7" t="s">
        <v>37</v>
      </c>
      <c r="R7" t="s">
        <v>38</v>
      </c>
      <c r="S7" t="s">
        <v>72</v>
      </c>
      <c r="T7" t="s">
        <v>73</v>
      </c>
      <c r="U7" t="s">
        <v>41</v>
      </c>
      <c r="V7" s="9" t="str">
        <f>HYPERLINK("https://app.ntsb.gov/pdfgenerator/ReportGeneratorFile.ashx?EventID=20160105X94915&amp;AKey=1&amp;Rtype=Final&amp;IType=CA","PDF Report")</f>
        <v>PDF Report</v>
      </c>
    </row>
    <row r="8" spans="1:22" x14ac:dyDescent="0.25">
      <c r="A8" t="s">
        <v>74</v>
      </c>
      <c r="B8">
        <v>1</v>
      </c>
      <c r="C8" s="5">
        <v>42371</v>
      </c>
      <c r="D8" t="s">
        <v>75</v>
      </c>
      <c r="E8" t="s">
        <v>76</v>
      </c>
      <c r="F8" t="s">
        <v>77</v>
      </c>
      <c r="G8" t="s">
        <v>78</v>
      </c>
      <c r="H8" t="s">
        <v>33</v>
      </c>
      <c r="K8" t="s">
        <v>34</v>
      </c>
      <c r="L8" t="s">
        <v>35</v>
      </c>
      <c r="M8" t="s">
        <v>36</v>
      </c>
      <c r="Q8" t="s">
        <v>37</v>
      </c>
      <c r="R8" t="s">
        <v>38</v>
      </c>
      <c r="S8" t="s">
        <v>39</v>
      </c>
      <c r="T8" t="s">
        <v>79</v>
      </c>
      <c r="U8" t="s">
        <v>41</v>
      </c>
      <c r="V8" s="9" t="str">
        <f>HYPERLINK("https://app.ntsb.gov/pdfgenerator/ReportGeneratorFile.ashx?EventID=20160108X45723&amp;AKey=1&amp;Rtype=Final&amp;IType=LA","PDF Report")</f>
        <v>PDF Report</v>
      </c>
    </row>
    <row r="9" spans="1:22" x14ac:dyDescent="0.25">
      <c r="A9" t="s">
        <v>80</v>
      </c>
      <c r="B9">
        <v>1</v>
      </c>
      <c r="C9" s="5">
        <v>42371</v>
      </c>
      <c r="D9" t="s">
        <v>81</v>
      </c>
      <c r="E9" t="s">
        <v>82</v>
      </c>
      <c r="F9" t="s">
        <v>83</v>
      </c>
      <c r="G9" t="s">
        <v>46</v>
      </c>
      <c r="H9" t="s">
        <v>33</v>
      </c>
      <c r="K9" t="s">
        <v>34</v>
      </c>
      <c r="L9" t="s">
        <v>35</v>
      </c>
      <c r="M9" t="s">
        <v>36</v>
      </c>
      <c r="Q9" t="s">
        <v>37</v>
      </c>
      <c r="R9" t="s">
        <v>38</v>
      </c>
      <c r="S9" t="s">
        <v>84</v>
      </c>
      <c r="T9" t="s">
        <v>73</v>
      </c>
      <c r="U9" t="s">
        <v>41</v>
      </c>
      <c r="V9" s="9" t="str">
        <f>HYPERLINK("https://app.ntsb.gov/pdfgenerator/ReportGeneratorFile.ashx?EventID=20160111X90408&amp;AKey=1&amp;Rtype=Final&amp;IType=CA","PDF Report")</f>
        <v>PDF Report</v>
      </c>
    </row>
    <row r="10" spans="1:22" x14ac:dyDescent="0.25">
      <c r="A10" t="s">
        <v>85</v>
      </c>
      <c r="B10">
        <v>1</v>
      </c>
      <c r="C10" s="5">
        <v>42372</v>
      </c>
      <c r="D10" t="s">
        <v>86</v>
      </c>
      <c r="E10" t="s">
        <v>87</v>
      </c>
      <c r="F10" t="s">
        <v>88</v>
      </c>
      <c r="G10" t="s">
        <v>89</v>
      </c>
      <c r="H10" t="s">
        <v>33</v>
      </c>
      <c r="I10">
        <v>1</v>
      </c>
      <c r="K10" t="s">
        <v>90</v>
      </c>
      <c r="L10" t="s">
        <v>35</v>
      </c>
      <c r="M10" t="s">
        <v>36</v>
      </c>
      <c r="Q10" t="s">
        <v>37</v>
      </c>
      <c r="R10" t="s">
        <v>38</v>
      </c>
      <c r="S10" t="s">
        <v>91</v>
      </c>
      <c r="T10" t="s">
        <v>61</v>
      </c>
      <c r="U10" t="s">
        <v>41</v>
      </c>
      <c r="V10" s="9" t="str">
        <f>HYPERLINK("https://app.ntsb.gov/pdfgenerator/ReportGeneratorFile.ashx?EventID=20160104X84134&amp;AKey=1&amp;Rtype=Final&amp;IType=FA","PDF Report")</f>
        <v>PDF Report</v>
      </c>
    </row>
    <row r="11" spans="1:22" x14ac:dyDescent="0.25">
      <c r="A11" t="s">
        <v>92</v>
      </c>
      <c r="B11">
        <v>1</v>
      </c>
      <c r="C11" s="5">
        <v>42372</v>
      </c>
      <c r="D11" t="s">
        <v>93</v>
      </c>
      <c r="E11" t="s">
        <v>94</v>
      </c>
      <c r="F11" t="s">
        <v>95</v>
      </c>
      <c r="G11" t="s">
        <v>96</v>
      </c>
      <c r="H11" t="s">
        <v>33</v>
      </c>
      <c r="K11" t="s">
        <v>34</v>
      </c>
      <c r="L11" t="s">
        <v>35</v>
      </c>
      <c r="M11" t="s">
        <v>36</v>
      </c>
      <c r="Q11" t="s">
        <v>37</v>
      </c>
      <c r="R11" t="s">
        <v>38</v>
      </c>
      <c r="S11" t="s">
        <v>97</v>
      </c>
      <c r="T11" t="s">
        <v>49</v>
      </c>
      <c r="U11" t="s">
        <v>41</v>
      </c>
      <c r="V11" s="9" t="str">
        <f>HYPERLINK("https://app.ntsb.gov/pdfgenerator/ReportGeneratorFile.ashx?EventID=20160105X22916&amp;AKey=1&amp;Rtype=Final&amp;IType=LA","PDF Report")</f>
        <v>PDF Report</v>
      </c>
    </row>
    <row r="12" spans="1:22" x14ac:dyDescent="0.25">
      <c r="A12" t="s">
        <v>98</v>
      </c>
      <c r="B12">
        <v>1</v>
      </c>
      <c r="C12" s="5">
        <v>42372</v>
      </c>
      <c r="D12" t="s">
        <v>99</v>
      </c>
      <c r="E12" t="s">
        <v>100</v>
      </c>
      <c r="F12" t="s">
        <v>101</v>
      </c>
      <c r="G12" t="s">
        <v>102</v>
      </c>
      <c r="H12" t="s">
        <v>33</v>
      </c>
      <c r="J12">
        <v>1</v>
      </c>
      <c r="K12" t="s">
        <v>55</v>
      </c>
      <c r="L12" t="s">
        <v>34</v>
      </c>
      <c r="M12" t="s">
        <v>103</v>
      </c>
      <c r="N12" t="s">
        <v>57</v>
      </c>
      <c r="O12" t="s">
        <v>58</v>
      </c>
      <c r="P12" t="s">
        <v>59</v>
      </c>
      <c r="Q12" t="s">
        <v>37</v>
      </c>
      <c r="S12" t="s">
        <v>104</v>
      </c>
      <c r="T12" t="s">
        <v>61</v>
      </c>
      <c r="U12" t="s">
        <v>41</v>
      </c>
      <c r="V12" s="9" t="str">
        <f>HYPERLINK("https://app.ntsb.gov/pdfgenerator/ReportGeneratorFile.ashx?EventID=20160106X80332&amp;AKey=1&amp;Rtype=Final&amp;IType=CA","PDF Report")</f>
        <v>PDF Report</v>
      </c>
    </row>
    <row r="13" spans="1:22" x14ac:dyDescent="0.25">
      <c r="A13" t="s">
        <v>105</v>
      </c>
      <c r="B13">
        <v>1</v>
      </c>
      <c r="C13" s="5">
        <v>42373</v>
      </c>
      <c r="D13" t="s">
        <v>106</v>
      </c>
      <c r="E13" t="s">
        <v>107</v>
      </c>
      <c r="F13" t="s">
        <v>108</v>
      </c>
      <c r="G13" t="s">
        <v>109</v>
      </c>
      <c r="H13" t="s">
        <v>33</v>
      </c>
      <c r="I13">
        <v>2</v>
      </c>
      <c r="K13" t="s">
        <v>90</v>
      </c>
      <c r="L13" t="s">
        <v>110</v>
      </c>
      <c r="M13" t="s">
        <v>36</v>
      </c>
      <c r="Q13" t="s">
        <v>37</v>
      </c>
      <c r="R13" t="s">
        <v>38</v>
      </c>
      <c r="S13" t="s">
        <v>60</v>
      </c>
      <c r="T13" t="s">
        <v>40</v>
      </c>
      <c r="U13" t="s">
        <v>41</v>
      </c>
      <c r="V13" s="9" t="str">
        <f>HYPERLINK("https://app.ntsb.gov/pdfgenerator/ReportGeneratorFile.ashx?EventID=20160104X35410&amp;AKey=1&amp;Rtype=Final&amp;IType=FA","PDF Report")</f>
        <v>PDF Report</v>
      </c>
    </row>
    <row r="14" spans="1:22" x14ac:dyDescent="0.25">
      <c r="A14" t="s">
        <v>111</v>
      </c>
      <c r="B14">
        <v>1</v>
      </c>
      <c r="C14" s="5">
        <v>42373</v>
      </c>
      <c r="D14" t="s">
        <v>112</v>
      </c>
      <c r="E14" t="s">
        <v>113</v>
      </c>
      <c r="F14" t="s">
        <v>114</v>
      </c>
      <c r="G14" t="s">
        <v>115</v>
      </c>
      <c r="H14" t="s">
        <v>33</v>
      </c>
      <c r="K14" t="s">
        <v>34</v>
      </c>
      <c r="L14" t="s">
        <v>35</v>
      </c>
      <c r="M14" t="s">
        <v>36</v>
      </c>
      <c r="Q14" t="s">
        <v>37</v>
      </c>
      <c r="R14" t="s">
        <v>38</v>
      </c>
      <c r="S14" t="s">
        <v>84</v>
      </c>
      <c r="T14" t="s">
        <v>73</v>
      </c>
      <c r="U14" t="s">
        <v>41</v>
      </c>
      <c r="V14" s="9" t="str">
        <f>HYPERLINK("https://app.ntsb.gov/pdfgenerator/ReportGeneratorFile.ashx?EventID=20160105X14823&amp;AKey=1&amp;Rtype=Final&amp;IType=CA","PDF Report")</f>
        <v>PDF Report</v>
      </c>
    </row>
    <row r="15" spans="1:22" x14ac:dyDescent="0.25">
      <c r="A15" t="s">
        <v>116</v>
      </c>
      <c r="B15">
        <v>1</v>
      </c>
      <c r="C15" s="5">
        <v>42373</v>
      </c>
      <c r="D15" t="s">
        <v>117</v>
      </c>
      <c r="E15" t="s">
        <v>118</v>
      </c>
      <c r="F15" t="s">
        <v>119</v>
      </c>
      <c r="G15" t="s">
        <v>120</v>
      </c>
      <c r="H15" t="s">
        <v>33</v>
      </c>
      <c r="K15" t="s">
        <v>34</v>
      </c>
      <c r="L15" t="s">
        <v>35</v>
      </c>
      <c r="M15" t="s">
        <v>36</v>
      </c>
      <c r="Q15" t="s">
        <v>37</v>
      </c>
      <c r="R15" t="s">
        <v>38</v>
      </c>
      <c r="S15" t="s">
        <v>39</v>
      </c>
      <c r="T15" t="s">
        <v>79</v>
      </c>
      <c r="U15" t="s">
        <v>41</v>
      </c>
      <c r="V15" s="9" t="str">
        <f>HYPERLINK("https://app.ntsb.gov/pdfgenerator/ReportGeneratorFile.ashx?EventID=20160105X83726&amp;AKey=1&amp;Rtype=Final&amp;IType=LA","PDF Report")</f>
        <v>PDF Report</v>
      </c>
    </row>
    <row r="16" spans="1:22" x14ac:dyDescent="0.25">
      <c r="A16" t="s">
        <v>121</v>
      </c>
      <c r="B16">
        <v>1</v>
      </c>
      <c r="C16" s="5">
        <v>42373</v>
      </c>
      <c r="D16" t="s">
        <v>122</v>
      </c>
      <c r="E16" t="s">
        <v>123</v>
      </c>
      <c r="F16" t="s">
        <v>124</v>
      </c>
      <c r="G16" t="s">
        <v>125</v>
      </c>
      <c r="H16" t="s">
        <v>33</v>
      </c>
      <c r="K16" t="s">
        <v>34</v>
      </c>
      <c r="L16" t="s">
        <v>35</v>
      </c>
      <c r="M16" t="s">
        <v>36</v>
      </c>
      <c r="Q16" t="s">
        <v>37</v>
      </c>
      <c r="R16" t="s">
        <v>38</v>
      </c>
      <c r="S16" t="s">
        <v>84</v>
      </c>
      <c r="T16" t="s">
        <v>73</v>
      </c>
      <c r="U16" t="s">
        <v>41</v>
      </c>
      <c r="V16" s="9" t="str">
        <f>HYPERLINK("https://app.ntsb.gov/pdfgenerator/ReportGeneratorFile.ashx?EventID=20160107X42121&amp;AKey=1&amp;Rtype=Final&amp;IType=CA","PDF Report")</f>
        <v>PDF Report</v>
      </c>
    </row>
    <row r="17" spans="1:22" x14ac:dyDescent="0.25">
      <c r="A17" t="s">
        <v>126</v>
      </c>
      <c r="B17">
        <v>1</v>
      </c>
      <c r="C17" s="5">
        <v>42374</v>
      </c>
      <c r="D17" t="s">
        <v>127</v>
      </c>
      <c r="E17" t="s">
        <v>128</v>
      </c>
      <c r="F17" t="s">
        <v>129</v>
      </c>
      <c r="G17" t="s">
        <v>96</v>
      </c>
      <c r="H17" t="s">
        <v>33</v>
      </c>
      <c r="K17" t="s">
        <v>34</v>
      </c>
      <c r="L17" t="s">
        <v>35</v>
      </c>
      <c r="M17" t="s">
        <v>36</v>
      </c>
      <c r="Q17" t="s">
        <v>37</v>
      </c>
      <c r="R17" t="s">
        <v>130</v>
      </c>
      <c r="S17" t="s">
        <v>131</v>
      </c>
      <c r="T17" t="s">
        <v>73</v>
      </c>
      <c r="U17" t="s">
        <v>41</v>
      </c>
      <c r="V17" s="9" t="str">
        <f>HYPERLINK("https://app.ntsb.gov/pdfgenerator/ReportGeneratorFile.ashx?EventID=20160122X35617&amp;AKey=1&amp;Rtype=Final&amp;IType=LA","PDF Report")</f>
        <v>PDF Report</v>
      </c>
    </row>
    <row r="18" spans="1:22" x14ac:dyDescent="0.25">
      <c r="A18" t="s">
        <v>132</v>
      </c>
      <c r="B18">
        <v>1</v>
      </c>
      <c r="C18" s="5">
        <v>42375</v>
      </c>
      <c r="D18" t="s">
        <v>133</v>
      </c>
      <c r="E18" t="s">
        <v>134</v>
      </c>
      <c r="F18" t="s">
        <v>135</v>
      </c>
      <c r="G18" t="s">
        <v>136</v>
      </c>
      <c r="H18" t="s">
        <v>33</v>
      </c>
      <c r="K18" t="s">
        <v>47</v>
      </c>
      <c r="L18" t="s">
        <v>35</v>
      </c>
      <c r="M18" t="s">
        <v>36</v>
      </c>
      <c r="Q18" t="s">
        <v>37</v>
      </c>
      <c r="R18" t="s">
        <v>137</v>
      </c>
      <c r="S18" t="s">
        <v>39</v>
      </c>
      <c r="T18" t="s">
        <v>49</v>
      </c>
      <c r="U18" t="s">
        <v>41</v>
      </c>
      <c r="V18" s="9" t="str">
        <f>HYPERLINK("https://app.ntsb.gov/pdfgenerator/ReportGeneratorFile.ashx?EventID=20160106X32926&amp;AKey=1&amp;Rtype=Final&amp;IType=LA","PDF Report")</f>
        <v>PDF Report</v>
      </c>
    </row>
    <row r="19" spans="1:22" x14ac:dyDescent="0.25">
      <c r="A19" t="s">
        <v>138</v>
      </c>
      <c r="B19">
        <v>1</v>
      </c>
      <c r="C19" s="5">
        <v>42376</v>
      </c>
      <c r="D19" t="s">
        <v>139</v>
      </c>
      <c r="E19" t="s">
        <v>140</v>
      </c>
      <c r="F19" t="s">
        <v>141</v>
      </c>
      <c r="G19" t="s">
        <v>142</v>
      </c>
      <c r="H19" t="s">
        <v>33</v>
      </c>
      <c r="I19">
        <v>1</v>
      </c>
      <c r="K19" t="s">
        <v>90</v>
      </c>
      <c r="L19" t="s">
        <v>35</v>
      </c>
      <c r="M19" t="s">
        <v>36</v>
      </c>
      <c r="Q19" t="s">
        <v>37</v>
      </c>
      <c r="R19" t="s">
        <v>38</v>
      </c>
      <c r="S19" t="s">
        <v>39</v>
      </c>
      <c r="T19" t="s">
        <v>143</v>
      </c>
      <c r="U19" t="s">
        <v>41</v>
      </c>
      <c r="V19" s="9" t="str">
        <f>HYPERLINK("https://app.ntsb.gov/pdfgenerator/ReportGeneratorFile.ashx?EventID=20160107X93631&amp;AKey=1&amp;Rtype=Final&amp;IType=FA","PDF Report")</f>
        <v>PDF Report</v>
      </c>
    </row>
    <row r="20" spans="1:22" x14ac:dyDescent="0.25">
      <c r="A20" t="s">
        <v>144</v>
      </c>
      <c r="B20">
        <v>1</v>
      </c>
      <c r="C20" s="5">
        <v>42377</v>
      </c>
      <c r="D20" t="s">
        <v>145</v>
      </c>
      <c r="E20" t="s">
        <v>146</v>
      </c>
      <c r="F20" t="s">
        <v>147</v>
      </c>
      <c r="G20" t="s">
        <v>148</v>
      </c>
      <c r="H20" t="s">
        <v>33</v>
      </c>
      <c r="K20" t="s">
        <v>34</v>
      </c>
      <c r="L20" t="s">
        <v>35</v>
      </c>
      <c r="M20" t="s">
        <v>36</v>
      </c>
      <c r="Q20" t="s">
        <v>37</v>
      </c>
      <c r="R20" t="s">
        <v>137</v>
      </c>
      <c r="S20" t="s">
        <v>84</v>
      </c>
      <c r="T20" t="s">
        <v>73</v>
      </c>
      <c r="U20" t="s">
        <v>41</v>
      </c>
      <c r="V20" s="9" t="str">
        <f>HYPERLINK("https://app.ntsb.gov/pdfgenerator/ReportGeneratorFile.ashx?EventID=20160208X93451&amp;AKey=1&amp;Rtype=Final&amp;IType=LA","PDF Report")</f>
        <v>PDF Report</v>
      </c>
    </row>
    <row r="21" spans="1:22" x14ac:dyDescent="0.25">
      <c r="A21" t="s">
        <v>149</v>
      </c>
      <c r="B21">
        <v>1</v>
      </c>
      <c r="C21" s="5">
        <v>42378</v>
      </c>
      <c r="D21" t="s">
        <v>150</v>
      </c>
      <c r="E21" t="s">
        <v>151</v>
      </c>
      <c r="F21" t="s">
        <v>152</v>
      </c>
      <c r="G21" t="s">
        <v>115</v>
      </c>
      <c r="H21" t="s">
        <v>33</v>
      </c>
      <c r="J21">
        <v>1</v>
      </c>
      <c r="K21" t="s">
        <v>55</v>
      </c>
      <c r="L21" t="s">
        <v>35</v>
      </c>
      <c r="M21" t="s">
        <v>36</v>
      </c>
      <c r="Q21" t="s">
        <v>37</v>
      </c>
      <c r="R21" t="s">
        <v>38</v>
      </c>
      <c r="S21" t="s">
        <v>39</v>
      </c>
      <c r="T21" t="s">
        <v>143</v>
      </c>
      <c r="U21" t="s">
        <v>41</v>
      </c>
      <c r="V21" s="9" t="str">
        <f>HYPERLINK("https://app.ntsb.gov/pdfgenerator/ReportGeneratorFile.ashx?EventID=20160111X11353&amp;AKey=1&amp;Rtype=Final&amp;IType=LA","PDF Report")</f>
        <v>PDF Report</v>
      </c>
    </row>
    <row r="22" spans="1:22" x14ac:dyDescent="0.25">
      <c r="A22" t="s">
        <v>153</v>
      </c>
      <c r="B22">
        <v>1</v>
      </c>
      <c r="C22" s="5">
        <v>42379</v>
      </c>
      <c r="D22" t="s">
        <v>154</v>
      </c>
      <c r="E22" t="s">
        <v>155</v>
      </c>
      <c r="F22" t="s">
        <v>156</v>
      </c>
      <c r="G22" t="s">
        <v>66</v>
      </c>
      <c r="H22" t="s">
        <v>33</v>
      </c>
      <c r="I22">
        <v>1</v>
      </c>
      <c r="K22" t="s">
        <v>90</v>
      </c>
      <c r="L22" t="s">
        <v>35</v>
      </c>
      <c r="M22" t="s">
        <v>36</v>
      </c>
      <c r="Q22" t="s">
        <v>37</v>
      </c>
      <c r="R22" t="s">
        <v>38</v>
      </c>
      <c r="S22" t="s">
        <v>39</v>
      </c>
      <c r="T22" t="s">
        <v>143</v>
      </c>
      <c r="U22" t="s">
        <v>41</v>
      </c>
      <c r="V22" s="9" t="str">
        <f>HYPERLINK("https://app.ntsb.gov/pdfgenerator/ReportGeneratorFile.ashx?EventID=20160111X05419&amp;AKey=1&amp;Rtype=Final&amp;IType=LA","PDF Report")</f>
        <v>PDF Report</v>
      </c>
    </row>
    <row r="23" spans="1:22" x14ac:dyDescent="0.25">
      <c r="A23" t="s">
        <v>157</v>
      </c>
      <c r="B23">
        <v>1</v>
      </c>
      <c r="C23" s="5">
        <v>42379</v>
      </c>
      <c r="D23" t="s">
        <v>158</v>
      </c>
      <c r="E23" t="s">
        <v>159</v>
      </c>
      <c r="F23" t="s">
        <v>160</v>
      </c>
      <c r="G23" t="s">
        <v>161</v>
      </c>
      <c r="H23" t="s">
        <v>33</v>
      </c>
      <c r="K23" t="s">
        <v>34</v>
      </c>
      <c r="L23" t="s">
        <v>35</v>
      </c>
      <c r="M23" t="s">
        <v>56</v>
      </c>
      <c r="N23" t="s">
        <v>57</v>
      </c>
      <c r="O23" t="s">
        <v>58</v>
      </c>
      <c r="P23" t="s">
        <v>162</v>
      </c>
      <c r="Q23" t="s">
        <v>37</v>
      </c>
      <c r="S23" t="s">
        <v>163</v>
      </c>
      <c r="T23" t="s">
        <v>164</v>
      </c>
      <c r="U23" t="s">
        <v>41</v>
      </c>
      <c r="V23" s="9" t="str">
        <f>HYPERLINK("https://app.ntsb.gov/pdfgenerator/ReportGeneratorFile.ashx?EventID=20160630X55224&amp;AKey=1&amp;Rtype=Final&amp;IType=CA","PDF Report")</f>
        <v>PDF Report</v>
      </c>
    </row>
    <row r="24" spans="1:22" x14ac:dyDescent="0.25">
      <c r="A24" t="s">
        <v>165</v>
      </c>
      <c r="B24">
        <v>1</v>
      </c>
      <c r="C24" s="5">
        <v>42380</v>
      </c>
      <c r="D24" t="s">
        <v>166</v>
      </c>
      <c r="E24" t="s">
        <v>167</v>
      </c>
      <c r="F24" t="s">
        <v>168</v>
      </c>
      <c r="G24" t="s">
        <v>169</v>
      </c>
      <c r="H24" t="s">
        <v>33</v>
      </c>
      <c r="K24" t="s">
        <v>34</v>
      </c>
      <c r="L24" t="s">
        <v>35</v>
      </c>
      <c r="M24" t="s">
        <v>36</v>
      </c>
      <c r="Q24" t="s">
        <v>37</v>
      </c>
      <c r="R24" t="s">
        <v>170</v>
      </c>
      <c r="S24" t="s">
        <v>171</v>
      </c>
      <c r="T24" t="s">
        <v>40</v>
      </c>
      <c r="U24" t="s">
        <v>41</v>
      </c>
      <c r="V24" s="9" t="str">
        <f>HYPERLINK("https://app.ntsb.gov/pdfgenerator/ReportGeneratorFile.ashx?EventID=20160119X52243&amp;AKey=1&amp;Rtype=Final&amp;IType=CA","PDF Report")</f>
        <v>PDF Report</v>
      </c>
    </row>
    <row r="25" spans="1:22" x14ac:dyDescent="0.25">
      <c r="A25" t="s">
        <v>172</v>
      </c>
      <c r="B25">
        <v>1</v>
      </c>
      <c r="C25" s="5">
        <v>42381</v>
      </c>
      <c r="D25" t="s">
        <v>173</v>
      </c>
      <c r="E25" t="s">
        <v>174</v>
      </c>
      <c r="F25" t="s">
        <v>175</v>
      </c>
      <c r="G25" t="s">
        <v>96</v>
      </c>
      <c r="H25" t="s">
        <v>33</v>
      </c>
      <c r="I25">
        <v>1</v>
      </c>
      <c r="K25" t="s">
        <v>90</v>
      </c>
      <c r="L25" t="s">
        <v>35</v>
      </c>
      <c r="M25" t="s">
        <v>36</v>
      </c>
      <c r="Q25" t="s">
        <v>37</v>
      </c>
      <c r="R25" t="s">
        <v>38</v>
      </c>
      <c r="S25" t="s">
        <v>97</v>
      </c>
      <c r="T25" t="s">
        <v>79</v>
      </c>
      <c r="U25" t="s">
        <v>41</v>
      </c>
      <c r="V25" s="9" t="str">
        <f>HYPERLINK("https://app.ntsb.gov/pdfgenerator/ReportGeneratorFile.ashx?EventID=20160113X10123&amp;AKey=1&amp;Rtype=Final&amp;IType=FA","PDF Report")</f>
        <v>PDF Report</v>
      </c>
    </row>
    <row r="26" spans="1:22" x14ac:dyDescent="0.25">
      <c r="A26" t="s">
        <v>176</v>
      </c>
      <c r="B26">
        <v>1</v>
      </c>
      <c r="C26" s="5">
        <v>42381</v>
      </c>
      <c r="D26" t="s">
        <v>177</v>
      </c>
      <c r="E26" t="s">
        <v>178</v>
      </c>
      <c r="F26" t="s">
        <v>179</v>
      </c>
      <c r="G26" t="s">
        <v>180</v>
      </c>
      <c r="H26" t="s">
        <v>33</v>
      </c>
      <c r="K26" t="s">
        <v>34</v>
      </c>
      <c r="L26" t="s">
        <v>35</v>
      </c>
      <c r="M26" t="s">
        <v>36</v>
      </c>
      <c r="Q26" t="s">
        <v>37</v>
      </c>
      <c r="R26" t="s">
        <v>130</v>
      </c>
      <c r="S26" t="s">
        <v>84</v>
      </c>
      <c r="T26" t="s">
        <v>73</v>
      </c>
      <c r="U26" t="s">
        <v>41</v>
      </c>
      <c r="V26" s="9" t="str">
        <f>HYPERLINK("https://app.ntsb.gov/pdfgenerator/ReportGeneratorFile.ashx?EventID=20160120X30609&amp;AKey=1&amp;Rtype=Final&amp;IType=CA","PDF Report")</f>
        <v>PDF Report</v>
      </c>
    </row>
    <row r="27" spans="1:22" x14ac:dyDescent="0.25">
      <c r="A27" t="s">
        <v>181</v>
      </c>
      <c r="B27">
        <v>1</v>
      </c>
      <c r="C27" s="5">
        <v>42382</v>
      </c>
      <c r="D27" t="s">
        <v>182</v>
      </c>
      <c r="E27" t="s">
        <v>183</v>
      </c>
      <c r="F27" t="s">
        <v>184</v>
      </c>
      <c r="G27" t="s">
        <v>78</v>
      </c>
      <c r="H27" t="s">
        <v>33</v>
      </c>
      <c r="J27">
        <v>1</v>
      </c>
      <c r="K27" t="s">
        <v>55</v>
      </c>
      <c r="L27" t="s">
        <v>35</v>
      </c>
      <c r="M27" t="s">
        <v>36</v>
      </c>
      <c r="Q27" t="s">
        <v>185</v>
      </c>
      <c r="R27" t="s">
        <v>186</v>
      </c>
      <c r="S27" t="s">
        <v>97</v>
      </c>
      <c r="T27" t="s">
        <v>40</v>
      </c>
      <c r="U27" t="s">
        <v>41</v>
      </c>
      <c r="V27" s="9" t="str">
        <f>HYPERLINK("https://app.ntsb.gov/pdfgenerator/ReportGeneratorFile.ashx?EventID=20160119X41608&amp;AKey=1&amp;Rtype=Final&amp;IType=LA","PDF Report")</f>
        <v>PDF Report</v>
      </c>
    </row>
    <row r="28" spans="1:22" x14ac:dyDescent="0.25">
      <c r="A28" t="s">
        <v>187</v>
      </c>
      <c r="B28">
        <v>1</v>
      </c>
      <c r="C28" s="5">
        <v>42382</v>
      </c>
      <c r="D28" t="s">
        <v>188</v>
      </c>
      <c r="E28" t="s">
        <v>189</v>
      </c>
      <c r="F28" t="s">
        <v>190</v>
      </c>
      <c r="G28" t="s">
        <v>89</v>
      </c>
      <c r="H28" t="s">
        <v>33</v>
      </c>
      <c r="K28" t="s">
        <v>34</v>
      </c>
      <c r="L28" t="s">
        <v>35</v>
      </c>
      <c r="M28" t="s">
        <v>36</v>
      </c>
      <c r="Q28" t="s">
        <v>37</v>
      </c>
      <c r="R28" t="s">
        <v>137</v>
      </c>
      <c r="S28" t="s">
        <v>191</v>
      </c>
      <c r="T28" t="s">
        <v>49</v>
      </c>
      <c r="U28" t="s">
        <v>41</v>
      </c>
      <c r="V28" s="9" t="str">
        <f>HYPERLINK("https://app.ntsb.gov/pdfgenerator/ReportGeneratorFile.ashx?EventID=20160120X42724&amp;AKey=1&amp;Rtype=Final&amp;IType=CA","PDF Report")</f>
        <v>PDF Report</v>
      </c>
    </row>
    <row r="29" spans="1:22" x14ac:dyDescent="0.25">
      <c r="A29" t="s">
        <v>192</v>
      </c>
      <c r="B29">
        <v>1</v>
      </c>
      <c r="C29" s="5">
        <v>42383</v>
      </c>
      <c r="D29" t="s">
        <v>193</v>
      </c>
      <c r="E29" t="s">
        <v>194</v>
      </c>
      <c r="F29" t="s">
        <v>195</v>
      </c>
      <c r="G29" t="s">
        <v>46</v>
      </c>
      <c r="H29" t="s">
        <v>33</v>
      </c>
      <c r="I29">
        <v>1</v>
      </c>
      <c r="K29" t="s">
        <v>90</v>
      </c>
      <c r="L29" t="s">
        <v>35</v>
      </c>
      <c r="M29" t="s">
        <v>36</v>
      </c>
      <c r="Q29" t="s">
        <v>37</v>
      </c>
      <c r="R29" t="s">
        <v>38</v>
      </c>
      <c r="S29" t="s">
        <v>196</v>
      </c>
      <c r="T29" t="s">
        <v>61</v>
      </c>
      <c r="U29" t="s">
        <v>41</v>
      </c>
      <c r="V29" s="9" t="str">
        <f>HYPERLINK("https://app.ntsb.gov/pdfgenerator/ReportGeneratorFile.ashx?EventID=20160114X73526&amp;AKey=1&amp;Rtype=Final&amp;IType=FA","PDF Report")</f>
        <v>PDF Report</v>
      </c>
    </row>
    <row r="30" spans="1:22" x14ac:dyDescent="0.25">
      <c r="A30" t="s">
        <v>197</v>
      </c>
      <c r="B30">
        <v>1</v>
      </c>
      <c r="C30" s="5">
        <v>42383</v>
      </c>
      <c r="D30" t="s">
        <v>198</v>
      </c>
      <c r="E30" t="s">
        <v>199</v>
      </c>
      <c r="F30" t="s">
        <v>200</v>
      </c>
      <c r="G30" t="s">
        <v>96</v>
      </c>
      <c r="H30" t="s">
        <v>33</v>
      </c>
      <c r="I30">
        <v>1</v>
      </c>
      <c r="K30" t="s">
        <v>90</v>
      </c>
      <c r="L30" t="s">
        <v>110</v>
      </c>
      <c r="M30" t="s">
        <v>36</v>
      </c>
      <c r="Q30" t="s">
        <v>37</v>
      </c>
      <c r="R30" t="s">
        <v>38</v>
      </c>
      <c r="S30" t="s">
        <v>201</v>
      </c>
      <c r="T30" t="s">
        <v>61</v>
      </c>
      <c r="U30" t="s">
        <v>41</v>
      </c>
      <c r="V30" s="9" t="str">
        <f>HYPERLINK("https://app.ntsb.gov/pdfgenerator/ReportGeneratorFile.ashx?EventID=20160115X03332&amp;AKey=1&amp;Rtype=Final&amp;IType=FA","PDF Report")</f>
        <v>PDF Report</v>
      </c>
    </row>
    <row r="31" spans="1:22" x14ac:dyDescent="0.25">
      <c r="A31" t="s">
        <v>202</v>
      </c>
      <c r="B31">
        <v>1</v>
      </c>
      <c r="C31" s="5">
        <v>42383</v>
      </c>
      <c r="D31" t="s">
        <v>203</v>
      </c>
      <c r="E31" t="s">
        <v>204</v>
      </c>
      <c r="F31" t="s">
        <v>205</v>
      </c>
      <c r="G31" t="s">
        <v>206</v>
      </c>
      <c r="H31" t="s">
        <v>33</v>
      </c>
      <c r="I31">
        <v>1</v>
      </c>
      <c r="K31" t="s">
        <v>90</v>
      </c>
      <c r="L31" t="s">
        <v>110</v>
      </c>
      <c r="M31" t="s">
        <v>36</v>
      </c>
      <c r="Q31" t="s">
        <v>37</v>
      </c>
      <c r="R31" t="s">
        <v>38</v>
      </c>
      <c r="S31" t="s">
        <v>48</v>
      </c>
      <c r="T31" t="s">
        <v>61</v>
      </c>
      <c r="U31" t="s">
        <v>41</v>
      </c>
      <c r="V31" s="9" t="str">
        <f>HYPERLINK("https://app.ntsb.gov/pdfgenerator/ReportGeneratorFile.ashx?EventID=20160115X22543&amp;AKey=1&amp;Rtype=Final&amp;IType=FA","PDF Report")</f>
        <v>PDF Report</v>
      </c>
    </row>
    <row r="32" spans="1:22" x14ac:dyDescent="0.25">
      <c r="A32" t="s">
        <v>207</v>
      </c>
      <c r="B32">
        <v>1</v>
      </c>
      <c r="C32" s="5">
        <v>42383</v>
      </c>
      <c r="D32" t="s">
        <v>208</v>
      </c>
      <c r="E32" t="s">
        <v>209</v>
      </c>
      <c r="F32" t="s">
        <v>210</v>
      </c>
      <c r="G32" t="s">
        <v>211</v>
      </c>
      <c r="H32" t="s">
        <v>33</v>
      </c>
      <c r="K32" t="s">
        <v>34</v>
      </c>
      <c r="L32" t="s">
        <v>35</v>
      </c>
      <c r="M32" t="s">
        <v>36</v>
      </c>
      <c r="Q32" t="s">
        <v>37</v>
      </c>
      <c r="R32" t="s">
        <v>38</v>
      </c>
      <c r="S32" t="s">
        <v>84</v>
      </c>
      <c r="T32" t="s">
        <v>73</v>
      </c>
      <c r="U32" t="s">
        <v>41</v>
      </c>
      <c r="V32" s="9" t="str">
        <f>HYPERLINK("https://app.ntsb.gov/pdfgenerator/ReportGeneratorFile.ashx?EventID=20160120X53504&amp;AKey=1&amp;Rtype=Final&amp;IType=CA","PDF Report")</f>
        <v>PDF Report</v>
      </c>
    </row>
    <row r="33" spans="1:22" x14ac:dyDescent="0.25">
      <c r="A33" t="s">
        <v>212</v>
      </c>
      <c r="B33">
        <v>1</v>
      </c>
      <c r="C33" s="5">
        <v>42384</v>
      </c>
      <c r="D33" t="s">
        <v>213</v>
      </c>
      <c r="E33" t="s">
        <v>214</v>
      </c>
      <c r="F33" t="s">
        <v>215</v>
      </c>
      <c r="G33" t="s">
        <v>54</v>
      </c>
      <c r="H33" t="s">
        <v>33</v>
      </c>
      <c r="K33" t="s">
        <v>47</v>
      </c>
      <c r="L33" t="s">
        <v>35</v>
      </c>
      <c r="M33" t="s">
        <v>56</v>
      </c>
      <c r="N33" t="s">
        <v>57</v>
      </c>
      <c r="O33" t="s">
        <v>58</v>
      </c>
      <c r="P33" t="s">
        <v>59</v>
      </c>
      <c r="Q33" t="s">
        <v>37</v>
      </c>
      <c r="S33" t="s">
        <v>191</v>
      </c>
      <c r="T33" t="s">
        <v>73</v>
      </c>
      <c r="U33" t="s">
        <v>41</v>
      </c>
      <c r="V33" s="9" t="str">
        <f>HYPERLINK("https://app.ntsb.gov/pdfgenerator/ReportGeneratorFile.ashx?EventID=20160121X00157&amp;AKey=1&amp;Rtype=Final&amp;IType=CA","PDF Report")</f>
        <v>PDF Report</v>
      </c>
    </row>
    <row r="34" spans="1:22" x14ac:dyDescent="0.25">
      <c r="A34" t="s">
        <v>216</v>
      </c>
      <c r="B34">
        <v>1</v>
      </c>
      <c r="C34" s="5">
        <v>42385</v>
      </c>
      <c r="D34" t="s">
        <v>217</v>
      </c>
      <c r="E34" t="s">
        <v>218</v>
      </c>
      <c r="F34" t="s">
        <v>219</v>
      </c>
      <c r="G34" t="s">
        <v>142</v>
      </c>
      <c r="H34" t="s">
        <v>33</v>
      </c>
      <c r="K34" t="s">
        <v>34</v>
      </c>
      <c r="L34" t="s">
        <v>35</v>
      </c>
      <c r="M34" t="s">
        <v>36</v>
      </c>
      <c r="Q34" t="s">
        <v>37</v>
      </c>
      <c r="R34" t="s">
        <v>38</v>
      </c>
      <c r="S34" t="s">
        <v>97</v>
      </c>
      <c r="T34" t="s">
        <v>79</v>
      </c>
      <c r="U34" t="s">
        <v>41</v>
      </c>
      <c r="V34" s="9" t="str">
        <f>HYPERLINK("https://app.ntsb.gov/pdfgenerator/ReportGeneratorFile.ashx?EventID=20160116X22241&amp;AKey=1&amp;Rtype=Final&amp;IType=LA","PDF Report")</f>
        <v>PDF Report</v>
      </c>
    </row>
    <row r="35" spans="1:22" x14ac:dyDescent="0.25">
      <c r="A35" t="s">
        <v>220</v>
      </c>
      <c r="B35">
        <v>1</v>
      </c>
      <c r="C35" s="5">
        <v>42385</v>
      </c>
      <c r="D35" t="s">
        <v>221</v>
      </c>
      <c r="E35" t="s">
        <v>222</v>
      </c>
      <c r="F35" t="s">
        <v>223</v>
      </c>
      <c r="G35" t="s">
        <v>115</v>
      </c>
      <c r="H35" t="s">
        <v>33</v>
      </c>
      <c r="K35" t="s">
        <v>34</v>
      </c>
      <c r="L35" t="s">
        <v>35</v>
      </c>
      <c r="M35" t="s">
        <v>36</v>
      </c>
      <c r="Q35" t="s">
        <v>185</v>
      </c>
      <c r="R35" t="s">
        <v>38</v>
      </c>
      <c r="S35" t="s">
        <v>131</v>
      </c>
      <c r="T35" t="s">
        <v>164</v>
      </c>
      <c r="U35" t="s">
        <v>41</v>
      </c>
      <c r="V35" s="9" t="str">
        <f>HYPERLINK("https://app.ntsb.gov/pdfgenerator/ReportGeneratorFile.ashx?EventID=20160203X31618&amp;AKey=1&amp;Rtype=Final&amp;IType=CA","PDF Report")</f>
        <v>PDF Report</v>
      </c>
    </row>
    <row r="36" spans="1:22" x14ac:dyDescent="0.25">
      <c r="A36" t="s">
        <v>224</v>
      </c>
      <c r="B36">
        <v>1</v>
      </c>
      <c r="C36" s="5">
        <v>42386</v>
      </c>
      <c r="D36" t="s">
        <v>225</v>
      </c>
      <c r="E36" t="s">
        <v>226</v>
      </c>
      <c r="F36" t="s">
        <v>227</v>
      </c>
      <c r="G36" t="s">
        <v>136</v>
      </c>
      <c r="H36" t="s">
        <v>33</v>
      </c>
      <c r="J36">
        <v>2</v>
      </c>
      <c r="K36" t="s">
        <v>55</v>
      </c>
      <c r="L36" t="s">
        <v>35</v>
      </c>
      <c r="M36" t="s">
        <v>36</v>
      </c>
      <c r="Q36" t="s">
        <v>37</v>
      </c>
      <c r="R36" t="s">
        <v>38</v>
      </c>
      <c r="S36" t="s">
        <v>97</v>
      </c>
      <c r="T36" t="s">
        <v>61</v>
      </c>
      <c r="U36" t="s">
        <v>41</v>
      </c>
      <c r="V36" s="9" t="str">
        <f>HYPERLINK("https://app.ntsb.gov/pdfgenerator/ReportGeneratorFile.ashx?EventID=20160118X02647&amp;AKey=1&amp;Rtype=Final&amp;IType=LA","PDF Report")</f>
        <v>PDF Report</v>
      </c>
    </row>
    <row r="37" spans="1:22" x14ac:dyDescent="0.25">
      <c r="A37" t="s">
        <v>228</v>
      </c>
      <c r="B37">
        <v>1</v>
      </c>
      <c r="C37" s="5">
        <v>42386</v>
      </c>
      <c r="D37" t="s">
        <v>229</v>
      </c>
      <c r="E37" t="s">
        <v>230</v>
      </c>
      <c r="F37" t="s">
        <v>231</v>
      </c>
      <c r="G37" t="s">
        <v>232</v>
      </c>
      <c r="H37" t="s">
        <v>33</v>
      </c>
      <c r="J37">
        <v>4</v>
      </c>
      <c r="K37" t="s">
        <v>55</v>
      </c>
      <c r="L37" t="s">
        <v>35</v>
      </c>
      <c r="M37" t="s">
        <v>56</v>
      </c>
      <c r="N37" t="s">
        <v>57</v>
      </c>
      <c r="O37" t="s">
        <v>58</v>
      </c>
      <c r="P37" t="s">
        <v>59</v>
      </c>
      <c r="Q37" t="s">
        <v>185</v>
      </c>
      <c r="S37" t="s">
        <v>39</v>
      </c>
      <c r="T37" t="s">
        <v>61</v>
      </c>
      <c r="U37" t="s">
        <v>41</v>
      </c>
      <c r="V37" s="9" t="str">
        <f>HYPERLINK("https://app.ntsb.gov/pdfgenerator/ReportGeneratorFile.ashx?EventID=20160119X14513&amp;AKey=1&amp;Rtype=Final&amp;IType=FA","PDF Report")</f>
        <v>PDF Report</v>
      </c>
    </row>
    <row r="38" spans="1:22" x14ac:dyDescent="0.25">
      <c r="A38" t="s">
        <v>233</v>
      </c>
      <c r="B38">
        <v>1</v>
      </c>
      <c r="C38" s="5">
        <v>42386</v>
      </c>
      <c r="D38" t="s">
        <v>234</v>
      </c>
      <c r="E38" t="s">
        <v>235</v>
      </c>
      <c r="F38" t="s">
        <v>236</v>
      </c>
      <c r="G38" t="s">
        <v>237</v>
      </c>
      <c r="H38" t="s">
        <v>33</v>
      </c>
      <c r="K38" t="s">
        <v>34</v>
      </c>
      <c r="L38" t="s">
        <v>35</v>
      </c>
      <c r="M38" t="s">
        <v>36</v>
      </c>
      <c r="Q38" t="s">
        <v>37</v>
      </c>
      <c r="R38" t="s">
        <v>38</v>
      </c>
      <c r="S38" t="s">
        <v>39</v>
      </c>
      <c r="T38" t="s">
        <v>61</v>
      </c>
      <c r="U38" t="s">
        <v>41</v>
      </c>
      <c r="V38" s="9" t="str">
        <f>HYPERLINK("https://app.ntsb.gov/pdfgenerator/ReportGeneratorFile.ashx?EventID=20160119X73042&amp;AKey=1&amp;Rtype=Final&amp;IType=LA","PDF Report")</f>
        <v>PDF Report</v>
      </c>
    </row>
    <row r="39" spans="1:22" x14ac:dyDescent="0.25">
      <c r="A39" t="s">
        <v>238</v>
      </c>
      <c r="B39">
        <v>1</v>
      </c>
      <c r="C39" s="5">
        <v>42387</v>
      </c>
      <c r="D39" t="s">
        <v>239</v>
      </c>
      <c r="E39" t="s">
        <v>240</v>
      </c>
      <c r="F39" t="s">
        <v>241</v>
      </c>
      <c r="G39" t="s">
        <v>242</v>
      </c>
      <c r="H39" t="s">
        <v>33</v>
      </c>
      <c r="I39">
        <v>2</v>
      </c>
      <c r="K39" t="s">
        <v>90</v>
      </c>
      <c r="L39" t="s">
        <v>110</v>
      </c>
      <c r="M39" t="s">
        <v>36</v>
      </c>
      <c r="Q39" t="s">
        <v>37</v>
      </c>
      <c r="R39" t="s">
        <v>38</v>
      </c>
      <c r="S39" t="s">
        <v>243</v>
      </c>
      <c r="T39" t="s">
        <v>61</v>
      </c>
      <c r="U39" t="s">
        <v>41</v>
      </c>
      <c r="V39" s="9" t="str">
        <f>HYPERLINK("https://app.ntsb.gov/pdfgenerator/ReportGeneratorFile.ashx?EventID=20160118X53003&amp;AKey=1&amp;Rtype=Final&amp;IType=FA","PDF Report")</f>
        <v>PDF Report</v>
      </c>
    </row>
    <row r="40" spans="1:22" x14ac:dyDescent="0.25">
      <c r="A40" t="s">
        <v>244</v>
      </c>
      <c r="B40">
        <v>1</v>
      </c>
      <c r="C40" s="5">
        <v>42387</v>
      </c>
      <c r="D40" t="s">
        <v>245</v>
      </c>
      <c r="E40" t="s">
        <v>246</v>
      </c>
      <c r="F40" t="s">
        <v>247</v>
      </c>
      <c r="G40" t="s">
        <v>96</v>
      </c>
      <c r="H40" t="s">
        <v>33</v>
      </c>
      <c r="K40" t="s">
        <v>34</v>
      </c>
      <c r="L40" t="s">
        <v>35</v>
      </c>
      <c r="M40" t="s">
        <v>36</v>
      </c>
      <c r="Q40" t="s">
        <v>37</v>
      </c>
      <c r="R40" t="s">
        <v>38</v>
      </c>
      <c r="S40" t="s">
        <v>131</v>
      </c>
      <c r="T40" t="s">
        <v>73</v>
      </c>
      <c r="U40" t="s">
        <v>41</v>
      </c>
      <c r="V40" s="9" t="str">
        <f>HYPERLINK("https://app.ntsb.gov/pdfgenerator/ReportGeneratorFile.ashx?EventID=20160120X22318&amp;AKey=1&amp;Rtype=Final&amp;IType=CA","PDF Report")</f>
        <v>PDF Report</v>
      </c>
    </row>
    <row r="41" spans="1:22" x14ac:dyDescent="0.25">
      <c r="A41" t="s">
        <v>248</v>
      </c>
      <c r="B41">
        <v>1</v>
      </c>
      <c r="C41" s="5">
        <v>42387</v>
      </c>
      <c r="D41" t="s">
        <v>249</v>
      </c>
      <c r="E41" t="s">
        <v>250</v>
      </c>
      <c r="F41" t="s">
        <v>251</v>
      </c>
      <c r="G41" t="s">
        <v>136</v>
      </c>
      <c r="H41" t="s">
        <v>33</v>
      </c>
      <c r="K41" t="s">
        <v>34</v>
      </c>
      <c r="L41" t="s">
        <v>35</v>
      </c>
      <c r="M41" t="s">
        <v>36</v>
      </c>
      <c r="Q41" t="s">
        <v>37</v>
      </c>
      <c r="R41" t="s">
        <v>130</v>
      </c>
      <c r="S41" t="s">
        <v>84</v>
      </c>
      <c r="T41" t="s">
        <v>73</v>
      </c>
      <c r="U41" t="s">
        <v>41</v>
      </c>
      <c r="V41" s="9" t="str">
        <f>HYPERLINK("https://app.ntsb.gov/pdfgenerator/ReportGeneratorFile.ashx?EventID=20160120X62950&amp;AKey=1&amp;Rtype=Final&amp;IType=LA","PDF Report")</f>
        <v>PDF Report</v>
      </c>
    </row>
    <row r="42" spans="1:22" x14ac:dyDescent="0.25">
      <c r="A42" t="s">
        <v>252</v>
      </c>
      <c r="B42">
        <v>1</v>
      </c>
      <c r="C42" s="5">
        <v>42387</v>
      </c>
      <c r="D42" t="s">
        <v>253</v>
      </c>
      <c r="E42" t="s">
        <v>254</v>
      </c>
      <c r="F42" t="s">
        <v>255</v>
      </c>
      <c r="G42" t="s">
        <v>115</v>
      </c>
      <c r="H42" t="s">
        <v>33</v>
      </c>
      <c r="K42" t="s">
        <v>34</v>
      </c>
      <c r="L42" t="s">
        <v>35</v>
      </c>
      <c r="M42" t="s">
        <v>36</v>
      </c>
      <c r="Q42" t="s">
        <v>37</v>
      </c>
      <c r="R42" t="s">
        <v>38</v>
      </c>
      <c r="S42" t="s">
        <v>84</v>
      </c>
      <c r="T42" t="s">
        <v>73</v>
      </c>
      <c r="U42" t="s">
        <v>41</v>
      </c>
      <c r="V42" s="9" t="str">
        <f>HYPERLINK("https://app.ntsb.gov/pdfgenerator/ReportGeneratorFile.ashx?EventID=20160121X65336&amp;AKey=1&amp;Rtype=Final&amp;IType=CA","PDF Report")</f>
        <v>PDF Report</v>
      </c>
    </row>
    <row r="43" spans="1:22" x14ac:dyDescent="0.25">
      <c r="A43" t="s">
        <v>256</v>
      </c>
      <c r="B43">
        <v>1</v>
      </c>
      <c r="C43" s="5">
        <v>42388</v>
      </c>
      <c r="D43" t="s">
        <v>257</v>
      </c>
      <c r="E43" t="s">
        <v>258</v>
      </c>
      <c r="F43" t="s">
        <v>259</v>
      </c>
      <c r="G43" t="s">
        <v>96</v>
      </c>
      <c r="H43" t="s">
        <v>33</v>
      </c>
      <c r="K43" t="s">
        <v>34</v>
      </c>
      <c r="L43" t="s">
        <v>35</v>
      </c>
      <c r="M43" t="s">
        <v>36</v>
      </c>
      <c r="Q43" t="s">
        <v>37</v>
      </c>
      <c r="R43" t="s">
        <v>130</v>
      </c>
      <c r="S43" t="s">
        <v>48</v>
      </c>
      <c r="T43" t="s">
        <v>79</v>
      </c>
      <c r="U43" t="s">
        <v>41</v>
      </c>
      <c r="V43" s="9" t="str">
        <f>HYPERLINK("https://app.ntsb.gov/pdfgenerator/ReportGeneratorFile.ashx?EventID=20160120X44826&amp;AKey=1&amp;Rtype=Final&amp;IType=CA","PDF Report")</f>
        <v>PDF Report</v>
      </c>
    </row>
    <row r="44" spans="1:22" x14ac:dyDescent="0.25">
      <c r="A44" t="s">
        <v>260</v>
      </c>
      <c r="B44">
        <v>1</v>
      </c>
      <c r="C44" s="5">
        <v>42388</v>
      </c>
      <c r="D44" t="s">
        <v>261</v>
      </c>
      <c r="E44" t="s">
        <v>262</v>
      </c>
      <c r="F44" t="s">
        <v>263</v>
      </c>
      <c r="G44" t="s">
        <v>264</v>
      </c>
      <c r="H44" t="s">
        <v>33</v>
      </c>
      <c r="K44" t="s">
        <v>47</v>
      </c>
      <c r="L44" t="s">
        <v>35</v>
      </c>
      <c r="M44" t="s">
        <v>36</v>
      </c>
      <c r="Q44" t="s">
        <v>37</v>
      </c>
      <c r="R44" t="s">
        <v>130</v>
      </c>
      <c r="S44" t="s">
        <v>265</v>
      </c>
      <c r="T44" t="s">
        <v>61</v>
      </c>
      <c r="U44" t="s">
        <v>41</v>
      </c>
      <c r="V44" s="9" t="str">
        <f>HYPERLINK("https://app.ntsb.gov/pdfgenerator/ReportGeneratorFile.ashx?EventID=20160120X52017&amp;AKey=1&amp;Rtype=Final&amp;IType=CA","PDF Report")</f>
        <v>PDF Report</v>
      </c>
    </row>
    <row r="45" spans="1:22" x14ac:dyDescent="0.25">
      <c r="A45" t="s">
        <v>266</v>
      </c>
      <c r="B45">
        <v>1</v>
      </c>
      <c r="C45" s="5">
        <v>42388</v>
      </c>
      <c r="D45" t="s">
        <v>267</v>
      </c>
      <c r="E45" t="s">
        <v>268</v>
      </c>
      <c r="F45" t="s">
        <v>269</v>
      </c>
      <c r="G45" t="s">
        <v>46</v>
      </c>
      <c r="H45" t="s">
        <v>33</v>
      </c>
      <c r="K45" t="s">
        <v>47</v>
      </c>
      <c r="L45" t="s">
        <v>110</v>
      </c>
      <c r="M45" t="s">
        <v>36</v>
      </c>
      <c r="Q45" t="s">
        <v>37</v>
      </c>
      <c r="R45" t="s">
        <v>38</v>
      </c>
      <c r="S45" t="s">
        <v>48</v>
      </c>
      <c r="T45" t="s">
        <v>73</v>
      </c>
      <c r="U45" t="s">
        <v>41</v>
      </c>
      <c r="V45" s="9" t="str">
        <f>HYPERLINK("https://app.ntsb.gov/pdfgenerator/ReportGeneratorFile.ashx?EventID=20160121X02154&amp;AKey=1&amp;Rtype=Final&amp;IType=CA","PDF Report")</f>
        <v>PDF Report</v>
      </c>
    </row>
    <row r="46" spans="1:22" x14ac:dyDescent="0.25">
      <c r="A46" t="s">
        <v>270</v>
      </c>
      <c r="B46">
        <v>1</v>
      </c>
      <c r="C46" s="5">
        <v>42388</v>
      </c>
      <c r="D46" t="s">
        <v>271</v>
      </c>
      <c r="E46" t="s">
        <v>272</v>
      </c>
      <c r="F46" t="s">
        <v>273</v>
      </c>
      <c r="G46" t="s">
        <v>264</v>
      </c>
      <c r="H46" t="s">
        <v>33</v>
      </c>
      <c r="K46" t="s">
        <v>34</v>
      </c>
      <c r="L46" t="s">
        <v>35</v>
      </c>
      <c r="M46" t="s">
        <v>36</v>
      </c>
      <c r="Q46" t="s">
        <v>37</v>
      </c>
      <c r="R46" t="s">
        <v>274</v>
      </c>
      <c r="S46" t="s">
        <v>48</v>
      </c>
      <c r="T46" t="s">
        <v>79</v>
      </c>
      <c r="U46" t="s">
        <v>41</v>
      </c>
      <c r="V46" s="9" t="str">
        <f>HYPERLINK("https://app.ntsb.gov/pdfgenerator/ReportGeneratorFile.ashx?EventID=20160125X83431&amp;AKey=1&amp;Rtype=Final&amp;IType=LA","PDF Report")</f>
        <v>PDF Report</v>
      </c>
    </row>
    <row r="47" spans="1:22" x14ac:dyDescent="0.25">
      <c r="A47" t="s">
        <v>275</v>
      </c>
      <c r="B47">
        <v>1</v>
      </c>
      <c r="C47" s="5">
        <v>42391</v>
      </c>
      <c r="D47" t="s">
        <v>276</v>
      </c>
      <c r="E47" t="s">
        <v>277</v>
      </c>
      <c r="F47" t="s">
        <v>278</v>
      </c>
      <c r="G47" t="s">
        <v>120</v>
      </c>
      <c r="H47" t="s">
        <v>33</v>
      </c>
      <c r="K47" t="s">
        <v>47</v>
      </c>
      <c r="L47" t="s">
        <v>35</v>
      </c>
      <c r="M47" t="s">
        <v>36</v>
      </c>
      <c r="Q47" t="s">
        <v>185</v>
      </c>
      <c r="R47" t="s">
        <v>130</v>
      </c>
      <c r="S47" t="s">
        <v>48</v>
      </c>
      <c r="T47" t="s">
        <v>143</v>
      </c>
      <c r="U47" t="s">
        <v>41</v>
      </c>
      <c r="V47" s="9" t="str">
        <f>HYPERLINK("https://app.ntsb.gov/pdfgenerator/ReportGeneratorFile.ashx?EventID=20160125X32433&amp;AKey=1&amp;Rtype=Final&amp;IType=LA","PDF Report")</f>
        <v>PDF Report</v>
      </c>
    </row>
    <row r="48" spans="1:22" x14ac:dyDescent="0.25">
      <c r="A48" t="s">
        <v>279</v>
      </c>
      <c r="B48">
        <v>1</v>
      </c>
      <c r="C48" s="5">
        <v>42391</v>
      </c>
      <c r="D48" t="s">
        <v>280</v>
      </c>
      <c r="E48" t="s">
        <v>281</v>
      </c>
      <c r="F48" t="s">
        <v>282</v>
      </c>
      <c r="G48" t="s">
        <v>96</v>
      </c>
      <c r="H48" t="s">
        <v>33</v>
      </c>
      <c r="K48" t="s">
        <v>47</v>
      </c>
      <c r="L48" t="s">
        <v>35</v>
      </c>
      <c r="M48" t="s">
        <v>36</v>
      </c>
      <c r="Q48" t="s">
        <v>37</v>
      </c>
      <c r="R48" t="s">
        <v>38</v>
      </c>
      <c r="S48" t="s">
        <v>97</v>
      </c>
      <c r="T48" t="s">
        <v>40</v>
      </c>
      <c r="U48" t="s">
        <v>41</v>
      </c>
      <c r="V48" s="9" t="str">
        <f>HYPERLINK("https://app.ntsb.gov/pdfgenerator/ReportGeneratorFile.ashx?EventID=20160210X50052&amp;AKey=1&amp;Rtype=Final&amp;IType=LA","PDF Report")</f>
        <v>PDF Report</v>
      </c>
    </row>
    <row r="49" spans="1:22" x14ac:dyDescent="0.25">
      <c r="A49" t="s">
        <v>283</v>
      </c>
      <c r="B49">
        <v>1</v>
      </c>
      <c r="C49" s="5">
        <v>42392</v>
      </c>
      <c r="D49" t="s">
        <v>284</v>
      </c>
      <c r="E49" t="s">
        <v>285</v>
      </c>
      <c r="F49" t="s">
        <v>286</v>
      </c>
      <c r="G49" t="s">
        <v>287</v>
      </c>
      <c r="H49" t="s">
        <v>33</v>
      </c>
      <c r="K49" t="s">
        <v>34</v>
      </c>
      <c r="L49" t="s">
        <v>35</v>
      </c>
      <c r="M49" t="s">
        <v>36</v>
      </c>
      <c r="Q49" t="s">
        <v>37</v>
      </c>
      <c r="R49" t="s">
        <v>38</v>
      </c>
      <c r="S49" t="s">
        <v>84</v>
      </c>
      <c r="T49" t="s">
        <v>73</v>
      </c>
      <c r="U49" t="s">
        <v>41</v>
      </c>
      <c r="V49" s="9" t="str">
        <f>HYPERLINK("https://app.ntsb.gov/pdfgenerator/ReportGeneratorFile.ashx?EventID=20160126X43858&amp;AKey=1&amp;Rtype=Final&amp;IType=CA","PDF Report")</f>
        <v>PDF Report</v>
      </c>
    </row>
    <row r="50" spans="1:22" x14ac:dyDescent="0.25">
      <c r="A50" t="s">
        <v>288</v>
      </c>
      <c r="B50">
        <v>1</v>
      </c>
      <c r="C50" s="5">
        <v>42393</v>
      </c>
      <c r="D50" t="s">
        <v>289</v>
      </c>
      <c r="E50" t="s">
        <v>290</v>
      </c>
      <c r="F50" t="s">
        <v>291</v>
      </c>
      <c r="G50" t="s">
        <v>287</v>
      </c>
      <c r="H50" t="s">
        <v>33</v>
      </c>
      <c r="K50" t="s">
        <v>47</v>
      </c>
      <c r="L50" t="s">
        <v>35</v>
      </c>
      <c r="M50" t="s">
        <v>36</v>
      </c>
      <c r="Q50" t="s">
        <v>185</v>
      </c>
      <c r="R50" t="s">
        <v>38</v>
      </c>
      <c r="S50" t="s">
        <v>39</v>
      </c>
      <c r="T50" t="s">
        <v>143</v>
      </c>
      <c r="U50" t="s">
        <v>41</v>
      </c>
      <c r="V50" s="9" t="str">
        <f>HYPERLINK("https://app.ntsb.gov/pdfgenerator/ReportGeneratorFile.ashx?EventID=20160126X02541&amp;AKey=1&amp;Rtype=Final&amp;IType=LA","PDF Report")</f>
        <v>PDF Report</v>
      </c>
    </row>
    <row r="51" spans="1:22" x14ac:dyDescent="0.25">
      <c r="A51" t="s">
        <v>292</v>
      </c>
      <c r="B51">
        <v>1</v>
      </c>
      <c r="C51" s="5">
        <v>42393</v>
      </c>
      <c r="D51" t="s">
        <v>293</v>
      </c>
      <c r="E51" t="s">
        <v>294</v>
      </c>
      <c r="F51" t="s">
        <v>295</v>
      </c>
      <c r="G51" t="s">
        <v>211</v>
      </c>
      <c r="H51" t="s">
        <v>33</v>
      </c>
      <c r="K51" t="s">
        <v>34</v>
      </c>
      <c r="L51" t="s">
        <v>35</v>
      </c>
      <c r="M51" t="s">
        <v>103</v>
      </c>
      <c r="N51" t="s">
        <v>57</v>
      </c>
      <c r="O51" t="s">
        <v>58</v>
      </c>
      <c r="P51" t="s">
        <v>59</v>
      </c>
      <c r="Q51" t="s">
        <v>37</v>
      </c>
      <c r="S51" t="s">
        <v>163</v>
      </c>
      <c r="T51" t="s">
        <v>164</v>
      </c>
      <c r="U51" t="s">
        <v>41</v>
      </c>
      <c r="V51" s="9" t="str">
        <f>HYPERLINK("https://app.ntsb.gov/pdfgenerator/ReportGeneratorFile.ashx?EventID=20160126X75122&amp;AKey=1&amp;Rtype=Final&amp;IType=CA","PDF Report")</f>
        <v>PDF Report</v>
      </c>
    </row>
    <row r="52" spans="1:22" x14ac:dyDescent="0.25">
      <c r="A52" t="s">
        <v>296</v>
      </c>
      <c r="B52">
        <v>1</v>
      </c>
      <c r="C52" s="5">
        <v>42393</v>
      </c>
      <c r="D52" t="s">
        <v>297</v>
      </c>
      <c r="E52" t="s">
        <v>298</v>
      </c>
      <c r="F52" t="s">
        <v>299</v>
      </c>
      <c r="G52" t="s">
        <v>32</v>
      </c>
      <c r="H52" t="s">
        <v>33</v>
      </c>
      <c r="K52" t="s">
        <v>34</v>
      </c>
      <c r="L52" t="s">
        <v>35</v>
      </c>
      <c r="M52" t="s">
        <v>36</v>
      </c>
      <c r="Q52" t="s">
        <v>37</v>
      </c>
      <c r="R52" t="s">
        <v>130</v>
      </c>
      <c r="S52" t="s">
        <v>131</v>
      </c>
      <c r="T52" t="s">
        <v>73</v>
      </c>
      <c r="U52" t="s">
        <v>41</v>
      </c>
      <c r="V52" s="9" t="str">
        <f>HYPERLINK("https://app.ntsb.gov/pdfgenerator/ReportGeneratorFile.ashx?EventID=20160126X94952&amp;AKey=1&amp;Rtype=Final&amp;IType=CA","PDF Report")</f>
        <v>PDF Report</v>
      </c>
    </row>
    <row r="53" spans="1:22" x14ac:dyDescent="0.25">
      <c r="A53" t="s">
        <v>300</v>
      </c>
      <c r="B53">
        <v>1</v>
      </c>
      <c r="C53" s="5">
        <v>42393</v>
      </c>
      <c r="D53" t="s">
        <v>301</v>
      </c>
      <c r="E53" t="s">
        <v>302</v>
      </c>
      <c r="F53" t="s">
        <v>303</v>
      </c>
      <c r="G53" t="s">
        <v>66</v>
      </c>
      <c r="H53" t="s">
        <v>33</v>
      </c>
      <c r="K53" t="s">
        <v>34</v>
      </c>
      <c r="L53" t="s">
        <v>35</v>
      </c>
      <c r="M53" t="s">
        <v>36</v>
      </c>
      <c r="Q53" t="s">
        <v>37</v>
      </c>
      <c r="R53" t="s">
        <v>38</v>
      </c>
      <c r="S53" t="s">
        <v>131</v>
      </c>
      <c r="T53" t="s">
        <v>73</v>
      </c>
      <c r="U53" t="s">
        <v>41</v>
      </c>
      <c r="V53" s="9" t="str">
        <f>HYPERLINK("https://app.ntsb.gov/pdfgenerator/ReportGeneratorFile.ashx?EventID=20160208X50851&amp;AKey=1&amp;Rtype=Final&amp;IType=CA","PDF Report")</f>
        <v>PDF Report</v>
      </c>
    </row>
    <row r="54" spans="1:22" x14ac:dyDescent="0.25">
      <c r="A54" t="s">
        <v>304</v>
      </c>
      <c r="B54">
        <v>1</v>
      </c>
      <c r="C54" s="5">
        <v>42394</v>
      </c>
      <c r="D54" t="s">
        <v>305</v>
      </c>
      <c r="E54" t="s">
        <v>306</v>
      </c>
      <c r="F54" t="s">
        <v>307</v>
      </c>
      <c r="G54" t="s">
        <v>66</v>
      </c>
      <c r="H54" t="s">
        <v>33</v>
      </c>
      <c r="K54" t="s">
        <v>34</v>
      </c>
      <c r="L54" t="s">
        <v>35</v>
      </c>
      <c r="M54" t="s">
        <v>36</v>
      </c>
      <c r="Q54" t="s">
        <v>37</v>
      </c>
      <c r="R54" t="s">
        <v>38</v>
      </c>
      <c r="S54" t="s">
        <v>72</v>
      </c>
      <c r="T54" t="s">
        <v>73</v>
      </c>
      <c r="U54" t="s">
        <v>41</v>
      </c>
      <c r="V54" s="9" t="str">
        <f>HYPERLINK("https://app.ntsb.gov/pdfgenerator/ReportGeneratorFile.ashx?EventID=20160201X51829&amp;AKey=1&amp;Rtype=Final&amp;IType=LA","PDF Report")</f>
        <v>PDF Report</v>
      </c>
    </row>
    <row r="55" spans="1:22" x14ac:dyDescent="0.25">
      <c r="A55" t="s">
        <v>308</v>
      </c>
      <c r="B55">
        <v>1</v>
      </c>
      <c r="C55" s="5">
        <v>42395</v>
      </c>
      <c r="D55" t="s">
        <v>309</v>
      </c>
      <c r="E55" t="s">
        <v>310</v>
      </c>
      <c r="F55" t="s">
        <v>311</v>
      </c>
      <c r="G55" t="s">
        <v>312</v>
      </c>
      <c r="H55" t="s">
        <v>33</v>
      </c>
      <c r="I55">
        <v>1</v>
      </c>
      <c r="K55" t="s">
        <v>90</v>
      </c>
      <c r="L55" t="s">
        <v>35</v>
      </c>
      <c r="M55" t="s">
        <v>36</v>
      </c>
      <c r="Q55" t="s">
        <v>37</v>
      </c>
      <c r="R55" t="s">
        <v>137</v>
      </c>
      <c r="S55" t="s">
        <v>48</v>
      </c>
      <c r="T55" t="s">
        <v>79</v>
      </c>
      <c r="U55" t="s">
        <v>41</v>
      </c>
      <c r="V55" s="9" t="str">
        <f>HYPERLINK("https://app.ntsb.gov/pdfgenerator/ReportGeneratorFile.ashx?EventID=20160201X51653&amp;AKey=1&amp;Rtype=Final&amp;IType=FA","PDF Report")</f>
        <v>PDF Report</v>
      </c>
    </row>
    <row r="56" spans="1:22" x14ac:dyDescent="0.25">
      <c r="A56" t="s">
        <v>313</v>
      </c>
      <c r="B56">
        <v>1</v>
      </c>
      <c r="C56" s="5">
        <v>42395</v>
      </c>
      <c r="D56" t="s">
        <v>314</v>
      </c>
      <c r="E56" t="s">
        <v>315</v>
      </c>
      <c r="F56" t="s">
        <v>316</v>
      </c>
      <c r="G56" t="s">
        <v>136</v>
      </c>
      <c r="H56" t="s">
        <v>33</v>
      </c>
      <c r="K56" t="s">
        <v>34</v>
      </c>
      <c r="L56" t="s">
        <v>35</v>
      </c>
      <c r="M56" t="s">
        <v>36</v>
      </c>
      <c r="Q56" t="s">
        <v>37</v>
      </c>
      <c r="R56" t="s">
        <v>274</v>
      </c>
      <c r="S56" t="s">
        <v>317</v>
      </c>
      <c r="T56" t="s">
        <v>49</v>
      </c>
      <c r="U56" t="s">
        <v>41</v>
      </c>
      <c r="V56" s="9" t="str">
        <f>HYPERLINK("https://app.ntsb.gov/pdfgenerator/ReportGeneratorFile.ashx?EventID=20160216X40423&amp;AKey=1&amp;Rtype=Final&amp;IType=CA","PDF Report")</f>
        <v>PDF Report</v>
      </c>
    </row>
    <row r="57" spans="1:22" x14ac:dyDescent="0.25">
      <c r="A57" t="s">
        <v>318</v>
      </c>
      <c r="B57">
        <v>1</v>
      </c>
      <c r="C57" s="5">
        <v>42396</v>
      </c>
      <c r="D57" t="s">
        <v>319</v>
      </c>
      <c r="E57" t="s">
        <v>320</v>
      </c>
      <c r="F57" t="s">
        <v>321</v>
      </c>
      <c r="G57" t="s">
        <v>322</v>
      </c>
      <c r="H57" t="s">
        <v>33</v>
      </c>
      <c r="K57" t="s">
        <v>34</v>
      </c>
      <c r="L57" t="s">
        <v>35</v>
      </c>
      <c r="M57" t="s">
        <v>36</v>
      </c>
      <c r="Q57" t="s">
        <v>185</v>
      </c>
      <c r="R57" t="s">
        <v>130</v>
      </c>
      <c r="S57" t="s">
        <v>39</v>
      </c>
      <c r="T57" t="s">
        <v>61</v>
      </c>
      <c r="U57" t="s">
        <v>41</v>
      </c>
      <c r="V57" s="9" t="str">
        <f>HYPERLINK("https://app.ntsb.gov/pdfgenerator/ReportGeneratorFile.ashx?EventID=20160127X34458&amp;AKey=1&amp;Rtype=Final&amp;IType=LA","PDF Report")</f>
        <v>PDF Report</v>
      </c>
    </row>
    <row r="58" spans="1:22" x14ac:dyDescent="0.25">
      <c r="A58" t="s">
        <v>323</v>
      </c>
      <c r="B58">
        <v>1</v>
      </c>
      <c r="C58" s="5">
        <v>42396</v>
      </c>
      <c r="D58" t="s">
        <v>324</v>
      </c>
      <c r="E58" t="s">
        <v>325</v>
      </c>
      <c r="F58" t="s">
        <v>326</v>
      </c>
      <c r="G58" t="s">
        <v>66</v>
      </c>
      <c r="H58" t="s">
        <v>33</v>
      </c>
      <c r="K58" t="s">
        <v>34</v>
      </c>
      <c r="L58" t="s">
        <v>35</v>
      </c>
      <c r="M58" t="s">
        <v>36</v>
      </c>
      <c r="Q58" t="s">
        <v>37</v>
      </c>
      <c r="R58" t="s">
        <v>274</v>
      </c>
      <c r="S58" t="s">
        <v>84</v>
      </c>
      <c r="T58" t="s">
        <v>73</v>
      </c>
      <c r="U58" t="s">
        <v>41</v>
      </c>
      <c r="V58" s="9" t="str">
        <f>HYPERLINK("https://app.ntsb.gov/pdfgenerator/ReportGeneratorFile.ashx?EventID=20160127X52321&amp;AKey=1&amp;Rtype=Final&amp;IType=LA","PDF Report")</f>
        <v>PDF Report</v>
      </c>
    </row>
    <row r="59" spans="1:22" x14ac:dyDescent="0.25">
      <c r="A59" t="s">
        <v>327</v>
      </c>
      <c r="B59">
        <v>1</v>
      </c>
      <c r="C59" s="5">
        <v>42397</v>
      </c>
      <c r="D59" t="s">
        <v>328</v>
      </c>
      <c r="E59" t="s">
        <v>329</v>
      </c>
      <c r="F59" t="s">
        <v>330</v>
      </c>
      <c r="G59" t="s">
        <v>66</v>
      </c>
      <c r="H59" t="s">
        <v>33</v>
      </c>
      <c r="I59">
        <v>2</v>
      </c>
      <c r="K59" t="s">
        <v>90</v>
      </c>
      <c r="L59" t="s">
        <v>35</v>
      </c>
      <c r="M59" t="s">
        <v>36</v>
      </c>
      <c r="Q59" t="s">
        <v>37</v>
      </c>
      <c r="R59" t="s">
        <v>38</v>
      </c>
      <c r="S59" t="s">
        <v>48</v>
      </c>
      <c r="T59" t="s">
        <v>79</v>
      </c>
      <c r="U59" t="s">
        <v>41</v>
      </c>
      <c r="V59" s="9" t="str">
        <f>HYPERLINK("https://app.ntsb.gov/pdfgenerator/ReportGeneratorFile.ashx?EventID=20160128X25329&amp;AKey=1&amp;Rtype=Final&amp;IType=FA","PDF Report")</f>
        <v>PDF Report</v>
      </c>
    </row>
    <row r="60" spans="1:22" x14ac:dyDescent="0.25">
      <c r="A60" t="s">
        <v>331</v>
      </c>
      <c r="B60">
        <v>1</v>
      </c>
      <c r="C60" s="5">
        <v>42397</v>
      </c>
      <c r="D60" t="s">
        <v>332</v>
      </c>
      <c r="E60" t="s">
        <v>333</v>
      </c>
      <c r="F60" t="s">
        <v>334</v>
      </c>
      <c r="G60" t="s">
        <v>115</v>
      </c>
      <c r="H60" t="s">
        <v>33</v>
      </c>
      <c r="J60">
        <v>1</v>
      </c>
      <c r="K60" t="s">
        <v>55</v>
      </c>
      <c r="L60" t="s">
        <v>34</v>
      </c>
      <c r="M60" t="s">
        <v>103</v>
      </c>
      <c r="N60" t="s">
        <v>57</v>
      </c>
      <c r="O60" t="s">
        <v>58</v>
      </c>
      <c r="P60" t="s">
        <v>59</v>
      </c>
      <c r="Q60" t="s">
        <v>37</v>
      </c>
      <c r="S60" t="s">
        <v>104</v>
      </c>
      <c r="T60" t="s">
        <v>61</v>
      </c>
      <c r="U60" t="s">
        <v>41</v>
      </c>
      <c r="V60" s="9" t="str">
        <f>HYPERLINK("https://app.ntsb.gov/pdfgenerator/ReportGeneratorFile.ashx?EventID=20160129X24835&amp;AKey=1&amp;Rtype=Final&amp;IType=CA","PDF Report")</f>
        <v>PDF Report</v>
      </c>
    </row>
    <row r="61" spans="1:22" x14ac:dyDescent="0.25">
      <c r="A61" t="s">
        <v>335</v>
      </c>
      <c r="B61">
        <v>1</v>
      </c>
      <c r="C61" s="5">
        <v>42398</v>
      </c>
      <c r="D61" t="s">
        <v>336</v>
      </c>
      <c r="E61" t="s">
        <v>337</v>
      </c>
      <c r="F61" t="s">
        <v>338</v>
      </c>
      <c r="G61" t="s">
        <v>339</v>
      </c>
      <c r="H61" t="s">
        <v>33</v>
      </c>
      <c r="K61" t="s">
        <v>34</v>
      </c>
      <c r="L61" t="s">
        <v>35</v>
      </c>
      <c r="M61" t="s">
        <v>56</v>
      </c>
      <c r="N61" t="s">
        <v>57</v>
      </c>
      <c r="O61" t="s">
        <v>58</v>
      </c>
      <c r="P61" t="s">
        <v>162</v>
      </c>
      <c r="Q61" t="s">
        <v>185</v>
      </c>
      <c r="S61" t="s">
        <v>196</v>
      </c>
      <c r="T61" t="s">
        <v>61</v>
      </c>
      <c r="U61" t="s">
        <v>41</v>
      </c>
      <c r="V61" s="9" t="str">
        <f>HYPERLINK("https://app.ntsb.gov/pdfgenerator/ReportGeneratorFile.ashx?EventID=20160201X64621&amp;AKey=1&amp;Rtype=Final&amp;IType=LA","PDF Report")</f>
        <v>PDF Report</v>
      </c>
    </row>
    <row r="62" spans="1:22" x14ac:dyDescent="0.25">
      <c r="A62" t="s">
        <v>340</v>
      </c>
      <c r="B62">
        <v>1</v>
      </c>
      <c r="C62" s="5">
        <v>42398</v>
      </c>
      <c r="D62" t="s">
        <v>341</v>
      </c>
      <c r="E62" t="s">
        <v>342</v>
      </c>
      <c r="F62" t="s">
        <v>343</v>
      </c>
      <c r="G62" t="s">
        <v>237</v>
      </c>
      <c r="H62" t="s">
        <v>33</v>
      </c>
      <c r="K62" t="s">
        <v>34</v>
      </c>
      <c r="L62" t="s">
        <v>35</v>
      </c>
      <c r="M62" t="s">
        <v>36</v>
      </c>
      <c r="Q62" t="s">
        <v>37</v>
      </c>
      <c r="R62" t="s">
        <v>38</v>
      </c>
      <c r="S62" t="s">
        <v>84</v>
      </c>
      <c r="T62" t="s">
        <v>73</v>
      </c>
      <c r="U62" t="s">
        <v>41</v>
      </c>
      <c r="V62" s="9" t="str">
        <f>HYPERLINK("https://app.ntsb.gov/pdfgenerator/ReportGeneratorFile.ashx?EventID=20160201X94211&amp;AKey=1&amp;Rtype=Final&amp;IType=CA","PDF Report")</f>
        <v>PDF Report</v>
      </c>
    </row>
    <row r="63" spans="1:22" x14ac:dyDescent="0.25">
      <c r="A63" t="s">
        <v>344</v>
      </c>
      <c r="B63">
        <v>1</v>
      </c>
      <c r="C63" s="5">
        <v>42398</v>
      </c>
      <c r="D63" t="s">
        <v>345</v>
      </c>
      <c r="E63" t="s">
        <v>346</v>
      </c>
      <c r="F63" t="s">
        <v>347</v>
      </c>
      <c r="G63" t="s">
        <v>348</v>
      </c>
      <c r="H63" t="s">
        <v>33</v>
      </c>
      <c r="K63" t="s">
        <v>34</v>
      </c>
      <c r="L63" t="s">
        <v>35</v>
      </c>
      <c r="M63" t="s">
        <v>36</v>
      </c>
      <c r="Q63" t="s">
        <v>37</v>
      </c>
      <c r="R63" t="s">
        <v>38</v>
      </c>
      <c r="S63" t="s">
        <v>84</v>
      </c>
      <c r="T63" t="s">
        <v>73</v>
      </c>
      <c r="U63" t="s">
        <v>41</v>
      </c>
      <c r="V63" s="9" t="str">
        <f>HYPERLINK("https://app.ntsb.gov/pdfgenerator/ReportGeneratorFile.ashx?EventID=20160209X91845&amp;AKey=1&amp;Rtype=Final&amp;IType=LA","PDF Report")</f>
        <v>PDF Report</v>
      </c>
    </row>
    <row r="64" spans="1:22" x14ac:dyDescent="0.25">
      <c r="A64" t="s">
        <v>349</v>
      </c>
      <c r="B64">
        <v>1</v>
      </c>
      <c r="C64" s="5">
        <v>42399</v>
      </c>
      <c r="D64" t="s">
        <v>350</v>
      </c>
      <c r="E64" t="s">
        <v>351</v>
      </c>
      <c r="F64" t="s">
        <v>352</v>
      </c>
      <c r="G64" t="s">
        <v>136</v>
      </c>
      <c r="H64" t="s">
        <v>33</v>
      </c>
      <c r="I64">
        <v>3</v>
      </c>
      <c r="K64" t="s">
        <v>90</v>
      </c>
      <c r="L64" t="s">
        <v>110</v>
      </c>
      <c r="M64" t="s">
        <v>36</v>
      </c>
      <c r="Q64" t="s">
        <v>37</v>
      </c>
      <c r="R64" t="s">
        <v>38</v>
      </c>
      <c r="S64" t="s">
        <v>48</v>
      </c>
      <c r="T64" t="s">
        <v>143</v>
      </c>
      <c r="U64" t="s">
        <v>41</v>
      </c>
      <c r="V64" s="9" t="str">
        <f>HYPERLINK("https://app.ntsb.gov/pdfgenerator/ReportGeneratorFile.ashx?EventID=20160130X60210&amp;AKey=1&amp;Rtype=Final&amp;IType=FA","PDF Report")</f>
        <v>PDF Report</v>
      </c>
    </row>
    <row r="65" spans="1:22" x14ac:dyDescent="0.25">
      <c r="A65" t="s">
        <v>353</v>
      </c>
      <c r="B65">
        <v>1</v>
      </c>
      <c r="C65" s="5">
        <v>42399</v>
      </c>
      <c r="D65" t="s">
        <v>354</v>
      </c>
      <c r="E65" t="s">
        <v>355</v>
      </c>
      <c r="F65" t="s">
        <v>356</v>
      </c>
      <c r="G65" t="s">
        <v>96</v>
      </c>
      <c r="H65" t="s">
        <v>33</v>
      </c>
      <c r="K65" t="s">
        <v>34</v>
      </c>
      <c r="L65" t="s">
        <v>35</v>
      </c>
      <c r="M65" t="s">
        <v>36</v>
      </c>
      <c r="Q65" t="s">
        <v>185</v>
      </c>
      <c r="R65" t="s">
        <v>38</v>
      </c>
      <c r="S65" t="s">
        <v>48</v>
      </c>
      <c r="T65" t="s">
        <v>40</v>
      </c>
      <c r="U65" t="s">
        <v>41</v>
      </c>
      <c r="V65" s="9" t="str">
        <f>HYPERLINK("https://app.ntsb.gov/pdfgenerator/ReportGeneratorFile.ashx?EventID=20160201X01857&amp;AKey=1&amp;Rtype=Final&amp;IType=LA","PDF Report")</f>
        <v>PDF Report</v>
      </c>
    </row>
    <row r="66" spans="1:22" x14ac:dyDescent="0.25">
      <c r="A66" t="s">
        <v>357</v>
      </c>
      <c r="B66">
        <v>1</v>
      </c>
      <c r="C66" s="5">
        <v>42399</v>
      </c>
      <c r="D66" t="s">
        <v>358</v>
      </c>
      <c r="E66" t="s">
        <v>359</v>
      </c>
      <c r="F66" t="s">
        <v>360</v>
      </c>
      <c r="G66" t="s">
        <v>206</v>
      </c>
      <c r="H66" t="s">
        <v>33</v>
      </c>
      <c r="K66" t="s">
        <v>34</v>
      </c>
      <c r="L66" t="s">
        <v>35</v>
      </c>
      <c r="M66" t="s">
        <v>36</v>
      </c>
      <c r="Q66" t="s">
        <v>37</v>
      </c>
      <c r="R66" t="s">
        <v>38</v>
      </c>
      <c r="S66" t="s">
        <v>84</v>
      </c>
      <c r="T66" t="s">
        <v>73</v>
      </c>
      <c r="U66" t="s">
        <v>41</v>
      </c>
      <c r="V66" s="9" t="str">
        <f>HYPERLINK("https://app.ntsb.gov/pdfgenerator/ReportGeneratorFile.ashx?EventID=20160201X54735&amp;AKey=1&amp;Rtype=Final&amp;IType=CA","PDF Report")</f>
        <v>PDF Report</v>
      </c>
    </row>
    <row r="67" spans="1:22" x14ac:dyDescent="0.25">
      <c r="A67" t="s">
        <v>361</v>
      </c>
      <c r="B67">
        <v>1</v>
      </c>
      <c r="C67" s="5">
        <v>42399</v>
      </c>
      <c r="D67" t="s">
        <v>362</v>
      </c>
      <c r="E67" t="s">
        <v>363</v>
      </c>
      <c r="F67" t="s">
        <v>364</v>
      </c>
      <c r="G67" t="s">
        <v>206</v>
      </c>
      <c r="H67" t="s">
        <v>33</v>
      </c>
      <c r="K67" t="s">
        <v>34</v>
      </c>
      <c r="L67" t="s">
        <v>35</v>
      </c>
      <c r="M67" t="s">
        <v>36</v>
      </c>
      <c r="Q67" t="s">
        <v>37</v>
      </c>
      <c r="R67" t="s">
        <v>38</v>
      </c>
      <c r="S67" t="s">
        <v>48</v>
      </c>
      <c r="T67" t="s">
        <v>49</v>
      </c>
      <c r="U67" t="s">
        <v>41</v>
      </c>
      <c r="V67" s="9" t="str">
        <f>HYPERLINK("https://app.ntsb.gov/pdfgenerator/ReportGeneratorFile.ashx?EventID=20160317X04732&amp;AKey=1&amp;Rtype=Final&amp;IType=CA","PDF Report")</f>
        <v>PDF Report</v>
      </c>
    </row>
    <row r="68" spans="1:22" x14ac:dyDescent="0.25">
      <c r="A68" t="s">
        <v>365</v>
      </c>
      <c r="B68">
        <v>1</v>
      </c>
      <c r="C68" s="5">
        <v>42400</v>
      </c>
      <c r="D68" t="s">
        <v>366</v>
      </c>
      <c r="E68" t="s">
        <v>367</v>
      </c>
      <c r="F68" t="s">
        <v>368</v>
      </c>
      <c r="G68" t="s">
        <v>115</v>
      </c>
      <c r="H68" t="s">
        <v>33</v>
      </c>
      <c r="K68" t="s">
        <v>34</v>
      </c>
      <c r="L68" t="s">
        <v>35</v>
      </c>
      <c r="M68" t="s">
        <v>36</v>
      </c>
      <c r="Q68" t="s">
        <v>37</v>
      </c>
      <c r="R68" t="s">
        <v>38</v>
      </c>
      <c r="S68" t="s">
        <v>84</v>
      </c>
      <c r="T68" t="s">
        <v>73</v>
      </c>
      <c r="U68" t="s">
        <v>41</v>
      </c>
      <c r="V68" s="9" t="str">
        <f>HYPERLINK("https://app.ntsb.gov/pdfgenerator/ReportGeneratorFile.ashx?EventID=20160201X13234&amp;AKey=1&amp;Rtype=Final&amp;IType=CA","PDF Report")</f>
        <v>PDF Report</v>
      </c>
    </row>
    <row r="69" spans="1:22" x14ac:dyDescent="0.25">
      <c r="A69" t="s">
        <v>369</v>
      </c>
      <c r="B69">
        <v>1</v>
      </c>
      <c r="C69" s="5">
        <v>42400</v>
      </c>
      <c r="D69" t="s">
        <v>370</v>
      </c>
      <c r="E69" t="s">
        <v>371</v>
      </c>
      <c r="F69" t="s">
        <v>372</v>
      </c>
      <c r="G69" t="s">
        <v>78</v>
      </c>
      <c r="H69" t="s">
        <v>33</v>
      </c>
      <c r="K69" t="s">
        <v>34</v>
      </c>
      <c r="L69" t="s">
        <v>35</v>
      </c>
      <c r="M69" t="s">
        <v>36</v>
      </c>
      <c r="Q69" t="s">
        <v>37</v>
      </c>
      <c r="R69" t="s">
        <v>38</v>
      </c>
      <c r="S69" t="s">
        <v>39</v>
      </c>
      <c r="T69" t="s">
        <v>61</v>
      </c>
      <c r="U69" t="s">
        <v>41</v>
      </c>
      <c r="V69" s="9" t="str">
        <f>HYPERLINK("https://app.ntsb.gov/pdfgenerator/ReportGeneratorFile.ashx?EventID=20160201X35918&amp;AKey=1&amp;Rtype=Final&amp;IType=LA","PDF Report")</f>
        <v>PDF Report</v>
      </c>
    </row>
    <row r="70" spans="1:22" x14ac:dyDescent="0.25">
      <c r="A70" t="s">
        <v>373</v>
      </c>
      <c r="B70">
        <v>1</v>
      </c>
      <c r="C70" s="5">
        <v>42400</v>
      </c>
      <c r="D70" t="s">
        <v>374</v>
      </c>
      <c r="E70" t="s">
        <v>375</v>
      </c>
      <c r="F70" t="s">
        <v>376</v>
      </c>
      <c r="G70" t="s">
        <v>115</v>
      </c>
      <c r="H70" t="s">
        <v>33</v>
      </c>
      <c r="K70" t="s">
        <v>34</v>
      </c>
      <c r="L70" t="s">
        <v>35</v>
      </c>
      <c r="M70" t="s">
        <v>36</v>
      </c>
      <c r="Q70" t="s">
        <v>37</v>
      </c>
      <c r="R70" t="s">
        <v>38</v>
      </c>
      <c r="S70" t="s">
        <v>377</v>
      </c>
      <c r="T70" t="s">
        <v>378</v>
      </c>
      <c r="U70" t="s">
        <v>41</v>
      </c>
      <c r="V70" s="9" t="str">
        <f>HYPERLINK("https://app.ntsb.gov/pdfgenerator/ReportGeneratorFile.ashx?EventID=20160204X90121&amp;AKey=1&amp;Rtype=Final&amp;IType=CA","PDF Report")</f>
        <v>PDF Report</v>
      </c>
    </row>
    <row r="71" spans="1:22" x14ac:dyDescent="0.25">
      <c r="A71" t="s">
        <v>379</v>
      </c>
      <c r="B71">
        <v>1</v>
      </c>
      <c r="C71" s="5">
        <v>42400</v>
      </c>
      <c r="D71" t="s">
        <v>380</v>
      </c>
      <c r="E71" t="s">
        <v>381</v>
      </c>
      <c r="F71" t="s">
        <v>382</v>
      </c>
      <c r="G71" t="s">
        <v>96</v>
      </c>
      <c r="H71" t="s">
        <v>33</v>
      </c>
      <c r="K71" t="s">
        <v>34</v>
      </c>
      <c r="L71" t="s">
        <v>35</v>
      </c>
      <c r="M71" t="s">
        <v>36</v>
      </c>
      <c r="Q71" t="s">
        <v>37</v>
      </c>
      <c r="R71" t="s">
        <v>38</v>
      </c>
      <c r="S71" t="s">
        <v>131</v>
      </c>
      <c r="T71" t="s">
        <v>73</v>
      </c>
      <c r="U71" t="s">
        <v>41</v>
      </c>
      <c r="V71" s="9" t="str">
        <f>HYPERLINK("https://app.ntsb.gov/pdfgenerator/ReportGeneratorFile.ashx?EventID=20160209X61349&amp;AKey=1&amp;Rtype=Final&amp;IType=LA","PDF Report")</f>
        <v>PDF Report</v>
      </c>
    </row>
    <row r="72" spans="1:22" x14ac:dyDescent="0.25">
      <c r="A72" t="s">
        <v>383</v>
      </c>
      <c r="B72">
        <v>1</v>
      </c>
      <c r="C72" s="5">
        <v>42401</v>
      </c>
      <c r="D72" t="s">
        <v>384</v>
      </c>
      <c r="E72" t="s">
        <v>385</v>
      </c>
      <c r="F72" t="s">
        <v>386</v>
      </c>
      <c r="G72" t="s">
        <v>96</v>
      </c>
      <c r="H72" t="s">
        <v>33</v>
      </c>
      <c r="I72">
        <v>1</v>
      </c>
      <c r="J72">
        <v>1</v>
      </c>
      <c r="K72" t="s">
        <v>90</v>
      </c>
      <c r="L72" t="s">
        <v>110</v>
      </c>
      <c r="M72" t="s">
        <v>36</v>
      </c>
      <c r="Q72" t="s">
        <v>37</v>
      </c>
      <c r="R72" t="s">
        <v>130</v>
      </c>
      <c r="S72" t="s">
        <v>48</v>
      </c>
      <c r="T72" t="s">
        <v>49</v>
      </c>
      <c r="U72" t="s">
        <v>41</v>
      </c>
      <c r="V72" s="9" t="str">
        <f>HYPERLINK("https://app.ntsb.gov/pdfgenerator/ReportGeneratorFile.ashx?EventID=20160201X43119&amp;AKey=1&amp;Rtype=Final&amp;IType=FA","PDF Report")</f>
        <v>PDF Report</v>
      </c>
    </row>
    <row r="73" spans="1:22" x14ac:dyDescent="0.25">
      <c r="A73" t="s">
        <v>387</v>
      </c>
      <c r="B73">
        <v>1</v>
      </c>
      <c r="C73" s="5">
        <v>42401</v>
      </c>
      <c r="D73" t="s">
        <v>388</v>
      </c>
      <c r="E73" t="s">
        <v>389</v>
      </c>
      <c r="F73" t="s">
        <v>390</v>
      </c>
      <c r="G73" t="s">
        <v>180</v>
      </c>
      <c r="H73" t="s">
        <v>33</v>
      </c>
      <c r="I73">
        <v>2</v>
      </c>
      <c r="K73" t="s">
        <v>90</v>
      </c>
      <c r="L73" t="s">
        <v>110</v>
      </c>
      <c r="M73" t="s">
        <v>36</v>
      </c>
      <c r="Q73" t="s">
        <v>37</v>
      </c>
      <c r="R73" t="s">
        <v>137</v>
      </c>
      <c r="S73" t="s">
        <v>48</v>
      </c>
      <c r="T73" t="s">
        <v>79</v>
      </c>
      <c r="U73" t="s">
        <v>41</v>
      </c>
      <c r="V73" s="9" t="str">
        <f>HYPERLINK("https://app.ntsb.gov/pdfgenerator/ReportGeneratorFile.ashx?EventID=20160202X33553&amp;AKey=1&amp;Rtype=Final&amp;IType=FA","PDF Report")</f>
        <v>PDF Report</v>
      </c>
    </row>
    <row r="74" spans="1:22" x14ac:dyDescent="0.25">
      <c r="A74" t="s">
        <v>391</v>
      </c>
      <c r="B74">
        <v>1</v>
      </c>
      <c r="C74" s="5">
        <v>42401</v>
      </c>
      <c r="D74" t="s">
        <v>392</v>
      </c>
      <c r="E74" t="s">
        <v>393</v>
      </c>
      <c r="F74" t="s">
        <v>394</v>
      </c>
      <c r="G74" t="s">
        <v>395</v>
      </c>
      <c r="H74" t="s">
        <v>33</v>
      </c>
      <c r="K74" t="s">
        <v>34</v>
      </c>
      <c r="L74" t="s">
        <v>35</v>
      </c>
      <c r="M74" t="s">
        <v>36</v>
      </c>
      <c r="Q74" t="s">
        <v>37</v>
      </c>
      <c r="R74" t="s">
        <v>38</v>
      </c>
      <c r="S74" t="s">
        <v>396</v>
      </c>
      <c r="T74" t="s">
        <v>73</v>
      </c>
      <c r="U74" t="s">
        <v>41</v>
      </c>
      <c r="V74" s="9" t="str">
        <f>HYPERLINK("https://app.ntsb.gov/pdfgenerator/ReportGeneratorFile.ashx?EventID=20160202X64511&amp;AKey=1&amp;Rtype=Final&amp;IType=LA","PDF Report")</f>
        <v>PDF Report</v>
      </c>
    </row>
    <row r="75" spans="1:22" x14ac:dyDescent="0.25">
      <c r="A75" t="s">
        <v>397</v>
      </c>
      <c r="B75">
        <v>1</v>
      </c>
      <c r="C75" s="5">
        <v>42401</v>
      </c>
      <c r="D75" t="s">
        <v>398</v>
      </c>
      <c r="E75" t="s">
        <v>399</v>
      </c>
      <c r="F75" t="s">
        <v>400</v>
      </c>
      <c r="G75" t="s">
        <v>401</v>
      </c>
      <c r="H75" t="s">
        <v>33</v>
      </c>
      <c r="I75">
        <v>1</v>
      </c>
      <c r="K75" t="s">
        <v>90</v>
      </c>
      <c r="L75" t="s">
        <v>35</v>
      </c>
      <c r="M75" t="s">
        <v>36</v>
      </c>
      <c r="Q75" t="s">
        <v>402</v>
      </c>
      <c r="R75" t="s">
        <v>38</v>
      </c>
      <c r="S75" t="s">
        <v>39</v>
      </c>
      <c r="T75" t="s">
        <v>143</v>
      </c>
      <c r="U75" t="s">
        <v>41</v>
      </c>
      <c r="V75" s="9" t="str">
        <f>HYPERLINK("https://app.ntsb.gov/pdfgenerator/ReportGeneratorFile.ashx?EventID=20160202X90237&amp;AKey=1&amp;Rtype=Final&amp;IType=LA","PDF Report")</f>
        <v>PDF Report</v>
      </c>
    </row>
    <row r="76" spans="1:22" x14ac:dyDescent="0.25">
      <c r="A76" t="s">
        <v>403</v>
      </c>
      <c r="B76">
        <v>1</v>
      </c>
      <c r="C76" s="5">
        <v>42401</v>
      </c>
      <c r="D76" t="s">
        <v>404</v>
      </c>
      <c r="E76" t="s">
        <v>405</v>
      </c>
      <c r="F76" t="s">
        <v>406</v>
      </c>
      <c r="G76" t="s">
        <v>407</v>
      </c>
      <c r="H76" t="s">
        <v>33</v>
      </c>
      <c r="K76" t="s">
        <v>34</v>
      </c>
      <c r="L76" t="s">
        <v>35</v>
      </c>
      <c r="M76" t="s">
        <v>36</v>
      </c>
      <c r="Q76" t="s">
        <v>37</v>
      </c>
      <c r="R76" t="s">
        <v>38</v>
      </c>
      <c r="S76" t="s">
        <v>191</v>
      </c>
      <c r="T76" t="s">
        <v>73</v>
      </c>
      <c r="U76" t="s">
        <v>41</v>
      </c>
      <c r="V76" s="9" t="str">
        <f>HYPERLINK("https://app.ntsb.gov/pdfgenerator/ReportGeneratorFile.ashx?EventID=20160210X91720&amp;AKey=1&amp;Rtype=Final&amp;IType=CA","PDF Report")</f>
        <v>PDF Report</v>
      </c>
    </row>
    <row r="77" spans="1:22" x14ac:dyDescent="0.25">
      <c r="A77" t="s">
        <v>408</v>
      </c>
      <c r="B77">
        <v>1</v>
      </c>
      <c r="C77" s="5">
        <v>42402</v>
      </c>
      <c r="D77" t="s">
        <v>409</v>
      </c>
      <c r="E77" t="s">
        <v>410</v>
      </c>
      <c r="F77" t="s">
        <v>411</v>
      </c>
      <c r="G77" t="s">
        <v>115</v>
      </c>
      <c r="H77" t="s">
        <v>33</v>
      </c>
      <c r="K77" t="s">
        <v>34</v>
      </c>
      <c r="L77" t="s">
        <v>35</v>
      </c>
      <c r="M77" t="s">
        <v>36</v>
      </c>
      <c r="Q77" t="s">
        <v>37</v>
      </c>
      <c r="R77" t="s">
        <v>38</v>
      </c>
      <c r="S77" t="s">
        <v>39</v>
      </c>
      <c r="T77" t="s">
        <v>61</v>
      </c>
      <c r="U77" t="s">
        <v>41</v>
      </c>
      <c r="V77" s="9" t="str">
        <f>HYPERLINK("https://app.ntsb.gov/pdfgenerator/ReportGeneratorFile.ashx?EventID=20160203X52126&amp;AKey=1&amp;Rtype=Final&amp;IType=LA","PDF Report")</f>
        <v>PDF Report</v>
      </c>
    </row>
    <row r="78" spans="1:22" x14ac:dyDescent="0.25">
      <c r="A78" t="s">
        <v>412</v>
      </c>
      <c r="B78">
        <v>1</v>
      </c>
      <c r="C78" s="5">
        <v>42402</v>
      </c>
      <c r="D78" t="s">
        <v>413</v>
      </c>
      <c r="E78" t="s">
        <v>414</v>
      </c>
      <c r="F78" t="s">
        <v>415</v>
      </c>
      <c r="G78" t="s">
        <v>242</v>
      </c>
      <c r="H78" t="s">
        <v>33</v>
      </c>
      <c r="K78" t="s">
        <v>47</v>
      </c>
      <c r="L78" t="s">
        <v>35</v>
      </c>
      <c r="M78" t="s">
        <v>36</v>
      </c>
      <c r="Q78" t="s">
        <v>37</v>
      </c>
      <c r="R78" t="s">
        <v>38</v>
      </c>
      <c r="S78" t="s">
        <v>131</v>
      </c>
      <c r="T78" t="s">
        <v>73</v>
      </c>
      <c r="U78" t="s">
        <v>41</v>
      </c>
      <c r="V78" s="9" t="str">
        <f>HYPERLINK("https://app.ntsb.gov/pdfgenerator/ReportGeneratorFile.ashx?EventID=20160208X04019&amp;AKey=1&amp;Rtype=Final&amp;IType=CA","PDF Report")</f>
        <v>PDF Report</v>
      </c>
    </row>
    <row r="79" spans="1:22" x14ac:dyDescent="0.25">
      <c r="A79" t="s">
        <v>416</v>
      </c>
      <c r="B79">
        <v>1</v>
      </c>
      <c r="C79" s="5">
        <v>42403</v>
      </c>
      <c r="D79" t="s">
        <v>417</v>
      </c>
      <c r="E79" t="s">
        <v>418</v>
      </c>
      <c r="F79" t="s">
        <v>419</v>
      </c>
      <c r="G79" t="s">
        <v>66</v>
      </c>
      <c r="H79" t="s">
        <v>33</v>
      </c>
      <c r="K79" t="s">
        <v>34</v>
      </c>
      <c r="L79" t="s">
        <v>47</v>
      </c>
      <c r="M79" t="s">
        <v>36</v>
      </c>
      <c r="Q79" t="s">
        <v>37</v>
      </c>
      <c r="R79" t="s">
        <v>130</v>
      </c>
      <c r="S79" t="s">
        <v>163</v>
      </c>
      <c r="T79" t="s">
        <v>164</v>
      </c>
      <c r="U79" t="s">
        <v>41</v>
      </c>
      <c r="V79" s="9" t="str">
        <f>HYPERLINK("https://app.ntsb.gov/pdfgenerator/ReportGeneratorFile.ashx?EventID=20160204X80119&amp;AKey=1&amp;Rtype=Final&amp;IType=LA","PDF Report")</f>
        <v>PDF Report</v>
      </c>
    </row>
    <row r="80" spans="1:22" x14ac:dyDescent="0.25">
      <c r="A80" t="s">
        <v>416</v>
      </c>
      <c r="B80">
        <v>2</v>
      </c>
      <c r="C80" s="5">
        <v>42403</v>
      </c>
      <c r="D80" t="s">
        <v>417</v>
      </c>
      <c r="E80" t="s">
        <v>418</v>
      </c>
      <c r="F80" t="s">
        <v>419</v>
      </c>
      <c r="G80" t="s">
        <v>66</v>
      </c>
      <c r="H80" t="s">
        <v>33</v>
      </c>
      <c r="K80" t="s">
        <v>34</v>
      </c>
      <c r="L80" t="s">
        <v>35</v>
      </c>
      <c r="M80" t="s">
        <v>36</v>
      </c>
      <c r="Q80" t="s">
        <v>37</v>
      </c>
      <c r="R80" t="s">
        <v>130</v>
      </c>
      <c r="S80" t="s">
        <v>163</v>
      </c>
      <c r="T80" t="s">
        <v>164</v>
      </c>
      <c r="U80" t="s">
        <v>41</v>
      </c>
      <c r="V80" s="9" t="str">
        <f>HYPERLINK("https://app.ntsb.gov/pdfgenerator/ReportGeneratorFile.ashx?EventID=20160204X80119&amp;AKey=2&amp;Rtype=Final&amp;IType=LA","PDF Report")</f>
        <v>PDF Report</v>
      </c>
    </row>
    <row r="81" spans="1:22" x14ac:dyDescent="0.25">
      <c r="A81" t="s">
        <v>420</v>
      </c>
      <c r="B81">
        <v>1</v>
      </c>
      <c r="C81" s="5">
        <v>42403</v>
      </c>
      <c r="D81" t="s">
        <v>421</v>
      </c>
      <c r="E81" t="s">
        <v>422</v>
      </c>
      <c r="F81" t="s">
        <v>423</v>
      </c>
      <c r="G81" t="s">
        <v>96</v>
      </c>
      <c r="H81" t="s">
        <v>33</v>
      </c>
      <c r="K81" t="s">
        <v>47</v>
      </c>
      <c r="L81" t="s">
        <v>35</v>
      </c>
      <c r="M81" t="s">
        <v>36</v>
      </c>
      <c r="Q81" t="s">
        <v>37</v>
      </c>
      <c r="R81" t="s">
        <v>38</v>
      </c>
      <c r="S81" t="s">
        <v>84</v>
      </c>
      <c r="T81" t="s">
        <v>73</v>
      </c>
      <c r="U81" t="s">
        <v>41</v>
      </c>
      <c r="V81" s="9" t="str">
        <f>HYPERLINK("https://app.ntsb.gov/pdfgenerator/ReportGeneratorFile.ashx?EventID=20160217X02332&amp;AKey=1&amp;Rtype=Final&amp;IType=CA","PDF Report")</f>
        <v>PDF Report</v>
      </c>
    </row>
    <row r="82" spans="1:22" x14ac:dyDescent="0.25">
      <c r="A82" t="s">
        <v>424</v>
      </c>
      <c r="B82">
        <v>1</v>
      </c>
      <c r="C82" s="5">
        <v>42404</v>
      </c>
      <c r="D82" t="s">
        <v>425</v>
      </c>
      <c r="E82" t="s">
        <v>426</v>
      </c>
      <c r="F82" t="s">
        <v>427</v>
      </c>
      <c r="G82" t="s">
        <v>428</v>
      </c>
      <c r="H82" t="s">
        <v>33</v>
      </c>
      <c r="K82" t="s">
        <v>34</v>
      </c>
      <c r="L82" t="s">
        <v>35</v>
      </c>
      <c r="M82" t="s">
        <v>36</v>
      </c>
      <c r="Q82" t="s">
        <v>37</v>
      </c>
      <c r="R82" t="s">
        <v>38</v>
      </c>
      <c r="S82" t="s">
        <v>171</v>
      </c>
      <c r="T82" t="s">
        <v>79</v>
      </c>
      <c r="U82" t="s">
        <v>41</v>
      </c>
      <c r="V82" s="9" t="str">
        <f>HYPERLINK("https://app.ntsb.gov/pdfgenerator/ReportGeneratorFile.ashx?EventID=20160216X04427&amp;AKey=1&amp;Rtype=Final&amp;IType=CA","PDF Report")</f>
        <v>PDF Report</v>
      </c>
    </row>
    <row r="83" spans="1:22" x14ac:dyDescent="0.25">
      <c r="A83" t="s">
        <v>429</v>
      </c>
      <c r="B83">
        <v>1</v>
      </c>
      <c r="C83" s="5">
        <v>42405</v>
      </c>
      <c r="D83" t="s">
        <v>430</v>
      </c>
      <c r="E83" t="s">
        <v>431</v>
      </c>
      <c r="F83" t="s">
        <v>432</v>
      </c>
      <c r="G83" t="s">
        <v>66</v>
      </c>
      <c r="H83" t="s">
        <v>33</v>
      </c>
      <c r="I83">
        <v>3</v>
      </c>
      <c r="K83" t="s">
        <v>90</v>
      </c>
      <c r="L83" t="s">
        <v>35</v>
      </c>
      <c r="M83" t="s">
        <v>36</v>
      </c>
      <c r="Q83" t="s">
        <v>37</v>
      </c>
      <c r="R83" t="s">
        <v>38</v>
      </c>
      <c r="S83" t="s">
        <v>433</v>
      </c>
      <c r="T83" t="s">
        <v>40</v>
      </c>
      <c r="U83" t="s">
        <v>41</v>
      </c>
      <c r="V83" s="9" t="str">
        <f>HYPERLINK("https://app.ntsb.gov/pdfgenerator/ReportGeneratorFile.ashx?EventID=20160205X35852&amp;AKey=1&amp;Rtype=Final&amp;IType=FA","PDF Report")</f>
        <v>PDF Report</v>
      </c>
    </row>
    <row r="84" spans="1:22" x14ac:dyDescent="0.25">
      <c r="A84" t="s">
        <v>429</v>
      </c>
      <c r="B84">
        <v>2</v>
      </c>
      <c r="C84" s="5">
        <v>42405</v>
      </c>
      <c r="D84" t="s">
        <v>430</v>
      </c>
      <c r="E84" t="s">
        <v>431</v>
      </c>
      <c r="F84" t="s">
        <v>432</v>
      </c>
      <c r="G84" t="s">
        <v>66</v>
      </c>
      <c r="H84" t="s">
        <v>33</v>
      </c>
      <c r="I84">
        <v>3</v>
      </c>
      <c r="K84" t="s">
        <v>90</v>
      </c>
      <c r="L84" t="s">
        <v>35</v>
      </c>
      <c r="M84" t="s">
        <v>36</v>
      </c>
      <c r="Q84" t="s">
        <v>37</v>
      </c>
      <c r="R84" t="s">
        <v>38</v>
      </c>
      <c r="S84" t="s">
        <v>433</v>
      </c>
      <c r="T84" t="s">
        <v>40</v>
      </c>
      <c r="U84" t="s">
        <v>41</v>
      </c>
      <c r="V84" s="9" t="str">
        <f>HYPERLINK("https://app.ntsb.gov/pdfgenerator/ReportGeneratorFile.ashx?EventID=20160205X35852&amp;AKey=2&amp;Rtype=Final&amp;IType=FA","PDF Report")</f>
        <v>PDF Report</v>
      </c>
    </row>
    <row r="85" spans="1:22" x14ac:dyDescent="0.25">
      <c r="A85" t="s">
        <v>434</v>
      </c>
      <c r="B85">
        <v>1</v>
      </c>
      <c r="C85" s="5">
        <v>42405</v>
      </c>
      <c r="D85" t="s">
        <v>435</v>
      </c>
      <c r="E85" t="s">
        <v>436</v>
      </c>
      <c r="F85" t="s">
        <v>437</v>
      </c>
      <c r="G85" t="s">
        <v>287</v>
      </c>
      <c r="H85" t="s">
        <v>33</v>
      </c>
      <c r="I85">
        <v>2</v>
      </c>
      <c r="K85" t="s">
        <v>90</v>
      </c>
      <c r="L85" t="s">
        <v>35</v>
      </c>
      <c r="M85" t="s">
        <v>36</v>
      </c>
      <c r="Q85" t="s">
        <v>37</v>
      </c>
      <c r="R85" t="s">
        <v>38</v>
      </c>
      <c r="S85" t="s">
        <v>48</v>
      </c>
      <c r="T85" t="s">
        <v>40</v>
      </c>
      <c r="U85" t="s">
        <v>41</v>
      </c>
      <c r="V85" s="9" t="str">
        <f>HYPERLINK("https://app.ntsb.gov/pdfgenerator/ReportGeneratorFile.ashx?EventID=20160205X52131&amp;AKey=1&amp;Rtype=Final&amp;IType=FA","PDF Report")</f>
        <v>PDF Report</v>
      </c>
    </row>
    <row r="86" spans="1:22" x14ac:dyDescent="0.25">
      <c r="A86" t="s">
        <v>438</v>
      </c>
      <c r="B86">
        <v>1</v>
      </c>
      <c r="C86" s="5">
        <v>42405</v>
      </c>
      <c r="D86" t="s">
        <v>439</v>
      </c>
      <c r="E86" t="s">
        <v>440</v>
      </c>
      <c r="F86" t="s">
        <v>441</v>
      </c>
      <c r="G86" t="s">
        <v>78</v>
      </c>
      <c r="H86" t="s">
        <v>33</v>
      </c>
      <c r="K86" t="s">
        <v>34</v>
      </c>
      <c r="L86" t="s">
        <v>35</v>
      </c>
      <c r="M86" t="s">
        <v>36</v>
      </c>
      <c r="Q86" t="s">
        <v>185</v>
      </c>
      <c r="R86" t="s">
        <v>137</v>
      </c>
      <c r="S86" t="s">
        <v>196</v>
      </c>
      <c r="T86" t="s">
        <v>61</v>
      </c>
      <c r="U86" t="s">
        <v>41</v>
      </c>
      <c r="V86" s="9" t="str">
        <f>HYPERLINK("https://app.ntsb.gov/pdfgenerator/ReportGeneratorFile.ashx?EventID=20160309X75504&amp;AKey=1&amp;Rtype=Final&amp;IType=LA","PDF Report")</f>
        <v>PDF Report</v>
      </c>
    </row>
    <row r="87" spans="1:22" x14ac:dyDescent="0.25">
      <c r="A87" t="s">
        <v>442</v>
      </c>
      <c r="B87">
        <v>1</v>
      </c>
      <c r="C87" s="5">
        <v>42406</v>
      </c>
      <c r="D87" t="s">
        <v>443</v>
      </c>
      <c r="E87" t="s">
        <v>444</v>
      </c>
      <c r="F87" t="s">
        <v>445</v>
      </c>
      <c r="G87" t="s">
        <v>211</v>
      </c>
      <c r="H87" t="s">
        <v>33</v>
      </c>
      <c r="J87">
        <v>1</v>
      </c>
      <c r="K87" t="s">
        <v>55</v>
      </c>
      <c r="L87" t="s">
        <v>35</v>
      </c>
      <c r="M87" t="s">
        <v>36</v>
      </c>
      <c r="Q87" t="s">
        <v>185</v>
      </c>
      <c r="R87" t="s">
        <v>130</v>
      </c>
      <c r="S87" t="s">
        <v>131</v>
      </c>
      <c r="T87" t="s">
        <v>49</v>
      </c>
      <c r="U87" t="s">
        <v>41</v>
      </c>
      <c r="V87" s="9" t="str">
        <f>HYPERLINK("https://app.ntsb.gov/pdfgenerator/ReportGeneratorFile.ashx?EventID=20160209X75436&amp;AKey=1&amp;Rtype=Final&amp;IType=LA","PDF Report")</f>
        <v>PDF Report</v>
      </c>
    </row>
    <row r="88" spans="1:22" x14ac:dyDescent="0.25">
      <c r="A88" t="s">
        <v>446</v>
      </c>
      <c r="B88">
        <v>1</v>
      </c>
      <c r="C88" s="5">
        <v>42407</v>
      </c>
      <c r="D88" t="s">
        <v>447</v>
      </c>
      <c r="E88" t="s">
        <v>448</v>
      </c>
      <c r="F88" t="s">
        <v>449</v>
      </c>
      <c r="G88" t="s">
        <v>450</v>
      </c>
      <c r="H88" t="s">
        <v>33</v>
      </c>
      <c r="K88" t="s">
        <v>34</v>
      </c>
      <c r="L88" t="s">
        <v>35</v>
      </c>
      <c r="M88" t="s">
        <v>36</v>
      </c>
      <c r="Q88" t="s">
        <v>37</v>
      </c>
      <c r="R88" t="s">
        <v>38</v>
      </c>
      <c r="S88" t="s">
        <v>84</v>
      </c>
      <c r="T88" t="s">
        <v>73</v>
      </c>
      <c r="U88" t="s">
        <v>41</v>
      </c>
      <c r="V88" s="9" t="str">
        <f>HYPERLINK("https://app.ntsb.gov/pdfgenerator/ReportGeneratorFile.ashx?EventID=20160229X05716&amp;AKey=1&amp;Rtype=Final&amp;IType=CA","PDF Report")</f>
        <v>PDF Report</v>
      </c>
    </row>
    <row r="89" spans="1:22" x14ac:dyDescent="0.25">
      <c r="A89" t="s">
        <v>451</v>
      </c>
      <c r="B89">
        <v>1</v>
      </c>
      <c r="C89" s="5">
        <v>42408</v>
      </c>
      <c r="D89" t="s">
        <v>452</v>
      </c>
      <c r="E89" t="s">
        <v>453</v>
      </c>
      <c r="F89" t="s">
        <v>454</v>
      </c>
      <c r="G89" t="s">
        <v>78</v>
      </c>
      <c r="H89" t="s">
        <v>33</v>
      </c>
      <c r="K89" t="s">
        <v>34</v>
      </c>
      <c r="L89" t="s">
        <v>35</v>
      </c>
      <c r="M89" t="s">
        <v>36</v>
      </c>
      <c r="Q89" t="s">
        <v>37</v>
      </c>
      <c r="R89" t="s">
        <v>38</v>
      </c>
      <c r="S89" t="s">
        <v>455</v>
      </c>
      <c r="T89" t="s">
        <v>73</v>
      </c>
      <c r="U89" t="s">
        <v>41</v>
      </c>
      <c r="V89" s="9" t="str">
        <f>HYPERLINK("https://app.ntsb.gov/pdfgenerator/ReportGeneratorFile.ashx?EventID=20160208X65013&amp;AKey=1&amp;Rtype=Final&amp;IType=CA","PDF Report")</f>
        <v>PDF Report</v>
      </c>
    </row>
    <row r="90" spans="1:22" x14ac:dyDescent="0.25">
      <c r="A90" t="s">
        <v>456</v>
      </c>
      <c r="B90">
        <v>1</v>
      </c>
      <c r="C90" s="5">
        <v>42408</v>
      </c>
      <c r="D90" t="s">
        <v>457</v>
      </c>
      <c r="E90" t="s">
        <v>458</v>
      </c>
      <c r="F90" t="s">
        <v>459</v>
      </c>
      <c r="G90" t="s">
        <v>66</v>
      </c>
      <c r="H90" t="s">
        <v>33</v>
      </c>
      <c r="K90" t="s">
        <v>47</v>
      </c>
      <c r="L90" t="s">
        <v>35</v>
      </c>
      <c r="M90" t="s">
        <v>36</v>
      </c>
      <c r="Q90" t="s">
        <v>37</v>
      </c>
      <c r="R90" t="s">
        <v>38</v>
      </c>
      <c r="S90" t="s">
        <v>39</v>
      </c>
      <c r="T90" t="s">
        <v>61</v>
      </c>
      <c r="U90" t="s">
        <v>41</v>
      </c>
      <c r="V90" s="9" t="str">
        <f>HYPERLINK("https://app.ntsb.gov/pdfgenerator/ReportGeneratorFile.ashx?EventID=20160209X10143&amp;AKey=1&amp;Rtype=Final&amp;IType=LA","PDF Report")</f>
        <v>PDF Report</v>
      </c>
    </row>
    <row r="91" spans="1:22" x14ac:dyDescent="0.25">
      <c r="A91" t="s">
        <v>460</v>
      </c>
      <c r="B91">
        <v>1</v>
      </c>
      <c r="C91" s="5">
        <v>42408</v>
      </c>
      <c r="D91" t="s">
        <v>461</v>
      </c>
      <c r="E91" t="s">
        <v>462</v>
      </c>
      <c r="F91" t="s">
        <v>463</v>
      </c>
      <c r="G91" t="s">
        <v>125</v>
      </c>
      <c r="H91" t="s">
        <v>33</v>
      </c>
      <c r="K91" t="s">
        <v>47</v>
      </c>
      <c r="L91" t="s">
        <v>35</v>
      </c>
      <c r="M91" t="s">
        <v>36</v>
      </c>
      <c r="Q91" t="s">
        <v>37</v>
      </c>
      <c r="R91" t="s">
        <v>38</v>
      </c>
      <c r="S91" t="s">
        <v>84</v>
      </c>
      <c r="T91" t="s">
        <v>73</v>
      </c>
      <c r="U91" t="s">
        <v>41</v>
      </c>
      <c r="V91" s="9" t="str">
        <f>HYPERLINK("https://app.ntsb.gov/pdfgenerator/ReportGeneratorFile.ashx?EventID=20160221X22339&amp;AKey=1&amp;Rtype=Final&amp;IType=LA","PDF Report")</f>
        <v>PDF Report</v>
      </c>
    </row>
    <row r="92" spans="1:22" x14ac:dyDescent="0.25">
      <c r="A92" t="s">
        <v>464</v>
      </c>
      <c r="B92">
        <v>1</v>
      </c>
      <c r="C92" s="5">
        <v>42409</v>
      </c>
      <c r="D92" t="s">
        <v>465</v>
      </c>
      <c r="E92" t="s">
        <v>466</v>
      </c>
      <c r="F92" t="s">
        <v>467</v>
      </c>
      <c r="G92" t="s">
        <v>468</v>
      </c>
      <c r="H92" t="s">
        <v>33</v>
      </c>
      <c r="K92" t="s">
        <v>34</v>
      </c>
      <c r="L92" t="s">
        <v>35</v>
      </c>
      <c r="M92" t="s">
        <v>36</v>
      </c>
      <c r="Q92" t="s">
        <v>37</v>
      </c>
      <c r="R92" t="s">
        <v>38</v>
      </c>
      <c r="S92" t="s">
        <v>60</v>
      </c>
      <c r="T92" t="s">
        <v>61</v>
      </c>
      <c r="U92" t="s">
        <v>41</v>
      </c>
      <c r="V92" s="9" t="str">
        <f>HYPERLINK("https://app.ntsb.gov/pdfgenerator/ReportGeneratorFile.ashx?EventID=20160210X45108&amp;AKey=1&amp;Rtype=Final&amp;IType=CA","PDF Report")</f>
        <v>PDF Report</v>
      </c>
    </row>
    <row r="93" spans="1:22" x14ac:dyDescent="0.25">
      <c r="A93" t="s">
        <v>469</v>
      </c>
      <c r="B93">
        <v>1</v>
      </c>
      <c r="C93" s="5">
        <v>42410</v>
      </c>
      <c r="D93" t="s">
        <v>470</v>
      </c>
      <c r="E93" t="s">
        <v>471</v>
      </c>
      <c r="F93" t="s">
        <v>472</v>
      </c>
      <c r="G93" t="s">
        <v>66</v>
      </c>
      <c r="H93" t="s">
        <v>33</v>
      </c>
      <c r="I93">
        <v>2</v>
      </c>
      <c r="K93" t="s">
        <v>90</v>
      </c>
      <c r="L93" t="s">
        <v>110</v>
      </c>
      <c r="M93" t="s">
        <v>473</v>
      </c>
      <c r="Q93" t="s">
        <v>37</v>
      </c>
      <c r="R93" t="s">
        <v>474</v>
      </c>
      <c r="S93" t="s">
        <v>48</v>
      </c>
      <c r="T93" t="s">
        <v>40</v>
      </c>
      <c r="U93" t="s">
        <v>41</v>
      </c>
      <c r="V93" s="9" t="str">
        <f>HYPERLINK("https://app.ntsb.gov/pdfgenerator/ReportGeneratorFile.ashx?EventID=20160210X12541&amp;AKey=1&amp;Rtype=Final&amp;IType=FA","PDF Report")</f>
        <v>PDF Report</v>
      </c>
    </row>
    <row r="94" spans="1:22" x14ac:dyDescent="0.25">
      <c r="A94" t="s">
        <v>475</v>
      </c>
      <c r="B94">
        <v>1</v>
      </c>
      <c r="C94" s="5">
        <v>42411</v>
      </c>
      <c r="D94" t="s">
        <v>476</v>
      </c>
      <c r="E94" t="s">
        <v>477</v>
      </c>
      <c r="F94" t="s">
        <v>478</v>
      </c>
      <c r="G94" t="s">
        <v>96</v>
      </c>
      <c r="H94" t="s">
        <v>33</v>
      </c>
      <c r="K94" t="s">
        <v>47</v>
      </c>
      <c r="L94" t="s">
        <v>35</v>
      </c>
      <c r="M94" t="s">
        <v>36</v>
      </c>
      <c r="Q94" t="s">
        <v>37</v>
      </c>
      <c r="R94" t="s">
        <v>38</v>
      </c>
      <c r="S94" t="s">
        <v>72</v>
      </c>
      <c r="T94" t="s">
        <v>73</v>
      </c>
      <c r="U94" t="s">
        <v>41</v>
      </c>
      <c r="V94" s="9" t="str">
        <f>HYPERLINK("https://app.ntsb.gov/pdfgenerator/ReportGeneratorFile.ashx?EventID=20160216X61450&amp;AKey=1&amp;Rtype=Final&amp;IType=CA","PDF Report")</f>
        <v>PDF Report</v>
      </c>
    </row>
    <row r="95" spans="1:22" x14ac:dyDescent="0.25">
      <c r="A95" t="s">
        <v>479</v>
      </c>
      <c r="B95">
        <v>1</v>
      </c>
      <c r="C95" s="5">
        <v>42412</v>
      </c>
      <c r="D95" t="s">
        <v>480</v>
      </c>
      <c r="E95" t="s">
        <v>481</v>
      </c>
      <c r="F95" t="s">
        <v>482</v>
      </c>
      <c r="G95" t="s">
        <v>115</v>
      </c>
      <c r="H95" t="s">
        <v>33</v>
      </c>
      <c r="I95">
        <v>2</v>
      </c>
      <c r="K95" t="s">
        <v>90</v>
      </c>
      <c r="L95" t="s">
        <v>110</v>
      </c>
      <c r="M95" t="s">
        <v>36</v>
      </c>
      <c r="Q95" t="s">
        <v>37</v>
      </c>
      <c r="R95" t="s">
        <v>38</v>
      </c>
      <c r="S95" t="s">
        <v>91</v>
      </c>
      <c r="T95" t="s">
        <v>40</v>
      </c>
      <c r="U95" t="s">
        <v>41</v>
      </c>
      <c r="V95" s="9" t="str">
        <f>HYPERLINK("https://app.ntsb.gov/pdfgenerator/ReportGeneratorFile.ashx?EventID=20160212X51525&amp;AKey=1&amp;Rtype=Final&amp;IType=LA","PDF Report")</f>
        <v>PDF Report</v>
      </c>
    </row>
    <row r="96" spans="1:22" x14ac:dyDescent="0.25">
      <c r="A96" t="s">
        <v>483</v>
      </c>
      <c r="B96">
        <v>1</v>
      </c>
      <c r="C96" s="5">
        <v>42412</v>
      </c>
      <c r="D96" t="s">
        <v>484</v>
      </c>
      <c r="E96" t="s">
        <v>485</v>
      </c>
      <c r="F96" t="s">
        <v>486</v>
      </c>
      <c r="G96" t="s">
        <v>322</v>
      </c>
      <c r="H96" t="s">
        <v>33</v>
      </c>
      <c r="K96" t="s">
        <v>34</v>
      </c>
      <c r="L96" t="s">
        <v>110</v>
      </c>
      <c r="M96" t="s">
        <v>36</v>
      </c>
      <c r="Q96" t="s">
        <v>37</v>
      </c>
      <c r="R96" t="s">
        <v>38</v>
      </c>
      <c r="S96" t="s">
        <v>455</v>
      </c>
      <c r="T96" t="s">
        <v>73</v>
      </c>
      <c r="U96" t="s">
        <v>41</v>
      </c>
      <c r="V96" s="9" t="str">
        <f>HYPERLINK("https://app.ntsb.gov/pdfgenerator/ReportGeneratorFile.ashx?EventID=20160212X83318&amp;AKey=1&amp;Rtype=Final&amp;IType=CA","PDF Report")</f>
        <v>PDF Report</v>
      </c>
    </row>
    <row r="97" spans="1:22" x14ac:dyDescent="0.25">
      <c r="A97" t="s">
        <v>487</v>
      </c>
      <c r="B97">
        <v>1</v>
      </c>
      <c r="C97" s="5">
        <v>42412</v>
      </c>
      <c r="D97" t="s">
        <v>488</v>
      </c>
      <c r="E97" t="s">
        <v>489</v>
      </c>
      <c r="F97" t="s">
        <v>490</v>
      </c>
      <c r="G97" t="s">
        <v>491</v>
      </c>
      <c r="H97" t="s">
        <v>33</v>
      </c>
      <c r="K97" t="s">
        <v>34</v>
      </c>
      <c r="L97" t="s">
        <v>35</v>
      </c>
      <c r="M97" t="s">
        <v>36</v>
      </c>
      <c r="Q97" t="s">
        <v>37</v>
      </c>
      <c r="R97" t="s">
        <v>38</v>
      </c>
      <c r="S97" t="s">
        <v>48</v>
      </c>
      <c r="T97" t="s">
        <v>49</v>
      </c>
      <c r="U97" t="s">
        <v>41</v>
      </c>
      <c r="V97" s="9" t="str">
        <f>HYPERLINK("https://app.ntsb.gov/pdfgenerator/ReportGeneratorFile.ashx?EventID=20160213X13428&amp;AKey=1&amp;Rtype=Final&amp;IType=CA","PDF Report")</f>
        <v>PDF Report</v>
      </c>
    </row>
    <row r="98" spans="1:22" x14ac:dyDescent="0.25">
      <c r="A98" t="s">
        <v>492</v>
      </c>
      <c r="B98">
        <v>1</v>
      </c>
      <c r="C98" s="5">
        <v>42412</v>
      </c>
      <c r="D98" t="s">
        <v>493</v>
      </c>
      <c r="E98" t="s">
        <v>494</v>
      </c>
      <c r="F98" t="s">
        <v>495</v>
      </c>
      <c r="G98" t="s">
        <v>66</v>
      </c>
      <c r="H98" t="s">
        <v>33</v>
      </c>
      <c r="K98" t="s">
        <v>34</v>
      </c>
      <c r="L98" t="s">
        <v>35</v>
      </c>
      <c r="M98" t="s">
        <v>36</v>
      </c>
      <c r="Q98" t="s">
        <v>37</v>
      </c>
      <c r="R98" t="s">
        <v>130</v>
      </c>
      <c r="S98" t="s">
        <v>163</v>
      </c>
      <c r="T98" t="s">
        <v>378</v>
      </c>
      <c r="U98" t="s">
        <v>41</v>
      </c>
      <c r="V98" s="9" t="str">
        <f>HYPERLINK("https://app.ntsb.gov/pdfgenerator/ReportGeneratorFile.ashx?EventID=20160216X30546&amp;AKey=1&amp;Rtype=Final&amp;IType=CA","PDF Report")</f>
        <v>PDF Report</v>
      </c>
    </row>
    <row r="99" spans="1:22" x14ac:dyDescent="0.25">
      <c r="A99" t="s">
        <v>492</v>
      </c>
      <c r="B99">
        <v>2</v>
      </c>
      <c r="C99" s="5">
        <v>42412</v>
      </c>
      <c r="D99" t="s">
        <v>493</v>
      </c>
      <c r="E99" t="s">
        <v>494</v>
      </c>
      <c r="F99" t="s">
        <v>495</v>
      </c>
      <c r="G99" t="s">
        <v>66</v>
      </c>
      <c r="H99" t="s">
        <v>33</v>
      </c>
      <c r="K99" t="s">
        <v>34</v>
      </c>
      <c r="L99" t="s">
        <v>47</v>
      </c>
      <c r="M99" t="s">
        <v>36</v>
      </c>
      <c r="Q99" t="s">
        <v>37</v>
      </c>
      <c r="R99" t="s">
        <v>38</v>
      </c>
      <c r="S99" t="s">
        <v>163</v>
      </c>
      <c r="T99" t="s">
        <v>378</v>
      </c>
      <c r="U99" t="s">
        <v>41</v>
      </c>
      <c r="V99" s="9" t="str">
        <f>HYPERLINK("https://app.ntsb.gov/pdfgenerator/ReportGeneratorFile.ashx?EventID=20160216X30546&amp;AKey=2&amp;Rtype=Final&amp;IType=CA","PDF Report")</f>
        <v>PDF Report</v>
      </c>
    </row>
    <row r="100" spans="1:22" x14ac:dyDescent="0.25">
      <c r="A100" t="s">
        <v>496</v>
      </c>
      <c r="B100">
        <v>1</v>
      </c>
      <c r="C100" s="5">
        <v>42412</v>
      </c>
      <c r="D100" t="s">
        <v>497</v>
      </c>
      <c r="E100" t="s">
        <v>498</v>
      </c>
      <c r="F100" t="s">
        <v>499</v>
      </c>
      <c r="G100" t="s">
        <v>500</v>
      </c>
      <c r="H100" t="s">
        <v>33</v>
      </c>
      <c r="J100">
        <v>1</v>
      </c>
      <c r="K100" t="s">
        <v>55</v>
      </c>
      <c r="L100" t="s">
        <v>35</v>
      </c>
      <c r="M100" t="s">
        <v>36</v>
      </c>
      <c r="Q100" t="s">
        <v>37</v>
      </c>
      <c r="R100" t="s">
        <v>38</v>
      </c>
      <c r="S100" t="s">
        <v>60</v>
      </c>
      <c r="T100" t="s">
        <v>79</v>
      </c>
      <c r="U100" t="s">
        <v>41</v>
      </c>
      <c r="V100" s="9" t="str">
        <f>HYPERLINK("https://app.ntsb.gov/pdfgenerator/ReportGeneratorFile.ashx?EventID=20160216X33929&amp;AKey=1&amp;Rtype=Final&amp;IType=LA","PDF Report")</f>
        <v>PDF Report</v>
      </c>
    </row>
    <row r="101" spans="1:22" x14ac:dyDescent="0.25">
      <c r="A101" t="s">
        <v>501</v>
      </c>
      <c r="B101">
        <v>1</v>
      </c>
      <c r="C101" s="5">
        <v>42412</v>
      </c>
      <c r="D101" t="s">
        <v>502</v>
      </c>
      <c r="E101" t="s">
        <v>503</v>
      </c>
      <c r="F101" t="s">
        <v>504</v>
      </c>
      <c r="G101" t="s">
        <v>407</v>
      </c>
      <c r="H101" t="s">
        <v>33</v>
      </c>
      <c r="K101" t="s">
        <v>34</v>
      </c>
      <c r="L101" t="s">
        <v>35</v>
      </c>
      <c r="M101" t="s">
        <v>36</v>
      </c>
      <c r="Q101" t="s">
        <v>185</v>
      </c>
      <c r="R101" t="s">
        <v>505</v>
      </c>
      <c r="S101" t="s">
        <v>39</v>
      </c>
      <c r="T101" t="s">
        <v>79</v>
      </c>
      <c r="U101" t="s">
        <v>41</v>
      </c>
      <c r="V101" s="9" t="str">
        <f>HYPERLINK("https://app.ntsb.gov/pdfgenerator/ReportGeneratorFile.ashx?EventID=20160216X82609&amp;AKey=1&amp;Rtype=Final&amp;IType=LA","PDF Report")</f>
        <v>PDF Report</v>
      </c>
    </row>
    <row r="102" spans="1:22" x14ac:dyDescent="0.25">
      <c r="A102" t="s">
        <v>506</v>
      </c>
      <c r="B102">
        <v>1</v>
      </c>
      <c r="C102" s="5">
        <v>42412</v>
      </c>
      <c r="D102" t="s">
        <v>507</v>
      </c>
      <c r="E102" t="s">
        <v>508</v>
      </c>
      <c r="F102" t="s">
        <v>509</v>
      </c>
      <c r="G102" t="s">
        <v>54</v>
      </c>
      <c r="H102" t="s">
        <v>33</v>
      </c>
      <c r="K102" t="s">
        <v>34</v>
      </c>
      <c r="L102" t="s">
        <v>35</v>
      </c>
      <c r="M102" t="s">
        <v>103</v>
      </c>
      <c r="N102" t="s">
        <v>510</v>
      </c>
      <c r="O102" t="s">
        <v>58</v>
      </c>
      <c r="P102" t="s">
        <v>162</v>
      </c>
      <c r="Q102" t="s">
        <v>37</v>
      </c>
      <c r="S102" t="s">
        <v>196</v>
      </c>
      <c r="T102" t="s">
        <v>61</v>
      </c>
      <c r="U102" t="s">
        <v>41</v>
      </c>
      <c r="V102" s="9" t="str">
        <f>HYPERLINK("https://app.ntsb.gov/pdfgenerator/ReportGeneratorFile.ashx?EventID=20160222X93713&amp;AKey=1&amp;Rtype=Final&amp;IType=LA","PDF Report")</f>
        <v>PDF Report</v>
      </c>
    </row>
    <row r="103" spans="1:22" x14ac:dyDescent="0.25">
      <c r="A103" t="s">
        <v>511</v>
      </c>
      <c r="B103">
        <v>1</v>
      </c>
      <c r="C103" s="5">
        <v>42413</v>
      </c>
      <c r="D103" t="s">
        <v>512</v>
      </c>
      <c r="E103" t="s">
        <v>513</v>
      </c>
      <c r="F103" t="s">
        <v>514</v>
      </c>
      <c r="G103" t="s">
        <v>78</v>
      </c>
      <c r="H103" t="s">
        <v>33</v>
      </c>
      <c r="K103" t="s">
        <v>34</v>
      </c>
      <c r="L103" t="s">
        <v>35</v>
      </c>
      <c r="M103" t="s">
        <v>36</v>
      </c>
      <c r="Q103" t="s">
        <v>37</v>
      </c>
      <c r="R103" t="s">
        <v>38</v>
      </c>
      <c r="S103" t="s">
        <v>196</v>
      </c>
      <c r="T103" t="s">
        <v>73</v>
      </c>
      <c r="U103" t="s">
        <v>41</v>
      </c>
      <c r="V103" s="9" t="str">
        <f>HYPERLINK("https://app.ntsb.gov/pdfgenerator/ReportGeneratorFile.ashx?EventID=20160213X75343&amp;AKey=1&amp;Rtype=Final&amp;IType=LA","PDF Report")</f>
        <v>PDF Report</v>
      </c>
    </row>
    <row r="104" spans="1:22" x14ac:dyDescent="0.25">
      <c r="A104" t="s">
        <v>515</v>
      </c>
      <c r="B104">
        <v>1</v>
      </c>
      <c r="C104" s="5">
        <v>42413</v>
      </c>
      <c r="D104" t="s">
        <v>516</v>
      </c>
      <c r="E104" t="s">
        <v>517</v>
      </c>
      <c r="F104" t="s">
        <v>518</v>
      </c>
      <c r="G104" t="s">
        <v>120</v>
      </c>
      <c r="H104" t="s">
        <v>33</v>
      </c>
      <c r="K104" t="s">
        <v>47</v>
      </c>
      <c r="L104" t="s">
        <v>35</v>
      </c>
      <c r="M104" t="s">
        <v>36</v>
      </c>
      <c r="Q104" t="s">
        <v>185</v>
      </c>
      <c r="R104" t="s">
        <v>38</v>
      </c>
      <c r="S104" t="s">
        <v>48</v>
      </c>
      <c r="T104" t="s">
        <v>73</v>
      </c>
      <c r="U104" t="s">
        <v>41</v>
      </c>
      <c r="V104" s="9" t="str">
        <f>HYPERLINK("https://app.ntsb.gov/pdfgenerator/ReportGeneratorFile.ashx?EventID=20160213X75718&amp;AKey=1&amp;Rtype=Final&amp;IType=LA","PDF Report")</f>
        <v>PDF Report</v>
      </c>
    </row>
    <row r="105" spans="1:22" x14ac:dyDescent="0.25">
      <c r="A105" t="s">
        <v>519</v>
      </c>
      <c r="B105">
        <v>1</v>
      </c>
      <c r="C105" s="5">
        <v>42413</v>
      </c>
      <c r="D105" t="s">
        <v>520</v>
      </c>
      <c r="E105" t="s">
        <v>521</v>
      </c>
      <c r="F105" t="s">
        <v>522</v>
      </c>
      <c r="G105" t="s">
        <v>66</v>
      </c>
      <c r="H105" t="s">
        <v>33</v>
      </c>
      <c r="J105">
        <v>1</v>
      </c>
      <c r="K105" t="s">
        <v>55</v>
      </c>
      <c r="L105" t="s">
        <v>47</v>
      </c>
      <c r="M105" t="s">
        <v>36</v>
      </c>
      <c r="Q105" t="s">
        <v>523</v>
      </c>
      <c r="R105" t="s">
        <v>274</v>
      </c>
      <c r="S105" t="s">
        <v>191</v>
      </c>
      <c r="T105" t="s">
        <v>73</v>
      </c>
      <c r="U105" t="s">
        <v>41</v>
      </c>
      <c r="V105" s="9" t="str">
        <f>HYPERLINK("https://app.ntsb.gov/pdfgenerator/ReportGeneratorFile.ashx?EventID=20160214X54444&amp;AKey=1&amp;Rtype=Final&amp;IType=LA","PDF Report")</f>
        <v>PDF Report</v>
      </c>
    </row>
    <row r="106" spans="1:22" x14ac:dyDescent="0.25">
      <c r="A106" t="s">
        <v>524</v>
      </c>
      <c r="B106">
        <v>1</v>
      </c>
      <c r="C106" s="5">
        <v>42413</v>
      </c>
      <c r="D106" t="s">
        <v>525</v>
      </c>
      <c r="E106" t="s">
        <v>526</v>
      </c>
      <c r="F106" t="s">
        <v>527</v>
      </c>
      <c r="G106" t="s">
        <v>66</v>
      </c>
      <c r="H106" t="s">
        <v>33</v>
      </c>
      <c r="K106" t="s">
        <v>34</v>
      </c>
      <c r="L106" t="s">
        <v>47</v>
      </c>
      <c r="M106" t="s">
        <v>36</v>
      </c>
      <c r="Q106" t="s">
        <v>37</v>
      </c>
      <c r="R106" t="s">
        <v>38</v>
      </c>
      <c r="S106" t="s">
        <v>163</v>
      </c>
      <c r="T106" t="s">
        <v>378</v>
      </c>
      <c r="U106" t="s">
        <v>41</v>
      </c>
      <c r="V106" s="9" t="str">
        <f>HYPERLINK("https://app.ntsb.gov/pdfgenerator/ReportGeneratorFile.ashx?EventID=20160216X81612&amp;AKey=1&amp;Rtype=Final&amp;IType=CA","PDF Report")</f>
        <v>PDF Report</v>
      </c>
    </row>
    <row r="107" spans="1:22" x14ac:dyDescent="0.25">
      <c r="A107" t="s">
        <v>524</v>
      </c>
      <c r="B107">
        <v>2</v>
      </c>
      <c r="C107" s="5">
        <v>42413</v>
      </c>
      <c r="D107" t="s">
        <v>525</v>
      </c>
      <c r="E107" t="s">
        <v>526</v>
      </c>
      <c r="F107" t="s">
        <v>527</v>
      </c>
      <c r="G107" t="s">
        <v>66</v>
      </c>
      <c r="H107" t="s">
        <v>33</v>
      </c>
      <c r="K107" t="s">
        <v>34</v>
      </c>
      <c r="L107" t="s">
        <v>35</v>
      </c>
      <c r="M107" t="s">
        <v>36</v>
      </c>
      <c r="Q107" t="s">
        <v>37</v>
      </c>
      <c r="R107" t="s">
        <v>38</v>
      </c>
      <c r="S107" t="s">
        <v>163</v>
      </c>
      <c r="T107" t="s">
        <v>164</v>
      </c>
      <c r="U107" t="s">
        <v>41</v>
      </c>
      <c r="V107" s="9" t="str">
        <f>HYPERLINK("https://app.ntsb.gov/pdfgenerator/ReportGeneratorFile.ashx?EventID=20160216X81612&amp;AKey=2&amp;Rtype=Final&amp;IType=CA","PDF Report")</f>
        <v>PDF Report</v>
      </c>
    </row>
    <row r="108" spans="1:22" x14ac:dyDescent="0.25">
      <c r="A108" t="s">
        <v>528</v>
      </c>
      <c r="B108">
        <v>1</v>
      </c>
      <c r="C108" s="5">
        <v>42413</v>
      </c>
      <c r="D108" t="s">
        <v>529</v>
      </c>
      <c r="E108" t="s">
        <v>530</v>
      </c>
      <c r="F108" t="s">
        <v>531</v>
      </c>
      <c r="G108" t="s">
        <v>54</v>
      </c>
      <c r="H108" t="s">
        <v>33</v>
      </c>
      <c r="K108" t="s">
        <v>34</v>
      </c>
      <c r="L108" t="s">
        <v>35</v>
      </c>
      <c r="M108" t="s">
        <v>36</v>
      </c>
      <c r="Q108" t="s">
        <v>37</v>
      </c>
      <c r="R108" t="s">
        <v>38</v>
      </c>
      <c r="S108" t="s">
        <v>72</v>
      </c>
      <c r="T108" t="s">
        <v>49</v>
      </c>
      <c r="U108" t="s">
        <v>41</v>
      </c>
      <c r="V108" s="9" t="str">
        <f>HYPERLINK("https://app.ntsb.gov/pdfgenerator/ReportGeneratorFile.ashx?EventID=20160301X54319&amp;AKey=1&amp;Rtype=Final&amp;IType=CA","PDF Report")</f>
        <v>PDF Report</v>
      </c>
    </row>
    <row r="109" spans="1:22" x14ac:dyDescent="0.25">
      <c r="A109" t="s">
        <v>532</v>
      </c>
      <c r="B109">
        <v>1</v>
      </c>
      <c r="C109" s="5">
        <v>42414</v>
      </c>
      <c r="D109" t="s">
        <v>533</v>
      </c>
      <c r="E109" t="s">
        <v>534</v>
      </c>
      <c r="F109" t="s">
        <v>535</v>
      </c>
      <c r="G109" t="s">
        <v>54</v>
      </c>
      <c r="H109" t="s">
        <v>33</v>
      </c>
      <c r="K109" t="s">
        <v>34</v>
      </c>
      <c r="L109" t="s">
        <v>35</v>
      </c>
      <c r="M109" t="s">
        <v>36</v>
      </c>
      <c r="Q109" t="s">
        <v>37</v>
      </c>
      <c r="R109" t="s">
        <v>38</v>
      </c>
      <c r="S109" t="s">
        <v>396</v>
      </c>
      <c r="T109" t="s">
        <v>73</v>
      </c>
      <c r="U109" t="s">
        <v>41</v>
      </c>
      <c r="V109" s="9" t="str">
        <f>HYPERLINK("https://app.ntsb.gov/pdfgenerator/ReportGeneratorFile.ashx?EventID=20160216X22631&amp;AKey=1&amp;Rtype=Final&amp;IType=CA","PDF Report")</f>
        <v>PDF Report</v>
      </c>
    </row>
    <row r="110" spans="1:22" x14ac:dyDescent="0.25">
      <c r="A110" t="s">
        <v>536</v>
      </c>
      <c r="B110">
        <v>1</v>
      </c>
      <c r="C110" s="5">
        <v>42414</v>
      </c>
      <c r="F110" t="s">
        <v>537</v>
      </c>
      <c r="G110" t="s">
        <v>538</v>
      </c>
      <c r="H110" t="s">
        <v>33</v>
      </c>
      <c r="J110">
        <v>1</v>
      </c>
      <c r="K110" t="s">
        <v>55</v>
      </c>
      <c r="L110" t="s">
        <v>34</v>
      </c>
      <c r="M110" t="s">
        <v>103</v>
      </c>
      <c r="N110" t="s">
        <v>57</v>
      </c>
      <c r="O110" t="s">
        <v>58</v>
      </c>
      <c r="P110" t="s">
        <v>59</v>
      </c>
      <c r="Q110" t="s">
        <v>37</v>
      </c>
      <c r="S110" t="s">
        <v>104</v>
      </c>
      <c r="T110" t="s">
        <v>61</v>
      </c>
      <c r="U110" t="s">
        <v>41</v>
      </c>
      <c r="V110" s="9" t="str">
        <f>HYPERLINK("https://app.ntsb.gov/pdfgenerator/ReportGeneratorFile.ashx?EventID=20160216X30252&amp;AKey=1&amp;Rtype=Final&amp;IType=CA","PDF Report")</f>
        <v>PDF Report</v>
      </c>
    </row>
    <row r="111" spans="1:22" x14ac:dyDescent="0.25">
      <c r="A111" t="s">
        <v>539</v>
      </c>
      <c r="B111">
        <v>1</v>
      </c>
      <c r="C111" s="5">
        <v>42414</v>
      </c>
      <c r="D111" t="s">
        <v>540</v>
      </c>
      <c r="E111" t="s">
        <v>541</v>
      </c>
      <c r="F111" t="s">
        <v>542</v>
      </c>
      <c r="G111" t="s">
        <v>169</v>
      </c>
      <c r="H111" t="s">
        <v>33</v>
      </c>
      <c r="K111" t="s">
        <v>34</v>
      </c>
      <c r="L111" t="s">
        <v>35</v>
      </c>
      <c r="M111" t="s">
        <v>36</v>
      </c>
      <c r="Q111" t="s">
        <v>37</v>
      </c>
      <c r="R111" t="s">
        <v>38</v>
      </c>
      <c r="S111" t="s">
        <v>131</v>
      </c>
      <c r="T111" t="s">
        <v>49</v>
      </c>
      <c r="U111" t="s">
        <v>41</v>
      </c>
      <c r="V111" s="9" t="str">
        <f>HYPERLINK("https://app.ntsb.gov/pdfgenerator/ReportGeneratorFile.ashx?EventID=20160216X70419&amp;AKey=1&amp;Rtype=Final&amp;IType=CA","PDF Report")</f>
        <v>PDF Report</v>
      </c>
    </row>
    <row r="112" spans="1:22" x14ac:dyDescent="0.25">
      <c r="A112" t="s">
        <v>543</v>
      </c>
      <c r="B112">
        <v>1</v>
      </c>
      <c r="C112" s="5">
        <v>42416</v>
      </c>
      <c r="D112" t="s">
        <v>544</v>
      </c>
      <c r="E112" t="s">
        <v>545</v>
      </c>
      <c r="F112" t="s">
        <v>546</v>
      </c>
      <c r="G112" t="s">
        <v>287</v>
      </c>
      <c r="H112" t="s">
        <v>33</v>
      </c>
      <c r="I112">
        <v>1</v>
      </c>
      <c r="K112" t="s">
        <v>90</v>
      </c>
      <c r="L112" t="s">
        <v>35</v>
      </c>
      <c r="M112" t="s">
        <v>36</v>
      </c>
      <c r="Q112" t="s">
        <v>547</v>
      </c>
      <c r="R112" t="s">
        <v>38</v>
      </c>
      <c r="S112" t="s">
        <v>48</v>
      </c>
      <c r="T112" t="s">
        <v>49</v>
      </c>
      <c r="U112" t="s">
        <v>41</v>
      </c>
      <c r="V112" s="9" t="str">
        <f>HYPERLINK("https://app.ntsb.gov/pdfgenerator/ReportGeneratorFile.ashx?EventID=20160216X81446&amp;AKey=1&amp;Rtype=Final&amp;IType=LA","PDF Report")</f>
        <v>PDF Report</v>
      </c>
    </row>
    <row r="113" spans="1:22" x14ac:dyDescent="0.25">
      <c r="A113" t="s">
        <v>548</v>
      </c>
      <c r="B113">
        <v>1</v>
      </c>
      <c r="C113" s="5">
        <v>42416</v>
      </c>
      <c r="D113" t="s">
        <v>549</v>
      </c>
      <c r="E113" t="s">
        <v>550</v>
      </c>
      <c r="F113" t="s">
        <v>551</v>
      </c>
      <c r="G113" t="s">
        <v>96</v>
      </c>
      <c r="H113" t="s">
        <v>33</v>
      </c>
      <c r="J113">
        <v>1</v>
      </c>
      <c r="K113" t="s">
        <v>55</v>
      </c>
      <c r="L113" t="s">
        <v>35</v>
      </c>
      <c r="M113" t="s">
        <v>36</v>
      </c>
      <c r="Q113" t="s">
        <v>37</v>
      </c>
      <c r="R113" t="s">
        <v>38</v>
      </c>
      <c r="S113" t="s">
        <v>39</v>
      </c>
      <c r="T113" t="s">
        <v>61</v>
      </c>
      <c r="U113" t="s">
        <v>41</v>
      </c>
      <c r="V113" s="9" t="str">
        <f>HYPERLINK("https://app.ntsb.gov/pdfgenerator/ReportGeneratorFile.ashx?EventID=20160217X10228&amp;AKey=1&amp;Rtype=Final&amp;IType=LA","PDF Report")</f>
        <v>PDF Report</v>
      </c>
    </row>
    <row r="114" spans="1:22" x14ac:dyDescent="0.25">
      <c r="A114" t="s">
        <v>552</v>
      </c>
      <c r="B114">
        <v>1</v>
      </c>
      <c r="C114" s="5">
        <v>42417</v>
      </c>
      <c r="D114" t="s">
        <v>553</v>
      </c>
      <c r="E114" t="s">
        <v>554</v>
      </c>
      <c r="F114" t="s">
        <v>555</v>
      </c>
      <c r="G114" t="s">
        <v>46</v>
      </c>
      <c r="H114" t="s">
        <v>33</v>
      </c>
      <c r="K114" t="s">
        <v>34</v>
      </c>
      <c r="L114" t="s">
        <v>35</v>
      </c>
      <c r="M114" t="s">
        <v>36</v>
      </c>
      <c r="Q114" t="s">
        <v>37</v>
      </c>
      <c r="R114" t="s">
        <v>130</v>
      </c>
      <c r="S114" t="s">
        <v>131</v>
      </c>
      <c r="T114" t="s">
        <v>73</v>
      </c>
      <c r="U114" t="s">
        <v>41</v>
      </c>
      <c r="V114" s="9" t="str">
        <f>HYPERLINK("https://app.ntsb.gov/pdfgenerator/ReportGeneratorFile.ashx?EventID=20160218X62022&amp;AKey=1&amp;Rtype=Final&amp;IType=CA","PDF Report")</f>
        <v>PDF Report</v>
      </c>
    </row>
    <row r="115" spans="1:22" x14ac:dyDescent="0.25">
      <c r="A115" t="s">
        <v>556</v>
      </c>
      <c r="B115">
        <v>1</v>
      </c>
      <c r="C115" s="5">
        <v>42417</v>
      </c>
      <c r="D115" t="s">
        <v>557</v>
      </c>
      <c r="E115" t="s">
        <v>558</v>
      </c>
      <c r="F115" t="s">
        <v>559</v>
      </c>
      <c r="G115" t="s">
        <v>407</v>
      </c>
      <c r="H115" t="s">
        <v>33</v>
      </c>
      <c r="K115" t="s">
        <v>34</v>
      </c>
      <c r="L115" t="s">
        <v>47</v>
      </c>
      <c r="M115" t="s">
        <v>103</v>
      </c>
      <c r="N115" t="s">
        <v>57</v>
      </c>
      <c r="O115" t="s">
        <v>58</v>
      </c>
      <c r="P115" t="s">
        <v>59</v>
      </c>
      <c r="Q115" t="s">
        <v>37</v>
      </c>
      <c r="S115" t="s">
        <v>163</v>
      </c>
      <c r="T115" t="s">
        <v>378</v>
      </c>
      <c r="U115" t="s">
        <v>41</v>
      </c>
      <c r="V115" s="9" t="str">
        <f>HYPERLINK("https://app.ntsb.gov/pdfgenerator/ReportGeneratorFile.ashx?EventID=20160218X94149&amp;AKey=1&amp;Rtype=Final&amp;IType=CA","PDF Report")</f>
        <v>PDF Report</v>
      </c>
    </row>
    <row r="116" spans="1:22" x14ac:dyDescent="0.25">
      <c r="A116" t="s">
        <v>556</v>
      </c>
      <c r="B116">
        <v>2</v>
      </c>
      <c r="C116" s="5">
        <v>42417</v>
      </c>
      <c r="D116" t="s">
        <v>557</v>
      </c>
      <c r="E116" t="s">
        <v>558</v>
      </c>
      <c r="F116" t="s">
        <v>559</v>
      </c>
      <c r="G116" t="s">
        <v>407</v>
      </c>
      <c r="H116" t="s">
        <v>33</v>
      </c>
      <c r="K116" t="s">
        <v>34</v>
      </c>
      <c r="L116" t="s">
        <v>35</v>
      </c>
      <c r="M116" t="s">
        <v>103</v>
      </c>
      <c r="N116" t="s">
        <v>57</v>
      </c>
      <c r="O116" t="s">
        <v>58</v>
      </c>
      <c r="P116" t="s">
        <v>59</v>
      </c>
      <c r="Q116" t="s">
        <v>37</v>
      </c>
      <c r="S116" t="s">
        <v>163</v>
      </c>
      <c r="T116" t="s">
        <v>164</v>
      </c>
      <c r="U116" t="s">
        <v>41</v>
      </c>
      <c r="V116" s="9" t="str">
        <f>HYPERLINK("https://app.ntsb.gov/pdfgenerator/ReportGeneratorFile.ashx?EventID=20160218X94149&amp;AKey=2&amp;Rtype=Final&amp;IType=CA","PDF Report")</f>
        <v>PDF Report</v>
      </c>
    </row>
    <row r="117" spans="1:22" x14ac:dyDescent="0.25">
      <c r="A117" t="s">
        <v>560</v>
      </c>
      <c r="B117">
        <v>1</v>
      </c>
      <c r="C117" s="5">
        <v>42418</v>
      </c>
      <c r="D117" t="s">
        <v>561</v>
      </c>
      <c r="E117" t="s">
        <v>562</v>
      </c>
      <c r="F117" t="s">
        <v>563</v>
      </c>
      <c r="G117" t="s">
        <v>102</v>
      </c>
      <c r="H117" t="s">
        <v>33</v>
      </c>
      <c r="I117">
        <v>1</v>
      </c>
      <c r="K117" t="s">
        <v>90</v>
      </c>
      <c r="L117" t="s">
        <v>35</v>
      </c>
      <c r="M117" t="s">
        <v>36</v>
      </c>
      <c r="Q117" t="s">
        <v>37</v>
      </c>
      <c r="R117" t="s">
        <v>274</v>
      </c>
      <c r="S117" t="s">
        <v>97</v>
      </c>
      <c r="T117" t="s">
        <v>61</v>
      </c>
      <c r="U117" t="s">
        <v>41</v>
      </c>
      <c r="V117" s="9" t="str">
        <f>HYPERLINK("https://app.ntsb.gov/pdfgenerator/ReportGeneratorFile.ashx?EventID=20160218X05331&amp;AKey=1&amp;Rtype=Final&amp;IType=FA","PDF Report")</f>
        <v>PDF Report</v>
      </c>
    </row>
    <row r="118" spans="1:22" x14ac:dyDescent="0.25">
      <c r="A118" t="s">
        <v>564</v>
      </c>
      <c r="B118">
        <v>1</v>
      </c>
      <c r="C118" s="5">
        <v>42418</v>
      </c>
      <c r="D118" t="s">
        <v>565</v>
      </c>
      <c r="E118" t="s">
        <v>566</v>
      </c>
      <c r="F118" t="s">
        <v>567</v>
      </c>
      <c r="G118" t="s">
        <v>232</v>
      </c>
      <c r="H118" t="s">
        <v>33</v>
      </c>
      <c r="I118">
        <v>1</v>
      </c>
      <c r="J118">
        <v>3</v>
      </c>
      <c r="K118" t="s">
        <v>90</v>
      </c>
      <c r="L118" t="s">
        <v>35</v>
      </c>
      <c r="M118" t="s">
        <v>36</v>
      </c>
      <c r="Q118" t="s">
        <v>185</v>
      </c>
      <c r="R118" t="s">
        <v>170</v>
      </c>
      <c r="S118" t="s">
        <v>196</v>
      </c>
      <c r="T118" t="s">
        <v>61</v>
      </c>
      <c r="U118" t="s">
        <v>41</v>
      </c>
      <c r="V118" s="9" t="str">
        <f>HYPERLINK("https://app.ntsb.gov/pdfgenerator/ReportGeneratorFile.ashx?EventID=20160218X71040&amp;AKey=1&amp;Rtype=Final&amp;IType=FA","PDF Report")</f>
        <v>PDF Report</v>
      </c>
    </row>
    <row r="119" spans="1:22" x14ac:dyDescent="0.25">
      <c r="A119" t="s">
        <v>568</v>
      </c>
      <c r="B119">
        <v>1</v>
      </c>
      <c r="C119" s="5">
        <v>42418</v>
      </c>
      <c r="D119" t="s">
        <v>569</v>
      </c>
      <c r="E119" t="s">
        <v>570</v>
      </c>
      <c r="F119" t="s">
        <v>571</v>
      </c>
      <c r="G119" t="s">
        <v>115</v>
      </c>
      <c r="H119" t="s">
        <v>33</v>
      </c>
      <c r="K119" t="s">
        <v>34</v>
      </c>
      <c r="L119" t="s">
        <v>35</v>
      </c>
      <c r="M119" t="s">
        <v>36</v>
      </c>
      <c r="Q119" t="s">
        <v>37</v>
      </c>
      <c r="R119" t="s">
        <v>38</v>
      </c>
      <c r="S119" t="s">
        <v>191</v>
      </c>
      <c r="T119" t="s">
        <v>79</v>
      </c>
      <c r="U119" t="s">
        <v>41</v>
      </c>
      <c r="V119" s="9" t="str">
        <f>HYPERLINK("https://app.ntsb.gov/pdfgenerator/ReportGeneratorFile.ashx?EventID=20160222X31119&amp;AKey=1&amp;Rtype=Final&amp;IType=LA","PDF Report")</f>
        <v>PDF Report</v>
      </c>
    </row>
    <row r="120" spans="1:22" x14ac:dyDescent="0.25">
      <c r="A120" t="s">
        <v>572</v>
      </c>
      <c r="B120">
        <v>1</v>
      </c>
      <c r="C120" s="5">
        <v>42420</v>
      </c>
      <c r="D120" t="s">
        <v>573</v>
      </c>
      <c r="E120" t="s">
        <v>574</v>
      </c>
      <c r="F120" t="s">
        <v>575</v>
      </c>
      <c r="G120" t="s">
        <v>322</v>
      </c>
      <c r="H120" t="s">
        <v>33</v>
      </c>
      <c r="I120">
        <v>1</v>
      </c>
      <c r="K120" t="s">
        <v>90</v>
      </c>
      <c r="L120" t="s">
        <v>35</v>
      </c>
      <c r="M120" t="s">
        <v>36</v>
      </c>
      <c r="Q120" t="s">
        <v>37</v>
      </c>
      <c r="R120" t="s">
        <v>130</v>
      </c>
      <c r="S120" t="s">
        <v>97</v>
      </c>
      <c r="T120" t="s">
        <v>61</v>
      </c>
      <c r="U120" t="s">
        <v>41</v>
      </c>
      <c r="V120" s="9" t="str">
        <f>HYPERLINK("https://app.ntsb.gov/pdfgenerator/ReportGeneratorFile.ashx?EventID=20160221X82226&amp;AKey=1&amp;Rtype=Final&amp;IType=LA","PDF Report")</f>
        <v>PDF Report</v>
      </c>
    </row>
    <row r="121" spans="1:22" x14ac:dyDescent="0.25">
      <c r="A121" t="s">
        <v>576</v>
      </c>
      <c r="B121">
        <v>1</v>
      </c>
      <c r="C121" s="5">
        <v>42420</v>
      </c>
      <c r="D121" t="s">
        <v>577</v>
      </c>
      <c r="E121" t="s">
        <v>578</v>
      </c>
      <c r="F121" t="s">
        <v>579</v>
      </c>
      <c r="G121" t="s">
        <v>115</v>
      </c>
      <c r="H121" t="s">
        <v>33</v>
      </c>
      <c r="K121" t="s">
        <v>34</v>
      </c>
      <c r="L121" t="s">
        <v>35</v>
      </c>
      <c r="M121" t="s">
        <v>36</v>
      </c>
      <c r="Q121" t="s">
        <v>37</v>
      </c>
      <c r="R121" t="s">
        <v>38</v>
      </c>
      <c r="S121" t="s">
        <v>191</v>
      </c>
      <c r="T121" t="s">
        <v>49</v>
      </c>
      <c r="U121" t="s">
        <v>41</v>
      </c>
      <c r="V121" s="9" t="str">
        <f>HYPERLINK("https://app.ntsb.gov/pdfgenerator/ReportGeneratorFile.ashx?EventID=20160226X95415&amp;AKey=1&amp;Rtype=Final&amp;IType=LA","PDF Report")</f>
        <v>PDF Report</v>
      </c>
    </row>
    <row r="122" spans="1:22" x14ac:dyDescent="0.25">
      <c r="A122" t="s">
        <v>580</v>
      </c>
      <c r="B122">
        <v>1</v>
      </c>
      <c r="C122" s="5">
        <v>42421</v>
      </c>
      <c r="D122" t="s">
        <v>581</v>
      </c>
      <c r="E122" t="s">
        <v>582</v>
      </c>
      <c r="F122" t="s">
        <v>583</v>
      </c>
      <c r="G122" t="s">
        <v>115</v>
      </c>
      <c r="H122" t="s">
        <v>33</v>
      </c>
      <c r="K122" t="s">
        <v>34</v>
      </c>
      <c r="L122" t="s">
        <v>35</v>
      </c>
      <c r="M122" t="s">
        <v>36</v>
      </c>
      <c r="Q122" t="s">
        <v>37</v>
      </c>
      <c r="R122" t="s">
        <v>130</v>
      </c>
      <c r="S122" t="s">
        <v>584</v>
      </c>
      <c r="T122" t="s">
        <v>164</v>
      </c>
      <c r="U122" t="s">
        <v>41</v>
      </c>
      <c r="V122" s="9" t="str">
        <f>HYPERLINK("https://app.ntsb.gov/pdfgenerator/ReportGeneratorFile.ashx?EventID=20160229X25457&amp;AKey=1&amp;Rtype=Final&amp;IType=LA","PDF Report")</f>
        <v>PDF Report</v>
      </c>
    </row>
    <row r="123" spans="1:22" x14ac:dyDescent="0.25">
      <c r="A123" t="s">
        <v>585</v>
      </c>
      <c r="B123">
        <v>1</v>
      </c>
      <c r="C123" s="5">
        <v>42421</v>
      </c>
      <c r="D123" t="s">
        <v>586</v>
      </c>
      <c r="E123" t="s">
        <v>587</v>
      </c>
      <c r="F123" t="s">
        <v>588</v>
      </c>
      <c r="G123" t="s">
        <v>312</v>
      </c>
      <c r="H123" t="s">
        <v>33</v>
      </c>
      <c r="K123" t="s">
        <v>34</v>
      </c>
      <c r="L123" t="s">
        <v>35</v>
      </c>
      <c r="M123" t="s">
        <v>36</v>
      </c>
      <c r="Q123" t="s">
        <v>37</v>
      </c>
      <c r="R123" t="s">
        <v>130</v>
      </c>
      <c r="S123" t="s">
        <v>191</v>
      </c>
      <c r="T123" t="s">
        <v>49</v>
      </c>
      <c r="U123" t="s">
        <v>41</v>
      </c>
      <c r="V123" s="9" t="str">
        <f>HYPERLINK("https://app.ntsb.gov/pdfgenerator/ReportGeneratorFile.ashx?EventID=20160229X33536&amp;AKey=1&amp;Rtype=Final&amp;IType=CA","PDF Report")</f>
        <v>PDF Report</v>
      </c>
    </row>
    <row r="124" spans="1:22" x14ac:dyDescent="0.25">
      <c r="A124" t="s">
        <v>589</v>
      </c>
      <c r="B124">
        <v>1</v>
      </c>
      <c r="C124" s="5">
        <v>42422</v>
      </c>
      <c r="D124" t="s">
        <v>590</v>
      </c>
      <c r="E124" t="s">
        <v>591</v>
      </c>
      <c r="F124" t="s">
        <v>592</v>
      </c>
      <c r="G124" t="s">
        <v>66</v>
      </c>
      <c r="H124" t="s">
        <v>33</v>
      </c>
      <c r="K124" t="s">
        <v>34</v>
      </c>
      <c r="L124" t="s">
        <v>35</v>
      </c>
      <c r="M124" t="s">
        <v>36</v>
      </c>
      <c r="Q124" t="s">
        <v>37</v>
      </c>
      <c r="R124" t="s">
        <v>38</v>
      </c>
      <c r="S124" t="s">
        <v>39</v>
      </c>
      <c r="T124" t="s">
        <v>143</v>
      </c>
      <c r="U124" t="s">
        <v>41</v>
      </c>
      <c r="V124" s="9" t="str">
        <f>HYPERLINK("https://app.ntsb.gov/pdfgenerator/ReportGeneratorFile.ashx?EventID=20160223X32248&amp;AKey=1&amp;Rtype=Final&amp;IType=LA","PDF Report")</f>
        <v>PDF Report</v>
      </c>
    </row>
    <row r="125" spans="1:22" x14ac:dyDescent="0.25">
      <c r="A125" t="s">
        <v>593</v>
      </c>
      <c r="B125">
        <v>1</v>
      </c>
      <c r="C125" s="5">
        <v>42422</v>
      </c>
      <c r="D125" t="s">
        <v>594</v>
      </c>
      <c r="E125" t="s">
        <v>595</v>
      </c>
      <c r="F125" t="s">
        <v>596</v>
      </c>
      <c r="G125" t="s">
        <v>597</v>
      </c>
      <c r="H125" t="s">
        <v>598</v>
      </c>
      <c r="K125" t="s">
        <v>34</v>
      </c>
      <c r="L125" t="s">
        <v>110</v>
      </c>
      <c r="M125" t="s">
        <v>599</v>
      </c>
      <c r="Q125" t="s">
        <v>37</v>
      </c>
      <c r="S125" t="s">
        <v>196</v>
      </c>
      <c r="T125" t="s">
        <v>143</v>
      </c>
      <c r="U125" t="s">
        <v>41</v>
      </c>
      <c r="V125" s="9" t="str">
        <f>HYPERLINK("https://app.ntsb.gov/pdfgenerator/ReportGeneratorFile.ashx?EventID=20160225X54829&amp;AKey=1&amp;Rtype=Final&amp;IType=WA","PDF Report")</f>
        <v>PDF Report</v>
      </c>
    </row>
    <row r="126" spans="1:22" x14ac:dyDescent="0.25">
      <c r="A126" t="s">
        <v>600</v>
      </c>
      <c r="B126">
        <v>1</v>
      </c>
      <c r="C126" s="5">
        <v>42423</v>
      </c>
      <c r="D126" t="s">
        <v>601</v>
      </c>
      <c r="E126" t="s">
        <v>602</v>
      </c>
      <c r="F126" t="s">
        <v>603</v>
      </c>
      <c r="G126" t="s">
        <v>115</v>
      </c>
      <c r="H126" t="s">
        <v>33</v>
      </c>
      <c r="K126" t="s">
        <v>47</v>
      </c>
      <c r="L126" t="s">
        <v>35</v>
      </c>
      <c r="M126" t="s">
        <v>36</v>
      </c>
      <c r="Q126" t="s">
        <v>37</v>
      </c>
      <c r="R126" t="s">
        <v>38</v>
      </c>
      <c r="S126" t="s">
        <v>39</v>
      </c>
      <c r="T126" t="s">
        <v>61</v>
      </c>
      <c r="U126" t="s">
        <v>41</v>
      </c>
      <c r="V126" s="9" t="str">
        <f>HYPERLINK("https://app.ntsb.gov/pdfgenerator/ReportGeneratorFile.ashx?EventID=20160223X43139&amp;AKey=1&amp;Rtype=Final&amp;IType=LA","PDF Report")</f>
        <v>PDF Report</v>
      </c>
    </row>
    <row r="127" spans="1:22" x14ac:dyDescent="0.25">
      <c r="A127" t="s">
        <v>604</v>
      </c>
      <c r="B127">
        <v>1</v>
      </c>
      <c r="C127" s="5">
        <v>42423</v>
      </c>
      <c r="D127" t="s">
        <v>605</v>
      </c>
      <c r="E127" t="s">
        <v>606</v>
      </c>
      <c r="F127" t="s">
        <v>607</v>
      </c>
      <c r="G127" t="s">
        <v>66</v>
      </c>
      <c r="H127" t="s">
        <v>33</v>
      </c>
      <c r="K127" t="s">
        <v>34</v>
      </c>
      <c r="L127" t="s">
        <v>35</v>
      </c>
      <c r="M127" t="s">
        <v>36</v>
      </c>
      <c r="Q127" t="s">
        <v>185</v>
      </c>
      <c r="R127" t="s">
        <v>505</v>
      </c>
      <c r="S127" t="s">
        <v>191</v>
      </c>
      <c r="T127" t="s">
        <v>40</v>
      </c>
      <c r="U127" t="s">
        <v>41</v>
      </c>
      <c r="V127" s="9" t="str">
        <f>HYPERLINK("https://app.ntsb.gov/pdfgenerator/ReportGeneratorFile.ashx?EventID=20160224X04410&amp;AKey=1&amp;Rtype=Final&amp;IType=LA","PDF Report")</f>
        <v>PDF Report</v>
      </c>
    </row>
    <row r="128" spans="1:22" x14ac:dyDescent="0.25">
      <c r="A128" t="s">
        <v>608</v>
      </c>
      <c r="B128">
        <v>1</v>
      </c>
      <c r="C128" s="5">
        <v>42423</v>
      </c>
      <c r="D128" t="s">
        <v>609</v>
      </c>
      <c r="E128" t="s">
        <v>610</v>
      </c>
      <c r="F128" t="s">
        <v>611</v>
      </c>
      <c r="G128" t="s">
        <v>206</v>
      </c>
      <c r="H128" t="s">
        <v>33</v>
      </c>
      <c r="K128" t="s">
        <v>34</v>
      </c>
      <c r="L128" t="s">
        <v>35</v>
      </c>
      <c r="M128" t="s">
        <v>36</v>
      </c>
      <c r="Q128" t="s">
        <v>37</v>
      </c>
      <c r="R128" t="s">
        <v>505</v>
      </c>
      <c r="S128" t="s">
        <v>196</v>
      </c>
      <c r="T128" t="s">
        <v>73</v>
      </c>
      <c r="U128" t="s">
        <v>41</v>
      </c>
      <c r="V128" s="9" t="str">
        <f>HYPERLINK("https://app.ntsb.gov/pdfgenerator/ReportGeneratorFile.ashx?EventID=20160224X71851&amp;AKey=1&amp;Rtype=Final&amp;IType=LA","PDF Report")</f>
        <v>PDF Report</v>
      </c>
    </row>
    <row r="129" spans="1:22" x14ac:dyDescent="0.25">
      <c r="A129" t="s">
        <v>612</v>
      </c>
      <c r="B129">
        <v>1</v>
      </c>
      <c r="C129" s="5">
        <v>42423</v>
      </c>
      <c r="D129" t="s">
        <v>613</v>
      </c>
      <c r="E129" t="s">
        <v>614</v>
      </c>
      <c r="F129" t="s">
        <v>615</v>
      </c>
      <c r="G129" t="s">
        <v>348</v>
      </c>
      <c r="H129" t="s">
        <v>33</v>
      </c>
      <c r="K129" t="s">
        <v>34</v>
      </c>
      <c r="L129" t="s">
        <v>35</v>
      </c>
      <c r="M129" t="s">
        <v>103</v>
      </c>
      <c r="N129" t="s">
        <v>57</v>
      </c>
      <c r="O129" t="s">
        <v>58</v>
      </c>
      <c r="P129" t="s">
        <v>59</v>
      </c>
      <c r="Q129" t="s">
        <v>37</v>
      </c>
      <c r="S129" t="s">
        <v>243</v>
      </c>
      <c r="T129" t="s">
        <v>79</v>
      </c>
      <c r="U129" t="s">
        <v>41</v>
      </c>
      <c r="V129" s="9" t="str">
        <f>HYPERLINK("https://app.ntsb.gov/pdfgenerator/ReportGeneratorFile.ashx?EventID=20160225X92701&amp;AKey=1&amp;Rtype=Final&amp;IType=LA","PDF Report")</f>
        <v>PDF Report</v>
      </c>
    </row>
    <row r="130" spans="1:22" x14ac:dyDescent="0.25">
      <c r="A130" t="s">
        <v>616</v>
      </c>
      <c r="B130">
        <v>1</v>
      </c>
      <c r="C130" s="5">
        <v>42424</v>
      </c>
      <c r="D130" t="s">
        <v>617</v>
      </c>
      <c r="E130" t="s">
        <v>618</v>
      </c>
      <c r="F130" t="s">
        <v>619</v>
      </c>
      <c r="G130" t="s">
        <v>32</v>
      </c>
      <c r="H130" t="s">
        <v>33</v>
      </c>
      <c r="K130" t="s">
        <v>34</v>
      </c>
      <c r="L130" t="s">
        <v>35</v>
      </c>
      <c r="M130" t="s">
        <v>36</v>
      </c>
      <c r="Q130" t="s">
        <v>37</v>
      </c>
      <c r="R130" t="s">
        <v>38</v>
      </c>
      <c r="S130" t="s">
        <v>84</v>
      </c>
      <c r="T130" t="s">
        <v>73</v>
      </c>
      <c r="U130" t="s">
        <v>41</v>
      </c>
      <c r="V130" s="9" t="str">
        <f>HYPERLINK("https://app.ntsb.gov/pdfgenerator/ReportGeneratorFile.ashx?EventID=20160224X73439&amp;AKey=1&amp;Rtype=Final&amp;IType=LA","PDF Report")</f>
        <v>PDF Report</v>
      </c>
    </row>
    <row r="131" spans="1:22" x14ac:dyDescent="0.25">
      <c r="A131" t="s">
        <v>620</v>
      </c>
      <c r="B131">
        <v>1</v>
      </c>
      <c r="C131" s="5">
        <v>42424</v>
      </c>
      <c r="D131" t="s">
        <v>621</v>
      </c>
      <c r="E131" t="s">
        <v>622</v>
      </c>
      <c r="F131" t="s">
        <v>623</v>
      </c>
      <c r="G131" t="s">
        <v>115</v>
      </c>
      <c r="H131" t="s">
        <v>33</v>
      </c>
      <c r="K131" t="s">
        <v>47</v>
      </c>
      <c r="L131" t="s">
        <v>35</v>
      </c>
      <c r="M131" t="s">
        <v>36</v>
      </c>
      <c r="Q131" t="s">
        <v>37</v>
      </c>
      <c r="R131" t="s">
        <v>38</v>
      </c>
      <c r="S131" t="s">
        <v>39</v>
      </c>
      <c r="T131" t="s">
        <v>79</v>
      </c>
      <c r="U131" t="s">
        <v>41</v>
      </c>
      <c r="V131" s="9" t="str">
        <f>HYPERLINK("https://app.ntsb.gov/pdfgenerator/ReportGeneratorFile.ashx?EventID=20160224X74440&amp;AKey=1&amp;Rtype=Final&amp;IType=LA","PDF Report")</f>
        <v>PDF Report</v>
      </c>
    </row>
    <row r="132" spans="1:22" x14ac:dyDescent="0.25">
      <c r="A132" t="s">
        <v>624</v>
      </c>
      <c r="B132">
        <v>1</v>
      </c>
      <c r="C132" s="5">
        <v>42424</v>
      </c>
      <c r="D132" t="s">
        <v>625</v>
      </c>
      <c r="E132" t="s">
        <v>626</v>
      </c>
      <c r="F132" t="s">
        <v>627</v>
      </c>
      <c r="G132" t="s">
        <v>32</v>
      </c>
      <c r="H132" t="s">
        <v>33</v>
      </c>
      <c r="K132" t="s">
        <v>34</v>
      </c>
      <c r="L132" t="s">
        <v>35</v>
      </c>
      <c r="M132" t="s">
        <v>36</v>
      </c>
      <c r="Q132" t="s">
        <v>37</v>
      </c>
      <c r="R132" t="s">
        <v>38</v>
      </c>
      <c r="S132" t="s">
        <v>131</v>
      </c>
      <c r="T132" t="s">
        <v>378</v>
      </c>
      <c r="U132" t="s">
        <v>41</v>
      </c>
      <c r="V132" s="9" t="str">
        <f>HYPERLINK("https://app.ntsb.gov/pdfgenerator/ReportGeneratorFile.ashx?EventID=20160229X32454&amp;AKey=1&amp;Rtype=Final&amp;IType=CA","PDF Report")</f>
        <v>PDF Report</v>
      </c>
    </row>
    <row r="133" spans="1:22" x14ac:dyDescent="0.25">
      <c r="A133" t="s">
        <v>628</v>
      </c>
      <c r="B133">
        <v>1</v>
      </c>
      <c r="C133" s="5">
        <v>42425</v>
      </c>
      <c r="D133" t="s">
        <v>629</v>
      </c>
      <c r="E133" t="s">
        <v>630</v>
      </c>
      <c r="F133" t="s">
        <v>631</v>
      </c>
      <c r="G133" t="s">
        <v>66</v>
      </c>
      <c r="H133" t="s">
        <v>33</v>
      </c>
      <c r="K133" t="s">
        <v>34</v>
      </c>
      <c r="L133" t="s">
        <v>35</v>
      </c>
      <c r="M133" t="s">
        <v>36</v>
      </c>
      <c r="Q133" t="s">
        <v>37</v>
      </c>
      <c r="R133" t="s">
        <v>38</v>
      </c>
      <c r="S133" t="s">
        <v>131</v>
      </c>
      <c r="T133" t="s">
        <v>73</v>
      </c>
      <c r="U133" t="s">
        <v>41</v>
      </c>
      <c r="V133" s="9" t="str">
        <f>HYPERLINK("https://app.ntsb.gov/pdfgenerator/ReportGeneratorFile.ashx?EventID=20160302X11902&amp;AKey=1&amp;Rtype=Final&amp;IType=CA","PDF Report")</f>
        <v>PDF Report</v>
      </c>
    </row>
    <row r="134" spans="1:22" x14ac:dyDescent="0.25">
      <c r="A134" t="s">
        <v>632</v>
      </c>
      <c r="B134">
        <v>1</v>
      </c>
      <c r="C134" s="5">
        <v>42427</v>
      </c>
      <c r="D134" t="s">
        <v>633</v>
      </c>
      <c r="E134" t="s">
        <v>634</v>
      </c>
      <c r="F134" t="s">
        <v>635</v>
      </c>
      <c r="G134" t="s">
        <v>636</v>
      </c>
      <c r="H134" t="s">
        <v>33</v>
      </c>
      <c r="J134">
        <v>1</v>
      </c>
      <c r="K134" t="s">
        <v>55</v>
      </c>
      <c r="L134" t="s">
        <v>35</v>
      </c>
      <c r="M134" t="s">
        <v>36</v>
      </c>
      <c r="Q134" t="s">
        <v>37</v>
      </c>
      <c r="R134" t="s">
        <v>38</v>
      </c>
      <c r="S134" t="s">
        <v>48</v>
      </c>
      <c r="T134" t="s">
        <v>143</v>
      </c>
      <c r="U134" t="s">
        <v>41</v>
      </c>
      <c r="V134" s="9" t="str">
        <f>HYPERLINK("https://app.ntsb.gov/pdfgenerator/ReportGeneratorFile.ashx?EventID=20160229X84507&amp;AKey=1&amp;Rtype=Final&amp;IType=LA","PDF Report")</f>
        <v>PDF Report</v>
      </c>
    </row>
    <row r="135" spans="1:22" x14ac:dyDescent="0.25">
      <c r="A135" t="s">
        <v>637</v>
      </c>
      <c r="B135">
        <v>1</v>
      </c>
      <c r="C135" s="5">
        <v>42427</v>
      </c>
      <c r="D135" t="s">
        <v>638</v>
      </c>
      <c r="E135" t="s">
        <v>639</v>
      </c>
      <c r="F135" t="s">
        <v>640</v>
      </c>
      <c r="G135" t="s">
        <v>468</v>
      </c>
      <c r="H135" t="s">
        <v>33</v>
      </c>
      <c r="K135" t="s">
        <v>34</v>
      </c>
      <c r="L135" t="s">
        <v>35</v>
      </c>
      <c r="M135" t="s">
        <v>36</v>
      </c>
      <c r="Q135" t="s">
        <v>37</v>
      </c>
      <c r="R135" t="s">
        <v>38</v>
      </c>
      <c r="S135" t="s">
        <v>39</v>
      </c>
      <c r="T135" t="s">
        <v>143</v>
      </c>
      <c r="U135" t="s">
        <v>41</v>
      </c>
      <c r="V135" s="9" t="str">
        <f>HYPERLINK("https://app.ntsb.gov/pdfgenerator/ReportGeneratorFile.ashx?EventID=20160229X92845&amp;AKey=1&amp;Rtype=Final&amp;IType=LA","PDF Report")</f>
        <v>PDF Report</v>
      </c>
    </row>
    <row r="136" spans="1:22" x14ac:dyDescent="0.25">
      <c r="A136" t="s">
        <v>641</v>
      </c>
      <c r="B136">
        <v>1</v>
      </c>
      <c r="C136" s="5">
        <v>42427</v>
      </c>
      <c r="D136" t="s">
        <v>642</v>
      </c>
      <c r="E136" t="s">
        <v>643</v>
      </c>
      <c r="F136" t="s">
        <v>644</v>
      </c>
      <c r="G136" t="s">
        <v>645</v>
      </c>
      <c r="H136" t="s">
        <v>33</v>
      </c>
      <c r="K136" t="s">
        <v>34</v>
      </c>
      <c r="L136" t="s">
        <v>35</v>
      </c>
      <c r="M136" t="s">
        <v>36</v>
      </c>
      <c r="Q136" t="s">
        <v>37</v>
      </c>
      <c r="R136" t="s">
        <v>38</v>
      </c>
      <c r="S136" t="s">
        <v>39</v>
      </c>
      <c r="T136" t="s">
        <v>61</v>
      </c>
      <c r="U136" t="s">
        <v>41</v>
      </c>
      <c r="V136" s="9" t="str">
        <f>HYPERLINK("https://app.ntsb.gov/pdfgenerator/ReportGeneratorFile.ashx?EventID=20160302X73328&amp;AKey=1&amp;Rtype=Final&amp;IType=LA","PDF Report")</f>
        <v>PDF Report</v>
      </c>
    </row>
    <row r="137" spans="1:22" x14ac:dyDescent="0.25">
      <c r="A137" t="s">
        <v>646</v>
      </c>
      <c r="B137">
        <v>1</v>
      </c>
      <c r="C137" s="5">
        <v>42427</v>
      </c>
      <c r="D137" t="s">
        <v>647</v>
      </c>
      <c r="E137" t="s">
        <v>648</v>
      </c>
      <c r="F137" t="s">
        <v>649</v>
      </c>
      <c r="G137" t="s">
        <v>401</v>
      </c>
      <c r="H137" t="s">
        <v>33</v>
      </c>
      <c r="K137" t="s">
        <v>34</v>
      </c>
      <c r="L137" t="s">
        <v>35</v>
      </c>
      <c r="M137" t="s">
        <v>36</v>
      </c>
      <c r="Q137" t="s">
        <v>37</v>
      </c>
      <c r="R137" t="s">
        <v>38</v>
      </c>
      <c r="S137" t="s">
        <v>72</v>
      </c>
      <c r="T137" t="s">
        <v>73</v>
      </c>
      <c r="U137" t="s">
        <v>41</v>
      </c>
      <c r="V137" s="9" t="str">
        <f>HYPERLINK("https://app.ntsb.gov/pdfgenerator/ReportGeneratorFile.ashx?EventID=20160304X22545&amp;AKey=1&amp;Rtype=Final&amp;IType=LA","PDF Report")</f>
        <v>PDF Report</v>
      </c>
    </row>
    <row r="138" spans="1:22" x14ac:dyDescent="0.25">
      <c r="A138" t="s">
        <v>650</v>
      </c>
      <c r="B138">
        <v>1</v>
      </c>
      <c r="C138" s="5">
        <v>42428</v>
      </c>
      <c r="D138" t="s">
        <v>651</v>
      </c>
      <c r="E138" t="s">
        <v>652</v>
      </c>
      <c r="F138" t="s">
        <v>653</v>
      </c>
      <c r="G138" t="s">
        <v>96</v>
      </c>
      <c r="H138" t="s">
        <v>33</v>
      </c>
      <c r="I138">
        <v>4</v>
      </c>
      <c r="K138" t="s">
        <v>90</v>
      </c>
      <c r="L138" t="s">
        <v>35</v>
      </c>
      <c r="M138" t="s">
        <v>36</v>
      </c>
      <c r="Q138" t="s">
        <v>37</v>
      </c>
      <c r="R138" t="s">
        <v>38</v>
      </c>
      <c r="S138" t="s">
        <v>48</v>
      </c>
      <c r="T138" t="s">
        <v>79</v>
      </c>
      <c r="U138" t="s">
        <v>41</v>
      </c>
      <c r="V138" s="9" t="str">
        <f>HYPERLINK("https://app.ntsb.gov/pdfgenerator/ReportGeneratorFile.ashx?EventID=20160228X22433&amp;AKey=1&amp;Rtype=Final&amp;IType=FA","PDF Report")</f>
        <v>PDF Report</v>
      </c>
    </row>
    <row r="139" spans="1:22" x14ac:dyDescent="0.25">
      <c r="A139" t="s">
        <v>654</v>
      </c>
      <c r="B139">
        <v>1</v>
      </c>
      <c r="C139" s="5">
        <v>42428</v>
      </c>
      <c r="D139" t="s">
        <v>655</v>
      </c>
      <c r="E139" t="s">
        <v>656</v>
      </c>
      <c r="F139" t="s">
        <v>657</v>
      </c>
      <c r="G139" t="s">
        <v>115</v>
      </c>
      <c r="H139" t="s">
        <v>33</v>
      </c>
      <c r="K139" t="s">
        <v>47</v>
      </c>
      <c r="L139" t="s">
        <v>35</v>
      </c>
      <c r="M139" t="s">
        <v>36</v>
      </c>
      <c r="Q139" t="s">
        <v>37</v>
      </c>
      <c r="R139" t="s">
        <v>38</v>
      </c>
      <c r="S139" t="s">
        <v>396</v>
      </c>
      <c r="T139" t="s">
        <v>73</v>
      </c>
      <c r="U139" t="s">
        <v>41</v>
      </c>
      <c r="V139" s="9" t="str">
        <f>HYPERLINK("https://app.ntsb.gov/pdfgenerator/ReportGeneratorFile.ashx?EventID=20160229X81455&amp;AKey=1&amp;Rtype=Final&amp;IType=LA","PDF Report")</f>
        <v>PDF Report</v>
      </c>
    </row>
    <row r="140" spans="1:22" x14ac:dyDescent="0.25">
      <c r="A140" t="s">
        <v>658</v>
      </c>
      <c r="B140">
        <v>1</v>
      </c>
      <c r="C140" s="5">
        <v>42428</v>
      </c>
      <c r="D140" t="s">
        <v>659</v>
      </c>
      <c r="E140" t="s">
        <v>660</v>
      </c>
      <c r="F140" t="s">
        <v>661</v>
      </c>
      <c r="G140" t="s">
        <v>136</v>
      </c>
      <c r="H140" t="s">
        <v>33</v>
      </c>
      <c r="K140" t="s">
        <v>34</v>
      </c>
      <c r="L140" t="s">
        <v>35</v>
      </c>
      <c r="M140" t="s">
        <v>36</v>
      </c>
      <c r="Q140" t="s">
        <v>37</v>
      </c>
      <c r="R140" t="s">
        <v>38</v>
      </c>
      <c r="S140" t="s">
        <v>39</v>
      </c>
      <c r="T140" t="s">
        <v>49</v>
      </c>
      <c r="U140" t="s">
        <v>41</v>
      </c>
      <c r="V140" s="9" t="str">
        <f>HYPERLINK("https://app.ntsb.gov/pdfgenerator/ReportGeneratorFile.ashx?EventID=20160301X74004&amp;AKey=1&amp;Rtype=Final&amp;IType=LA","PDF Report")</f>
        <v>PDF Report</v>
      </c>
    </row>
    <row r="141" spans="1:22" x14ac:dyDescent="0.25">
      <c r="A141" t="s">
        <v>662</v>
      </c>
      <c r="B141">
        <v>1</v>
      </c>
      <c r="C141" s="5">
        <v>42429</v>
      </c>
      <c r="D141" t="s">
        <v>663</v>
      </c>
      <c r="E141" t="s">
        <v>664</v>
      </c>
      <c r="F141" t="s">
        <v>665</v>
      </c>
      <c r="G141" t="s">
        <v>666</v>
      </c>
      <c r="H141" t="s">
        <v>33</v>
      </c>
      <c r="K141" t="s">
        <v>47</v>
      </c>
      <c r="L141" t="s">
        <v>35</v>
      </c>
      <c r="M141" t="s">
        <v>36</v>
      </c>
      <c r="Q141" t="s">
        <v>37</v>
      </c>
      <c r="R141" t="s">
        <v>38</v>
      </c>
      <c r="S141" t="s">
        <v>97</v>
      </c>
      <c r="T141" t="s">
        <v>61</v>
      </c>
      <c r="U141" t="s">
        <v>41</v>
      </c>
      <c r="V141" s="9" t="str">
        <f>HYPERLINK("https://app.ntsb.gov/pdfgenerator/ReportGeneratorFile.ashx?EventID=20160301X95946&amp;AKey=1&amp;Rtype=Final&amp;IType=LA","PDF Report")</f>
        <v>PDF Report</v>
      </c>
    </row>
    <row r="142" spans="1:22" x14ac:dyDescent="0.25">
      <c r="A142" t="s">
        <v>667</v>
      </c>
      <c r="B142">
        <v>1</v>
      </c>
      <c r="C142" s="5">
        <v>42430</v>
      </c>
      <c r="D142" t="s">
        <v>668</v>
      </c>
      <c r="E142" t="s">
        <v>669</v>
      </c>
      <c r="F142" t="s">
        <v>670</v>
      </c>
      <c r="G142" t="s">
        <v>54</v>
      </c>
      <c r="H142" t="s">
        <v>33</v>
      </c>
      <c r="K142" t="s">
        <v>34</v>
      </c>
      <c r="L142" t="s">
        <v>35</v>
      </c>
      <c r="M142" t="s">
        <v>36</v>
      </c>
      <c r="Q142" t="s">
        <v>37</v>
      </c>
      <c r="R142" t="s">
        <v>130</v>
      </c>
      <c r="S142" t="s">
        <v>131</v>
      </c>
      <c r="T142" t="s">
        <v>73</v>
      </c>
      <c r="U142" t="s">
        <v>41</v>
      </c>
      <c r="V142" s="9" t="str">
        <f>HYPERLINK("https://app.ntsb.gov/pdfgenerator/ReportGeneratorFile.ashx?EventID=20160301X01541&amp;AKey=1&amp;Rtype=Final&amp;IType=CA","PDF Report")</f>
        <v>PDF Report</v>
      </c>
    </row>
    <row r="143" spans="1:22" x14ac:dyDescent="0.25">
      <c r="A143" t="s">
        <v>671</v>
      </c>
      <c r="B143">
        <v>1</v>
      </c>
      <c r="C143" s="5">
        <v>42430</v>
      </c>
      <c r="D143" t="s">
        <v>672</v>
      </c>
      <c r="E143" t="s">
        <v>673</v>
      </c>
      <c r="F143" t="s">
        <v>674</v>
      </c>
      <c r="G143" t="s">
        <v>96</v>
      </c>
      <c r="H143" t="s">
        <v>33</v>
      </c>
      <c r="I143">
        <v>2</v>
      </c>
      <c r="K143" t="s">
        <v>90</v>
      </c>
      <c r="L143" t="s">
        <v>110</v>
      </c>
      <c r="M143" t="s">
        <v>36</v>
      </c>
      <c r="Q143" t="s">
        <v>37</v>
      </c>
      <c r="R143" t="s">
        <v>38</v>
      </c>
      <c r="S143" t="s">
        <v>48</v>
      </c>
      <c r="T143" t="s">
        <v>49</v>
      </c>
      <c r="U143" t="s">
        <v>41</v>
      </c>
      <c r="V143" s="9" t="str">
        <f>HYPERLINK("https://app.ntsb.gov/pdfgenerator/ReportGeneratorFile.ashx?EventID=20160301X10758&amp;AKey=1&amp;Rtype=Final&amp;IType=FA","PDF Report")</f>
        <v>PDF Report</v>
      </c>
    </row>
    <row r="144" spans="1:22" x14ac:dyDescent="0.25">
      <c r="A144" t="s">
        <v>675</v>
      </c>
      <c r="B144">
        <v>1</v>
      </c>
      <c r="C144" s="5">
        <v>42430</v>
      </c>
      <c r="D144" t="s">
        <v>676</v>
      </c>
      <c r="E144" t="s">
        <v>677</v>
      </c>
      <c r="F144" t="s">
        <v>678</v>
      </c>
      <c r="G144" t="s">
        <v>136</v>
      </c>
      <c r="H144" t="s">
        <v>33</v>
      </c>
      <c r="K144" t="s">
        <v>34</v>
      </c>
      <c r="L144" t="s">
        <v>35</v>
      </c>
      <c r="M144" t="s">
        <v>36</v>
      </c>
      <c r="Q144" t="s">
        <v>37</v>
      </c>
      <c r="R144" t="s">
        <v>38</v>
      </c>
      <c r="S144" t="s">
        <v>84</v>
      </c>
      <c r="T144" t="s">
        <v>73</v>
      </c>
      <c r="U144" t="s">
        <v>41</v>
      </c>
      <c r="V144" s="9" t="str">
        <f>HYPERLINK("https://app.ntsb.gov/pdfgenerator/ReportGeneratorFile.ashx?EventID=20160302X25319&amp;AKey=1&amp;Rtype=Final&amp;IType=LA","PDF Report")</f>
        <v>PDF Report</v>
      </c>
    </row>
    <row r="145" spans="1:22" x14ac:dyDescent="0.25">
      <c r="A145" t="s">
        <v>679</v>
      </c>
      <c r="B145">
        <v>1</v>
      </c>
      <c r="C145" s="5">
        <v>42430</v>
      </c>
      <c r="D145" t="s">
        <v>680</v>
      </c>
      <c r="E145" t="s">
        <v>681</v>
      </c>
      <c r="F145" t="s">
        <v>682</v>
      </c>
      <c r="G145" t="s">
        <v>683</v>
      </c>
      <c r="H145" t="s">
        <v>33</v>
      </c>
      <c r="K145" t="s">
        <v>34</v>
      </c>
      <c r="L145" t="s">
        <v>35</v>
      </c>
      <c r="M145" t="s">
        <v>36</v>
      </c>
      <c r="Q145" t="s">
        <v>37</v>
      </c>
      <c r="R145" t="s">
        <v>38</v>
      </c>
      <c r="S145" t="s">
        <v>72</v>
      </c>
      <c r="T145" t="s">
        <v>73</v>
      </c>
      <c r="U145" t="s">
        <v>41</v>
      </c>
      <c r="V145" s="9" t="str">
        <f>HYPERLINK("https://app.ntsb.gov/pdfgenerator/ReportGeneratorFile.ashx?EventID=20160303X81148&amp;AKey=1&amp;Rtype=Final&amp;IType=LA","PDF Report")</f>
        <v>PDF Report</v>
      </c>
    </row>
    <row r="146" spans="1:22" x14ac:dyDescent="0.25">
      <c r="A146" t="s">
        <v>684</v>
      </c>
      <c r="B146">
        <v>1</v>
      </c>
      <c r="C146" s="5">
        <v>42431</v>
      </c>
      <c r="D146" t="s">
        <v>685</v>
      </c>
      <c r="E146" t="s">
        <v>686</v>
      </c>
      <c r="F146" t="s">
        <v>687</v>
      </c>
      <c r="G146" t="s">
        <v>287</v>
      </c>
      <c r="H146" t="s">
        <v>33</v>
      </c>
      <c r="K146" t="s">
        <v>34</v>
      </c>
      <c r="L146" t="s">
        <v>35</v>
      </c>
      <c r="M146" t="s">
        <v>36</v>
      </c>
      <c r="Q146" t="s">
        <v>37</v>
      </c>
      <c r="R146" t="s">
        <v>38</v>
      </c>
      <c r="S146" t="s">
        <v>39</v>
      </c>
      <c r="T146" t="s">
        <v>40</v>
      </c>
      <c r="U146" t="s">
        <v>41</v>
      </c>
      <c r="V146" s="9" t="str">
        <f>HYPERLINK("https://app.ntsb.gov/pdfgenerator/ReportGeneratorFile.ashx?EventID=20160302X02559&amp;AKey=1&amp;Rtype=Final&amp;IType=LA","PDF Report")</f>
        <v>PDF Report</v>
      </c>
    </row>
    <row r="147" spans="1:22" x14ac:dyDescent="0.25">
      <c r="A147" t="s">
        <v>688</v>
      </c>
      <c r="B147">
        <v>1</v>
      </c>
      <c r="C147" s="5">
        <v>42431</v>
      </c>
      <c r="D147" t="s">
        <v>689</v>
      </c>
      <c r="E147" t="s">
        <v>690</v>
      </c>
      <c r="F147" t="s">
        <v>691</v>
      </c>
      <c r="G147" t="s">
        <v>206</v>
      </c>
      <c r="H147" t="s">
        <v>33</v>
      </c>
      <c r="I147">
        <v>2</v>
      </c>
      <c r="K147" t="s">
        <v>90</v>
      </c>
      <c r="L147" t="s">
        <v>110</v>
      </c>
      <c r="M147" t="s">
        <v>36</v>
      </c>
      <c r="Q147" t="s">
        <v>37</v>
      </c>
      <c r="R147" t="s">
        <v>38</v>
      </c>
      <c r="S147" t="s">
        <v>48</v>
      </c>
      <c r="T147" t="s">
        <v>61</v>
      </c>
      <c r="U147" t="s">
        <v>41</v>
      </c>
      <c r="V147" s="9" t="str">
        <f>HYPERLINK("https://app.ntsb.gov/pdfgenerator/ReportGeneratorFile.ashx?EventID=20160302X14248&amp;AKey=1&amp;Rtype=Final&amp;IType=FA","PDF Report")</f>
        <v>PDF Report</v>
      </c>
    </row>
    <row r="148" spans="1:22" x14ac:dyDescent="0.25">
      <c r="A148" t="s">
        <v>692</v>
      </c>
      <c r="B148">
        <v>1</v>
      </c>
      <c r="C148" s="5">
        <v>42431</v>
      </c>
      <c r="D148" t="s">
        <v>693</v>
      </c>
      <c r="E148" t="s">
        <v>694</v>
      </c>
      <c r="F148" t="s">
        <v>695</v>
      </c>
      <c r="G148" t="s">
        <v>66</v>
      </c>
      <c r="H148" t="s">
        <v>33</v>
      </c>
      <c r="J148">
        <v>1</v>
      </c>
      <c r="K148" t="s">
        <v>55</v>
      </c>
      <c r="L148" t="s">
        <v>35</v>
      </c>
      <c r="M148" t="s">
        <v>36</v>
      </c>
      <c r="Q148" t="s">
        <v>37</v>
      </c>
      <c r="R148" t="s">
        <v>38</v>
      </c>
      <c r="S148" t="s">
        <v>39</v>
      </c>
      <c r="T148" t="s">
        <v>49</v>
      </c>
      <c r="U148" t="s">
        <v>41</v>
      </c>
      <c r="V148" s="9" t="str">
        <f>HYPERLINK("https://app.ntsb.gov/pdfgenerator/ReportGeneratorFile.ashx?EventID=20160302X71038&amp;AKey=1&amp;Rtype=Final&amp;IType=LA","PDF Report")</f>
        <v>PDF Report</v>
      </c>
    </row>
    <row r="149" spans="1:22" x14ac:dyDescent="0.25">
      <c r="A149" t="s">
        <v>696</v>
      </c>
      <c r="B149">
        <v>1</v>
      </c>
      <c r="C149" s="5">
        <v>42431</v>
      </c>
      <c r="D149" t="s">
        <v>697</v>
      </c>
      <c r="E149" t="s">
        <v>698</v>
      </c>
      <c r="F149" t="s">
        <v>699</v>
      </c>
      <c r="G149" t="s">
        <v>66</v>
      </c>
      <c r="H149" t="s">
        <v>33</v>
      </c>
      <c r="K149" t="s">
        <v>47</v>
      </c>
      <c r="L149" t="s">
        <v>35</v>
      </c>
      <c r="M149" t="s">
        <v>36</v>
      </c>
      <c r="Q149" t="s">
        <v>185</v>
      </c>
      <c r="R149" t="s">
        <v>38</v>
      </c>
      <c r="S149" t="s">
        <v>191</v>
      </c>
      <c r="T149" t="s">
        <v>61</v>
      </c>
      <c r="U149" t="s">
        <v>41</v>
      </c>
      <c r="V149" s="9" t="str">
        <f>HYPERLINK("https://app.ntsb.gov/pdfgenerator/ReportGeneratorFile.ashx?EventID=20160302X71152&amp;AKey=1&amp;Rtype=Final&amp;IType=CA","PDF Report")</f>
        <v>PDF Report</v>
      </c>
    </row>
    <row r="150" spans="1:22" x14ac:dyDescent="0.25">
      <c r="A150" t="s">
        <v>700</v>
      </c>
      <c r="B150">
        <v>1</v>
      </c>
      <c r="C150" s="5">
        <v>42431</v>
      </c>
      <c r="D150" t="s">
        <v>701</v>
      </c>
      <c r="E150" t="s">
        <v>702</v>
      </c>
      <c r="F150" t="s">
        <v>703</v>
      </c>
      <c r="G150" t="s">
        <v>169</v>
      </c>
      <c r="H150" t="s">
        <v>33</v>
      </c>
      <c r="K150" t="s">
        <v>34</v>
      </c>
      <c r="L150" t="s">
        <v>35</v>
      </c>
      <c r="M150" t="s">
        <v>36</v>
      </c>
      <c r="Q150" t="s">
        <v>37</v>
      </c>
      <c r="R150" t="s">
        <v>130</v>
      </c>
      <c r="S150" t="s">
        <v>39</v>
      </c>
      <c r="T150" t="s">
        <v>61</v>
      </c>
      <c r="U150" t="s">
        <v>41</v>
      </c>
      <c r="V150" s="9" t="str">
        <f>HYPERLINK("https://app.ntsb.gov/pdfgenerator/ReportGeneratorFile.ashx?EventID=20160303X23824&amp;AKey=1&amp;Rtype=Final&amp;IType=LA","PDF Report")</f>
        <v>PDF Report</v>
      </c>
    </row>
    <row r="151" spans="1:22" x14ac:dyDescent="0.25">
      <c r="A151" t="s">
        <v>704</v>
      </c>
      <c r="B151">
        <v>1</v>
      </c>
      <c r="C151" s="5">
        <v>42431</v>
      </c>
      <c r="D151" t="s">
        <v>705</v>
      </c>
      <c r="E151" t="s">
        <v>706</v>
      </c>
      <c r="F151" t="s">
        <v>707</v>
      </c>
      <c r="G151" t="s">
        <v>491</v>
      </c>
      <c r="H151" t="s">
        <v>33</v>
      </c>
      <c r="K151" t="s">
        <v>34</v>
      </c>
      <c r="L151" t="s">
        <v>35</v>
      </c>
      <c r="M151" t="s">
        <v>36</v>
      </c>
      <c r="Q151" t="s">
        <v>37</v>
      </c>
      <c r="R151" t="s">
        <v>38</v>
      </c>
      <c r="S151" t="s">
        <v>131</v>
      </c>
      <c r="T151" t="s">
        <v>73</v>
      </c>
      <c r="U151" t="s">
        <v>41</v>
      </c>
      <c r="V151" s="9" t="str">
        <f>HYPERLINK("https://app.ntsb.gov/pdfgenerator/ReportGeneratorFile.ashx?EventID=20160307X85243&amp;AKey=1&amp;Rtype=Final&amp;IType=CA","PDF Report")</f>
        <v>PDF Report</v>
      </c>
    </row>
    <row r="152" spans="1:22" x14ac:dyDescent="0.25">
      <c r="A152" t="s">
        <v>708</v>
      </c>
      <c r="B152">
        <v>1</v>
      </c>
      <c r="C152" s="5">
        <v>42431</v>
      </c>
      <c r="D152" t="s">
        <v>709</v>
      </c>
      <c r="E152" t="s">
        <v>710</v>
      </c>
      <c r="F152" t="s">
        <v>711</v>
      </c>
      <c r="G152" t="s">
        <v>712</v>
      </c>
      <c r="H152" t="s">
        <v>33</v>
      </c>
      <c r="K152" t="s">
        <v>34</v>
      </c>
      <c r="L152" t="s">
        <v>35</v>
      </c>
      <c r="M152" t="s">
        <v>56</v>
      </c>
      <c r="N152" t="s">
        <v>510</v>
      </c>
      <c r="O152" t="s">
        <v>58</v>
      </c>
      <c r="P152" t="s">
        <v>162</v>
      </c>
      <c r="Q152" t="s">
        <v>37</v>
      </c>
      <c r="S152" t="s">
        <v>104</v>
      </c>
      <c r="T152" t="s">
        <v>79</v>
      </c>
      <c r="U152" t="s">
        <v>41</v>
      </c>
      <c r="V152" s="9" t="str">
        <f>HYPERLINK("https://app.ntsb.gov/pdfgenerator/ReportGeneratorFile.ashx?EventID=20160323X61831&amp;AKey=1&amp;Rtype=Final&amp;IType=LA","PDF Report")</f>
        <v>PDF Report</v>
      </c>
    </row>
    <row r="153" spans="1:22" x14ac:dyDescent="0.25">
      <c r="A153" t="s">
        <v>713</v>
      </c>
      <c r="B153">
        <v>1</v>
      </c>
      <c r="C153" s="5">
        <v>42433</v>
      </c>
      <c r="D153" t="s">
        <v>714</v>
      </c>
      <c r="E153" t="s">
        <v>715</v>
      </c>
      <c r="F153" t="s">
        <v>716</v>
      </c>
      <c r="G153" t="s">
        <v>96</v>
      </c>
      <c r="H153" t="s">
        <v>33</v>
      </c>
      <c r="J153">
        <v>1</v>
      </c>
      <c r="K153" t="s">
        <v>55</v>
      </c>
      <c r="L153" t="s">
        <v>35</v>
      </c>
      <c r="M153" t="s">
        <v>36</v>
      </c>
      <c r="Q153" t="s">
        <v>37</v>
      </c>
      <c r="R153" t="s">
        <v>38</v>
      </c>
      <c r="S153" t="s">
        <v>39</v>
      </c>
      <c r="T153" t="s">
        <v>40</v>
      </c>
      <c r="U153" t="s">
        <v>41</v>
      </c>
      <c r="V153" s="9" t="str">
        <f>HYPERLINK("https://app.ntsb.gov/pdfgenerator/ReportGeneratorFile.ashx?EventID=20160309X85445&amp;AKey=1&amp;Rtype=Final&amp;IType=LA","PDF Report")</f>
        <v>PDF Report</v>
      </c>
    </row>
    <row r="154" spans="1:22" x14ac:dyDescent="0.25">
      <c r="A154" t="s">
        <v>717</v>
      </c>
      <c r="B154">
        <v>1</v>
      </c>
      <c r="C154" s="5">
        <v>42434</v>
      </c>
      <c r="D154" t="s">
        <v>718</v>
      </c>
      <c r="E154" t="s">
        <v>719</v>
      </c>
      <c r="F154" t="s">
        <v>720</v>
      </c>
      <c r="G154" t="s">
        <v>287</v>
      </c>
      <c r="H154" t="s">
        <v>33</v>
      </c>
      <c r="J154">
        <v>1</v>
      </c>
      <c r="K154" t="s">
        <v>55</v>
      </c>
      <c r="L154" t="s">
        <v>35</v>
      </c>
      <c r="M154" t="s">
        <v>36</v>
      </c>
      <c r="Q154" t="s">
        <v>37</v>
      </c>
      <c r="R154" t="s">
        <v>38</v>
      </c>
      <c r="S154" t="s">
        <v>48</v>
      </c>
      <c r="T154" t="s">
        <v>143</v>
      </c>
      <c r="U154" t="s">
        <v>41</v>
      </c>
      <c r="V154" s="9" t="str">
        <f>HYPERLINK("https://app.ntsb.gov/pdfgenerator/ReportGeneratorFile.ashx?EventID=20160305X80702&amp;AKey=1&amp;Rtype=Final&amp;IType=LA","PDF Report")</f>
        <v>PDF Report</v>
      </c>
    </row>
    <row r="155" spans="1:22" x14ac:dyDescent="0.25">
      <c r="A155" t="s">
        <v>721</v>
      </c>
      <c r="B155">
        <v>1</v>
      </c>
      <c r="C155" s="5">
        <v>42434</v>
      </c>
      <c r="D155" t="s">
        <v>722</v>
      </c>
      <c r="E155" t="s">
        <v>723</v>
      </c>
      <c r="F155" t="s">
        <v>724</v>
      </c>
      <c r="G155" t="s">
        <v>322</v>
      </c>
      <c r="H155" t="s">
        <v>33</v>
      </c>
      <c r="K155" t="s">
        <v>34</v>
      </c>
      <c r="L155" t="s">
        <v>35</v>
      </c>
      <c r="M155" t="s">
        <v>36</v>
      </c>
      <c r="Q155" t="s">
        <v>37</v>
      </c>
      <c r="R155" t="s">
        <v>38</v>
      </c>
      <c r="S155" t="s">
        <v>39</v>
      </c>
      <c r="T155" t="s">
        <v>61</v>
      </c>
      <c r="U155" t="s">
        <v>41</v>
      </c>
      <c r="V155" s="9" t="str">
        <f>HYPERLINK("https://app.ntsb.gov/pdfgenerator/ReportGeneratorFile.ashx?EventID=20160307X01829&amp;AKey=1&amp;Rtype=Final&amp;IType=LA","PDF Report")</f>
        <v>PDF Report</v>
      </c>
    </row>
    <row r="156" spans="1:22" x14ac:dyDescent="0.25">
      <c r="A156" t="s">
        <v>725</v>
      </c>
      <c r="B156">
        <v>1</v>
      </c>
      <c r="C156" s="5">
        <v>42434</v>
      </c>
      <c r="D156" t="s">
        <v>726</v>
      </c>
      <c r="E156" t="s">
        <v>727</v>
      </c>
      <c r="F156" t="s">
        <v>728</v>
      </c>
      <c r="G156" t="s">
        <v>115</v>
      </c>
      <c r="H156" t="s">
        <v>33</v>
      </c>
      <c r="K156" t="s">
        <v>34</v>
      </c>
      <c r="L156" t="s">
        <v>35</v>
      </c>
      <c r="M156" t="s">
        <v>36</v>
      </c>
      <c r="Q156" t="s">
        <v>37</v>
      </c>
      <c r="R156" t="s">
        <v>38</v>
      </c>
      <c r="S156" t="s">
        <v>39</v>
      </c>
      <c r="T156" t="s">
        <v>61</v>
      </c>
      <c r="U156" t="s">
        <v>41</v>
      </c>
      <c r="V156" s="9" t="str">
        <f>HYPERLINK("https://app.ntsb.gov/pdfgenerator/ReportGeneratorFile.ashx?EventID=20160307X95658&amp;AKey=1&amp;Rtype=Final&amp;IType=LA","PDF Report")</f>
        <v>PDF Report</v>
      </c>
    </row>
    <row r="157" spans="1:22" x14ac:dyDescent="0.25">
      <c r="A157" t="s">
        <v>729</v>
      </c>
      <c r="B157">
        <v>1</v>
      </c>
      <c r="C157" s="5">
        <v>42434</v>
      </c>
      <c r="D157" t="s">
        <v>730</v>
      </c>
      <c r="E157" t="s">
        <v>731</v>
      </c>
      <c r="F157" t="s">
        <v>732</v>
      </c>
      <c r="G157" t="s">
        <v>96</v>
      </c>
      <c r="H157" t="s">
        <v>33</v>
      </c>
      <c r="K157" t="s">
        <v>34</v>
      </c>
      <c r="L157" t="s">
        <v>35</v>
      </c>
      <c r="M157" t="s">
        <v>36</v>
      </c>
      <c r="Q157" t="s">
        <v>37</v>
      </c>
      <c r="R157" t="s">
        <v>38</v>
      </c>
      <c r="S157" t="s">
        <v>131</v>
      </c>
      <c r="T157" t="s">
        <v>73</v>
      </c>
      <c r="U157" t="s">
        <v>41</v>
      </c>
      <c r="V157" s="9" t="str">
        <f>HYPERLINK("https://app.ntsb.gov/pdfgenerator/ReportGeneratorFile.ashx?EventID=20160309X43141&amp;AKey=1&amp;Rtype=Final&amp;IType=CA","PDF Report")</f>
        <v>PDF Report</v>
      </c>
    </row>
    <row r="158" spans="1:22" x14ac:dyDescent="0.25">
      <c r="A158" t="s">
        <v>733</v>
      </c>
      <c r="B158">
        <v>1</v>
      </c>
      <c r="C158" s="5">
        <v>42434</v>
      </c>
      <c r="D158" t="s">
        <v>734</v>
      </c>
      <c r="E158" t="s">
        <v>735</v>
      </c>
      <c r="F158" t="s">
        <v>736</v>
      </c>
      <c r="G158" t="s">
        <v>666</v>
      </c>
      <c r="H158" t="s">
        <v>33</v>
      </c>
      <c r="K158" t="s">
        <v>34</v>
      </c>
      <c r="L158" t="s">
        <v>35</v>
      </c>
      <c r="M158" t="s">
        <v>103</v>
      </c>
      <c r="N158" t="s">
        <v>510</v>
      </c>
      <c r="O158" t="s">
        <v>58</v>
      </c>
      <c r="P158" t="s">
        <v>162</v>
      </c>
      <c r="Q158" t="s">
        <v>37</v>
      </c>
      <c r="S158" t="s">
        <v>84</v>
      </c>
      <c r="T158" t="s">
        <v>73</v>
      </c>
      <c r="U158" t="s">
        <v>41</v>
      </c>
      <c r="V158" s="9" t="str">
        <f>HYPERLINK("https://app.ntsb.gov/pdfgenerator/ReportGeneratorFile.ashx?EventID=20160330X72920&amp;AKey=1&amp;Rtype=Final&amp;IType=CA","PDF Report")</f>
        <v>PDF Report</v>
      </c>
    </row>
    <row r="159" spans="1:22" x14ac:dyDescent="0.25">
      <c r="A159" t="s">
        <v>737</v>
      </c>
      <c r="B159">
        <v>1</v>
      </c>
      <c r="C159" s="5">
        <v>42435</v>
      </c>
      <c r="D159" t="s">
        <v>738</v>
      </c>
      <c r="E159" t="s">
        <v>739</v>
      </c>
      <c r="F159" t="s">
        <v>740</v>
      </c>
      <c r="G159" t="s">
        <v>102</v>
      </c>
      <c r="H159" t="s">
        <v>33</v>
      </c>
      <c r="K159" t="s">
        <v>34</v>
      </c>
      <c r="L159" t="s">
        <v>35</v>
      </c>
      <c r="M159" t="s">
        <v>36</v>
      </c>
      <c r="Q159" t="s">
        <v>37</v>
      </c>
      <c r="R159" t="s">
        <v>38</v>
      </c>
      <c r="S159" t="s">
        <v>131</v>
      </c>
      <c r="T159" t="s">
        <v>73</v>
      </c>
      <c r="U159" t="s">
        <v>41</v>
      </c>
      <c r="V159" s="9" t="str">
        <f>HYPERLINK("https://app.ntsb.gov/pdfgenerator/ReportGeneratorFile.ashx?EventID=20160308X25235&amp;AKey=1&amp;Rtype=Final&amp;IType=CA","PDF Report")</f>
        <v>PDF Report</v>
      </c>
    </row>
    <row r="160" spans="1:22" x14ac:dyDescent="0.25">
      <c r="A160" t="s">
        <v>741</v>
      </c>
      <c r="B160">
        <v>1</v>
      </c>
      <c r="C160" s="5">
        <v>42435</v>
      </c>
      <c r="D160" t="s">
        <v>742</v>
      </c>
      <c r="E160" t="s">
        <v>743</v>
      </c>
      <c r="F160" t="s">
        <v>744</v>
      </c>
      <c r="G160" t="s">
        <v>287</v>
      </c>
      <c r="H160" t="s">
        <v>33</v>
      </c>
      <c r="K160" t="s">
        <v>34</v>
      </c>
      <c r="L160" t="s">
        <v>35</v>
      </c>
      <c r="M160" t="s">
        <v>36</v>
      </c>
      <c r="Q160" t="s">
        <v>37</v>
      </c>
      <c r="R160" t="s">
        <v>38</v>
      </c>
      <c r="S160" t="s">
        <v>84</v>
      </c>
      <c r="T160" t="s">
        <v>73</v>
      </c>
      <c r="U160" t="s">
        <v>41</v>
      </c>
      <c r="V160" s="9" t="str">
        <f>HYPERLINK("https://app.ntsb.gov/pdfgenerator/ReportGeneratorFile.ashx?EventID=20160412X94741&amp;AKey=1&amp;Rtype=Final&amp;IType=CA","PDF Report")</f>
        <v>PDF Report</v>
      </c>
    </row>
    <row r="161" spans="1:22" x14ac:dyDescent="0.25">
      <c r="A161" t="s">
        <v>745</v>
      </c>
      <c r="B161">
        <v>1</v>
      </c>
      <c r="C161" s="5">
        <v>42438</v>
      </c>
      <c r="D161" t="s">
        <v>746</v>
      </c>
      <c r="E161" t="s">
        <v>747</v>
      </c>
      <c r="F161" t="s">
        <v>748</v>
      </c>
      <c r="G161" t="s">
        <v>468</v>
      </c>
      <c r="H161" t="s">
        <v>33</v>
      </c>
      <c r="J161">
        <v>1</v>
      </c>
      <c r="K161" t="s">
        <v>55</v>
      </c>
      <c r="L161" t="s">
        <v>35</v>
      </c>
      <c r="M161" t="s">
        <v>36</v>
      </c>
      <c r="Q161" t="s">
        <v>37</v>
      </c>
      <c r="R161" t="s">
        <v>38</v>
      </c>
      <c r="S161" t="s">
        <v>39</v>
      </c>
      <c r="T161" t="s">
        <v>143</v>
      </c>
      <c r="U161" t="s">
        <v>41</v>
      </c>
      <c r="V161" s="9" t="str">
        <f>HYPERLINK("https://app.ntsb.gov/pdfgenerator/ReportGeneratorFile.ashx?EventID=20160310X20925&amp;AKey=1&amp;Rtype=Final&amp;IType=LA","PDF Report")</f>
        <v>PDF Report</v>
      </c>
    </row>
    <row r="162" spans="1:22" x14ac:dyDescent="0.25">
      <c r="A162" t="s">
        <v>749</v>
      </c>
      <c r="B162">
        <v>1</v>
      </c>
      <c r="C162" s="5">
        <v>42438</v>
      </c>
      <c r="D162" t="s">
        <v>750</v>
      </c>
      <c r="E162" t="s">
        <v>751</v>
      </c>
      <c r="F162" t="s">
        <v>83</v>
      </c>
      <c r="G162" t="s">
        <v>312</v>
      </c>
      <c r="H162" t="s">
        <v>33</v>
      </c>
      <c r="K162" t="s">
        <v>34</v>
      </c>
      <c r="L162" t="s">
        <v>35</v>
      </c>
      <c r="M162" t="s">
        <v>36</v>
      </c>
      <c r="Q162" t="s">
        <v>37</v>
      </c>
      <c r="R162" t="s">
        <v>38</v>
      </c>
      <c r="S162" t="s">
        <v>84</v>
      </c>
      <c r="T162" t="s">
        <v>73</v>
      </c>
      <c r="U162" t="s">
        <v>41</v>
      </c>
      <c r="V162" s="9" t="str">
        <f>HYPERLINK("https://app.ntsb.gov/pdfgenerator/ReportGeneratorFile.ashx?EventID=20160315X02010&amp;AKey=1&amp;Rtype=Final&amp;IType=CA","PDF Report")</f>
        <v>PDF Report</v>
      </c>
    </row>
    <row r="163" spans="1:22" x14ac:dyDescent="0.25">
      <c r="A163" t="s">
        <v>752</v>
      </c>
      <c r="B163">
        <v>1</v>
      </c>
      <c r="C163" s="5">
        <v>42439</v>
      </c>
      <c r="D163" t="s">
        <v>753</v>
      </c>
      <c r="E163" t="s">
        <v>754</v>
      </c>
      <c r="F163" t="s">
        <v>286</v>
      </c>
      <c r="G163" t="s">
        <v>287</v>
      </c>
      <c r="H163" t="s">
        <v>33</v>
      </c>
      <c r="K163" t="s">
        <v>34</v>
      </c>
      <c r="L163" t="s">
        <v>35</v>
      </c>
      <c r="M163" t="s">
        <v>36</v>
      </c>
      <c r="Q163" t="s">
        <v>37</v>
      </c>
      <c r="R163" t="s">
        <v>38</v>
      </c>
      <c r="S163" t="s">
        <v>39</v>
      </c>
      <c r="T163" t="s">
        <v>143</v>
      </c>
      <c r="U163" t="s">
        <v>41</v>
      </c>
      <c r="V163" s="9" t="str">
        <f>HYPERLINK("https://app.ntsb.gov/pdfgenerator/ReportGeneratorFile.ashx?EventID=20160328X81335&amp;AKey=1&amp;Rtype=Final&amp;IType=LA","PDF Report")</f>
        <v>PDF Report</v>
      </c>
    </row>
    <row r="164" spans="1:22" x14ac:dyDescent="0.25">
      <c r="A164" t="s">
        <v>755</v>
      </c>
      <c r="B164">
        <v>1</v>
      </c>
      <c r="C164" s="5">
        <v>42440</v>
      </c>
      <c r="D164" t="s">
        <v>756</v>
      </c>
      <c r="E164" t="s">
        <v>757</v>
      </c>
      <c r="F164" t="s">
        <v>758</v>
      </c>
      <c r="G164" t="s">
        <v>666</v>
      </c>
      <c r="H164" t="s">
        <v>33</v>
      </c>
      <c r="I164">
        <v>2</v>
      </c>
      <c r="K164" t="s">
        <v>90</v>
      </c>
      <c r="L164" t="s">
        <v>110</v>
      </c>
      <c r="M164" t="s">
        <v>36</v>
      </c>
      <c r="Q164" t="s">
        <v>37</v>
      </c>
      <c r="R164" t="s">
        <v>38</v>
      </c>
      <c r="S164" t="s">
        <v>48</v>
      </c>
      <c r="T164" t="s">
        <v>79</v>
      </c>
      <c r="U164" t="s">
        <v>41</v>
      </c>
      <c r="V164" s="9" t="str">
        <f>HYPERLINK("https://app.ntsb.gov/pdfgenerator/ReportGeneratorFile.ashx?EventID=20160311X11659&amp;AKey=1&amp;Rtype=Final&amp;IType=FA","PDF Report")</f>
        <v>PDF Report</v>
      </c>
    </row>
    <row r="165" spans="1:22" x14ac:dyDescent="0.25">
      <c r="A165" t="s">
        <v>759</v>
      </c>
      <c r="B165">
        <v>1</v>
      </c>
      <c r="C165" s="5">
        <v>42440</v>
      </c>
      <c r="D165" t="s">
        <v>760</v>
      </c>
      <c r="E165" t="s">
        <v>761</v>
      </c>
      <c r="F165" t="s">
        <v>762</v>
      </c>
      <c r="G165" t="s">
        <v>206</v>
      </c>
      <c r="H165" t="s">
        <v>33</v>
      </c>
      <c r="K165" t="s">
        <v>47</v>
      </c>
      <c r="L165" t="s">
        <v>35</v>
      </c>
      <c r="M165" t="s">
        <v>36</v>
      </c>
      <c r="Q165" t="s">
        <v>37</v>
      </c>
      <c r="R165" t="s">
        <v>38</v>
      </c>
      <c r="S165" t="s">
        <v>48</v>
      </c>
      <c r="T165" t="s">
        <v>49</v>
      </c>
      <c r="U165" t="s">
        <v>41</v>
      </c>
      <c r="V165" s="9" t="str">
        <f>HYPERLINK("https://app.ntsb.gov/pdfgenerator/ReportGeneratorFile.ashx?EventID=20160312X14654&amp;AKey=1&amp;Rtype=Final&amp;IType=CA","PDF Report")</f>
        <v>PDF Report</v>
      </c>
    </row>
    <row r="166" spans="1:22" x14ac:dyDescent="0.25">
      <c r="A166" t="s">
        <v>763</v>
      </c>
      <c r="B166">
        <v>1</v>
      </c>
      <c r="C166" s="5">
        <v>42440</v>
      </c>
      <c r="D166" t="s">
        <v>764</v>
      </c>
      <c r="E166" t="s">
        <v>765</v>
      </c>
      <c r="F166" t="s">
        <v>766</v>
      </c>
      <c r="G166" t="s">
        <v>450</v>
      </c>
      <c r="H166" t="s">
        <v>33</v>
      </c>
      <c r="K166" t="s">
        <v>34</v>
      </c>
      <c r="L166" t="s">
        <v>35</v>
      </c>
      <c r="M166" t="s">
        <v>767</v>
      </c>
      <c r="Q166" t="s">
        <v>37</v>
      </c>
      <c r="R166" t="s">
        <v>768</v>
      </c>
      <c r="S166" t="s">
        <v>39</v>
      </c>
      <c r="T166" t="s">
        <v>40</v>
      </c>
      <c r="U166" t="s">
        <v>41</v>
      </c>
      <c r="V166" s="9" t="str">
        <f>HYPERLINK("https://app.ntsb.gov/pdfgenerator/ReportGeneratorFile.ashx?EventID=20160312X42224&amp;AKey=1&amp;Rtype=Final&amp;IType=LA","PDF Report")</f>
        <v>PDF Report</v>
      </c>
    </row>
    <row r="167" spans="1:22" x14ac:dyDescent="0.25">
      <c r="A167" t="s">
        <v>769</v>
      </c>
      <c r="B167">
        <v>1</v>
      </c>
      <c r="C167" s="5">
        <v>42441</v>
      </c>
      <c r="D167" t="s">
        <v>770</v>
      </c>
      <c r="E167" t="s">
        <v>771</v>
      </c>
      <c r="F167" t="s">
        <v>772</v>
      </c>
      <c r="G167" t="s">
        <v>115</v>
      </c>
      <c r="H167" t="s">
        <v>33</v>
      </c>
      <c r="I167">
        <v>2</v>
      </c>
      <c r="K167" t="s">
        <v>90</v>
      </c>
      <c r="L167" t="s">
        <v>35</v>
      </c>
      <c r="M167" t="s">
        <v>36</v>
      </c>
      <c r="Q167" t="s">
        <v>37</v>
      </c>
      <c r="R167" t="s">
        <v>38</v>
      </c>
      <c r="S167" t="s">
        <v>39</v>
      </c>
      <c r="T167" t="s">
        <v>61</v>
      </c>
      <c r="U167" t="s">
        <v>41</v>
      </c>
      <c r="V167" s="9" t="str">
        <f>HYPERLINK("https://app.ntsb.gov/pdfgenerator/ReportGeneratorFile.ashx?EventID=20160312X04625&amp;AKey=1&amp;Rtype=Final&amp;IType=FA","PDF Report")</f>
        <v>PDF Report</v>
      </c>
    </row>
    <row r="168" spans="1:22" x14ac:dyDescent="0.25">
      <c r="A168" t="s">
        <v>773</v>
      </c>
      <c r="B168">
        <v>1</v>
      </c>
      <c r="C168" s="5">
        <v>42441</v>
      </c>
      <c r="D168" t="s">
        <v>774</v>
      </c>
      <c r="E168" t="s">
        <v>775</v>
      </c>
      <c r="F168" t="s">
        <v>776</v>
      </c>
      <c r="G168" t="s">
        <v>96</v>
      </c>
      <c r="H168" t="s">
        <v>33</v>
      </c>
      <c r="K168" t="s">
        <v>34</v>
      </c>
      <c r="L168" t="s">
        <v>35</v>
      </c>
      <c r="M168" t="s">
        <v>36</v>
      </c>
      <c r="Q168" t="s">
        <v>37</v>
      </c>
      <c r="R168" t="s">
        <v>38</v>
      </c>
      <c r="S168" t="s">
        <v>131</v>
      </c>
      <c r="T168" t="s">
        <v>73</v>
      </c>
      <c r="U168" t="s">
        <v>41</v>
      </c>
      <c r="V168" s="9" t="str">
        <f>HYPERLINK("https://app.ntsb.gov/pdfgenerator/ReportGeneratorFile.ashx?EventID=20160312X21414&amp;AKey=1&amp;Rtype=Final&amp;IType=CA","PDF Report")</f>
        <v>PDF Report</v>
      </c>
    </row>
    <row r="169" spans="1:22" x14ac:dyDescent="0.25">
      <c r="A169" t="s">
        <v>777</v>
      </c>
      <c r="B169">
        <v>1</v>
      </c>
      <c r="C169" s="5">
        <v>42441</v>
      </c>
      <c r="D169" t="s">
        <v>778</v>
      </c>
      <c r="E169" t="s">
        <v>779</v>
      </c>
      <c r="F169" t="s">
        <v>780</v>
      </c>
      <c r="G169" t="s">
        <v>395</v>
      </c>
      <c r="H169" t="s">
        <v>33</v>
      </c>
      <c r="J169">
        <v>1</v>
      </c>
      <c r="K169" t="s">
        <v>55</v>
      </c>
      <c r="L169" t="s">
        <v>35</v>
      </c>
      <c r="M169" t="s">
        <v>36</v>
      </c>
      <c r="Q169" t="s">
        <v>37</v>
      </c>
      <c r="R169" t="s">
        <v>38</v>
      </c>
      <c r="S169" t="s">
        <v>39</v>
      </c>
      <c r="T169" t="s">
        <v>40</v>
      </c>
      <c r="U169" t="s">
        <v>41</v>
      </c>
      <c r="V169" s="9" t="str">
        <f>HYPERLINK("https://app.ntsb.gov/pdfgenerator/ReportGeneratorFile.ashx?EventID=20160314X73411&amp;AKey=1&amp;Rtype=Final&amp;IType=LA","PDF Report")</f>
        <v>PDF Report</v>
      </c>
    </row>
    <row r="170" spans="1:22" x14ac:dyDescent="0.25">
      <c r="A170" t="s">
        <v>781</v>
      </c>
      <c r="B170">
        <v>1</v>
      </c>
      <c r="C170" s="5">
        <v>42441</v>
      </c>
      <c r="D170" t="s">
        <v>782</v>
      </c>
      <c r="E170" t="s">
        <v>783</v>
      </c>
      <c r="F170" t="s">
        <v>784</v>
      </c>
      <c r="G170" t="s">
        <v>242</v>
      </c>
      <c r="H170" t="s">
        <v>33</v>
      </c>
      <c r="K170" t="s">
        <v>47</v>
      </c>
      <c r="L170" t="s">
        <v>35</v>
      </c>
      <c r="M170" t="s">
        <v>36</v>
      </c>
      <c r="Q170" t="s">
        <v>37</v>
      </c>
      <c r="R170" t="s">
        <v>38</v>
      </c>
      <c r="S170" t="s">
        <v>396</v>
      </c>
      <c r="T170" t="s">
        <v>49</v>
      </c>
      <c r="U170" t="s">
        <v>41</v>
      </c>
      <c r="V170" s="9" t="str">
        <f>HYPERLINK("https://app.ntsb.gov/pdfgenerator/ReportGeneratorFile.ashx?EventID=20160315X25737&amp;AKey=1&amp;Rtype=Final&amp;IType=CA","PDF Report")</f>
        <v>PDF Report</v>
      </c>
    </row>
    <row r="171" spans="1:22" x14ac:dyDescent="0.25">
      <c r="A171" t="s">
        <v>785</v>
      </c>
      <c r="B171">
        <v>1</v>
      </c>
      <c r="C171" s="5">
        <v>42441</v>
      </c>
      <c r="D171" t="s">
        <v>786</v>
      </c>
      <c r="E171" t="s">
        <v>787</v>
      </c>
      <c r="F171" t="s">
        <v>788</v>
      </c>
      <c r="G171" t="s">
        <v>789</v>
      </c>
      <c r="H171" t="s">
        <v>33</v>
      </c>
      <c r="J171">
        <v>1</v>
      </c>
      <c r="K171" t="s">
        <v>55</v>
      </c>
      <c r="L171" t="s">
        <v>34</v>
      </c>
      <c r="M171" t="s">
        <v>36</v>
      </c>
      <c r="Q171" t="s">
        <v>523</v>
      </c>
      <c r="R171" t="s">
        <v>38</v>
      </c>
      <c r="S171" t="s">
        <v>84</v>
      </c>
      <c r="T171" t="s">
        <v>73</v>
      </c>
      <c r="U171" t="s">
        <v>41</v>
      </c>
      <c r="V171" s="9" t="str">
        <f>HYPERLINK("https://app.ntsb.gov/pdfgenerator/ReportGeneratorFile.ashx?EventID=20160330X51343&amp;AKey=1&amp;Rtype=Final&amp;IType=LA","PDF Report")</f>
        <v>PDF Report</v>
      </c>
    </row>
    <row r="172" spans="1:22" x14ac:dyDescent="0.25">
      <c r="A172" t="s">
        <v>790</v>
      </c>
      <c r="B172">
        <v>1</v>
      </c>
      <c r="C172" s="5">
        <v>42442</v>
      </c>
      <c r="D172" t="s">
        <v>791</v>
      </c>
      <c r="E172" t="s">
        <v>792</v>
      </c>
      <c r="F172" t="s">
        <v>793</v>
      </c>
      <c r="G172" t="s">
        <v>242</v>
      </c>
      <c r="H172" t="s">
        <v>33</v>
      </c>
      <c r="K172" t="s">
        <v>34</v>
      </c>
      <c r="L172" t="s">
        <v>35</v>
      </c>
      <c r="M172" t="s">
        <v>36</v>
      </c>
      <c r="Q172" t="s">
        <v>37</v>
      </c>
      <c r="R172" t="s">
        <v>38</v>
      </c>
      <c r="S172" t="s">
        <v>72</v>
      </c>
      <c r="T172" t="s">
        <v>49</v>
      </c>
      <c r="U172" t="s">
        <v>41</v>
      </c>
      <c r="V172" s="9" t="str">
        <f>HYPERLINK("https://app.ntsb.gov/pdfgenerator/ReportGeneratorFile.ashx?EventID=20160313X42454&amp;AKey=1&amp;Rtype=Final&amp;IType=LA","PDF Report")</f>
        <v>PDF Report</v>
      </c>
    </row>
    <row r="173" spans="1:22" x14ac:dyDescent="0.25">
      <c r="A173" t="s">
        <v>794</v>
      </c>
      <c r="B173">
        <v>1</v>
      </c>
      <c r="C173" s="5">
        <v>42442</v>
      </c>
      <c r="D173" t="s">
        <v>795</v>
      </c>
      <c r="E173" t="s">
        <v>796</v>
      </c>
      <c r="F173" t="s">
        <v>108</v>
      </c>
      <c r="G173" t="s">
        <v>109</v>
      </c>
      <c r="H173" t="s">
        <v>33</v>
      </c>
      <c r="I173">
        <v>4</v>
      </c>
      <c r="K173" t="s">
        <v>90</v>
      </c>
      <c r="L173" t="s">
        <v>35</v>
      </c>
      <c r="M173" t="s">
        <v>36</v>
      </c>
      <c r="Q173" t="s">
        <v>37</v>
      </c>
      <c r="R173" t="s">
        <v>38</v>
      </c>
      <c r="S173" t="s">
        <v>48</v>
      </c>
      <c r="T173" t="s">
        <v>143</v>
      </c>
      <c r="U173" t="s">
        <v>41</v>
      </c>
      <c r="V173" s="9" t="str">
        <f>HYPERLINK("https://app.ntsb.gov/pdfgenerator/ReportGeneratorFile.ashx?EventID=20160313X91203&amp;AKey=1&amp;Rtype=Final&amp;IType=FA","PDF Report")</f>
        <v>PDF Report</v>
      </c>
    </row>
    <row r="174" spans="1:22" x14ac:dyDescent="0.25">
      <c r="A174" t="s">
        <v>797</v>
      </c>
      <c r="B174">
        <v>1</v>
      </c>
      <c r="C174" s="5">
        <v>42442</v>
      </c>
      <c r="D174" t="s">
        <v>798</v>
      </c>
      <c r="E174" t="s">
        <v>799</v>
      </c>
      <c r="F174" t="s">
        <v>800</v>
      </c>
      <c r="G174" t="s">
        <v>801</v>
      </c>
      <c r="H174" t="s">
        <v>33</v>
      </c>
      <c r="J174">
        <v>1</v>
      </c>
      <c r="K174" t="s">
        <v>55</v>
      </c>
      <c r="L174" t="s">
        <v>35</v>
      </c>
      <c r="M174" t="s">
        <v>36</v>
      </c>
      <c r="Q174" t="s">
        <v>37</v>
      </c>
      <c r="R174" t="s">
        <v>38</v>
      </c>
      <c r="S174" t="s">
        <v>131</v>
      </c>
      <c r="T174" t="s">
        <v>49</v>
      </c>
      <c r="U174" t="s">
        <v>41</v>
      </c>
      <c r="V174" s="9" t="str">
        <f>HYPERLINK("https://app.ntsb.gov/pdfgenerator/ReportGeneratorFile.ashx?EventID=20160314X84212&amp;AKey=1&amp;Rtype=Final&amp;IType=CA","PDF Report")</f>
        <v>PDF Report</v>
      </c>
    </row>
    <row r="175" spans="1:22" x14ac:dyDescent="0.25">
      <c r="A175" t="s">
        <v>802</v>
      </c>
      <c r="B175">
        <v>1</v>
      </c>
      <c r="C175" s="5">
        <v>42442</v>
      </c>
      <c r="D175" t="s">
        <v>803</v>
      </c>
      <c r="E175" t="s">
        <v>804</v>
      </c>
      <c r="F175" t="s">
        <v>805</v>
      </c>
      <c r="G175" t="s">
        <v>287</v>
      </c>
      <c r="H175" t="s">
        <v>33</v>
      </c>
      <c r="K175" t="s">
        <v>34</v>
      </c>
      <c r="L175" t="s">
        <v>35</v>
      </c>
      <c r="M175" t="s">
        <v>36</v>
      </c>
      <c r="Q175" t="s">
        <v>37</v>
      </c>
      <c r="R175" t="s">
        <v>38</v>
      </c>
      <c r="S175" t="s">
        <v>131</v>
      </c>
      <c r="T175" t="s">
        <v>73</v>
      </c>
      <c r="U175" t="s">
        <v>41</v>
      </c>
      <c r="V175" s="9" t="str">
        <f>HYPERLINK("https://app.ntsb.gov/pdfgenerator/ReportGeneratorFile.ashx?EventID=20160321X01405&amp;AKey=1&amp;Rtype=Final&amp;IType=CA","PDF Report")</f>
        <v>PDF Report</v>
      </c>
    </row>
    <row r="176" spans="1:22" x14ac:dyDescent="0.25">
      <c r="A176" t="s">
        <v>806</v>
      </c>
      <c r="B176">
        <v>1</v>
      </c>
      <c r="C176" s="5">
        <v>42443</v>
      </c>
      <c r="D176" t="s">
        <v>807</v>
      </c>
      <c r="E176" t="s">
        <v>808</v>
      </c>
      <c r="F176" t="s">
        <v>809</v>
      </c>
      <c r="G176" t="s">
        <v>115</v>
      </c>
      <c r="H176" t="s">
        <v>33</v>
      </c>
      <c r="K176" t="s">
        <v>34</v>
      </c>
      <c r="L176" t="s">
        <v>35</v>
      </c>
      <c r="M176" t="s">
        <v>36</v>
      </c>
      <c r="Q176" t="s">
        <v>37</v>
      </c>
      <c r="R176" t="s">
        <v>505</v>
      </c>
      <c r="S176" t="s">
        <v>39</v>
      </c>
      <c r="T176" t="s">
        <v>143</v>
      </c>
      <c r="U176" t="s">
        <v>41</v>
      </c>
      <c r="V176" s="9" t="str">
        <f>HYPERLINK("https://app.ntsb.gov/pdfgenerator/ReportGeneratorFile.ashx?EventID=20160316X92157&amp;AKey=1&amp;Rtype=Final&amp;IType=LA","PDF Report")</f>
        <v>PDF Report</v>
      </c>
    </row>
    <row r="177" spans="1:22" x14ac:dyDescent="0.25">
      <c r="A177" t="s">
        <v>810</v>
      </c>
      <c r="B177">
        <v>1</v>
      </c>
      <c r="C177" s="5">
        <v>42443</v>
      </c>
      <c r="D177" t="s">
        <v>811</v>
      </c>
      <c r="E177" t="s">
        <v>812</v>
      </c>
      <c r="F177" t="s">
        <v>813</v>
      </c>
      <c r="G177" t="s">
        <v>136</v>
      </c>
      <c r="H177" t="s">
        <v>33</v>
      </c>
      <c r="K177" t="s">
        <v>47</v>
      </c>
      <c r="L177" t="s">
        <v>35</v>
      </c>
      <c r="M177" t="s">
        <v>36</v>
      </c>
      <c r="Q177" t="s">
        <v>37</v>
      </c>
      <c r="R177" t="s">
        <v>137</v>
      </c>
      <c r="S177" t="s">
        <v>72</v>
      </c>
      <c r="T177" t="s">
        <v>73</v>
      </c>
      <c r="U177" t="s">
        <v>41</v>
      </c>
      <c r="V177" s="9" t="str">
        <f>HYPERLINK("https://app.ntsb.gov/pdfgenerator/ReportGeneratorFile.ashx?EventID=20160316X95339&amp;AKey=1&amp;Rtype=Final&amp;IType=LA","PDF Report")</f>
        <v>PDF Report</v>
      </c>
    </row>
    <row r="178" spans="1:22" x14ac:dyDescent="0.25">
      <c r="A178" t="s">
        <v>814</v>
      </c>
      <c r="B178">
        <v>1</v>
      </c>
      <c r="C178" s="5">
        <v>42443</v>
      </c>
      <c r="D178" t="s">
        <v>815</v>
      </c>
      <c r="E178" t="s">
        <v>816</v>
      </c>
      <c r="F178" t="s">
        <v>817</v>
      </c>
      <c r="G178" t="s">
        <v>96</v>
      </c>
      <c r="H178" t="s">
        <v>33</v>
      </c>
      <c r="J178">
        <v>1</v>
      </c>
      <c r="K178" t="s">
        <v>55</v>
      </c>
      <c r="L178" t="s">
        <v>34</v>
      </c>
      <c r="M178" t="s">
        <v>103</v>
      </c>
      <c r="N178" t="s">
        <v>57</v>
      </c>
      <c r="O178" t="s">
        <v>58</v>
      </c>
      <c r="P178" t="s">
        <v>59</v>
      </c>
      <c r="Q178" t="s">
        <v>37</v>
      </c>
      <c r="S178" t="s">
        <v>104</v>
      </c>
      <c r="T178" t="s">
        <v>61</v>
      </c>
      <c r="U178" t="s">
        <v>41</v>
      </c>
      <c r="V178" s="9" t="str">
        <f>HYPERLINK("https://app.ntsb.gov/pdfgenerator/ReportGeneratorFile.ashx?EventID=20160609X10842&amp;AKey=1&amp;Rtype=Final&amp;IType=CA","PDF Report")</f>
        <v>PDF Report</v>
      </c>
    </row>
    <row r="179" spans="1:22" x14ac:dyDescent="0.25">
      <c r="A179" t="s">
        <v>818</v>
      </c>
      <c r="B179">
        <v>1</v>
      </c>
      <c r="C179" s="5">
        <v>42444</v>
      </c>
      <c r="D179" t="s">
        <v>819</v>
      </c>
      <c r="E179" t="s">
        <v>820</v>
      </c>
      <c r="F179" t="s">
        <v>821</v>
      </c>
      <c r="G179" t="s">
        <v>96</v>
      </c>
      <c r="H179" t="s">
        <v>33</v>
      </c>
      <c r="K179" t="s">
        <v>34</v>
      </c>
      <c r="L179" t="s">
        <v>35</v>
      </c>
      <c r="M179" t="s">
        <v>36</v>
      </c>
      <c r="Q179" t="s">
        <v>37</v>
      </c>
      <c r="R179" t="s">
        <v>137</v>
      </c>
      <c r="S179" t="s">
        <v>163</v>
      </c>
      <c r="T179" t="s">
        <v>378</v>
      </c>
      <c r="U179" t="s">
        <v>41</v>
      </c>
      <c r="V179" s="9" t="str">
        <f>HYPERLINK("https://app.ntsb.gov/pdfgenerator/ReportGeneratorFile.ashx?EventID=20160316X23841&amp;AKey=1&amp;Rtype=Final&amp;IType=CA","PDF Report")</f>
        <v>PDF Report</v>
      </c>
    </row>
    <row r="180" spans="1:22" x14ac:dyDescent="0.25">
      <c r="A180" t="s">
        <v>818</v>
      </c>
      <c r="B180">
        <v>2</v>
      </c>
      <c r="C180" s="5">
        <v>42444</v>
      </c>
      <c r="D180" t="s">
        <v>819</v>
      </c>
      <c r="E180" t="s">
        <v>820</v>
      </c>
      <c r="F180" t="s">
        <v>821</v>
      </c>
      <c r="G180" t="s">
        <v>96</v>
      </c>
      <c r="H180" t="s">
        <v>33</v>
      </c>
      <c r="K180" t="s">
        <v>34</v>
      </c>
      <c r="L180" t="s">
        <v>47</v>
      </c>
      <c r="M180" t="s">
        <v>36</v>
      </c>
      <c r="Q180" t="s">
        <v>37</v>
      </c>
      <c r="R180" t="s">
        <v>137</v>
      </c>
      <c r="S180" t="s">
        <v>163</v>
      </c>
      <c r="T180" t="s">
        <v>378</v>
      </c>
      <c r="U180" t="s">
        <v>41</v>
      </c>
      <c r="V180" s="9" t="str">
        <f>HYPERLINK("https://app.ntsb.gov/pdfgenerator/ReportGeneratorFile.ashx?EventID=20160316X23841&amp;AKey=2&amp;Rtype=Final&amp;IType=CA","PDF Report")</f>
        <v>PDF Report</v>
      </c>
    </row>
    <row r="181" spans="1:22" x14ac:dyDescent="0.25">
      <c r="A181" t="s">
        <v>822</v>
      </c>
      <c r="B181">
        <v>1</v>
      </c>
      <c r="C181" s="5">
        <v>42445</v>
      </c>
      <c r="D181" t="s">
        <v>823</v>
      </c>
      <c r="E181" t="s">
        <v>824</v>
      </c>
      <c r="F181" t="s">
        <v>825</v>
      </c>
      <c r="G181" t="s">
        <v>102</v>
      </c>
      <c r="H181" t="s">
        <v>33</v>
      </c>
      <c r="K181" t="s">
        <v>47</v>
      </c>
      <c r="L181" t="s">
        <v>35</v>
      </c>
      <c r="M181" t="s">
        <v>36</v>
      </c>
      <c r="Q181" t="s">
        <v>37</v>
      </c>
      <c r="R181" t="s">
        <v>38</v>
      </c>
      <c r="S181" t="s">
        <v>48</v>
      </c>
      <c r="T181" t="s">
        <v>49</v>
      </c>
      <c r="U181" t="s">
        <v>41</v>
      </c>
      <c r="V181" s="9" t="str">
        <f>HYPERLINK("https://app.ntsb.gov/pdfgenerator/ReportGeneratorFile.ashx?EventID=20160318X43535&amp;AKey=1&amp;Rtype=Final&amp;IType=CA","PDF Report")</f>
        <v>PDF Report</v>
      </c>
    </row>
    <row r="182" spans="1:22" x14ac:dyDescent="0.25">
      <c r="A182" t="s">
        <v>826</v>
      </c>
      <c r="B182">
        <v>1</v>
      </c>
      <c r="C182" s="5">
        <v>42446</v>
      </c>
      <c r="D182" t="s">
        <v>827</v>
      </c>
      <c r="E182" t="s">
        <v>828</v>
      </c>
      <c r="F182" t="s">
        <v>829</v>
      </c>
      <c r="G182" t="s">
        <v>66</v>
      </c>
      <c r="H182" t="s">
        <v>33</v>
      </c>
      <c r="K182" t="s">
        <v>34</v>
      </c>
      <c r="L182" t="s">
        <v>35</v>
      </c>
      <c r="M182" t="s">
        <v>36</v>
      </c>
      <c r="Q182" t="s">
        <v>185</v>
      </c>
      <c r="R182" t="s">
        <v>130</v>
      </c>
      <c r="S182" t="s">
        <v>84</v>
      </c>
      <c r="T182" t="s">
        <v>73</v>
      </c>
      <c r="U182" t="s">
        <v>41</v>
      </c>
      <c r="V182" s="9" t="str">
        <f>HYPERLINK("https://app.ntsb.gov/pdfgenerator/ReportGeneratorFile.ashx?EventID=20160317X73352&amp;AKey=1&amp;Rtype=Final&amp;IType=CA","PDF Report")</f>
        <v>PDF Report</v>
      </c>
    </row>
    <row r="183" spans="1:22" x14ac:dyDescent="0.25">
      <c r="A183" t="s">
        <v>830</v>
      </c>
      <c r="B183">
        <v>1</v>
      </c>
      <c r="C183" s="5">
        <v>42447</v>
      </c>
      <c r="D183" t="s">
        <v>831</v>
      </c>
      <c r="E183" t="s">
        <v>832</v>
      </c>
      <c r="F183" t="s">
        <v>833</v>
      </c>
      <c r="G183" t="s">
        <v>115</v>
      </c>
      <c r="H183" t="s">
        <v>33</v>
      </c>
      <c r="I183">
        <v>2</v>
      </c>
      <c r="K183" t="s">
        <v>90</v>
      </c>
      <c r="L183" t="s">
        <v>110</v>
      </c>
      <c r="M183" t="s">
        <v>36</v>
      </c>
      <c r="Q183" t="s">
        <v>37</v>
      </c>
      <c r="R183" t="s">
        <v>38</v>
      </c>
      <c r="S183" t="s">
        <v>834</v>
      </c>
      <c r="T183" t="s">
        <v>143</v>
      </c>
      <c r="U183" t="s">
        <v>41</v>
      </c>
      <c r="V183" s="9" t="str">
        <f>HYPERLINK("https://app.ntsb.gov/pdfgenerator/ReportGeneratorFile.ashx?EventID=20160318X22506&amp;AKey=1&amp;Rtype=Final&amp;IType=FA","PDF Report")</f>
        <v>PDF Report</v>
      </c>
    </row>
    <row r="184" spans="1:22" x14ac:dyDescent="0.25">
      <c r="A184" t="s">
        <v>835</v>
      </c>
      <c r="B184">
        <v>1</v>
      </c>
      <c r="C184" s="5">
        <v>42447</v>
      </c>
      <c r="D184" t="s">
        <v>836</v>
      </c>
      <c r="E184" t="s">
        <v>837</v>
      </c>
      <c r="F184" t="s">
        <v>838</v>
      </c>
      <c r="G184" t="s">
        <v>96</v>
      </c>
      <c r="H184" t="s">
        <v>33</v>
      </c>
      <c r="J184">
        <v>1</v>
      </c>
      <c r="K184" t="s">
        <v>55</v>
      </c>
      <c r="L184" t="s">
        <v>35</v>
      </c>
      <c r="M184" t="s">
        <v>36</v>
      </c>
      <c r="Q184" t="s">
        <v>37</v>
      </c>
      <c r="R184" t="s">
        <v>38</v>
      </c>
      <c r="S184" t="s">
        <v>91</v>
      </c>
      <c r="T184" t="s">
        <v>143</v>
      </c>
      <c r="U184" t="s">
        <v>41</v>
      </c>
      <c r="V184" s="9" t="str">
        <f>HYPERLINK("https://app.ntsb.gov/pdfgenerator/ReportGeneratorFile.ashx?EventID=20160321X12626&amp;AKey=1&amp;Rtype=Final&amp;IType=LA","PDF Report")</f>
        <v>PDF Report</v>
      </c>
    </row>
    <row r="185" spans="1:22" x14ac:dyDescent="0.25">
      <c r="A185" t="s">
        <v>839</v>
      </c>
      <c r="B185">
        <v>1</v>
      </c>
      <c r="C185" s="5">
        <v>42447</v>
      </c>
      <c r="D185" t="s">
        <v>840</v>
      </c>
      <c r="E185" t="s">
        <v>841</v>
      </c>
      <c r="F185" t="s">
        <v>842</v>
      </c>
      <c r="G185" t="s">
        <v>401</v>
      </c>
      <c r="H185" t="s">
        <v>33</v>
      </c>
      <c r="J185">
        <v>1</v>
      </c>
      <c r="K185" t="s">
        <v>55</v>
      </c>
      <c r="L185" t="s">
        <v>35</v>
      </c>
      <c r="M185" t="s">
        <v>36</v>
      </c>
      <c r="Q185" t="s">
        <v>37</v>
      </c>
      <c r="R185" t="s">
        <v>38</v>
      </c>
      <c r="S185" t="s">
        <v>131</v>
      </c>
      <c r="T185" t="s">
        <v>49</v>
      </c>
      <c r="U185" t="s">
        <v>41</v>
      </c>
      <c r="V185" s="9" t="str">
        <f>HYPERLINK("https://app.ntsb.gov/pdfgenerator/ReportGeneratorFile.ashx?EventID=20160322X54051&amp;AKey=1&amp;Rtype=Final&amp;IType=CA","PDF Report")</f>
        <v>PDF Report</v>
      </c>
    </row>
    <row r="186" spans="1:22" x14ac:dyDescent="0.25">
      <c r="A186" t="s">
        <v>843</v>
      </c>
      <c r="B186">
        <v>1</v>
      </c>
      <c r="C186" s="5">
        <v>42447</v>
      </c>
      <c r="D186" t="s">
        <v>844</v>
      </c>
      <c r="E186" t="s">
        <v>845</v>
      </c>
      <c r="F186" t="s">
        <v>273</v>
      </c>
      <c r="G186" t="s">
        <v>264</v>
      </c>
      <c r="H186" t="s">
        <v>33</v>
      </c>
      <c r="K186" t="s">
        <v>47</v>
      </c>
      <c r="L186" t="s">
        <v>35</v>
      </c>
      <c r="M186" t="s">
        <v>36</v>
      </c>
      <c r="Q186" t="s">
        <v>37</v>
      </c>
      <c r="R186" t="s">
        <v>38</v>
      </c>
      <c r="S186" t="s">
        <v>39</v>
      </c>
      <c r="T186" t="s">
        <v>79</v>
      </c>
      <c r="U186" t="s">
        <v>41</v>
      </c>
      <c r="V186" s="9" t="str">
        <f>HYPERLINK("https://app.ntsb.gov/pdfgenerator/ReportGeneratorFile.ashx?EventID=20160322X70716&amp;AKey=1&amp;Rtype=Final&amp;IType=LA","PDF Report")</f>
        <v>PDF Report</v>
      </c>
    </row>
    <row r="187" spans="1:22" x14ac:dyDescent="0.25">
      <c r="A187" t="s">
        <v>846</v>
      </c>
      <c r="B187">
        <v>1</v>
      </c>
      <c r="C187" s="5">
        <v>42447</v>
      </c>
      <c r="D187" t="s">
        <v>847</v>
      </c>
      <c r="E187" t="s">
        <v>848</v>
      </c>
      <c r="F187" t="s">
        <v>849</v>
      </c>
      <c r="G187" t="s">
        <v>180</v>
      </c>
      <c r="H187" t="s">
        <v>33</v>
      </c>
      <c r="K187" t="s">
        <v>34</v>
      </c>
      <c r="L187" t="s">
        <v>35</v>
      </c>
      <c r="M187" t="s">
        <v>36</v>
      </c>
      <c r="Q187" t="s">
        <v>37</v>
      </c>
      <c r="R187" t="s">
        <v>38</v>
      </c>
      <c r="S187" t="s">
        <v>84</v>
      </c>
      <c r="T187" t="s">
        <v>73</v>
      </c>
      <c r="U187" t="s">
        <v>41</v>
      </c>
      <c r="V187" s="9" t="str">
        <f>HYPERLINK("https://app.ntsb.gov/pdfgenerator/ReportGeneratorFile.ashx?EventID=20160324X73913&amp;AKey=1&amp;Rtype=Final&amp;IType=CA","PDF Report")</f>
        <v>PDF Report</v>
      </c>
    </row>
    <row r="188" spans="1:22" x14ac:dyDescent="0.25">
      <c r="A188" t="s">
        <v>850</v>
      </c>
      <c r="B188">
        <v>1</v>
      </c>
      <c r="C188" s="5">
        <v>42448</v>
      </c>
      <c r="D188" t="s">
        <v>851</v>
      </c>
      <c r="E188" t="s">
        <v>852</v>
      </c>
      <c r="F188" t="s">
        <v>853</v>
      </c>
      <c r="G188" t="s">
        <v>789</v>
      </c>
      <c r="H188" t="s">
        <v>33</v>
      </c>
      <c r="K188" t="s">
        <v>34</v>
      </c>
      <c r="L188" t="s">
        <v>35</v>
      </c>
      <c r="M188" t="s">
        <v>36</v>
      </c>
      <c r="Q188" t="s">
        <v>37</v>
      </c>
      <c r="R188" t="s">
        <v>38</v>
      </c>
      <c r="S188" t="s">
        <v>196</v>
      </c>
      <c r="T188" t="s">
        <v>143</v>
      </c>
      <c r="U188" t="s">
        <v>41</v>
      </c>
      <c r="V188" s="9" t="str">
        <f>HYPERLINK("https://app.ntsb.gov/pdfgenerator/ReportGeneratorFile.ashx?EventID=20160321X34119&amp;AKey=1&amp;Rtype=Final&amp;IType=LA","PDF Report")</f>
        <v>PDF Report</v>
      </c>
    </row>
    <row r="189" spans="1:22" x14ac:dyDescent="0.25">
      <c r="A189" t="s">
        <v>854</v>
      </c>
      <c r="B189">
        <v>1</v>
      </c>
      <c r="C189" s="5">
        <v>42449</v>
      </c>
      <c r="D189" t="s">
        <v>855</v>
      </c>
      <c r="E189" t="s">
        <v>856</v>
      </c>
      <c r="F189" t="s">
        <v>857</v>
      </c>
      <c r="G189" t="s">
        <v>89</v>
      </c>
      <c r="H189" t="s">
        <v>33</v>
      </c>
      <c r="I189">
        <v>1</v>
      </c>
      <c r="K189" t="s">
        <v>90</v>
      </c>
      <c r="L189" t="s">
        <v>110</v>
      </c>
      <c r="M189" t="s">
        <v>36</v>
      </c>
      <c r="Q189" t="s">
        <v>37</v>
      </c>
      <c r="R189" t="s">
        <v>38</v>
      </c>
      <c r="S189" t="s">
        <v>48</v>
      </c>
      <c r="T189" t="s">
        <v>40</v>
      </c>
      <c r="U189" t="s">
        <v>41</v>
      </c>
      <c r="V189" s="9" t="str">
        <f>HYPERLINK("https://app.ntsb.gov/pdfgenerator/ReportGeneratorFile.ashx?EventID=20160322X22134&amp;AKey=1&amp;Rtype=Final&amp;IType=FA","PDF Report")</f>
        <v>PDF Report</v>
      </c>
    </row>
    <row r="190" spans="1:22" x14ac:dyDescent="0.25">
      <c r="A190" t="s">
        <v>858</v>
      </c>
      <c r="B190">
        <v>1</v>
      </c>
      <c r="C190" s="5">
        <v>42449</v>
      </c>
      <c r="D190" t="s">
        <v>859</v>
      </c>
      <c r="E190" t="s">
        <v>860</v>
      </c>
      <c r="F190" t="s">
        <v>861</v>
      </c>
      <c r="G190" t="s">
        <v>96</v>
      </c>
      <c r="H190" t="s">
        <v>33</v>
      </c>
      <c r="K190" t="s">
        <v>34</v>
      </c>
      <c r="L190" t="s">
        <v>35</v>
      </c>
      <c r="M190" t="s">
        <v>36</v>
      </c>
      <c r="Q190" t="s">
        <v>37</v>
      </c>
      <c r="R190" t="s">
        <v>38</v>
      </c>
      <c r="S190" t="s">
        <v>131</v>
      </c>
      <c r="T190" t="s">
        <v>73</v>
      </c>
      <c r="U190" t="s">
        <v>41</v>
      </c>
      <c r="V190" s="9" t="str">
        <f>HYPERLINK("https://app.ntsb.gov/pdfgenerator/ReportGeneratorFile.ashx?EventID=20160323X12813&amp;AKey=1&amp;Rtype=Final&amp;IType=CA","PDF Report")</f>
        <v>PDF Report</v>
      </c>
    </row>
    <row r="191" spans="1:22" x14ac:dyDescent="0.25">
      <c r="A191" t="s">
        <v>862</v>
      </c>
      <c r="B191">
        <v>1</v>
      </c>
      <c r="C191" s="5">
        <v>42449</v>
      </c>
      <c r="D191" t="s">
        <v>863</v>
      </c>
      <c r="E191" t="s">
        <v>864</v>
      </c>
      <c r="F191" t="s">
        <v>865</v>
      </c>
      <c r="G191" t="s">
        <v>142</v>
      </c>
      <c r="H191" t="s">
        <v>33</v>
      </c>
      <c r="K191" t="s">
        <v>34</v>
      </c>
      <c r="L191" t="s">
        <v>35</v>
      </c>
      <c r="M191" t="s">
        <v>36</v>
      </c>
      <c r="Q191" t="s">
        <v>37</v>
      </c>
      <c r="R191" t="s">
        <v>38</v>
      </c>
      <c r="S191" t="s">
        <v>84</v>
      </c>
      <c r="T191" t="s">
        <v>79</v>
      </c>
      <c r="U191" t="s">
        <v>41</v>
      </c>
      <c r="V191" s="9" t="str">
        <f>HYPERLINK("https://app.ntsb.gov/pdfgenerator/ReportGeneratorFile.ashx?EventID=20160324X62956&amp;AKey=1&amp;Rtype=Final&amp;IType=CA","PDF Report")</f>
        <v>PDF Report</v>
      </c>
    </row>
    <row r="192" spans="1:22" x14ac:dyDescent="0.25">
      <c r="A192" t="s">
        <v>866</v>
      </c>
      <c r="B192">
        <v>1</v>
      </c>
      <c r="C192" s="5">
        <v>42450</v>
      </c>
      <c r="D192" t="s">
        <v>867</v>
      </c>
      <c r="E192" t="s">
        <v>868</v>
      </c>
      <c r="F192" t="s">
        <v>869</v>
      </c>
      <c r="G192" t="s">
        <v>66</v>
      </c>
      <c r="H192" t="s">
        <v>33</v>
      </c>
      <c r="I192">
        <v>1</v>
      </c>
      <c r="K192" t="s">
        <v>90</v>
      </c>
      <c r="L192" t="s">
        <v>110</v>
      </c>
      <c r="M192" t="s">
        <v>36</v>
      </c>
      <c r="Q192" t="s">
        <v>547</v>
      </c>
      <c r="R192" t="s">
        <v>130</v>
      </c>
      <c r="S192" t="s">
        <v>104</v>
      </c>
      <c r="T192" t="s">
        <v>49</v>
      </c>
      <c r="U192" t="s">
        <v>41</v>
      </c>
      <c r="V192" s="9" t="str">
        <f>HYPERLINK("https://app.ntsb.gov/pdfgenerator/ReportGeneratorFile.ashx?EventID=20160321X75000&amp;AKey=1&amp;Rtype=Final&amp;IType=FA","PDF Report")</f>
        <v>PDF Report</v>
      </c>
    </row>
    <row r="193" spans="1:22" x14ac:dyDescent="0.25">
      <c r="A193" t="s">
        <v>870</v>
      </c>
      <c r="B193">
        <v>1</v>
      </c>
      <c r="C193" s="5">
        <v>42450</v>
      </c>
      <c r="D193" t="s">
        <v>871</v>
      </c>
      <c r="E193" t="s">
        <v>872</v>
      </c>
      <c r="F193" t="s">
        <v>873</v>
      </c>
      <c r="G193" t="s">
        <v>468</v>
      </c>
      <c r="H193" t="s">
        <v>33</v>
      </c>
      <c r="K193" t="s">
        <v>34</v>
      </c>
      <c r="L193" t="s">
        <v>35</v>
      </c>
      <c r="M193" t="s">
        <v>36</v>
      </c>
      <c r="Q193" t="s">
        <v>874</v>
      </c>
      <c r="R193" t="s">
        <v>38</v>
      </c>
      <c r="S193" t="s">
        <v>191</v>
      </c>
      <c r="T193" t="s">
        <v>243</v>
      </c>
      <c r="U193" t="s">
        <v>41</v>
      </c>
      <c r="V193" s="9" t="str">
        <f>HYPERLINK("https://app.ntsb.gov/pdfgenerator/ReportGeneratorFile.ashx?EventID=20160323X62352&amp;AKey=1&amp;Rtype=Final&amp;IType=CA","PDF Report")</f>
        <v>PDF Report</v>
      </c>
    </row>
    <row r="194" spans="1:22" x14ac:dyDescent="0.25">
      <c r="A194" t="s">
        <v>875</v>
      </c>
      <c r="B194">
        <v>1</v>
      </c>
      <c r="C194" s="5">
        <v>42451</v>
      </c>
      <c r="D194" t="s">
        <v>876</v>
      </c>
      <c r="E194" t="s">
        <v>877</v>
      </c>
      <c r="F194" t="s">
        <v>878</v>
      </c>
      <c r="G194" t="s">
        <v>71</v>
      </c>
      <c r="H194" t="s">
        <v>33</v>
      </c>
      <c r="K194" t="s">
        <v>34</v>
      </c>
      <c r="L194" t="s">
        <v>35</v>
      </c>
      <c r="M194" t="s">
        <v>36</v>
      </c>
      <c r="Q194" t="s">
        <v>37</v>
      </c>
      <c r="R194" t="s">
        <v>38</v>
      </c>
      <c r="S194" t="s">
        <v>84</v>
      </c>
      <c r="T194" t="s">
        <v>73</v>
      </c>
      <c r="U194" t="s">
        <v>41</v>
      </c>
      <c r="V194" s="9" t="str">
        <f>HYPERLINK("https://app.ntsb.gov/pdfgenerator/ReportGeneratorFile.ashx?EventID=20160322X73620&amp;AKey=1&amp;Rtype=Final&amp;IType=CA","PDF Report")</f>
        <v>PDF Report</v>
      </c>
    </row>
    <row r="195" spans="1:22" x14ac:dyDescent="0.25">
      <c r="A195" t="s">
        <v>879</v>
      </c>
      <c r="B195">
        <v>1</v>
      </c>
      <c r="C195" s="5">
        <v>42452</v>
      </c>
      <c r="D195" t="s">
        <v>880</v>
      </c>
      <c r="E195" t="s">
        <v>881</v>
      </c>
      <c r="F195" t="s">
        <v>882</v>
      </c>
      <c r="G195" t="s">
        <v>883</v>
      </c>
      <c r="H195" t="s">
        <v>33</v>
      </c>
      <c r="K195" t="s">
        <v>34</v>
      </c>
      <c r="L195" t="s">
        <v>35</v>
      </c>
      <c r="M195" t="s">
        <v>36</v>
      </c>
      <c r="Q195" t="s">
        <v>37</v>
      </c>
      <c r="R195" t="s">
        <v>130</v>
      </c>
      <c r="S195" t="s">
        <v>84</v>
      </c>
      <c r="T195" t="s">
        <v>73</v>
      </c>
      <c r="U195" t="s">
        <v>41</v>
      </c>
      <c r="V195" s="9" t="str">
        <f>HYPERLINK("https://app.ntsb.gov/pdfgenerator/ReportGeneratorFile.ashx?EventID=20160324X71313&amp;AKey=1&amp;Rtype=Final&amp;IType=CA","PDF Report")</f>
        <v>PDF Report</v>
      </c>
    </row>
    <row r="196" spans="1:22" x14ac:dyDescent="0.25">
      <c r="A196" t="s">
        <v>884</v>
      </c>
      <c r="B196">
        <v>1</v>
      </c>
      <c r="C196" s="5">
        <v>42452</v>
      </c>
      <c r="D196" t="s">
        <v>885</v>
      </c>
      <c r="E196" t="s">
        <v>886</v>
      </c>
      <c r="F196" t="s">
        <v>887</v>
      </c>
      <c r="G196" t="s">
        <v>645</v>
      </c>
      <c r="H196" t="s">
        <v>33</v>
      </c>
      <c r="K196" t="s">
        <v>34</v>
      </c>
      <c r="L196" t="s">
        <v>35</v>
      </c>
      <c r="M196" t="s">
        <v>36</v>
      </c>
      <c r="Q196" t="s">
        <v>37</v>
      </c>
      <c r="R196" t="s">
        <v>38</v>
      </c>
      <c r="S196" t="s">
        <v>84</v>
      </c>
      <c r="T196" t="s">
        <v>73</v>
      </c>
      <c r="U196" t="s">
        <v>41</v>
      </c>
      <c r="V196" s="9" t="str">
        <f>HYPERLINK("https://app.ntsb.gov/pdfgenerator/ReportGeneratorFile.ashx?EventID=20160324X71331&amp;AKey=1&amp;Rtype=Final&amp;IType=CA","PDF Report")</f>
        <v>PDF Report</v>
      </c>
    </row>
    <row r="197" spans="1:22" x14ac:dyDescent="0.25">
      <c r="A197" t="s">
        <v>888</v>
      </c>
      <c r="B197">
        <v>1</v>
      </c>
      <c r="C197" s="5">
        <v>42452</v>
      </c>
      <c r="D197" t="s">
        <v>889</v>
      </c>
      <c r="E197" t="s">
        <v>890</v>
      </c>
      <c r="F197" t="s">
        <v>891</v>
      </c>
      <c r="G197" t="s">
        <v>102</v>
      </c>
      <c r="H197" t="s">
        <v>33</v>
      </c>
      <c r="K197" t="s">
        <v>47</v>
      </c>
      <c r="L197" t="s">
        <v>35</v>
      </c>
      <c r="M197" t="s">
        <v>36</v>
      </c>
      <c r="Q197" t="s">
        <v>185</v>
      </c>
      <c r="R197" t="s">
        <v>130</v>
      </c>
      <c r="S197" t="s">
        <v>48</v>
      </c>
      <c r="T197" t="s">
        <v>40</v>
      </c>
      <c r="U197" t="s">
        <v>41</v>
      </c>
      <c r="V197" s="9" t="str">
        <f>HYPERLINK("https://app.ntsb.gov/pdfgenerator/ReportGeneratorFile.ashx?EventID=20160324X73958&amp;AKey=1&amp;Rtype=Final&amp;IType=CA","PDF Report")</f>
        <v>PDF Report</v>
      </c>
    </row>
    <row r="198" spans="1:22" x14ac:dyDescent="0.25">
      <c r="A198" t="s">
        <v>892</v>
      </c>
      <c r="B198">
        <v>1</v>
      </c>
      <c r="C198" s="5">
        <v>42452</v>
      </c>
      <c r="D198" t="s">
        <v>893</v>
      </c>
      <c r="E198" t="s">
        <v>894</v>
      </c>
      <c r="F198" t="s">
        <v>895</v>
      </c>
      <c r="G198" t="s">
        <v>78</v>
      </c>
      <c r="H198" t="s">
        <v>33</v>
      </c>
      <c r="I198">
        <v>2</v>
      </c>
      <c r="K198" t="s">
        <v>90</v>
      </c>
      <c r="L198" t="s">
        <v>110</v>
      </c>
      <c r="M198" t="s">
        <v>36</v>
      </c>
      <c r="Q198" t="s">
        <v>37</v>
      </c>
      <c r="R198" t="s">
        <v>38</v>
      </c>
      <c r="S198" t="s">
        <v>48</v>
      </c>
      <c r="T198" t="s">
        <v>40</v>
      </c>
      <c r="U198" t="s">
        <v>41</v>
      </c>
      <c r="V198" s="9" t="str">
        <f>HYPERLINK("https://app.ntsb.gov/pdfgenerator/ReportGeneratorFile.ashx?EventID=20160325X80001&amp;AKey=1&amp;Rtype=Final&amp;IType=FA","PDF Report")</f>
        <v>PDF Report</v>
      </c>
    </row>
    <row r="199" spans="1:22" x14ac:dyDescent="0.25">
      <c r="A199" t="s">
        <v>896</v>
      </c>
      <c r="B199">
        <v>1</v>
      </c>
      <c r="C199" s="5">
        <v>42452</v>
      </c>
      <c r="D199" t="s">
        <v>897</v>
      </c>
      <c r="E199" t="s">
        <v>898</v>
      </c>
      <c r="F199" t="s">
        <v>899</v>
      </c>
      <c r="G199" t="s">
        <v>169</v>
      </c>
      <c r="H199" t="s">
        <v>33</v>
      </c>
      <c r="K199" t="s">
        <v>34</v>
      </c>
      <c r="L199" t="s">
        <v>35</v>
      </c>
      <c r="M199" t="s">
        <v>36</v>
      </c>
      <c r="Q199" t="s">
        <v>37</v>
      </c>
      <c r="R199" t="s">
        <v>38</v>
      </c>
      <c r="S199" t="s">
        <v>39</v>
      </c>
      <c r="T199" t="s">
        <v>79</v>
      </c>
      <c r="U199" t="s">
        <v>41</v>
      </c>
      <c r="V199" s="9" t="str">
        <f>HYPERLINK("https://app.ntsb.gov/pdfgenerator/ReportGeneratorFile.ashx?EventID=20160406X31404&amp;AKey=1&amp;Rtype=Final&amp;IType=LA","PDF Report")</f>
        <v>PDF Report</v>
      </c>
    </row>
    <row r="200" spans="1:22" x14ac:dyDescent="0.25">
      <c r="A200" t="s">
        <v>900</v>
      </c>
      <c r="B200">
        <v>1</v>
      </c>
      <c r="C200" s="5">
        <v>42453</v>
      </c>
      <c r="D200" t="s">
        <v>901</v>
      </c>
      <c r="E200" t="s">
        <v>902</v>
      </c>
      <c r="F200" t="s">
        <v>903</v>
      </c>
      <c r="G200" t="s">
        <v>789</v>
      </c>
      <c r="H200" t="s">
        <v>33</v>
      </c>
      <c r="I200">
        <v>1</v>
      </c>
      <c r="K200" t="s">
        <v>90</v>
      </c>
      <c r="L200" t="s">
        <v>35</v>
      </c>
      <c r="M200" t="s">
        <v>36</v>
      </c>
      <c r="Q200" t="s">
        <v>37</v>
      </c>
      <c r="R200" t="s">
        <v>38</v>
      </c>
      <c r="S200" t="s">
        <v>60</v>
      </c>
      <c r="T200" t="s">
        <v>40</v>
      </c>
      <c r="U200" t="s">
        <v>41</v>
      </c>
      <c r="V200" s="9" t="str">
        <f>HYPERLINK("https://app.ntsb.gov/pdfgenerator/ReportGeneratorFile.ashx?EventID=20160324X32128&amp;AKey=1&amp;Rtype=Final&amp;IType=LA","PDF Report")</f>
        <v>PDF Report</v>
      </c>
    </row>
    <row r="201" spans="1:22" x14ac:dyDescent="0.25">
      <c r="A201" t="s">
        <v>904</v>
      </c>
      <c r="B201">
        <v>1</v>
      </c>
      <c r="C201" s="5">
        <v>42453</v>
      </c>
      <c r="D201" t="s">
        <v>905</v>
      </c>
      <c r="E201" t="s">
        <v>906</v>
      </c>
      <c r="F201" t="s">
        <v>907</v>
      </c>
      <c r="G201" t="s">
        <v>136</v>
      </c>
      <c r="H201" t="s">
        <v>33</v>
      </c>
      <c r="K201" t="s">
        <v>47</v>
      </c>
      <c r="L201" t="s">
        <v>35</v>
      </c>
      <c r="M201" t="s">
        <v>36</v>
      </c>
      <c r="Q201" t="s">
        <v>37</v>
      </c>
      <c r="R201" t="s">
        <v>38</v>
      </c>
      <c r="S201" t="s">
        <v>131</v>
      </c>
      <c r="T201" t="s">
        <v>73</v>
      </c>
      <c r="U201" t="s">
        <v>41</v>
      </c>
      <c r="V201" s="9" t="str">
        <f>HYPERLINK("https://app.ntsb.gov/pdfgenerator/ReportGeneratorFile.ashx?EventID=20160330X22141&amp;AKey=1&amp;Rtype=Final&amp;IType=CA","PDF Report")</f>
        <v>PDF Report</v>
      </c>
    </row>
    <row r="202" spans="1:22" x14ac:dyDescent="0.25">
      <c r="A202" t="s">
        <v>908</v>
      </c>
      <c r="B202">
        <v>1</v>
      </c>
      <c r="C202" s="5">
        <v>42454</v>
      </c>
      <c r="D202" t="s">
        <v>909</v>
      </c>
      <c r="E202" t="s">
        <v>910</v>
      </c>
      <c r="F202" t="s">
        <v>911</v>
      </c>
      <c r="G202" t="s">
        <v>348</v>
      </c>
      <c r="H202" t="s">
        <v>33</v>
      </c>
      <c r="J202">
        <v>1</v>
      </c>
      <c r="K202" t="s">
        <v>55</v>
      </c>
      <c r="L202" t="s">
        <v>35</v>
      </c>
      <c r="M202" t="s">
        <v>36</v>
      </c>
      <c r="Q202" t="s">
        <v>185</v>
      </c>
      <c r="R202" t="s">
        <v>38</v>
      </c>
      <c r="S202" t="s">
        <v>48</v>
      </c>
      <c r="T202" t="s">
        <v>40</v>
      </c>
      <c r="U202" t="s">
        <v>41</v>
      </c>
      <c r="V202" s="9" t="str">
        <f>HYPERLINK("https://app.ntsb.gov/pdfgenerator/ReportGeneratorFile.ashx?EventID=20160329X13001&amp;AKey=1&amp;Rtype=Final&amp;IType=LA","PDF Report")</f>
        <v>PDF Report</v>
      </c>
    </row>
    <row r="203" spans="1:22" x14ac:dyDescent="0.25">
      <c r="A203" t="s">
        <v>912</v>
      </c>
      <c r="B203">
        <v>1</v>
      </c>
      <c r="C203" s="5">
        <v>42454</v>
      </c>
      <c r="D203" t="s">
        <v>913</v>
      </c>
      <c r="E203" t="s">
        <v>914</v>
      </c>
      <c r="F203" t="s">
        <v>915</v>
      </c>
      <c r="G203" t="s">
        <v>115</v>
      </c>
      <c r="H203" t="s">
        <v>33</v>
      </c>
      <c r="K203" t="s">
        <v>47</v>
      </c>
      <c r="L203" t="s">
        <v>35</v>
      </c>
      <c r="M203" t="s">
        <v>36</v>
      </c>
      <c r="Q203" t="s">
        <v>37</v>
      </c>
      <c r="R203" t="s">
        <v>186</v>
      </c>
      <c r="S203" t="s">
        <v>48</v>
      </c>
      <c r="T203" t="s">
        <v>40</v>
      </c>
      <c r="U203" t="s">
        <v>41</v>
      </c>
      <c r="V203" s="9" t="str">
        <f>HYPERLINK("https://app.ntsb.gov/pdfgenerator/ReportGeneratorFile.ashx?EventID=20160329X75123&amp;AKey=1&amp;Rtype=Final&amp;IType=CA","PDF Report")</f>
        <v>PDF Report</v>
      </c>
    </row>
    <row r="204" spans="1:22" x14ac:dyDescent="0.25">
      <c r="A204" t="s">
        <v>916</v>
      </c>
      <c r="B204">
        <v>1</v>
      </c>
      <c r="C204" s="5">
        <v>42455</v>
      </c>
      <c r="D204" t="s">
        <v>917</v>
      </c>
      <c r="E204" t="s">
        <v>918</v>
      </c>
      <c r="F204" t="s">
        <v>919</v>
      </c>
      <c r="G204" t="s">
        <v>339</v>
      </c>
      <c r="H204" t="s">
        <v>33</v>
      </c>
      <c r="I204">
        <v>1</v>
      </c>
      <c r="J204">
        <v>1</v>
      </c>
      <c r="K204" t="s">
        <v>90</v>
      </c>
      <c r="L204" t="s">
        <v>35</v>
      </c>
      <c r="M204" t="s">
        <v>36</v>
      </c>
      <c r="Q204" t="s">
        <v>37</v>
      </c>
      <c r="R204" t="s">
        <v>130</v>
      </c>
      <c r="S204" t="s">
        <v>48</v>
      </c>
      <c r="T204" t="s">
        <v>49</v>
      </c>
      <c r="U204" t="s">
        <v>41</v>
      </c>
      <c r="V204" s="9" t="str">
        <f>HYPERLINK("https://app.ntsb.gov/pdfgenerator/ReportGeneratorFile.ashx?EventID=20160326X35043&amp;AKey=1&amp;Rtype=Final&amp;IType=FA","PDF Report")</f>
        <v>PDF Report</v>
      </c>
    </row>
    <row r="205" spans="1:22" x14ac:dyDescent="0.25">
      <c r="A205" t="s">
        <v>920</v>
      </c>
      <c r="B205">
        <v>1</v>
      </c>
      <c r="C205" s="5">
        <v>42455</v>
      </c>
      <c r="D205" t="s">
        <v>921</v>
      </c>
      <c r="E205" t="s">
        <v>922</v>
      </c>
      <c r="F205" t="s">
        <v>923</v>
      </c>
      <c r="G205" t="s">
        <v>180</v>
      </c>
      <c r="H205" t="s">
        <v>33</v>
      </c>
      <c r="I205">
        <v>4</v>
      </c>
      <c r="K205" t="s">
        <v>90</v>
      </c>
      <c r="L205" t="s">
        <v>35</v>
      </c>
      <c r="M205" t="s">
        <v>56</v>
      </c>
      <c r="N205" t="s">
        <v>57</v>
      </c>
      <c r="O205" t="s">
        <v>58</v>
      </c>
      <c r="P205" t="s">
        <v>162</v>
      </c>
      <c r="Q205" t="s">
        <v>185</v>
      </c>
      <c r="S205" t="s">
        <v>91</v>
      </c>
      <c r="T205" t="s">
        <v>49</v>
      </c>
      <c r="U205" t="s">
        <v>41</v>
      </c>
      <c r="V205" s="9" t="str">
        <f>HYPERLINK("https://app.ntsb.gov/pdfgenerator/ReportGeneratorFile.ashx?EventID=20160326X80544&amp;AKey=1&amp;Rtype=Final&amp;IType=FA","PDF Report")</f>
        <v>PDF Report</v>
      </c>
    </row>
    <row r="206" spans="1:22" x14ac:dyDescent="0.25">
      <c r="A206" t="s">
        <v>924</v>
      </c>
      <c r="B206">
        <v>1</v>
      </c>
      <c r="C206" s="5">
        <v>42455</v>
      </c>
      <c r="D206" t="s">
        <v>925</v>
      </c>
      <c r="E206" t="s">
        <v>926</v>
      </c>
      <c r="F206" t="s">
        <v>927</v>
      </c>
      <c r="G206" t="s">
        <v>96</v>
      </c>
      <c r="H206" t="s">
        <v>33</v>
      </c>
      <c r="K206" t="s">
        <v>47</v>
      </c>
      <c r="L206" t="s">
        <v>35</v>
      </c>
      <c r="M206" t="s">
        <v>36</v>
      </c>
      <c r="Q206" t="s">
        <v>37</v>
      </c>
      <c r="R206" t="s">
        <v>38</v>
      </c>
      <c r="S206" t="s">
        <v>72</v>
      </c>
      <c r="T206" t="s">
        <v>49</v>
      </c>
      <c r="U206" t="s">
        <v>41</v>
      </c>
      <c r="V206" s="9" t="str">
        <f>HYPERLINK("https://app.ntsb.gov/pdfgenerator/ReportGeneratorFile.ashx?EventID=20160328X03156&amp;AKey=1&amp;Rtype=Final&amp;IType=LA","PDF Report")</f>
        <v>PDF Report</v>
      </c>
    </row>
    <row r="207" spans="1:22" x14ac:dyDescent="0.25">
      <c r="A207" t="s">
        <v>928</v>
      </c>
      <c r="B207">
        <v>1</v>
      </c>
      <c r="C207" s="5">
        <v>42455</v>
      </c>
      <c r="D207" t="s">
        <v>929</v>
      </c>
      <c r="E207" t="s">
        <v>930</v>
      </c>
      <c r="F207" t="s">
        <v>931</v>
      </c>
      <c r="G207" t="s">
        <v>115</v>
      </c>
      <c r="H207" t="s">
        <v>33</v>
      </c>
      <c r="K207" t="s">
        <v>34</v>
      </c>
      <c r="L207" t="s">
        <v>35</v>
      </c>
      <c r="M207" t="s">
        <v>36</v>
      </c>
      <c r="Q207" t="s">
        <v>37</v>
      </c>
      <c r="R207" t="s">
        <v>38</v>
      </c>
      <c r="S207" t="s">
        <v>932</v>
      </c>
      <c r="T207" t="s">
        <v>164</v>
      </c>
      <c r="U207" t="s">
        <v>41</v>
      </c>
      <c r="V207" s="9" t="str">
        <f>HYPERLINK("https://app.ntsb.gov/pdfgenerator/ReportGeneratorFile.ashx?EventID=20160328X11345&amp;AKey=1&amp;Rtype=Final&amp;IType=CA","PDF Report")</f>
        <v>PDF Report</v>
      </c>
    </row>
    <row r="208" spans="1:22" x14ac:dyDescent="0.25">
      <c r="A208" t="s">
        <v>933</v>
      </c>
      <c r="B208">
        <v>1</v>
      </c>
      <c r="C208" s="5">
        <v>42455</v>
      </c>
      <c r="D208" t="s">
        <v>934</v>
      </c>
      <c r="E208" t="s">
        <v>935</v>
      </c>
      <c r="F208" t="s">
        <v>936</v>
      </c>
      <c r="G208" t="s">
        <v>645</v>
      </c>
      <c r="H208" t="s">
        <v>33</v>
      </c>
      <c r="K208" t="s">
        <v>47</v>
      </c>
      <c r="L208" t="s">
        <v>35</v>
      </c>
      <c r="M208" t="s">
        <v>36</v>
      </c>
      <c r="Q208" t="s">
        <v>37</v>
      </c>
      <c r="R208" t="s">
        <v>130</v>
      </c>
      <c r="S208" t="s">
        <v>39</v>
      </c>
      <c r="T208" t="s">
        <v>79</v>
      </c>
      <c r="U208" t="s">
        <v>41</v>
      </c>
      <c r="V208" s="9" t="str">
        <f>HYPERLINK("https://app.ntsb.gov/pdfgenerator/ReportGeneratorFile.ashx?EventID=20160328X14617&amp;AKey=1&amp;Rtype=Final&amp;IType=LA","PDF Report")</f>
        <v>PDF Report</v>
      </c>
    </row>
    <row r="209" spans="1:22" x14ac:dyDescent="0.25">
      <c r="A209" t="s">
        <v>937</v>
      </c>
      <c r="B209">
        <v>1</v>
      </c>
      <c r="C209" s="5">
        <v>42455</v>
      </c>
      <c r="D209" t="s">
        <v>938</v>
      </c>
      <c r="E209" t="s">
        <v>939</v>
      </c>
      <c r="F209" t="s">
        <v>940</v>
      </c>
      <c r="G209" t="s">
        <v>96</v>
      </c>
      <c r="H209" t="s">
        <v>33</v>
      </c>
      <c r="J209">
        <v>2</v>
      </c>
      <c r="K209" t="s">
        <v>55</v>
      </c>
      <c r="L209" t="s">
        <v>35</v>
      </c>
      <c r="M209" t="s">
        <v>36</v>
      </c>
      <c r="Q209" t="s">
        <v>37</v>
      </c>
      <c r="R209" t="s">
        <v>38</v>
      </c>
      <c r="S209" t="s">
        <v>97</v>
      </c>
      <c r="T209" t="s">
        <v>61</v>
      </c>
      <c r="U209" t="s">
        <v>41</v>
      </c>
      <c r="V209" s="9" t="str">
        <f>HYPERLINK("https://app.ntsb.gov/pdfgenerator/ReportGeneratorFile.ashx?EventID=20160328X31022&amp;AKey=1&amp;Rtype=Final&amp;IType=LA","PDF Report")</f>
        <v>PDF Report</v>
      </c>
    </row>
    <row r="210" spans="1:22" x14ac:dyDescent="0.25">
      <c r="A210" t="s">
        <v>941</v>
      </c>
      <c r="B210">
        <v>1</v>
      </c>
      <c r="C210" s="5">
        <v>42455</v>
      </c>
      <c r="D210" t="s">
        <v>942</v>
      </c>
      <c r="E210" t="s">
        <v>943</v>
      </c>
      <c r="F210" t="s">
        <v>944</v>
      </c>
      <c r="G210" t="s">
        <v>322</v>
      </c>
      <c r="H210" t="s">
        <v>33</v>
      </c>
      <c r="K210" t="s">
        <v>34</v>
      </c>
      <c r="L210" t="s">
        <v>35</v>
      </c>
      <c r="M210" t="s">
        <v>36</v>
      </c>
      <c r="Q210" t="s">
        <v>185</v>
      </c>
      <c r="R210" t="s">
        <v>130</v>
      </c>
      <c r="S210" t="s">
        <v>84</v>
      </c>
      <c r="T210" t="s">
        <v>73</v>
      </c>
      <c r="U210" t="s">
        <v>41</v>
      </c>
      <c r="V210" s="9" t="str">
        <f>HYPERLINK("https://app.ntsb.gov/pdfgenerator/ReportGeneratorFile.ashx?EventID=20160328X33033&amp;AKey=1&amp;Rtype=Final&amp;IType=CA","PDF Report")</f>
        <v>PDF Report</v>
      </c>
    </row>
    <row r="211" spans="1:22" x14ac:dyDescent="0.25">
      <c r="A211" t="s">
        <v>945</v>
      </c>
      <c r="B211">
        <v>1</v>
      </c>
      <c r="C211" s="5">
        <v>42455</v>
      </c>
      <c r="D211" t="s">
        <v>946</v>
      </c>
      <c r="E211" t="s">
        <v>947</v>
      </c>
      <c r="F211" t="s">
        <v>948</v>
      </c>
      <c r="G211" t="s">
        <v>96</v>
      </c>
      <c r="H211" t="s">
        <v>33</v>
      </c>
      <c r="K211" t="s">
        <v>34</v>
      </c>
      <c r="L211" t="s">
        <v>35</v>
      </c>
      <c r="M211" t="s">
        <v>36</v>
      </c>
      <c r="Q211" t="s">
        <v>37</v>
      </c>
      <c r="R211" t="s">
        <v>38</v>
      </c>
      <c r="S211" t="s">
        <v>131</v>
      </c>
      <c r="T211" t="s">
        <v>73</v>
      </c>
      <c r="U211" t="s">
        <v>41</v>
      </c>
      <c r="V211" s="9" t="str">
        <f>HYPERLINK("https://app.ntsb.gov/pdfgenerator/ReportGeneratorFile.ashx?EventID=20160328X81943&amp;AKey=1&amp;Rtype=Final&amp;IType=CA","PDF Report")</f>
        <v>PDF Report</v>
      </c>
    </row>
    <row r="212" spans="1:22" x14ac:dyDescent="0.25">
      <c r="A212" t="s">
        <v>949</v>
      </c>
      <c r="B212">
        <v>1</v>
      </c>
      <c r="C212" s="5">
        <v>42455</v>
      </c>
      <c r="D212" t="s">
        <v>950</v>
      </c>
      <c r="E212" t="s">
        <v>951</v>
      </c>
      <c r="F212" t="s">
        <v>952</v>
      </c>
      <c r="G212" t="s">
        <v>66</v>
      </c>
      <c r="H212" t="s">
        <v>33</v>
      </c>
      <c r="K212" t="s">
        <v>47</v>
      </c>
      <c r="L212" t="s">
        <v>35</v>
      </c>
      <c r="M212" t="s">
        <v>36</v>
      </c>
      <c r="Q212" t="s">
        <v>185</v>
      </c>
      <c r="R212" t="s">
        <v>186</v>
      </c>
      <c r="S212" t="s">
        <v>201</v>
      </c>
      <c r="T212" t="s">
        <v>40</v>
      </c>
      <c r="U212" t="s">
        <v>41</v>
      </c>
      <c r="V212" s="9" t="str">
        <f>HYPERLINK("https://app.ntsb.gov/pdfgenerator/ReportGeneratorFile.ashx?EventID=20160329X34312&amp;AKey=1&amp;Rtype=Final&amp;IType=CA","PDF Report")</f>
        <v>PDF Report</v>
      </c>
    </row>
    <row r="213" spans="1:22" x14ac:dyDescent="0.25">
      <c r="A213" t="s">
        <v>953</v>
      </c>
      <c r="B213">
        <v>1</v>
      </c>
      <c r="C213" s="5">
        <v>42455</v>
      </c>
      <c r="D213" t="s">
        <v>954</v>
      </c>
      <c r="E213" t="s">
        <v>955</v>
      </c>
      <c r="F213" t="s">
        <v>956</v>
      </c>
      <c r="G213" t="s">
        <v>148</v>
      </c>
      <c r="H213" t="s">
        <v>33</v>
      </c>
      <c r="K213" t="s">
        <v>34</v>
      </c>
      <c r="L213" t="s">
        <v>35</v>
      </c>
      <c r="M213" t="s">
        <v>36</v>
      </c>
      <c r="Q213" t="s">
        <v>185</v>
      </c>
      <c r="R213" t="s">
        <v>957</v>
      </c>
      <c r="S213" t="s">
        <v>60</v>
      </c>
      <c r="T213" t="s">
        <v>958</v>
      </c>
      <c r="U213" t="s">
        <v>41</v>
      </c>
      <c r="V213" s="9" t="str">
        <f>HYPERLINK("https://app.ntsb.gov/pdfgenerator/ReportGeneratorFile.ashx?EventID=20160329X65507&amp;AKey=1&amp;Rtype=Final&amp;IType=CA","PDF Report")</f>
        <v>PDF Report</v>
      </c>
    </row>
    <row r="214" spans="1:22" x14ac:dyDescent="0.25">
      <c r="A214" t="s">
        <v>959</v>
      </c>
      <c r="B214">
        <v>1</v>
      </c>
      <c r="C214" s="5">
        <v>42455</v>
      </c>
      <c r="D214" t="s">
        <v>960</v>
      </c>
      <c r="E214" t="s">
        <v>961</v>
      </c>
      <c r="F214" t="s">
        <v>962</v>
      </c>
      <c r="G214" t="s">
        <v>32</v>
      </c>
      <c r="H214" t="s">
        <v>33</v>
      </c>
      <c r="K214" t="s">
        <v>34</v>
      </c>
      <c r="L214" t="s">
        <v>35</v>
      </c>
      <c r="M214" t="s">
        <v>36</v>
      </c>
      <c r="Q214" t="s">
        <v>37</v>
      </c>
      <c r="R214" t="s">
        <v>130</v>
      </c>
      <c r="S214" t="s">
        <v>97</v>
      </c>
      <c r="T214" t="s">
        <v>61</v>
      </c>
      <c r="U214" t="s">
        <v>41</v>
      </c>
      <c r="V214" s="9" t="str">
        <f>HYPERLINK("https://app.ntsb.gov/pdfgenerator/ReportGeneratorFile.ashx?EventID=20160330X12910&amp;AKey=1&amp;Rtype=Final&amp;IType=LA","PDF Report")</f>
        <v>PDF Report</v>
      </c>
    </row>
    <row r="215" spans="1:22" x14ac:dyDescent="0.25">
      <c r="A215" t="s">
        <v>963</v>
      </c>
      <c r="B215">
        <v>1</v>
      </c>
      <c r="C215" s="5">
        <v>42455</v>
      </c>
      <c r="D215" t="s">
        <v>964</v>
      </c>
      <c r="E215" t="s">
        <v>965</v>
      </c>
      <c r="F215" t="s">
        <v>966</v>
      </c>
      <c r="G215" t="s">
        <v>96</v>
      </c>
      <c r="H215" t="s">
        <v>33</v>
      </c>
      <c r="K215" t="s">
        <v>34</v>
      </c>
      <c r="L215" t="s">
        <v>35</v>
      </c>
      <c r="M215" t="s">
        <v>36</v>
      </c>
      <c r="Q215" t="s">
        <v>37</v>
      </c>
      <c r="R215" t="s">
        <v>130</v>
      </c>
      <c r="S215" t="s">
        <v>131</v>
      </c>
      <c r="T215" t="s">
        <v>73</v>
      </c>
      <c r="U215" t="s">
        <v>41</v>
      </c>
      <c r="V215" s="9" t="str">
        <f>HYPERLINK("https://app.ntsb.gov/pdfgenerator/ReportGeneratorFile.ashx?EventID=20160330X31626&amp;AKey=1&amp;Rtype=Final&amp;IType=CA","PDF Report")</f>
        <v>PDF Report</v>
      </c>
    </row>
    <row r="216" spans="1:22" x14ac:dyDescent="0.25">
      <c r="A216" t="s">
        <v>967</v>
      </c>
      <c r="B216">
        <v>1</v>
      </c>
      <c r="C216" s="5">
        <v>42455</v>
      </c>
      <c r="D216" t="s">
        <v>968</v>
      </c>
      <c r="E216" t="s">
        <v>969</v>
      </c>
      <c r="F216" t="s">
        <v>970</v>
      </c>
      <c r="G216" t="s">
        <v>96</v>
      </c>
      <c r="H216" t="s">
        <v>33</v>
      </c>
      <c r="J216">
        <v>1</v>
      </c>
      <c r="K216" t="s">
        <v>55</v>
      </c>
      <c r="L216" t="s">
        <v>35</v>
      </c>
      <c r="M216" t="s">
        <v>36</v>
      </c>
      <c r="Q216" t="s">
        <v>37</v>
      </c>
      <c r="R216" t="s">
        <v>38</v>
      </c>
      <c r="S216" t="s">
        <v>60</v>
      </c>
      <c r="T216" t="s">
        <v>79</v>
      </c>
      <c r="U216" t="s">
        <v>41</v>
      </c>
      <c r="V216" s="9" t="str">
        <f>HYPERLINK("https://app.ntsb.gov/pdfgenerator/ReportGeneratorFile.ashx?EventID=20160331X35959&amp;AKey=1&amp;Rtype=Final&amp;IType=LA","PDF Report")</f>
        <v>PDF Report</v>
      </c>
    </row>
    <row r="217" spans="1:22" x14ac:dyDescent="0.25">
      <c r="A217" t="s">
        <v>971</v>
      </c>
      <c r="B217">
        <v>1</v>
      </c>
      <c r="C217" s="5">
        <v>42456</v>
      </c>
      <c r="D217" t="s">
        <v>972</v>
      </c>
      <c r="E217" t="s">
        <v>973</v>
      </c>
      <c r="F217" t="s">
        <v>974</v>
      </c>
      <c r="G217" t="s">
        <v>46</v>
      </c>
      <c r="H217" t="s">
        <v>33</v>
      </c>
      <c r="K217" t="s">
        <v>47</v>
      </c>
      <c r="L217" t="s">
        <v>35</v>
      </c>
      <c r="M217" t="s">
        <v>36</v>
      </c>
      <c r="Q217" t="s">
        <v>37</v>
      </c>
      <c r="R217" t="s">
        <v>38</v>
      </c>
      <c r="S217" t="s">
        <v>97</v>
      </c>
      <c r="T217" t="s">
        <v>61</v>
      </c>
      <c r="U217" t="s">
        <v>41</v>
      </c>
      <c r="V217" s="9" t="str">
        <f>HYPERLINK("https://app.ntsb.gov/pdfgenerator/ReportGeneratorFile.ashx?EventID=20160327X14957&amp;AKey=1&amp;Rtype=Final&amp;IType=LA","PDF Report")</f>
        <v>PDF Report</v>
      </c>
    </row>
    <row r="218" spans="1:22" x14ac:dyDescent="0.25">
      <c r="A218" t="s">
        <v>975</v>
      </c>
      <c r="B218">
        <v>1</v>
      </c>
      <c r="C218" s="5">
        <v>42456</v>
      </c>
      <c r="D218" t="s">
        <v>976</v>
      </c>
      <c r="E218" t="s">
        <v>977</v>
      </c>
      <c r="F218" t="s">
        <v>978</v>
      </c>
      <c r="G218" t="s">
        <v>468</v>
      </c>
      <c r="H218" t="s">
        <v>33</v>
      </c>
      <c r="I218">
        <v>1</v>
      </c>
      <c r="K218" t="s">
        <v>90</v>
      </c>
      <c r="L218" t="s">
        <v>110</v>
      </c>
      <c r="M218" t="s">
        <v>36</v>
      </c>
      <c r="Q218" t="s">
        <v>185</v>
      </c>
      <c r="R218" t="s">
        <v>38</v>
      </c>
      <c r="S218" t="s">
        <v>91</v>
      </c>
      <c r="T218" t="s">
        <v>61</v>
      </c>
      <c r="U218" t="s">
        <v>41</v>
      </c>
      <c r="V218" s="9" t="str">
        <f>HYPERLINK("https://app.ntsb.gov/pdfgenerator/ReportGeneratorFile.ashx?EventID=20160328X03918&amp;AKey=1&amp;Rtype=Final&amp;IType=FA","PDF Report")</f>
        <v>PDF Report</v>
      </c>
    </row>
    <row r="219" spans="1:22" x14ac:dyDescent="0.25">
      <c r="A219" t="s">
        <v>979</v>
      </c>
      <c r="B219">
        <v>1</v>
      </c>
      <c r="C219" s="5">
        <v>42456</v>
      </c>
      <c r="D219" t="s">
        <v>980</v>
      </c>
      <c r="E219" t="s">
        <v>981</v>
      </c>
      <c r="F219" t="s">
        <v>982</v>
      </c>
      <c r="G219" t="s">
        <v>89</v>
      </c>
      <c r="H219" t="s">
        <v>33</v>
      </c>
      <c r="J219">
        <v>1</v>
      </c>
      <c r="K219" t="s">
        <v>55</v>
      </c>
      <c r="L219" t="s">
        <v>35</v>
      </c>
      <c r="M219" t="s">
        <v>36</v>
      </c>
      <c r="Q219" t="s">
        <v>37</v>
      </c>
      <c r="R219" t="s">
        <v>38</v>
      </c>
      <c r="S219" t="s">
        <v>97</v>
      </c>
      <c r="T219" t="s">
        <v>61</v>
      </c>
      <c r="U219" t="s">
        <v>41</v>
      </c>
      <c r="V219" s="9" t="str">
        <f>HYPERLINK("https://app.ntsb.gov/pdfgenerator/ReportGeneratorFile.ashx?EventID=20160328X12800&amp;AKey=1&amp;Rtype=Final&amp;IType=LA","PDF Report")</f>
        <v>PDF Report</v>
      </c>
    </row>
    <row r="220" spans="1:22" x14ac:dyDescent="0.25">
      <c r="A220" t="s">
        <v>983</v>
      </c>
      <c r="B220">
        <v>1</v>
      </c>
      <c r="C220" s="5">
        <v>42456</v>
      </c>
      <c r="D220" t="s">
        <v>984</v>
      </c>
      <c r="E220" t="s">
        <v>985</v>
      </c>
      <c r="F220" t="s">
        <v>986</v>
      </c>
      <c r="G220" t="s">
        <v>468</v>
      </c>
      <c r="H220" t="s">
        <v>33</v>
      </c>
      <c r="K220" t="s">
        <v>34</v>
      </c>
      <c r="L220" t="s">
        <v>35</v>
      </c>
      <c r="M220" t="s">
        <v>36</v>
      </c>
      <c r="Q220" t="s">
        <v>37</v>
      </c>
      <c r="R220" t="s">
        <v>38</v>
      </c>
      <c r="S220" t="s">
        <v>584</v>
      </c>
      <c r="T220" t="s">
        <v>164</v>
      </c>
      <c r="U220" t="s">
        <v>41</v>
      </c>
      <c r="V220" s="9" t="str">
        <f>HYPERLINK("https://app.ntsb.gov/pdfgenerator/ReportGeneratorFile.ashx?EventID=20160412X61529&amp;AKey=1&amp;Rtype=Final&amp;IType=LA","PDF Report")</f>
        <v>PDF Report</v>
      </c>
    </row>
    <row r="221" spans="1:22" x14ac:dyDescent="0.25">
      <c r="A221" t="s">
        <v>987</v>
      </c>
      <c r="B221">
        <v>1</v>
      </c>
      <c r="C221" s="5">
        <v>42458</v>
      </c>
      <c r="D221" t="s">
        <v>988</v>
      </c>
      <c r="E221" t="s">
        <v>989</v>
      </c>
      <c r="F221" t="s">
        <v>990</v>
      </c>
      <c r="G221" t="s">
        <v>46</v>
      </c>
      <c r="H221" t="s">
        <v>33</v>
      </c>
      <c r="K221" t="s">
        <v>34</v>
      </c>
      <c r="L221" t="s">
        <v>35</v>
      </c>
      <c r="M221" t="s">
        <v>36</v>
      </c>
      <c r="Q221" t="s">
        <v>37</v>
      </c>
      <c r="R221" t="s">
        <v>38</v>
      </c>
      <c r="S221" t="s">
        <v>48</v>
      </c>
      <c r="T221" t="s">
        <v>49</v>
      </c>
      <c r="U221" t="s">
        <v>41</v>
      </c>
      <c r="V221" s="9" t="str">
        <f>HYPERLINK("https://app.ntsb.gov/pdfgenerator/ReportGeneratorFile.ashx?EventID=20160329X55947&amp;AKey=1&amp;Rtype=Final&amp;IType=CA","PDF Report")</f>
        <v>PDF Report</v>
      </c>
    </row>
    <row r="222" spans="1:22" x14ac:dyDescent="0.25">
      <c r="A222" t="s">
        <v>991</v>
      </c>
      <c r="B222">
        <v>1</v>
      </c>
      <c r="C222" s="5">
        <v>42458</v>
      </c>
      <c r="D222" t="s">
        <v>992</v>
      </c>
      <c r="E222" t="s">
        <v>993</v>
      </c>
      <c r="F222" t="s">
        <v>994</v>
      </c>
      <c r="G222" t="s">
        <v>995</v>
      </c>
      <c r="H222" t="s">
        <v>66</v>
      </c>
      <c r="I222">
        <v>7</v>
      </c>
      <c r="K222" t="s">
        <v>90</v>
      </c>
      <c r="L222" t="s">
        <v>35</v>
      </c>
      <c r="M222" t="s">
        <v>599</v>
      </c>
      <c r="Q222" t="s">
        <v>37</v>
      </c>
      <c r="R222" t="s">
        <v>38</v>
      </c>
      <c r="S222" t="s">
        <v>48</v>
      </c>
      <c r="T222" t="s">
        <v>79</v>
      </c>
      <c r="U222" t="s">
        <v>41</v>
      </c>
      <c r="V222" s="9" t="str">
        <f>HYPERLINK("https://app.ntsb.gov/pdfgenerator/ReportGeneratorFile.ashx?EventID=20160329X62124&amp;AKey=1&amp;Rtype=Final&amp;IType=RA","PDF Report")</f>
        <v>PDF Report</v>
      </c>
    </row>
    <row r="223" spans="1:22" x14ac:dyDescent="0.25">
      <c r="A223" t="s">
        <v>996</v>
      </c>
      <c r="B223">
        <v>1</v>
      </c>
      <c r="C223" s="5">
        <v>42458</v>
      </c>
      <c r="D223" t="s">
        <v>997</v>
      </c>
      <c r="E223" t="s">
        <v>998</v>
      </c>
      <c r="F223" t="s">
        <v>999</v>
      </c>
      <c r="G223" t="s">
        <v>789</v>
      </c>
      <c r="H223" t="s">
        <v>33</v>
      </c>
      <c r="K223" t="s">
        <v>34</v>
      </c>
      <c r="L223" t="s">
        <v>35</v>
      </c>
      <c r="M223" t="s">
        <v>36</v>
      </c>
      <c r="Q223" t="s">
        <v>37</v>
      </c>
      <c r="R223" t="s">
        <v>38</v>
      </c>
      <c r="S223" t="s">
        <v>131</v>
      </c>
      <c r="T223" t="s">
        <v>73</v>
      </c>
      <c r="U223" t="s">
        <v>41</v>
      </c>
      <c r="V223" s="9" t="str">
        <f>HYPERLINK("https://app.ntsb.gov/pdfgenerator/ReportGeneratorFile.ashx?EventID=20160330X23316&amp;AKey=1&amp;Rtype=Final&amp;IType=CA","PDF Report")</f>
        <v>PDF Report</v>
      </c>
    </row>
    <row r="224" spans="1:22" x14ac:dyDescent="0.25">
      <c r="A224" t="s">
        <v>1000</v>
      </c>
      <c r="B224">
        <v>1</v>
      </c>
      <c r="C224" s="5">
        <v>42458</v>
      </c>
      <c r="D224" t="s">
        <v>1001</v>
      </c>
      <c r="E224" t="s">
        <v>1002</v>
      </c>
      <c r="F224" t="s">
        <v>1003</v>
      </c>
      <c r="G224" t="s">
        <v>96</v>
      </c>
      <c r="H224" t="s">
        <v>33</v>
      </c>
      <c r="J224">
        <v>1</v>
      </c>
      <c r="K224" t="s">
        <v>55</v>
      </c>
      <c r="L224" t="s">
        <v>35</v>
      </c>
      <c r="M224" t="s">
        <v>767</v>
      </c>
      <c r="Q224" t="s">
        <v>37</v>
      </c>
      <c r="R224" t="s">
        <v>768</v>
      </c>
      <c r="S224" t="s">
        <v>48</v>
      </c>
      <c r="T224" t="s">
        <v>40</v>
      </c>
      <c r="U224" t="s">
        <v>41</v>
      </c>
      <c r="V224" s="9" t="str">
        <f>HYPERLINK("https://app.ntsb.gov/pdfgenerator/ReportGeneratorFile.ashx?EventID=20160403X12259&amp;AKey=1&amp;Rtype=Final&amp;IType=LA","PDF Report")</f>
        <v>PDF Report</v>
      </c>
    </row>
    <row r="225" spans="1:22" x14ac:dyDescent="0.25">
      <c r="A225" t="s">
        <v>1004</v>
      </c>
      <c r="B225">
        <v>1</v>
      </c>
      <c r="C225" s="5">
        <v>42459</v>
      </c>
      <c r="D225" t="s">
        <v>1005</v>
      </c>
      <c r="E225" t="s">
        <v>1006</v>
      </c>
      <c r="F225" t="s">
        <v>1007</v>
      </c>
      <c r="G225" t="s">
        <v>102</v>
      </c>
      <c r="H225" t="s">
        <v>33</v>
      </c>
      <c r="K225" t="s">
        <v>47</v>
      </c>
      <c r="L225" t="s">
        <v>35</v>
      </c>
      <c r="M225" t="s">
        <v>36</v>
      </c>
      <c r="Q225" t="s">
        <v>37</v>
      </c>
      <c r="R225" t="s">
        <v>38</v>
      </c>
      <c r="S225" t="s">
        <v>201</v>
      </c>
      <c r="T225" t="s">
        <v>40</v>
      </c>
      <c r="U225" t="s">
        <v>41</v>
      </c>
      <c r="V225" s="9" t="str">
        <f>HYPERLINK("https://app.ntsb.gov/pdfgenerator/ReportGeneratorFile.ashx?EventID=20160404X31701&amp;AKey=1&amp;Rtype=Final&amp;IType=CA","PDF Report")</f>
        <v>PDF Report</v>
      </c>
    </row>
    <row r="226" spans="1:22" x14ac:dyDescent="0.25">
      <c r="A226" t="s">
        <v>1008</v>
      </c>
      <c r="B226">
        <v>1</v>
      </c>
      <c r="C226" s="5">
        <v>42459</v>
      </c>
      <c r="D226" t="s">
        <v>1009</v>
      </c>
      <c r="E226" t="s">
        <v>1010</v>
      </c>
      <c r="F226" t="s">
        <v>1011</v>
      </c>
      <c r="G226" t="s">
        <v>712</v>
      </c>
      <c r="H226" t="s">
        <v>33</v>
      </c>
      <c r="K226" t="s">
        <v>34</v>
      </c>
      <c r="L226" t="s">
        <v>35</v>
      </c>
      <c r="M226" t="s">
        <v>36</v>
      </c>
      <c r="Q226" t="s">
        <v>37</v>
      </c>
      <c r="R226" t="s">
        <v>38</v>
      </c>
      <c r="S226" t="s">
        <v>131</v>
      </c>
      <c r="T226" t="s">
        <v>49</v>
      </c>
      <c r="U226" t="s">
        <v>41</v>
      </c>
      <c r="V226" s="9" t="str">
        <f>HYPERLINK("https://app.ntsb.gov/pdfgenerator/ReportGeneratorFile.ashx?EventID=20160413X30453&amp;AKey=1&amp;Rtype=Final&amp;IType=CA","PDF Report")</f>
        <v>PDF Report</v>
      </c>
    </row>
    <row r="227" spans="1:22" x14ac:dyDescent="0.25">
      <c r="A227" t="s">
        <v>1012</v>
      </c>
      <c r="B227">
        <v>1</v>
      </c>
      <c r="C227" s="5">
        <v>42460</v>
      </c>
      <c r="D227" t="s">
        <v>1013</v>
      </c>
      <c r="E227" t="s">
        <v>1014</v>
      </c>
      <c r="F227" t="s">
        <v>1015</v>
      </c>
      <c r="G227" t="s">
        <v>666</v>
      </c>
      <c r="H227" t="s">
        <v>33</v>
      </c>
      <c r="J227">
        <v>1</v>
      </c>
      <c r="K227" t="s">
        <v>55</v>
      </c>
      <c r="L227" t="s">
        <v>35</v>
      </c>
      <c r="M227" t="s">
        <v>36</v>
      </c>
      <c r="Q227" t="s">
        <v>37</v>
      </c>
      <c r="R227" t="s">
        <v>38</v>
      </c>
      <c r="S227" t="s">
        <v>131</v>
      </c>
      <c r="T227" t="s">
        <v>73</v>
      </c>
      <c r="U227" t="s">
        <v>41</v>
      </c>
      <c r="V227" s="9" t="str">
        <f>HYPERLINK("https://app.ntsb.gov/pdfgenerator/ReportGeneratorFile.ashx?EventID=20160331X73343&amp;AKey=1&amp;Rtype=Final&amp;IType=LA","PDF Report")</f>
        <v>PDF Report</v>
      </c>
    </row>
    <row r="228" spans="1:22" x14ac:dyDescent="0.25">
      <c r="A228" t="s">
        <v>1016</v>
      </c>
      <c r="B228">
        <v>1</v>
      </c>
      <c r="C228" s="5">
        <v>42461</v>
      </c>
      <c r="D228" t="s">
        <v>1017</v>
      </c>
      <c r="E228" t="s">
        <v>965</v>
      </c>
      <c r="F228" t="s">
        <v>966</v>
      </c>
      <c r="G228" t="s">
        <v>96</v>
      </c>
      <c r="H228" t="s">
        <v>33</v>
      </c>
      <c r="K228" t="s">
        <v>34</v>
      </c>
      <c r="L228" t="s">
        <v>35</v>
      </c>
      <c r="M228" t="s">
        <v>36</v>
      </c>
      <c r="Q228" t="s">
        <v>37</v>
      </c>
      <c r="R228" t="s">
        <v>38</v>
      </c>
      <c r="S228" t="s">
        <v>84</v>
      </c>
      <c r="T228" t="s">
        <v>73</v>
      </c>
      <c r="U228" t="s">
        <v>41</v>
      </c>
      <c r="V228" s="9" t="str">
        <f>HYPERLINK("https://app.ntsb.gov/pdfgenerator/ReportGeneratorFile.ashx?EventID=20160418X14053&amp;AKey=1&amp;Rtype=Final&amp;IType=LA","PDF Report")</f>
        <v>PDF Report</v>
      </c>
    </row>
    <row r="229" spans="1:22" x14ac:dyDescent="0.25">
      <c r="A229" t="s">
        <v>1018</v>
      </c>
      <c r="B229">
        <v>1</v>
      </c>
      <c r="C229" s="5">
        <v>42462</v>
      </c>
      <c r="D229" t="s">
        <v>1019</v>
      </c>
      <c r="E229" t="s">
        <v>1020</v>
      </c>
      <c r="F229" t="s">
        <v>1021</v>
      </c>
      <c r="G229" t="s">
        <v>66</v>
      </c>
      <c r="H229" t="s">
        <v>33</v>
      </c>
      <c r="I229">
        <v>1</v>
      </c>
      <c r="J229">
        <v>5</v>
      </c>
      <c r="K229" t="s">
        <v>90</v>
      </c>
      <c r="L229" t="s">
        <v>35</v>
      </c>
      <c r="M229" t="s">
        <v>36</v>
      </c>
      <c r="Q229" t="s">
        <v>37</v>
      </c>
      <c r="R229" t="s">
        <v>38</v>
      </c>
      <c r="S229" t="s">
        <v>39</v>
      </c>
      <c r="T229" t="s">
        <v>61</v>
      </c>
      <c r="U229" t="s">
        <v>41</v>
      </c>
      <c r="V229" s="9" t="str">
        <f>HYPERLINK("https://app.ntsb.gov/pdfgenerator/ReportGeneratorFile.ashx?EventID=20160402X40443&amp;AKey=1&amp;Rtype=Final&amp;IType=FA","PDF Report")</f>
        <v>PDF Report</v>
      </c>
    </row>
    <row r="230" spans="1:22" x14ac:dyDescent="0.25">
      <c r="A230" t="s">
        <v>1022</v>
      </c>
      <c r="B230">
        <v>1</v>
      </c>
      <c r="C230" s="5">
        <v>42462</v>
      </c>
      <c r="D230" t="s">
        <v>1023</v>
      </c>
      <c r="E230" t="s">
        <v>1024</v>
      </c>
      <c r="F230" t="s">
        <v>1025</v>
      </c>
      <c r="G230" t="s">
        <v>1026</v>
      </c>
      <c r="H230" t="s">
        <v>33</v>
      </c>
      <c r="K230" t="s">
        <v>34</v>
      </c>
      <c r="L230" t="s">
        <v>35</v>
      </c>
      <c r="M230" t="s">
        <v>36</v>
      </c>
      <c r="Q230" t="s">
        <v>37</v>
      </c>
      <c r="R230" t="s">
        <v>38</v>
      </c>
      <c r="S230" t="s">
        <v>39</v>
      </c>
      <c r="T230" t="s">
        <v>61</v>
      </c>
      <c r="U230" t="s">
        <v>41</v>
      </c>
      <c r="V230" s="9" t="str">
        <f>HYPERLINK("https://app.ntsb.gov/pdfgenerator/ReportGeneratorFile.ashx?EventID=20160405X01816&amp;AKey=1&amp;Rtype=Final&amp;IType=LA","PDF Report")</f>
        <v>PDF Report</v>
      </c>
    </row>
    <row r="231" spans="1:22" x14ac:dyDescent="0.25">
      <c r="A231" t="s">
        <v>1027</v>
      </c>
      <c r="B231">
        <v>1</v>
      </c>
      <c r="C231" s="5">
        <v>42462</v>
      </c>
      <c r="D231" t="s">
        <v>1028</v>
      </c>
      <c r="E231" t="s">
        <v>1029</v>
      </c>
      <c r="F231" t="s">
        <v>1030</v>
      </c>
      <c r="G231" t="s">
        <v>237</v>
      </c>
      <c r="H231" t="s">
        <v>33</v>
      </c>
      <c r="K231" t="s">
        <v>34</v>
      </c>
      <c r="L231" t="s">
        <v>35</v>
      </c>
      <c r="M231" t="s">
        <v>36</v>
      </c>
      <c r="Q231" t="s">
        <v>37</v>
      </c>
      <c r="R231" t="s">
        <v>38</v>
      </c>
      <c r="S231" t="s">
        <v>131</v>
      </c>
      <c r="T231" t="s">
        <v>73</v>
      </c>
      <c r="U231" t="s">
        <v>41</v>
      </c>
      <c r="V231" s="9" t="str">
        <f>HYPERLINK("https://app.ntsb.gov/pdfgenerator/ReportGeneratorFile.ashx?EventID=20160405X10643&amp;AKey=1&amp;Rtype=Final&amp;IType=CA","PDF Report")</f>
        <v>PDF Report</v>
      </c>
    </row>
    <row r="232" spans="1:22" x14ac:dyDescent="0.25">
      <c r="A232" t="s">
        <v>1031</v>
      </c>
      <c r="B232">
        <v>1</v>
      </c>
      <c r="C232" s="5">
        <v>42462</v>
      </c>
      <c r="D232" t="s">
        <v>1032</v>
      </c>
      <c r="E232" t="s">
        <v>1033</v>
      </c>
      <c r="F232" t="s">
        <v>1034</v>
      </c>
      <c r="G232" t="s">
        <v>237</v>
      </c>
      <c r="H232" t="s">
        <v>33</v>
      </c>
      <c r="K232" t="s">
        <v>47</v>
      </c>
      <c r="L232" t="s">
        <v>35</v>
      </c>
      <c r="M232" t="s">
        <v>36</v>
      </c>
      <c r="Q232" t="s">
        <v>37</v>
      </c>
      <c r="R232" t="s">
        <v>38</v>
      </c>
      <c r="S232" t="s">
        <v>48</v>
      </c>
      <c r="T232" t="s">
        <v>143</v>
      </c>
      <c r="U232" t="s">
        <v>41</v>
      </c>
      <c r="V232" s="9" t="str">
        <f>HYPERLINK("https://app.ntsb.gov/pdfgenerator/ReportGeneratorFile.ashx?EventID=20160411X23137&amp;AKey=1&amp;Rtype=Final&amp;IType=CA","PDF Report")</f>
        <v>PDF Report</v>
      </c>
    </row>
    <row r="233" spans="1:22" x14ac:dyDescent="0.25">
      <c r="A233" t="s">
        <v>1035</v>
      </c>
      <c r="B233">
        <v>1</v>
      </c>
      <c r="C233" s="5">
        <v>42462</v>
      </c>
      <c r="D233" t="s">
        <v>1036</v>
      </c>
      <c r="E233" t="s">
        <v>1037</v>
      </c>
      <c r="F233" t="s">
        <v>1038</v>
      </c>
      <c r="G233" t="s">
        <v>597</v>
      </c>
      <c r="H233" t="s">
        <v>1039</v>
      </c>
      <c r="J233">
        <v>1</v>
      </c>
      <c r="K233" t="s">
        <v>55</v>
      </c>
      <c r="L233" t="s">
        <v>110</v>
      </c>
      <c r="M233" t="s">
        <v>599</v>
      </c>
      <c r="Q233" t="s">
        <v>185</v>
      </c>
      <c r="S233" t="s">
        <v>243</v>
      </c>
      <c r="T233" t="s">
        <v>243</v>
      </c>
      <c r="U233" t="s">
        <v>41</v>
      </c>
      <c r="V233" s="9" t="str">
        <f>HYPERLINK("https://app.ntsb.gov/pdfgenerator/ReportGeneratorFile.ashx?EventID=20160411X82556&amp;AKey=1&amp;Rtype=Final&amp;IType=WA","PDF Report")</f>
        <v>PDF Report</v>
      </c>
    </row>
    <row r="234" spans="1:22" x14ac:dyDescent="0.25">
      <c r="A234" t="s">
        <v>1040</v>
      </c>
      <c r="B234">
        <v>1</v>
      </c>
      <c r="C234" s="5">
        <v>42462</v>
      </c>
      <c r="D234" t="s">
        <v>1041</v>
      </c>
      <c r="E234" t="s">
        <v>1042</v>
      </c>
      <c r="F234" t="s">
        <v>1043</v>
      </c>
      <c r="G234" t="s">
        <v>211</v>
      </c>
      <c r="H234" t="s">
        <v>33</v>
      </c>
      <c r="K234" t="s">
        <v>47</v>
      </c>
      <c r="L234" t="s">
        <v>35</v>
      </c>
      <c r="M234" t="s">
        <v>36</v>
      </c>
      <c r="Q234" t="s">
        <v>37</v>
      </c>
      <c r="R234" t="s">
        <v>38</v>
      </c>
      <c r="S234" t="s">
        <v>39</v>
      </c>
      <c r="T234" t="s">
        <v>61</v>
      </c>
      <c r="U234" t="s">
        <v>41</v>
      </c>
      <c r="V234" s="9" t="str">
        <f>HYPERLINK("https://app.ntsb.gov/pdfgenerator/ReportGeneratorFile.ashx?EventID=20160412X90041&amp;AKey=1&amp;Rtype=Final&amp;IType=LA","PDF Report")</f>
        <v>PDF Report</v>
      </c>
    </row>
    <row r="235" spans="1:22" x14ac:dyDescent="0.25">
      <c r="A235" t="s">
        <v>1044</v>
      </c>
      <c r="B235">
        <v>1</v>
      </c>
      <c r="C235" s="5">
        <v>42463</v>
      </c>
      <c r="D235" t="s">
        <v>1045</v>
      </c>
      <c r="E235" t="s">
        <v>1046</v>
      </c>
      <c r="F235" t="s">
        <v>1047</v>
      </c>
      <c r="G235" t="s">
        <v>169</v>
      </c>
      <c r="H235" t="s">
        <v>33</v>
      </c>
      <c r="K235" t="s">
        <v>34</v>
      </c>
      <c r="L235" t="s">
        <v>35</v>
      </c>
      <c r="M235" t="s">
        <v>36</v>
      </c>
      <c r="Q235" t="s">
        <v>37</v>
      </c>
      <c r="R235" t="s">
        <v>38</v>
      </c>
      <c r="S235" t="s">
        <v>84</v>
      </c>
      <c r="T235" t="s">
        <v>73</v>
      </c>
      <c r="U235" t="s">
        <v>41</v>
      </c>
      <c r="V235" s="9" t="str">
        <f>HYPERLINK("https://app.ntsb.gov/pdfgenerator/ReportGeneratorFile.ashx?EventID=20160405X02226&amp;AKey=1&amp;Rtype=Final&amp;IType=CA","PDF Report")</f>
        <v>PDF Report</v>
      </c>
    </row>
    <row r="236" spans="1:22" x14ac:dyDescent="0.25">
      <c r="A236" t="s">
        <v>1048</v>
      </c>
      <c r="B236">
        <v>1</v>
      </c>
      <c r="C236" s="5">
        <v>42463</v>
      </c>
      <c r="D236" t="s">
        <v>1049</v>
      </c>
      <c r="E236" t="s">
        <v>1050</v>
      </c>
      <c r="F236" t="s">
        <v>1051</v>
      </c>
      <c r="G236" t="s">
        <v>789</v>
      </c>
      <c r="H236" t="s">
        <v>33</v>
      </c>
      <c r="K236" t="s">
        <v>34</v>
      </c>
      <c r="L236" t="s">
        <v>35</v>
      </c>
      <c r="M236" t="s">
        <v>36</v>
      </c>
      <c r="Q236" t="s">
        <v>37</v>
      </c>
      <c r="R236" t="s">
        <v>38</v>
      </c>
      <c r="S236" t="s">
        <v>131</v>
      </c>
      <c r="T236" t="s">
        <v>49</v>
      </c>
      <c r="U236" t="s">
        <v>41</v>
      </c>
      <c r="V236" s="9" t="str">
        <f>HYPERLINK("https://app.ntsb.gov/pdfgenerator/ReportGeneratorFile.ashx?EventID=20160411X24524&amp;AKey=1&amp;Rtype=Final&amp;IType=CA","PDF Report")</f>
        <v>PDF Report</v>
      </c>
    </row>
    <row r="237" spans="1:22" x14ac:dyDescent="0.25">
      <c r="A237" t="s">
        <v>1052</v>
      </c>
      <c r="B237">
        <v>1</v>
      </c>
      <c r="C237" s="5">
        <v>42463</v>
      </c>
      <c r="D237" t="s">
        <v>1053</v>
      </c>
      <c r="E237" t="s">
        <v>1054</v>
      </c>
      <c r="F237" t="s">
        <v>1055</v>
      </c>
      <c r="G237" t="s">
        <v>96</v>
      </c>
      <c r="H237" t="s">
        <v>33</v>
      </c>
      <c r="K237" t="s">
        <v>34</v>
      </c>
      <c r="L237" t="s">
        <v>35</v>
      </c>
      <c r="M237" t="s">
        <v>36</v>
      </c>
      <c r="Q237" t="s">
        <v>37</v>
      </c>
      <c r="R237" t="s">
        <v>38</v>
      </c>
      <c r="S237" t="s">
        <v>131</v>
      </c>
      <c r="T237" t="s">
        <v>73</v>
      </c>
      <c r="U237" t="s">
        <v>41</v>
      </c>
      <c r="V237" s="9" t="str">
        <f>HYPERLINK("https://app.ntsb.gov/pdfgenerator/ReportGeneratorFile.ashx?EventID=20160427X91159&amp;AKey=1&amp;Rtype=Final&amp;IType=CA","PDF Report")</f>
        <v>PDF Report</v>
      </c>
    </row>
    <row r="238" spans="1:22" x14ac:dyDescent="0.25">
      <c r="A238" t="s">
        <v>1056</v>
      </c>
      <c r="B238">
        <v>1</v>
      </c>
      <c r="C238" s="5">
        <v>42464</v>
      </c>
      <c r="D238" t="s">
        <v>1057</v>
      </c>
      <c r="E238" t="s">
        <v>1058</v>
      </c>
      <c r="F238" t="s">
        <v>1059</v>
      </c>
      <c r="G238" t="s">
        <v>142</v>
      </c>
      <c r="H238" t="s">
        <v>33</v>
      </c>
      <c r="I238">
        <v>5</v>
      </c>
      <c r="K238" t="s">
        <v>90</v>
      </c>
      <c r="L238" t="s">
        <v>110</v>
      </c>
      <c r="M238" t="s">
        <v>36</v>
      </c>
      <c r="Q238" t="s">
        <v>185</v>
      </c>
      <c r="R238" t="s">
        <v>170</v>
      </c>
      <c r="S238" t="s">
        <v>39</v>
      </c>
      <c r="T238" t="s">
        <v>40</v>
      </c>
      <c r="U238" t="s">
        <v>41</v>
      </c>
      <c r="V238" s="9" t="str">
        <f>HYPERLINK("https://app.ntsb.gov/pdfgenerator/ReportGeneratorFile.ashx?EventID=20160404X74644&amp;AKey=1&amp;Rtype=Final&amp;IType=FA","PDF Report")</f>
        <v>PDF Report</v>
      </c>
    </row>
    <row r="239" spans="1:22" x14ac:dyDescent="0.25">
      <c r="A239" t="s">
        <v>1060</v>
      </c>
      <c r="B239">
        <v>1</v>
      </c>
      <c r="C239" s="5">
        <v>42464</v>
      </c>
      <c r="D239" t="s">
        <v>1061</v>
      </c>
      <c r="E239" t="s">
        <v>1062</v>
      </c>
      <c r="F239" t="s">
        <v>1063</v>
      </c>
      <c r="G239" t="s">
        <v>115</v>
      </c>
      <c r="H239" t="s">
        <v>33</v>
      </c>
      <c r="K239" t="s">
        <v>34</v>
      </c>
      <c r="L239" t="s">
        <v>35</v>
      </c>
      <c r="M239" t="s">
        <v>36</v>
      </c>
      <c r="Q239" t="s">
        <v>37</v>
      </c>
      <c r="R239" t="s">
        <v>38</v>
      </c>
      <c r="S239" t="s">
        <v>163</v>
      </c>
      <c r="T239" t="s">
        <v>378</v>
      </c>
      <c r="U239" t="s">
        <v>41</v>
      </c>
      <c r="V239" s="9" t="str">
        <f>HYPERLINK("https://app.ntsb.gov/pdfgenerator/ReportGeneratorFile.ashx?EventID=20160411X84306&amp;AKey=1&amp;Rtype=Final&amp;IType=CA","PDF Report")</f>
        <v>PDF Report</v>
      </c>
    </row>
    <row r="240" spans="1:22" x14ac:dyDescent="0.25">
      <c r="A240" t="s">
        <v>1064</v>
      </c>
      <c r="B240">
        <v>1</v>
      </c>
      <c r="C240" s="5">
        <v>42465</v>
      </c>
      <c r="D240" t="s">
        <v>1065</v>
      </c>
      <c r="E240" t="s">
        <v>1066</v>
      </c>
      <c r="F240" t="s">
        <v>1067</v>
      </c>
      <c r="G240" t="s">
        <v>237</v>
      </c>
      <c r="H240" t="s">
        <v>33</v>
      </c>
      <c r="K240" t="s">
        <v>47</v>
      </c>
      <c r="L240" t="s">
        <v>35</v>
      </c>
      <c r="M240" t="s">
        <v>36</v>
      </c>
      <c r="Q240" t="s">
        <v>37</v>
      </c>
      <c r="R240" t="s">
        <v>38</v>
      </c>
      <c r="S240" t="s">
        <v>97</v>
      </c>
      <c r="T240" t="s">
        <v>61</v>
      </c>
      <c r="U240" t="s">
        <v>41</v>
      </c>
      <c r="V240" s="9" t="str">
        <f>HYPERLINK("https://app.ntsb.gov/pdfgenerator/ReportGeneratorFile.ashx?EventID=20160405X13008&amp;AKey=1&amp;Rtype=Final&amp;IType=CA","PDF Report")</f>
        <v>PDF Report</v>
      </c>
    </row>
    <row r="241" spans="1:22" x14ac:dyDescent="0.25">
      <c r="A241" t="s">
        <v>1068</v>
      </c>
      <c r="B241">
        <v>1</v>
      </c>
      <c r="C241" s="5">
        <v>42466</v>
      </c>
      <c r="D241" t="s">
        <v>1069</v>
      </c>
      <c r="E241" t="s">
        <v>1070</v>
      </c>
      <c r="F241" t="s">
        <v>1071</v>
      </c>
      <c r="G241" t="s">
        <v>287</v>
      </c>
      <c r="H241" t="s">
        <v>33</v>
      </c>
      <c r="K241" t="s">
        <v>47</v>
      </c>
      <c r="L241" t="s">
        <v>35</v>
      </c>
      <c r="M241" t="s">
        <v>1072</v>
      </c>
      <c r="Q241" t="s">
        <v>185</v>
      </c>
      <c r="R241" t="s">
        <v>1073</v>
      </c>
      <c r="S241" t="s">
        <v>1074</v>
      </c>
      <c r="T241" t="s">
        <v>73</v>
      </c>
      <c r="U241" t="s">
        <v>41</v>
      </c>
      <c r="V241" s="9" t="str">
        <f>HYPERLINK("https://app.ntsb.gov/pdfgenerator/ReportGeneratorFile.ashx?EventID=20160407X72917&amp;AKey=1&amp;Rtype=Final&amp;IType=CA","PDF Report")</f>
        <v>PDF Report</v>
      </c>
    </row>
    <row r="242" spans="1:22" x14ac:dyDescent="0.25">
      <c r="A242" t="s">
        <v>1075</v>
      </c>
      <c r="B242">
        <v>1</v>
      </c>
      <c r="C242" s="5">
        <v>42466</v>
      </c>
      <c r="D242" t="s">
        <v>1076</v>
      </c>
      <c r="E242" t="s">
        <v>1077</v>
      </c>
      <c r="F242" t="s">
        <v>1078</v>
      </c>
      <c r="G242" t="s">
        <v>789</v>
      </c>
      <c r="H242" t="s">
        <v>33</v>
      </c>
      <c r="K242" t="s">
        <v>34</v>
      </c>
      <c r="L242" t="s">
        <v>35</v>
      </c>
      <c r="M242" t="s">
        <v>36</v>
      </c>
      <c r="Q242" t="s">
        <v>37</v>
      </c>
      <c r="R242" t="s">
        <v>38</v>
      </c>
      <c r="S242" t="s">
        <v>39</v>
      </c>
      <c r="T242" t="s">
        <v>79</v>
      </c>
      <c r="U242" t="s">
        <v>41</v>
      </c>
      <c r="V242" s="9" t="str">
        <f>HYPERLINK("https://app.ntsb.gov/pdfgenerator/ReportGeneratorFile.ashx?EventID=20160407X85220&amp;AKey=1&amp;Rtype=Final&amp;IType=LA","PDF Report")</f>
        <v>PDF Report</v>
      </c>
    </row>
    <row r="243" spans="1:22" x14ac:dyDescent="0.25">
      <c r="A243" t="s">
        <v>1079</v>
      </c>
      <c r="B243">
        <v>1</v>
      </c>
      <c r="C243" s="5">
        <v>42466</v>
      </c>
      <c r="D243" t="s">
        <v>1080</v>
      </c>
      <c r="E243" t="s">
        <v>1081</v>
      </c>
      <c r="F243" t="s">
        <v>1082</v>
      </c>
      <c r="G243" t="s">
        <v>54</v>
      </c>
      <c r="H243" t="s">
        <v>33</v>
      </c>
      <c r="K243" t="s">
        <v>34</v>
      </c>
      <c r="L243" t="s">
        <v>35</v>
      </c>
      <c r="M243" t="s">
        <v>36</v>
      </c>
      <c r="Q243" t="s">
        <v>37</v>
      </c>
      <c r="R243" t="s">
        <v>38</v>
      </c>
      <c r="S243" t="s">
        <v>72</v>
      </c>
      <c r="T243" t="s">
        <v>49</v>
      </c>
      <c r="U243" t="s">
        <v>41</v>
      </c>
      <c r="V243" s="9" t="str">
        <f>HYPERLINK("https://app.ntsb.gov/pdfgenerator/ReportGeneratorFile.ashx?EventID=20160411X82905&amp;AKey=1&amp;Rtype=Final&amp;IType=CA","PDF Report")</f>
        <v>PDF Report</v>
      </c>
    </row>
    <row r="244" spans="1:22" x14ac:dyDescent="0.25">
      <c r="A244" t="s">
        <v>1083</v>
      </c>
      <c r="B244">
        <v>1</v>
      </c>
      <c r="C244" s="5">
        <v>42466</v>
      </c>
      <c r="D244" t="s">
        <v>1084</v>
      </c>
      <c r="E244" t="s">
        <v>1085</v>
      </c>
      <c r="F244" t="s">
        <v>1086</v>
      </c>
      <c r="G244" t="s">
        <v>287</v>
      </c>
      <c r="H244" t="s">
        <v>33</v>
      </c>
      <c r="K244" t="s">
        <v>34</v>
      </c>
      <c r="L244" t="s">
        <v>35</v>
      </c>
      <c r="M244" t="s">
        <v>36</v>
      </c>
      <c r="Q244" t="s">
        <v>37</v>
      </c>
      <c r="R244" t="s">
        <v>130</v>
      </c>
      <c r="S244" t="s">
        <v>84</v>
      </c>
      <c r="T244" t="s">
        <v>73</v>
      </c>
      <c r="U244" t="s">
        <v>41</v>
      </c>
      <c r="V244" s="9" t="str">
        <f>HYPERLINK("https://app.ntsb.gov/pdfgenerator/ReportGeneratorFile.ashx?EventID=20160412X55159&amp;AKey=1&amp;Rtype=Final&amp;IType=CA","PDF Report")</f>
        <v>PDF Report</v>
      </c>
    </row>
    <row r="245" spans="1:22" x14ac:dyDescent="0.25">
      <c r="A245" t="s">
        <v>1087</v>
      </c>
      <c r="B245">
        <v>1</v>
      </c>
      <c r="C245" s="5">
        <v>42467</v>
      </c>
      <c r="D245" t="s">
        <v>1088</v>
      </c>
      <c r="E245" t="s">
        <v>1089</v>
      </c>
      <c r="F245" t="s">
        <v>1090</v>
      </c>
      <c r="G245" t="s">
        <v>597</v>
      </c>
      <c r="H245" t="s">
        <v>1091</v>
      </c>
      <c r="J245">
        <v>2</v>
      </c>
      <c r="K245" t="s">
        <v>55</v>
      </c>
      <c r="L245" t="s">
        <v>35</v>
      </c>
      <c r="M245" t="s">
        <v>599</v>
      </c>
      <c r="Q245" t="s">
        <v>185</v>
      </c>
      <c r="S245" t="s">
        <v>243</v>
      </c>
      <c r="T245" t="s">
        <v>49</v>
      </c>
      <c r="U245" t="s">
        <v>41</v>
      </c>
      <c r="V245" s="9" t="str">
        <f>HYPERLINK("https://app.ntsb.gov/pdfgenerator/ReportGeneratorFile.ashx?EventID=20160411X10952&amp;AKey=1&amp;Rtype=Final&amp;IType=WA","PDF Report")</f>
        <v>PDF Report</v>
      </c>
    </row>
    <row r="246" spans="1:22" x14ac:dyDescent="0.25">
      <c r="A246" t="s">
        <v>1092</v>
      </c>
      <c r="B246">
        <v>1</v>
      </c>
      <c r="C246" s="5">
        <v>42467</v>
      </c>
      <c r="D246" t="s">
        <v>1093</v>
      </c>
      <c r="E246" t="s">
        <v>1094</v>
      </c>
      <c r="F246" t="s">
        <v>1095</v>
      </c>
      <c r="G246" t="s">
        <v>169</v>
      </c>
      <c r="H246" t="s">
        <v>33</v>
      </c>
      <c r="K246" t="s">
        <v>34</v>
      </c>
      <c r="L246" t="s">
        <v>35</v>
      </c>
      <c r="M246" t="s">
        <v>36</v>
      </c>
      <c r="Q246" t="s">
        <v>185</v>
      </c>
      <c r="R246" t="s">
        <v>186</v>
      </c>
      <c r="S246" t="s">
        <v>196</v>
      </c>
      <c r="T246" t="s">
        <v>61</v>
      </c>
      <c r="U246" t="s">
        <v>41</v>
      </c>
      <c r="V246" s="9" t="str">
        <f>HYPERLINK("https://app.ntsb.gov/pdfgenerator/ReportGeneratorFile.ashx?EventID=20180509X55948&amp;AKey=1&amp;Rtype=Final&amp;IType=LA","PDF Report")</f>
        <v>PDF Report</v>
      </c>
    </row>
    <row r="247" spans="1:22" x14ac:dyDescent="0.25">
      <c r="A247" t="s">
        <v>1096</v>
      </c>
      <c r="B247">
        <v>1</v>
      </c>
      <c r="C247" s="5">
        <v>42468</v>
      </c>
      <c r="D247" t="s">
        <v>1097</v>
      </c>
      <c r="E247" t="s">
        <v>1098</v>
      </c>
      <c r="F247" t="s">
        <v>1099</v>
      </c>
      <c r="G247" t="s">
        <v>136</v>
      </c>
      <c r="H247" t="s">
        <v>33</v>
      </c>
      <c r="J247">
        <v>1</v>
      </c>
      <c r="K247" t="s">
        <v>55</v>
      </c>
      <c r="L247" t="s">
        <v>35</v>
      </c>
      <c r="M247" t="s">
        <v>36</v>
      </c>
      <c r="Q247" t="s">
        <v>37</v>
      </c>
      <c r="R247" t="s">
        <v>38</v>
      </c>
      <c r="S247" t="s">
        <v>97</v>
      </c>
      <c r="T247" t="s">
        <v>958</v>
      </c>
      <c r="U247" t="s">
        <v>41</v>
      </c>
      <c r="V247" s="9" t="str">
        <f>HYPERLINK("https://app.ntsb.gov/pdfgenerator/ReportGeneratorFile.ashx?EventID=20160408X41707&amp;AKey=1&amp;Rtype=Final&amp;IType=LA","PDF Report")</f>
        <v>PDF Report</v>
      </c>
    </row>
    <row r="248" spans="1:22" x14ac:dyDescent="0.25">
      <c r="A248" t="s">
        <v>1100</v>
      </c>
      <c r="B248">
        <v>1</v>
      </c>
      <c r="C248" s="5">
        <v>42468</v>
      </c>
      <c r="D248" t="s">
        <v>1101</v>
      </c>
      <c r="E248" t="s">
        <v>1102</v>
      </c>
      <c r="F248" t="s">
        <v>1103</v>
      </c>
      <c r="G248" t="s">
        <v>96</v>
      </c>
      <c r="H248" t="s">
        <v>33</v>
      </c>
      <c r="I248">
        <v>1</v>
      </c>
      <c r="K248" t="s">
        <v>90</v>
      </c>
      <c r="L248" t="s">
        <v>35</v>
      </c>
      <c r="M248" t="s">
        <v>36</v>
      </c>
      <c r="Q248" t="s">
        <v>37</v>
      </c>
      <c r="R248" t="s">
        <v>130</v>
      </c>
      <c r="S248" t="s">
        <v>48</v>
      </c>
      <c r="T248" t="s">
        <v>49</v>
      </c>
      <c r="U248" t="s">
        <v>41</v>
      </c>
      <c r="V248" s="9" t="str">
        <f>HYPERLINK("https://app.ntsb.gov/pdfgenerator/ReportGeneratorFile.ashx?EventID=20160408X72828&amp;AKey=1&amp;Rtype=Final&amp;IType=FA","PDF Report")</f>
        <v>PDF Report</v>
      </c>
    </row>
    <row r="249" spans="1:22" x14ac:dyDescent="0.25">
      <c r="A249" t="s">
        <v>1104</v>
      </c>
      <c r="B249">
        <v>1</v>
      </c>
      <c r="C249" s="5">
        <v>42468</v>
      </c>
      <c r="D249" t="s">
        <v>1105</v>
      </c>
      <c r="E249" t="s">
        <v>1106</v>
      </c>
      <c r="F249" t="s">
        <v>1107</v>
      </c>
      <c r="G249" t="s">
        <v>54</v>
      </c>
      <c r="H249" t="s">
        <v>33</v>
      </c>
      <c r="I249">
        <v>3</v>
      </c>
      <c r="J249">
        <v>1</v>
      </c>
      <c r="K249" t="s">
        <v>90</v>
      </c>
      <c r="L249" t="s">
        <v>35</v>
      </c>
      <c r="M249" t="s">
        <v>56</v>
      </c>
      <c r="N249" t="s">
        <v>57</v>
      </c>
      <c r="O249" t="s">
        <v>58</v>
      </c>
      <c r="P249" t="s">
        <v>162</v>
      </c>
      <c r="Q249" t="s">
        <v>37</v>
      </c>
      <c r="S249" t="s">
        <v>48</v>
      </c>
      <c r="T249" t="s">
        <v>61</v>
      </c>
      <c r="U249" t="s">
        <v>41</v>
      </c>
      <c r="V249" s="9" t="str">
        <f>HYPERLINK("https://app.ntsb.gov/pdfgenerator/ReportGeneratorFile.ashx?EventID=20160409X10944&amp;AKey=1&amp;Rtype=Final&amp;IType=FA","PDF Report")</f>
        <v>PDF Report</v>
      </c>
    </row>
    <row r="250" spans="1:22" x14ac:dyDescent="0.25">
      <c r="A250" t="s">
        <v>1108</v>
      </c>
      <c r="B250">
        <v>1</v>
      </c>
      <c r="C250" s="5">
        <v>42468</v>
      </c>
      <c r="D250" t="s">
        <v>1109</v>
      </c>
      <c r="E250" t="s">
        <v>1110</v>
      </c>
      <c r="F250" t="s">
        <v>1111</v>
      </c>
      <c r="G250" t="s">
        <v>96</v>
      </c>
      <c r="H250" t="s">
        <v>33</v>
      </c>
      <c r="J250">
        <v>1</v>
      </c>
      <c r="K250" t="s">
        <v>55</v>
      </c>
      <c r="L250" t="s">
        <v>35</v>
      </c>
      <c r="M250" t="s">
        <v>36</v>
      </c>
      <c r="Q250" t="s">
        <v>185</v>
      </c>
      <c r="R250" t="s">
        <v>38</v>
      </c>
      <c r="S250" t="s">
        <v>196</v>
      </c>
      <c r="T250" t="s">
        <v>49</v>
      </c>
      <c r="U250" t="s">
        <v>41</v>
      </c>
      <c r="V250" s="9" t="str">
        <f>HYPERLINK("https://app.ntsb.gov/pdfgenerator/ReportGeneratorFile.ashx?EventID=20160411X25201&amp;AKey=1&amp;Rtype=Final&amp;IType=LA","PDF Report")</f>
        <v>PDF Report</v>
      </c>
    </row>
    <row r="251" spans="1:22" x14ac:dyDescent="0.25">
      <c r="A251" t="s">
        <v>1112</v>
      </c>
      <c r="B251">
        <v>1</v>
      </c>
      <c r="C251" s="5">
        <v>42468</v>
      </c>
      <c r="D251" t="s">
        <v>1113</v>
      </c>
      <c r="E251" t="s">
        <v>1114</v>
      </c>
      <c r="F251" t="s">
        <v>1115</v>
      </c>
      <c r="G251" t="s">
        <v>538</v>
      </c>
      <c r="H251" t="s">
        <v>33</v>
      </c>
      <c r="K251" t="s">
        <v>34</v>
      </c>
      <c r="L251" t="s">
        <v>35</v>
      </c>
      <c r="M251" t="s">
        <v>36</v>
      </c>
      <c r="Q251" t="s">
        <v>37</v>
      </c>
      <c r="R251" t="s">
        <v>38</v>
      </c>
      <c r="S251" t="s">
        <v>84</v>
      </c>
      <c r="T251" t="s">
        <v>73</v>
      </c>
      <c r="U251" t="s">
        <v>41</v>
      </c>
      <c r="V251" s="9" t="str">
        <f>HYPERLINK("https://app.ntsb.gov/pdfgenerator/ReportGeneratorFile.ashx?EventID=20160413X02953&amp;AKey=1&amp;Rtype=Final&amp;IType=CA","PDF Report")</f>
        <v>PDF Report</v>
      </c>
    </row>
    <row r="252" spans="1:22" x14ac:dyDescent="0.25">
      <c r="A252" t="s">
        <v>1116</v>
      </c>
      <c r="B252">
        <v>1</v>
      </c>
      <c r="C252" s="5">
        <v>42469</v>
      </c>
      <c r="D252" t="s">
        <v>1117</v>
      </c>
      <c r="E252" t="s">
        <v>1118</v>
      </c>
      <c r="F252" t="s">
        <v>1119</v>
      </c>
      <c r="G252" t="s">
        <v>115</v>
      </c>
      <c r="H252" t="s">
        <v>33</v>
      </c>
      <c r="I252">
        <v>1</v>
      </c>
      <c r="J252">
        <v>1</v>
      </c>
      <c r="K252" t="s">
        <v>90</v>
      </c>
      <c r="L252" t="s">
        <v>35</v>
      </c>
      <c r="M252" t="s">
        <v>36</v>
      </c>
      <c r="Q252" t="s">
        <v>37</v>
      </c>
      <c r="R252" t="s">
        <v>38</v>
      </c>
      <c r="S252" t="s">
        <v>48</v>
      </c>
      <c r="T252" t="s">
        <v>958</v>
      </c>
      <c r="U252" t="s">
        <v>41</v>
      </c>
      <c r="V252" s="9" t="str">
        <f>HYPERLINK("https://app.ntsb.gov/pdfgenerator/ReportGeneratorFile.ashx?EventID=20160409X95427&amp;AKey=1&amp;Rtype=Final&amp;IType=FA","PDF Report")</f>
        <v>PDF Report</v>
      </c>
    </row>
    <row r="253" spans="1:22" x14ac:dyDescent="0.25">
      <c r="A253" t="s">
        <v>1120</v>
      </c>
      <c r="B253">
        <v>1</v>
      </c>
      <c r="C253" s="5">
        <v>42469</v>
      </c>
      <c r="D253" t="s">
        <v>1121</v>
      </c>
      <c r="E253" t="s">
        <v>1122</v>
      </c>
      <c r="F253" t="s">
        <v>1123</v>
      </c>
      <c r="G253" t="s">
        <v>96</v>
      </c>
      <c r="H253" t="s">
        <v>33</v>
      </c>
      <c r="I253">
        <v>2</v>
      </c>
      <c r="K253" t="s">
        <v>90</v>
      </c>
      <c r="L253" t="s">
        <v>110</v>
      </c>
      <c r="M253" t="s">
        <v>36</v>
      </c>
      <c r="Q253" t="s">
        <v>37</v>
      </c>
      <c r="R253" t="s">
        <v>130</v>
      </c>
      <c r="S253" t="s">
        <v>48</v>
      </c>
      <c r="T253" t="s">
        <v>40</v>
      </c>
      <c r="U253" t="s">
        <v>41</v>
      </c>
      <c r="V253" s="9" t="str">
        <f>HYPERLINK("https://app.ntsb.gov/pdfgenerator/ReportGeneratorFile.ashx?EventID=20160410X94134&amp;AKey=1&amp;Rtype=Final&amp;IType=FA","PDF Report")</f>
        <v>PDF Report</v>
      </c>
    </row>
    <row r="254" spans="1:22" x14ac:dyDescent="0.25">
      <c r="A254" t="s">
        <v>1124</v>
      </c>
      <c r="B254">
        <v>1</v>
      </c>
      <c r="C254" s="5">
        <v>42469</v>
      </c>
      <c r="D254" t="s">
        <v>1125</v>
      </c>
      <c r="E254" t="s">
        <v>1126</v>
      </c>
      <c r="F254" t="s">
        <v>1127</v>
      </c>
      <c r="G254" t="s">
        <v>102</v>
      </c>
      <c r="H254" t="s">
        <v>33</v>
      </c>
      <c r="K254" t="s">
        <v>47</v>
      </c>
      <c r="L254" t="s">
        <v>35</v>
      </c>
      <c r="M254" t="s">
        <v>36</v>
      </c>
      <c r="Q254" t="s">
        <v>37</v>
      </c>
      <c r="R254" t="s">
        <v>170</v>
      </c>
      <c r="S254" t="s">
        <v>131</v>
      </c>
      <c r="T254" t="s">
        <v>49</v>
      </c>
      <c r="U254" t="s">
        <v>41</v>
      </c>
      <c r="V254" s="9" t="str">
        <f>HYPERLINK("https://app.ntsb.gov/pdfgenerator/ReportGeneratorFile.ashx?EventID=20160411X30308&amp;AKey=1&amp;Rtype=Final&amp;IType=CA","PDF Report")</f>
        <v>PDF Report</v>
      </c>
    </row>
    <row r="255" spans="1:22" x14ac:dyDescent="0.25">
      <c r="A255" t="s">
        <v>1128</v>
      </c>
      <c r="B255">
        <v>1</v>
      </c>
      <c r="C255" s="5">
        <v>42469</v>
      </c>
      <c r="D255" t="s">
        <v>1129</v>
      </c>
      <c r="E255" t="s">
        <v>1130</v>
      </c>
      <c r="F255" t="s">
        <v>1131</v>
      </c>
      <c r="G255" t="s">
        <v>96</v>
      </c>
      <c r="H255" t="s">
        <v>33</v>
      </c>
      <c r="K255" t="s">
        <v>34</v>
      </c>
      <c r="L255" t="s">
        <v>35</v>
      </c>
      <c r="M255" t="s">
        <v>36</v>
      </c>
      <c r="Q255" t="s">
        <v>37</v>
      </c>
      <c r="R255" t="s">
        <v>1132</v>
      </c>
      <c r="S255" t="s">
        <v>131</v>
      </c>
      <c r="T255" t="s">
        <v>73</v>
      </c>
      <c r="U255" t="s">
        <v>41</v>
      </c>
      <c r="V255" s="9" t="str">
        <f>HYPERLINK("https://app.ntsb.gov/pdfgenerator/ReportGeneratorFile.ashx?EventID=20160411X30935&amp;AKey=1&amp;Rtype=Final&amp;IType=CA","PDF Report")</f>
        <v>PDF Report</v>
      </c>
    </row>
    <row r="256" spans="1:22" x14ac:dyDescent="0.25">
      <c r="A256" t="s">
        <v>1133</v>
      </c>
      <c r="B256">
        <v>1</v>
      </c>
      <c r="C256" s="5">
        <v>42469</v>
      </c>
      <c r="D256" t="s">
        <v>1134</v>
      </c>
      <c r="E256" t="s">
        <v>1135</v>
      </c>
      <c r="F256" t="s">
        <v>1136</v>
      </c>
      <c r="G256" t="s">
        <v>348</v>
      </c>
      <c r="H256" t="s">
        <v>33</v>
      </c>
      <c r="K256" t="s">
        <v>34</v>
      </c>
      <c r="L256" t="s">
        <v>35</v>
      </c>
      <c r="M256" t="s">
        <v>36</v>
      </c>
      <c r="Q256" t="s">
        <v>37</v>
      </c>
      <c r="R256" t="s">
        <v>38</v>
      </c>
      <c r="S256" t="s">
        <v>131</v>
      </c>
      <c r="T256" t="s">
        <v>73</v>
      </c>
      <c r="U256" t="s">
        <v>41</v>
      </c>
      <c r="V256" s="9" t="str">
        <f>HYPERLINK("https://app.ntsb.gov/pdfgenerator/ReportGeneratorFile.ashx?EventID=20160505X52409&amp;AKey=1&amp;Rtype=Final&amp;IType=CA","PDF Report")</f>
        <v>PDF Report</v>
      </c>
    </row>
    <row r="257" spans="1:22" x14ac:dyDescent="0.25">
      <c r="A257" t="s">
        <v>1137</v>
      </c>
      <c r="B257">
        <v>1</v>
      </c>
      <c r="C257" s="5">
        <v>42470</v>
      </c>
      <c r="D257" t="s">
        <v>1138</v>
      </c>
      <c r="E257" t="s">
        <v>1139</v>
      </c>
      <c r="F257" t="s">
        <v>1140</v>
      </c>
      <c r="G257" t="s">
        <v>322</v>
      </c>
      <c r="H257" t="s">
        <v>33</v>
      </c>
      <c r="J257">
        <v>2</v>
      </c>
      <c r="K257" t="s">
        <v>55</v>
      </c>
      <c r="L257" t="s">
        <v>35</v>
      </c>
      <c r="M257" t="s">
        <v>36</v>
      </c>
      <c r="Q257" t="s">
        <v>37</v>
      </c>
      <c r="R257" t="s">
        <v>38</v>
      </c>
      <c r="S257" t="s">
        <v>39</v>
      </c>
      <c r="T257" t="s">
        <v>143</v>
      </c>
      <c r="U257" t="s">
        <v>41</v>
      </c>
      <c r="V257" s="9" t="str">
        <f>HYPERLINK("https://app.ntsb.gov/pdfgenerator/ReportGeneratorFile.ashx?EventID=20160410X11921&amp;AKey=1&amp;Rtype=Final&amp;IType=LA","PDF Report")</f>
        <v>PDF Report</v>
      </c>
    </row>
    <row r="258" spans="1:22" x14ac:dyDescent="0.25">
      <c r="A258" t="s">
        <v>1141</v>
      </c>
      <c r="B258">
        <v>1</v>
      </c>
      <c r="C258" s="5">
        <v>42470</v>
      </c>
      <c r="D258" t="s">
        <v>1142</v>
      </c>
      <c r="E258" t="s">
        <v>1143</v>
      </c>
      <c r="F258" t="s">
        <v>1144</v>
      </c>
      <c r="G258" t="s">
        <v>96</v>
      </c>
      <c r="H258" t="s">
        <v>33</v>
      </c>
      <c r="K258" t="s">
        <v>34</v>
      </c>
      <c r="L258" t="s">
        <v>35</v>
      </c>
      <c r="M258" t="s">
        <v>36</v>
      </c>
      <c r="Q258" t="s">
        <v>37</v>
      </c>
      <c r="R258" t="s">
        <v>38</v>
      </c>
      <c r="S258" t="s">
        <v>39</v>
      </c>
      <c r="T258" t="s">
        <v>61</v>
      </c>
      <c r="U258" t="s">
        <v>41</v>
      </c>
      <c r="V258" s="9" t="str">
        <f>HYPERLINK("https://app.ntsb.gov/pdfgenerator/ReportGeneratorFile.ashx?EventID=20160413X21652&amp;AKey=1&amp;Rtype=Final&amp;IType=LA","PDF Report")</f>
        <v>PDF Report</v>
      </c>
    </row>
    <row r="259" spans="1:22" x14ac:dyDescent="0.25">
      <c r="A259" t="s">
        <v>1145</v>
      </c>
      <c r="B259">
        <v>1</v>
      </c>
      <c r="C259" s="5">
        <v>42472</v>
      </c>
      <c r="D259" t="s">
        <v>1146</v>
      </c>
      <c r="E259" t="s">
        <v>804</v>
      </c>
      <c r="F259" t="s">
        <v>805</v>
      </c>
      <c r="G259" t="s">
        <v>287</v>
      </c>
      <c r="H259" t="s">
        <v>33</v>
      </c>
      <c r="K259" t="s">
        <v>34</v>
      </c>
      <c r="L259" t="s">
        <v>35</v>
      </c>
      <c r="M259" t="s">
        <v>36</v>
      </c>
      <c r="Q259" t="s">
        <v>37</v>
      </c>
      <c r="R259" t="s">
        <v>505</v>
      </c>
      <c r="S259" t="s">
        <v>131</v>
      </c>
      <c r="T259" t="s">
        <v>73</v>
      </c>
      <c r="U259" t="s">
        <v>41</v>
      </c>
      <c r="V259" s="9" t="str">
        <f>HYPERLINK("https://app.ntsb.gov/pdfgenerator/ReportGeneratorFile.ashx?EventID=20160413X21239&amp;AKey=1&amp;Rtype=Final&amp;IType=CA","PDF Report")</f>
        <v>PDF Report</v>
      </c>
    </row>
    <row r="260" spans="1:22" x14ac:dyDescent="0.25">
      <c r="A260" t="s">
        <v>1147</v>
      </c>
      <c r="B260">
        <v>1</v>
      </c>
      <c r="C260" s="5">
        <v>42472</v>
      </c>
      <c r="D260" t="s">
        <v>1148</v>
      </c>
      <c r="E260" t="s">
        <v>1149</v>
      </c>
      <c r="F260" t="s">
        <v>1150</v>
      </c>
      <c r="G260" t="s">
        <v>348</v>
      </c>
      <c r="H260" t="s">
        <v>33</v>
      </c>
      <c r="K260" t="s">
        <v>34</v>
      </c>
      <c r="L260" t="s">
        <v>35</v>
      </c>
      <c r="M260" t="s">
        <v>36</v>
      </c>
      <c r="Q260" t="s">
        <v>37</v>
      </c>
      <c r="R260" t="s">
        <v>130</v>
      </c>
      <c r="S260" t="s">
        <v>131</v>
      </c>
      <c r="T260" t="s">
        <v>73</v>
      </c>
      <c r="U260" t="s">
        <v>41</v>
      </c>
      <c r="V260" s="9" t="str">
        <f>HYPERLINK("https://app.ntsb.gov/pdfgenerator/ReportGeneratorFile.ashx?EventID=20160414X32209&amp;AKey=1&amp;Rtype=Final&amp;IType=CA","PDF Report")</f>
        <v>PDF Report</v>
      </c>
    </row>
    <row r="261" spans="1:22" x14ac:dyDescent="0.25">
      <c r="A261" t="s">
        <v>1151</v>
      </c>
      <c r="B261">
        <v>1</v>
      </c>
      <c r="C261" s="5">
        <v>42473</v>
      </c>
      <c r="D261" t="s">
        <v>1152</v>
      </c>
      <c r="E261" t="s">
        <v>1153</v>
      </c>
      <c r="F261" t="s">
        <v>1154</v>
      </c>
      <c r="G261" t="s">
        <v>115</v>
      </c>
      <c r="H261" t="s">
        <v>33</v>
      </c>
      <c r="K261" t="s">
        <v>47</v>
      </c>
      <c r="L261" t="s">
        <v>35</v>
      </c>
      <c r="M261" t="s">
        <v>36</v>
      </c>
      <c r="Q261" t="s">
        <v>874</v>
      </c>
      <c r="R261" t="s">
        <v>38</v>
      </c>
      <c r="S261" t="s">
        <v>39</v>
      </c>
      <c r="T261" t="s">
        <v>143</v>
      </c>
      <c r="U261" t="s">
        <v>41</v>
      </c>
      <c r="V261" s="9" t="str">
        <f>HYPERLINK("https://app.ntsb.gov/pdfgenerator/ReportGeneratorFile.ashx?EventID=20160415X15801&amp;AKey=1&amp;Rtype=Final&amp;IType=LA","PDF Report")</f>
        <v>PDF Report</v>
      </c>
    </row>
    <row r="262" spans="1:22" x14ac:dyDescent="0.25">
      <c r="A262" t="s">
        <v>1155</v>
      </c>
      <c r="B262">
        <v>1</v>
      </c>
      <c r="C262" s="5">
        <v>42473</v>
      </c>
      <c r="D262" t="s">
        <v>1156</v>
      </c>
      <c r="E262" t="s">
        <v>1157</v>
      </c>
      <c r="F262" t="s">
        <v>1158</v>
      </c>
      <c r="G262" t="s">
        <v>66</v>
      </c>
      <c r="H262" t="s">
        <v>33</v>
      </c>
      <c r="K262" t="s">
        <v>34</v>
      </c>
      <c r="L262" t="s">
        <v>35</v>
      </c>
      <c r="M262" t="s">
        <v>36</v>
      </c>
      <c r="Q262" t="s">
        <v>37</v>
      </c>
      <c r="R262" t="s">
        <v>38</v>
      </c>
      <c r="S262" t="s">
        <v>72</v>
      </c>
      <c r="T262" t="s">
        <v>73</v>
      </c>
      <c r="U262" t="s">
        <v>41</v>
      </c>
      <c r="V262" s="9" t="str">
        <f>HYPERLINK("https://app.ntsb.gov/pdfgenerator/ReportGeneratorFile.ashx?EventID=20160415X24144&amp;AKey=1&amp;Rtype=Final&amp;IType=LA","PDF Report")</f>
        <v>PDF Report</v>
      </c>
    </row>
    <row r="263" spans="1:22" x14ac:dyDescent="0.25">
      <c r="A263" t="s">
        <v>1159</v>
      </c>
      <c r="B263">
        <v>1</v>
      </c>
      <c r="C263" s="5">
        <v>42474</v>
      </c>
      <c r="F263" t="s">
        <v>1160</v>
      </c>
      <c r="G263" t="s">
        <v>66</v>
      </c>
      <c r="H263" t="s">
        <v>33</v>
      </c>
      <c r="J263">
        <v>1</v>
      </c>
      <c r="K263" t="s">
        <v>55</v>
      </c>
      <c r="L263" t="s">
        <v>34</v>
      </c>
      <c r="M263" t="s">
        <v>103</v>
      </c>
      <c r="N263" t="s">
        <v>57</v>
      </c>
      <c r="O263" t="s">
        <v>58</v>
      </c>
      <c r="P263" t="s">
        <v>59</v>
      </c>
      <c r="Q263" t="s">
        <v>37</v>
      </c>
      <c r="S263" t="s">
        <v>932</v>
      </c>
      <c r="T263" t="s">
        <v>164</v>
      </c>
      <c r="U263" t="s">
        <v>41</v>
      </c>
      <c r="V263" s="9" t="str">
        <f>HYPERLINK("https://app.ntsb.gov/pdfgenerator/ReportGeneratorFile.ashx?EventID=20160415X02200&amp;AKey=1&amp;Rtype=Final&amp;IType=CA","PDF Report")</f>
        <v>PDF Report</v>
      </c>
    </row>
    <row r="264" spans="1:22" x14ac:dyDescent="0.25">
      <c r="A264" t="s">
        <v>1161</v>
      </c>
      <c r="B264">
        <v>1</v>
      </c>
      <c r="C264" s="5">
        <v>42474</v>
      </c>
      <c r="D264" t="s">
        <v>1162</v>
      </c>
      <c r="E264" t="s">
        <v>1163</v>
      </c>
      <c r="F264" t="s">
        <v>1164</v>
      </c>
      <c r="G264" t="s">
        <v>142</v>
      </c>
      <c r="H264" t="s">
        <v>33</v>
      </c>
      <c r="K264" t="s">
        <v>47</v>
      </c>
      <c r="L264" t="s">
        <v>35</v>
      </c>
      <c r="M264" t="s">
        <v>36</v>
      </c>
      <c r="Q264" t="s">
        <v>37</v>
      </c>
      <c r="R264" t="s">
        <v>130</v>
      </c>
      <c r="S264" t="s">
        <v>39</v>
      </c>
      <c r="T264" t="s">
        <v>61</v>
      </c>
      <c r="U264" t="s">
        <v>41</v>
      </c>
      <c r="V264" s="9" t="str">
        <f>HYPERLINK("https://app.ntsb.gov/pdfgenerator/ReportGeneratorFile.ashx?EventID=20160415X21342&amp;AKey=1&amp;Rtype=Final&amp;IType=LA","PDF Report")</f>
        <v>PDF Report</v>
      </c>
    </row>
    <row r="265" spans="1:22" x14ac:dyDescent="0.25">
      <c r="A265" t="s">
        <v>1165</v>
      </c>
      <c r="B265">
        <v>1</v>
      </c>
      <c r="C265" s="5">
        <v>42474</v>
      </c>
      <c r="D265" t="s">
        <v>1166</v>
      </c>
      <c r="E265" t="s">
        <v>1167</v>
      </c>
      <c r="F265" t="s">
        <v>1168</v>
      </c>
      <c r="G265" t="s">
        <v>312</v>
      </c>
      <c r="H265" t="s">
        <v>33</v>
      </c>
      <c r="K265" t="s">
        <v>34</v>
      </c>
      <c r="L265" t="s">
        <v>35</v>
      </c>
      <c r="M265" t="s">
        <v>36</v>
      </c>
      <c r="Q265" t="s">
        <v>37</v>
      </c>
      <c r="R265" t="s">
        <v>38</v>
      </c>
      <c r="S265" t="s">
        <v>196</v>
      </c>
      <c r="T265" t="s">
        <v>73</v>
      </c>
      <c r="U265" t="s">
        <v>41</v>
      </c>
      <c r="V265" s="9" t="str">
        <f>HYPERLINK("https://app.ntsb.gov/pdfgenerator/ReportGeneratorFile.ashx?EventID=20160419X61318&amp;AKey=1&amp;Rtype=Final&amp;IType=LA","PDF Report")</f>
        <v>PDF Report</v>
      </c>
    </row>
    <row r="266" spans="1:22" x14ac:dyDescent="0.25">
      <c r="A266" t="s">
        <v>1169</v>
      </c>
      <c r="B266">
        <v>1</v>
      </c>
      <c r="C266" s="5">
        <v>42474</v>
      </c>
      <c r="D266" t="s">
        <v>1170</v>
      </c>
      <c r="E266" t="s">
        <v>1171</v>
      </c>
      <c r="F266" t="s">
        <v>1172</v>
      </c>
      <c r="G266" t="s">
        <v>407</v>
      </c>
      <c r="H266" t="s">
        <v>33</v>
      </c>
      <c r="K266" t="s">
        <v>47</v>
      </c>
      <c r="L266" t="s">
        <v>35</v>
      </c>
      <c r="M266" t="s">
        <v>36</v>
      </c>
      <c r="Q266" t="s">
        <v>37</v>
      </c>
      <c r="R266" t="s">
        <v>170</v>
      </c>
      <c r="S266" t="s">
        <v>171</v>
      </c>
      <c r="T266" t="s">
        <v>61</v>
      </c>
      <c r="U266" t="s">
        <v>41</v>
      </c>
      <c r="V266" s="9" t="str">
        <f>HYPERLINK("https://app.ntsb.gov/pdfgenerator/ReportGeneratorFile.ashx?EventID=20160421X83924&amp;AKey=1&amp;Rtype=Final&amp;IType=CA","PDF Report")</f>
        <v>PDF Report</v>
      </c>
    </row>
    <row r="267" spans="1:22" x14ac:dyDescent="0.25">
      <c r="A267" t="s">
        <v>1173</v>
      </c>
      <c r="B267">
        <v>1</v>
      </c>
      <c r="C267" s="5">
        <v>42475</v>
      </c>
      <c r="D267" t="s">
        <v>1174</v>
      </c>
      <c r="E267" t="s">
        <v>1175</v>
      </c>
      <c r="F267" t="s">
        <v>1176</v>
      </c>
      <c r="G267" t="s">
        <v>136</v>
      </c>
      <c r="H267" t="s">
        <v>33</v>
      </c>
      <c r="K267" t="s">
        <v>34</v>
      </c>
      <c r="L267" t="s">
        <v>35</v>
      </c>
      <c r="M267" t="s">
        <v>56</v>
      </c>
      <c r="N267" t="s">
        <v>57</v>
      </c>
      <c r="O267" t="s">
        <v>58</v>
      </c>
      <c r="P267" t="s">
        <v>162</v>
      </c>
      <c r="Q267" t="s">
        <v>185</v>
      </c>
      <c r="S267" t="s">
        <v>48</v>
      </c>
      <c r="T267" t="s">
        <v>73</v>
      </c>
      <c r="U267" t="s">
        <v>41</v>
      </c>
      <c r="V267" s="9" t="str">
        <f>HYPERLINK("https://app.ntsb.gov/pdfgenerator/ReportGeneratorFile.ashx?EventID=20160415X13505&amp;AKey=1&amp;Rtype=Final&amp;IType=LA","PDF Report")</f>
        <v>PDF Report</v>
      </c>
    </row>
    <row r="268" spans="1:22" x14ac:dyDescent="0.25">
      <c r="A268" t="s">
        <v>1177</v>
      </c>
      <c r="B268">
        <v>1</v>
      </c>
      <c r="C268" s="5">
        <v>42475</v>
      </c>
      <c r="D268" t="s">
        <v>1178</v>
      </c>
      <c r="E268" t="s">
        <v>1179</v>
      </c>
      <c r="F268" t="s">
        <v>1180</v>
      </c>
      <c r="G268" t="s">
        <v>1181</v>
      </c>
      <c r="H268" t="s">
        <v>1182</v>
      </c>
      <c r="K268" t="s">
        <v>34</v>
      </c>
      <c r="L268" t="s">
        <v>35</v>
      </c>
      <c r="M268" t="s">
        <v>36</v>
      </c>
      <c r="Q268" t="s">
        <v>37</v>
      </c>
      <c r="R268" t="s">
        <v>38</v>
      </c>
      <c r="S268" t="s">
        <v>39</v>
      </c>
      <c r="T268" t="s">
        <v>61</v>
      </c>
      <c r="U268" t="s">
        <v>41</v>
      </c>
      <c r="V268" s="9" t="str">
        <f>HYPERLINK("https://app.ntsb.gov/pdfgenerator/ReportGeneratorFile.ashx?EventID=20160415X63104&amp;AKey=1&amp;Rtype=Final&amp;IType=LA","PDF Report")</f>
        <v>PDF Report</v>
      </c>
    </row>
    <row r="269" spans="1:22" x14ac:dyDescent="0.25">
      <c r="A269" t="s">
        <v>1183</v>
      </c>
      <c r="B269">
        <v>1</v>
      </c>
      <c r="C269" s="5">
        <v>42475</v>
      </c>
      <c r="D269" t="s">
        <v>1184</v>
      </c>
      <c r="E269" t="s">
        <v>1185</v>
      </c>
      <c r="F269" t="s">
        <v>1186</v>
      </c>
      <c r="G269" t="s">
        <v>237</v>
      </c>
      <c r="H269" t="s">
        <v>33</v>
      </c>
      <c r="K269" t="s">
        <v>34</v>
      </c>
      <c r="L269" t="s">
        <v>35</v>
      </c>
      <c r="M269" t="s">
        <v>36</v>
      </c>
      <c r="Q269" t="s">
        <v>37</v>
      </c>
      <c r="R269" t="s">
        <v>130</v>
      </c>
      <c r="S269" t="s">
        <v>131</v>
      </c>
      <c r="T269" t="s">
        <v>73</v>
      </c>
      <c r="U269" t="s">
        <v>41</v>
      </c>
      <c r="V269" s="9" t="str">
        <f>HYPERLINK("https://app.ntsb.gov/pdfgenerator/ReportGeneratorFile.ashx?EventID=20160420X23541&amp;AKey=1&amp;Rtype=Final&amp;IType=CA","PDF Report")</f>
        <v>PDF Report</v>
      </c>
    </row>
    <row r="270" spans="1:22" x14ac:dyDescent="0.25">
      <c r="A270" t="s">
        <v>1187</v>
      </c>
      <c r="B270">
        <v>1</v>
      </c>
      <c r="C270" s="5">
        <v>42476</v>
      </c>
      <c r="D270" t="s">
        <v>1188</v>
      </c>
      <c r="E270" t="s">
        <v>1189</v>
      </c>
      <c r="F270" t="s">
        <v>1190</v>
      </c>
      <c r="G270" t="s">
        <v>883</v>
      </c>
      <c r="H270" t="s">
        <v>33</v>
      </c>
      <c r="K270" t="s">
        <v>34</v>
      </c>
      <c r="L270" t="s">
        <v>110</v>
      </c>
      <c r="M270" t="s">
        <v>36</v>
      </c>
      <c r="Q270" t="s">
        <v>185</v>
      </c>
      <c r="R270" t="s">
        <v>170</v>
      </c>
      <c r="S270" t="s">
        <v>48</v>
      </c>
      <c r="T270" t="s">
        <v>40</v>
      </c>
      <c r="U270" t="s">
        <v>41</v>
      </c>
      <c r="V270" s="9" t="str">
        <f>HYPERLINK("https://app.ntsb.gov/pdfgenerator/ReportGeneratorFile.ashx?EventID=20160416X61819&amp;AKey=1&amp;Rtype=Final&amp;IType=CA","PDF Report")</f>
        <v>PDF Report</v>
      </c>
    </row>
    <row r="271" spans="1:22" x14ac:dyDescent="0.25">
      <c r="A271" t="s">
        <v>1191</v>
      </c>
      <c r="B271">
        <v>1</v>
      </c>
      <c r="C271" s="5">
        <v>42476</v>
      </c>
      <c r="D271" t="s">
        <v>1192</v>
      </c>
      <c r="E271" t="s">
        <v>1193</v>
      </c>
      <c r="F271" t="s">
        <v>1194</v>
      </c>
      <c r="G271" t="s">
        <v>102</v>
      </c>
      <c r="H271" t="s">
        <v>33</v>
      </c>
      <c r="K271" t="s">
        <v>47</v>
      </c>
      <c r="L271" t="s">
        <v>35</v>
      </c>
      <c r="M271" t="s">
        <v>36</v>
      </c>
      <c r="Q271" t="s">
        <v>37</v>
      </c>
      <c r="R271" t="s">
        <v>38</v>
      </c>
      <c r="S271" t="s">
        <v>39</v>
      </c>
      <c r="T271" t="s">
        <v>61</v>
      </c>
      <c r="U271" t="s">
        <v>41</v>
      </c>
      <c r="V271" s="9" t="str">
        <f>HYPERLINK("https://app.ntsb.gov/pdfgenerator/ReportGeneratorFile.ashx?EventID=20160419X84044&amp;AKey=1&amp;Rtype=Final&amp;IType=LA","PDF Report")</f>
        <v>PDF Report</v>
      </c>
    </row>
    <row r="272" spans="1:22" x14ac:dyDescent="0.25">
      <c r="A272" t="s">
        <v>1195</v>
      </c>
      <c r="B272">
        <v>1</v>
      </c>
      <c r="C272" s="5">
        <v>42477</v>
      </c>
      <c r="D272" t="s">
        <v>1196</v>
      </c>
      <c r="E272" t="s">
        <v>1197</v>
      </c>
      <c r="F272" t="s">
        <v>1198</v>
      </c>
      <c r="G272" t="s">
        <v>66</v>
      </c>
      <c r="H272" t="s">
        <v>33</v>
      </c>
      <c r="J272">
        <v>2</v>
      </c>
      <c r="K272" t="s">
        <v>55</v>
      </c>
      <c r="L272" t="s">
        <v>110</v>
      </c>
      <c r="M272" t="s">
        <v>36</v>
      </c>
      <c r="Q272" t="s">
        <v>37</v>
      </c>
      <c r="R272" t="s">
        <v>38</v>
      </c>
      <c r="S272" t="s">
        <v>191</v>
      </c>
      <c r="T272" t="s">
        <v>79</v>
      </c>
      <c r="U272" t="s">
        <v>41</v>
      </c>
      <c r="V272" s="9" t="str">
        <f>HYPERLINK("https://app.ntsb.gov/pdfgenerator/ReportGeneratorFile.ashx?EventID=20160418X20327&amp;AKey=1&amp;Rtype=Final&amp;IType=LA","PDF Report")</f>
        <v>PDF Report</v>
      </c>
    </row>
    <row r="273" spans="1:22" x14ac:dyDescent="0.25">
      <c r="A273" t="s">
        <v>1199</v>
      </c>
      <c r="B273">
        <v>1</v>
      </c>
      <c r="C273" s="5">
        <v>42477</v>
      </c>
      <c r="D273" t="s">
        <v>1200</v>
      </c>
      <c r="E273" t="s">
        <v>1201</v>
      </c>
      <c r="F273" t="s">
        <v>1202</v>
      </c>
      <c r="G273" t="s">
        <v>597</v>
      </c>
      <c r="H273" t="s">
        <v>1039</v>
      </c>
      <c r="I273">
        <v>1</v>
      </c>
      <c r="K273" t="s">
        <v>90</v>
      </c>
      <c r="L273" t="s">
        <v>110</v>
      </c>
      <c r="M273" t="s">
        <v>599</v>
      </c>
      <c r="Q273" t="s">
        <v>37</v>
      </c>
      <c r="S273" t="s">
        <v>243</v>
      </c>
      <c r="T273" t="s">
        <v>243</v>
      </c>
      <c r="U273" t="s">
        <v>41</v>
      </c>
      <c r="V273" s="9" t="str">
        <f>HYPERLINK("https://app.ntsb.gov/pdfgenerator/ReportGeneratorFile.ashx?EventID=20160420X41348&amp;AKey=1&amp;Rtype=Final&amp;IType=WA","PDF Report")</f>
        <v>PDF Report</v>
      </c>
    </row>
    <row r="274" spans="1:22" x14ac:dyDescent="0.25">
      <c r="A274" t="s">
        <v>1203</v>
      </c>
      <c r="B274">
        <v>1</v>
      </c>
      <c r="C274" s="5">
        <v>42478</v>
      </c>
      <c r="D274" t="s">
        <v>1204</v>
      </c>
      <c r="E274" t="s">
        <v>1205</v>
      </c>
      <c r="F274" t="s">
        <v>1206</v>
      </c>
      <c r="G274" t="s">
        <v>322</v>
      </c>
      <c r="H274" t="s">
        <v>33</v>
      </c>
      <c r="I274">
        <v>2</v>
      </c>
      <c r="K274" t="s">
        <v>90</v>
      </c>
      <c r="L274" t="s">
        <v>110</v>
      </c>
      <c r="M274" t="s">
        <v>36</v>
      </c>
      <c r="Q274" t="s">
        <v>37</v>
      </c>
      <c r="R274" t="s">
        <v>38</v>
      </c>
      <c r="S274" t="s">
        <v>48</v>
      </c>
      <c r="T274" t="s">
        <v>49</v>
      </c>
      <c r="U274" t="s">
        <v>41</v>
      </c>
      <c r="V274" s="9" t="str">
        <f>HYPERLINK("https://app.ntsb.gov/pdfgenerator/ReportGeneratorFile.ashx?EventID=20160418X04320&amp;AKey=1&amp;Rtype=Final&amp;IType=FA","PDF Report")</f>
        <v>PDF Report</v>
      </c>
    </row>
    <row r="275" spans="1:22" x14ac:dyDescent="0.25">
      <c r="A275" t="s">
        <v>1207</v>
      </c>
      <c r="B275">
        <v>1</v>
      </c>
      <c r="C275" s="5">
        <v>42478</v>
      </c>
      <c r="D275" t="s">
        <v>1208</v>
      </c>
      <c r="E275" t="s">
        <v>1209</v>
      </c>
      <c r="F275" t="s">
        <v>1210</v>
      </c>
      <c r="G275" t="s">
        <v>169</v>
      </c>
      <c r="H275" t="s">
        <v>33</v>
      </c>
      <c r="I275">
        <v>1</v>
      </c>
      <c r="K275" t="s">
        <v>90</v>
      </c>
      <c r="L275" t="s">
        <v>110</v>
      </c>
      <c r="M275" t="s">
        <v>767</v>
      </c>
      <c r="Q275" t="s">
        <v>37</v>
      </c>
      <c r="R275" t="s">
        <v>768</v>
      </c>
      <c r="S275" t="s">
        <v>48</v>
      </c>
      <c r="T275" t="s">
        <v>40</v>
      </c>
      <c r="U275" t="s">
        <v>41</v>
      </c>
      <c r="V275" s="9" t="str">
        <f>HYPERLINK("https://app.ntsb.gov/pdfgenerator/ReportGeneratorFile.ashx?EventID=20160418X51924&amp;AKey=1&amp;Rtype=Final&amp;IType=LA","PDF Report")</f>
        <v>PDF Report</v>
      </c>
    </row>
    <row r="276" spans="1:22" x14ac:dyDescent="0.25">
      <c r="A276" t="s">
        <v>1211</v>
      </c>
      <c r="B276">
        <v>1</v>
      </c>
      <c r="C276" s="5">
        <v>42478</v>
      </c>
      <c r="D276" t="s">
        <v>1212</v>
      </c>
      <c r="E276" t="s">
        <v>1213</v>
      </c>
      <c r="F276" t="s">
        <v>1214</v>
      </c>
      <c r="G276" t="s">
        <v>32</v>
      </c>
      <c r="H276" t="s">
        <v>33</v>
      </c>
      <c r="K276" t="s">
        <v>34</v>
      </c>
      <c r="L276" t="s">
        <v>35</v>
      </c>
      <c r="M276" t="s">
        <v>36</v>
      </c>
      <c r="Q276" t="s">
        <v>37</v>
      </c>
      <c r="R276" t="s">
        <v>38</v>
      </c>
      <c r="S276" t="s">
        <v>131</v>
      </c>
      <c r="T276" t="s">
        <v>73</v>
      </c>
      <c r="U276" t="s">
        <v>41</v>
      </c>
      <c r="V276" s="9" t="str">
        <f>HYPERLINK("https://app.ntsb.gov/pdfgenerator/ReportGeneratorFile.ashx?EventID=20160419X22520&amp;AKey=1&amp;Rtype=Final&amp;IType=CA","PDF Report")</f>
        <v>PDF Report</v>
      </c>
    </row>
    <row r="277" spans="1:22" x14ac:dyDescent="0.25">
      <c r="A277" t="s">
        <v>1215</v>
      </c>
      <c r="B277">
        <v>1</v>
      </c>
      <c r="C277" s="5">
        <v>42478</v>
      </c>
      <c r="D277" t="s">
        <v>1216</v>
      </c>
      <c r="E277" t="s">
        <v>1217</v>
      </c>
      <c r="F277" t="s">
        <v>1218</v>
      </c>
      <c r="G277" t="s">
        <v>538</v>
      </c>
      <c r="H277" t="s">
        <v>33</v>
      </c>
      <c r="K277" t="s">
        <v>47</v>
      </c>
      <c r="L277" t="s">
        <v>35</v>
      </c>
      <c r="M277" t="s">
        <v>473</v>
      </c>
      <c r="Q277" t="s">
        <v>185</v>
      </c>
      <c r="R277" t="s">
        <v>1219</v>
      </c>
      <c r="S277" t="s">
        <v>48</v>
      </c>
      <c r="T277" t="s">
        <v>40</v>
      </c>
      <c r="U277" t="s">
        <v>41</v>
      </c>
      <c r="V277" s="9" t="str">
        <f>HYPERLINK("https://app.ntsb.gov/pdfgenerator/ReportGeneratorFile.ashx?EventID=20160419X34935&amp;AKey=1&amp;Rtype=Final&amp;IType=LA","PDF Report")</f>
        <v>PDF Report</v>
      </c>
    </row>
    <row r="278" spans="1:22" x14ac:dyDescent="0.25">
      <c r="A278" t="s">
        <v>1220</v>
      </c>
      <c r="B278">
        <v>1</v>
      </c>
      <c r="C278" s="5">
        <v>42478</v>
      </c>
      <c r="D278" t="s">
        <v>1221</v>
      </c>
      <c r="E278" t="s">
        <v>1222</v>
      </c>
      <c r="F278" t="s">
        <v>1223</v>
      </c>
      <c r="G278" t="s">
        <v>115</v>
      </c>
      <c r="H278" t="s">
        <v>33</v>
      </c>
      <c r="K278" t="s">
        <v>34</v>
      </c>
      <c r="L278" t="s">
        <v>35</v>
      </c>
      <c r="M278" t="s">
        <v>36</v>
      </c>
      <c r="Q278" t="s">
        <v>37</v>
      </c>
      <c r="R278" t="s">
        <v>130</v>
      </c>
      <c r="S278" t="s">
        <v>39</v>
      </c>
      <c r="T278" t="s">
        <v>61</v>
      </c>
      <c r="U278" t="s">
        <v>41</v>
      </c>
      <c r="V278" s="9" t="str">
        <f>HYPERLINK("https://app.ntsb.gov/pdfgenerator/ReportGeneratorFile.ashx?EventID=20160419X94234&amp;AKey=1&amp;Rtype=Final&amp;IType=LA","PDF Report")</f>
        <v>PDF Report</v>
      </c>
    </row>
    <row r="279" spans="1:22" x14ac:dyDescent="0.25">
      <c r="A279" t="s">
        <v>1224</v>
      </c>
      <c r="B279">
        <v>1</v>
      </c>
      <c r="C279" s="5">
        <v>42478</v>
      </c>
      <c r="D279" t="s">
        <v>1225</v>
      </c>
      <c r="E279" t="s">
        <v>1226</v>
      </c>
      <c r="F279" t="s">
        <v>1227</v>
      </c>
      <c r="G279" t="s">
        <v>66</v>
      </c>
      <c r="H279" t="s">
        <v>33</v>
      </c>
      <c r="K279" t="s">
        <v>47</v>
      </c>
      <c r="L279" t="s">
        <v>35</v>
      </c>
      <c r="M279" t="s">
        <v>36</v>
      </c>
      <c r="Q279" t="s">
        <v>37</v>
      </c>
      <c r="R279" t="s">
        <v>130</v>
      </c>
      <c r="S279" t="s">
        <v>39</v>
      </c>
      <c r="T279" t="s">
        <v>61</v>
      </c>
      <c r="U279" t="s">
        <v>41</v>
      </c>
      <c r="V279" s="9" t="str">
        <f>HYPERLINK("https://app.ntsb.gov/pdfgenerator/ReportGeneratorFile.ashx?EventID=20160420X30248&amp;AKey=1&amp;Rtype=Final&amp;IType=LA","PDF Report")</f>
        <v>PDF Report</v>
      </c>
    </row>
    <row r="280" spans="1:22" x14ac:dyDescent="0.25">
      <c r="A280" t="s">
        <v>1228</v>
      </c>
      <c r="B280">
        <v>1</v>
      </c>
      <c r="C280" s="5">
        <v>42478</v>
      </c>
      <c r="D280" t="s">
        <v>1229</v>
      </c>
      <c r="E280" t="s">
        <v>1230</v>
      </c>
      <c r="F280" t="s">
        <v>1082</v>
      </c>
      <c r="G280" t="s">
        <v>54</v>
      </c>
      <c r="H280" t="s">
        <v>33</v>
      </c>
      <c r="K280" t="s">
        <v>47</v>
      </c>
      <c r="L280" t="s">
        <v>35</v>
      </c>
      <c r="M280" t="s">
        <v>36</v>
      </c>
      <c r="Q280" t="s">
        <v>37</v>
      </c>
      <c r="R280" t="s">
        <v>38</v>
      </c>
      <c r="S280" t="s">
        <v>131</v>
      </c>
      <c r="T280" t="s">
        <v>73</v>
      </c>
      <c r="U280" t="s">
        <v>41</v>
      </c>
      <c r="V280" s="9" t="str">
        <f>HYPERLINK("https://app.ntsb.gov/pdfgenerator/ReportGeneratorFile.ashx?EventID=20160420X73811&amp;AKey=1&amp;Rtype=Final&amp;IType=CA","PDF Report")</f>
        <v>PDF Report</v>
      </c>
    </row>
    <row r="281" spans="1:22" x14ac:dyDescent="0.25">
      <c r="A281" t="s">
        <v>1231</v>
      </c>
      <c r="B281">
        <v>1</v>
      </c>
      <c r="C281" s="5">
        <v>42478</v>
      </c>
      <c r="D281" t="s">
        <v>1232</v>
      </c>
      <c r="E281" t="s">
        <v>1233</v>
      </c>
      <c r="F281" t="s">
        <v>1082</v>
      </c>
      <c r="G281" t="s">
        <v>54</v>
      </c>
      <c r="H281" t="s">
        <v>33</v>
      </c>
      <c r="K281" t="s">
        <v>34</v>
      </c>
      <c r="L281" t="s">
        <v>35</v>
      </c>
      <c r="M281" t="s">
        <v>36</v>
      </c>
      <c r="Q281" t="s">
        <v>37</v>
      </c>
      <c r="R281" t="s">
        <v>38</v>
      </c>
      <c r="S281" t="s">
        <v>84</v>
      </c>
      <c r="T281" t="s">
        <v>73</v>
      </c>
      <c r="U281" t="s">
        <v>41</v>
      </c>
      <c r="V281" s="9" t="str">
        <f>HYPERLINK("https://app.ntsb.gov/pdfgenerator/ReportGeneratorFile.ashx?EventID=20160426X55130&amp;AKey=1&amp;Rtype=Final&amp;IType=CA","PDF Report")</f>
        <v>PDF Report</v>
      </c>
    </row>
    <row r="282" spans="1:22" x14ac:dyDescent="0.25">
      <c r="A282" t="s">
        <v>1234</v>
      </c>
      <c r="B282">
        <v>1</v>
      </c>
      <c r="C282" s="5">
        <v>42479</v>
      </c>
      <c r="D282" t="s">
        <v>1235</v>
      </c>
      <c r="E282" t="s">
        <v>1236</v>
      </c>
      <c r="F282" t="s">
        <v>1237</v>
      </c>
      <c r="G282" t="s">
        <v>883</v>
      </c>
      <c r="H282" t="s">
        <v>33</v>
      </c>
      <c r="I282">
        <v>2</v>
      </c>
      <c r="K282" t="s">
        <v>90</v>
      </c>
      <c r="L282" t="s">
        <v>35</v>
      </c>
      <c r="M282" t="s">
        <v>36</v>
      </c>
      <c r="Q282" t="s">
        <v>37</v>
      </c>
      <c r="R282" t="s">
        <v>38</v>
      </c>
      <c r="S282" t="s">
        <v>48</v>
      </c>
      <c r="T282" t="s">
        <v>79</v>
      </c>
      <c r="U282" t="s">
        <v>41</v>
      </c>
      <c r="V282" s="9" t="str">
        <f>HYPERLINK("https://app.ntsb.gov/pdfgenerator/ReportGeneratorFile.ashx?EventID=20160419X41829&amp;AKey=1&amp;Rtype=Final&amp;IType=FA","PDF Report")</f>
        <v>PDF Report</v>
      </c>
    </row>
    <row r="283" spans="1:22" x14ac:dyDescent="0.25">
      <c r="A283" t="s">
        <v>1238</v>
      </c>
      <c r="B283">
        <v>1</v>
      </c>
      <c r="C283" s="5">
        <v>42479</v>
      </c>
      <c r="D283" t="s">
        <v>1239</v>
      </c>
      <c r="E283" t="s">
        <v>1240</v>
      </c>
      <c r="F283" t="s">
        <v>1241</v>
      </c>
      <c r="G283" t="s">
        <v>468</v>
      </c>
      <c r="H283" t="s">
        <v>33</v>
      </c>
      <c r="K283" t="s">
        <v>34</v>
      </c>
      <c r="L283" t="s">
        <v>35</v>
      </c>
      <c r="M283" t="s">
        <v>36</v>
      </c>
      <c r="Q283" t="s">
        <v>37</v>
      </c>
      <c r="R283" t="s">
        <v>38</v>
      </c>
      <c r="S283" t="s">
        <v>39</v>
      </c>
      <c r="T283" t="s">
        <v>61</v>
      </c>
      <c r="U283" t="s">
        <v>41</v>
      </c>
      <c r="V283" s="9" t="str">
        <f>HYPERLINK("https://app.ntsb.gov/pdfgenerator/ReportGeneratorFile.ashx?EventID=20160420X04704&amp;AKey=1&amp;Rtype=Final&amp;IType=LA","PDF Report")</f>
        <v>PDF Report</v>
      </c>
    </row>
    <row r="284" spans="1:22" x14ac:dyDescent="0.25">
      <c r="A284" t="s">
        <v>1242</v>
      </c>
      <c r="B284">
        <v>1</v>
      </c>
      <c r="C284" s="5">
        <v>42479</v>
      </c>
      <c r="D284" t="s">
        <v>1243</v>
      </c>
      <c r="E284" t="s">
        <v>1244</v>
      </c>
      <c r="F284" t="s">
        <v>1245</v>
      </c>
      <c r="G284" t="s">
        <v>169</v>
      </c>
      <c r="H284" t="s">
        <v>33</v>
      </c>
      <c r="I284">
        <v>2</v>
      </c>
      <c r="K284" t="s">
        <v>90</v>
      </c>
      <c r="L284" t="s">
        <v>110</v>
      </c>
      <c r="M284" t="s">
        <v>473</v>
      </c>
      <c r="Q284" t="s">
        <v>37</v>
      </c>
      <c r="R284" t="s">
        <v>474</v>
      </c>
      <c r="S284" t="s">
        <v>48</v>
      </c>
      <c r="T284" t="s">
        <v>79</v>
      </c>
      <c r="U284" t="s">
        <v>41</v>
      </c>
      <c r="V284" s="9" t="str">
        <f>HYPERLINK("https://app.ntsb.gov/pdfgenerator/ReportGeneratorFile.ashx?EventID=20160420X12955&amp;AKey=1&amp;Rtype=Final&amp;IType=FA","PDF Report")</f>
        <v>PDF Report</v>
      </c>
    </row>
    <row r="285" spans="1:22" x14ac:dyDescent="0.25">
      <c r="A285" t="s">
        <v>1246</v>
      </c>
      <c r="B285">
        <v>1</v>
      </c>
      <c r="C285" s="5">
        <v>42480</v>
      </c>
      <c r="D285" t="s">
        <v>1247</v>
      </c>
      <c r="E285" t="s">
        <v>1248</v>
      </c>
      <c r="F285" t="s">
        <v>1249</v>
      </c>
      <c r="G285" t="s">
        <v>468</v>
      </c>
      <c r="H285" t="s">
        <v>33</v>
      </c>
      <c r="K285" t="s">
        <v>34</v>
      </c>
      <c r="L285" t="s">
        <v>35</v>
      </c>
      <c r="M285" t="s">
        <v>36</v>
      </c>
      <c r="Q285" t="s">
        <v>185</v>
      </c>
      <c r="R285" t="s">
        <v>130</v>
      </c>
      <c r="S285" t="s">
        <v>39</v>
      </c>
      <c r="T285" t="s">
        <v>958</v>
      </c>
      <c r="U285" t="s">
        <v>41</v>
      </c>
      <c r="V285" s="9" t="str">
        <f>HYPERLINK("https://app.ntsb.gov/pdfgenerator/ReportGeneratorFile.ashx?EventID=20160420X52442&amp;AKey=1&amp;Rtype=Final&amp;IType=LA","PDF Report")</f>
        <v>PDF Report</v>
      </c>
    </row>
    <row r="286" spans="1:22" x14ac:dyDescent="0.25">
      <c r="A286" t="s">
        <v>1250</v>
      </c>
      <c r="B286">
        <v>1</v>
      </c>
      <c r="C286" s="5">
        <v>42480</v>
      </c>
      <c r="D286" t="s">
        <v>1251</v>
      </c>
      <c r="E286" t="s">
        <v>1252</v>
      </c>
      <c r="F286" t="s">
        <v>1253</v>
      </c>
      <c r="G286" t="s">
        <v>54</v>
      </c>
      <c r="H286" t="s">
        <v>33</v>
      </c>
      <c r="I286">
        <v>4</v>
      </c>
      <c r="K286" t="s">
        <v>90</v>
      </c>
      <c r="L286" t="s">
        <v>35</v>
      </c>
      <c r="M286" t="s">
        <v>36</v>
      </c>
      <c r="Q286" t="s">
        <v>37</v>
      </c>
      <c r="R286" t="s">
        <v>186</v>
      </c>
      <c r="S286" t="s">
        <v>171</v>
      </c>
      <c r="T286" t="s">
        <v>40</v>
      </c>
      <c r="U286" t="s">
        <v>41</v>
      </c>
      <c r="V286" s="9" t="str">
        <f>HYPERLINK("https://app.ntsb.gov/pdfgenerator/ReportGeneratorFile.ashx?EventID=20160421X93349&amp;AKey=1&amp;Rtype=Final&amp;IType=FA","PDF Report")</f>
        <v>PDF Report</v>
      </c>
    </row>
    <row r="287" spans="1:22" x14ac:dyDescent="0.25">
      <c r="A287" t="s">
        <v>1254</v>
      </c>
      <c r="B287">
        <v>1</v>
      </c>
      <c r="C287" s="5">
        <v>42480</v>
      </c>
      <c r="D287" t="s">
        <v>1255</v>
      </c>
      <c r="E287" t="s">
        <v>1256</v>
      </c>
      <c r="F287" t="s">
        <v>1257</v>
      </c>
      <c r="G287" t="s">
        <v>66</v>
      </c>
      <c r="H287" t="s">
        <v>33</v>
      </c>
      <c r="K287" t="s">
        <v>34</v>
      </c>
      <c r="L287" t="s">
        <v>35</v>
      </c>
      <c r="M287" t="s">
        <v>36</v>
      </c>
      <c r="Q287" t="s">
        <v>37</v>
      </c>
      <c r="R287" t="s">
        <v>130</v>
      </c>
      <c r="S287" t="s">
        <v>84</v>
      </c>
      <c r="T287" t="s">
        <v>73</v>
      </c>
      <c r="U287" t="s">
        <v>41</v>
      </c>
      <c r="V287" s="9" t="str">
        <f>HYPERLINK("https://app.ntsb.gov/pdfgenerator/ReportGeneratorFile.ashx?EventID=20160425X34751&amp;AKey=1&amp;Rtype=Final&amp;IType=CA","PDF Report")</f>
        <v>PDF Report</v>
      </c>
    </row>
    <row r="288" spans="1:22" x14ac:dyDescent="0.25">
      <c r="A288" t="s">
        <v>1258</v>
      </c>
      <c r="B288">
        <v>1</v>
      </c>
      <c r="C288" s="5">
        <v>42480</v>
      </c>
      <c r="D288" t="s">
        <v>1259</v>
      </c>
      <c r="E288" t="s">
        <v>1260</v>
      </c>
      <c r="F288" t="s">
        <v>1261</v>
      </c>
      <c r="G288" t="s">
        <v>883</v>
      </c>
      <c r="H288" t="s">
        <v>33</v>
      </c>
      <c r="K288" t="s">
        <v>34</v>
      </c>
      <c r="L288" t="s">
        <v>35</v>
      </c>
      <c r="M288" t="s">
        <v>36</v>
      </c>
      <c r="Q288" t="s">
        <v>37</v>
      </c>
      <c r="R288" t="s">
        <v>38</v>
      </c>
      <c r="S288" t="s">
        <v>131</v>
      </c>
      <c r="T288" t="s">
        <v>73</v>
      </c>
      <c r="U288" t="s">
        <v>41</v>
      </c>
      <c r="V288" s="9" t="str">
        <f>HYPERLINK("https://app.ntsb.gov/pdfgenerator/ReportGeneratorFile.ashx?EventID=20160523X33429&amp;AKey=1&amp;Rtype=Final&amp;IType=CA","PDF Report")</f>
        <v>PDF Report</v>
      </c>
    </row>
    <row r="289" spans="1:22" x14ac:dyDescent="0.25">
      <c r="A289" t="s">
        <v>1262</v>
      </c>
      <c r="B289">
        <v>1</v>
      </c>
      <c r="C289" s="5">
        <v>42481</v>
      </c>
      <c r="D289" t="s">
        <v>1263</v>
      </c>
      <c r="E289" t="s">
        <v>1264</v>
      </c>
      <c r="F289" t="s">
        <v>1265</v>
      </c>
      <c r="G289" t="s">
        <v>96</v>
      </c>
      <c r="H289" t="s">
        <v>33</v>
      </c>
      <c r="J289">
        <v>1</v>
      </c>
      <c r="K289" t="s">
        <v>55</v>
      </c>
      <c r="L289" t="s">
        <v>110</v>
      </c>
      <c r="M289" t="s">
        <v>767</v>
      </c>
      <c r="Q289" t="s">
        <v>185</v>
      </c>
      <c r="R289" t="s">
        <v>768</v>
      </c>
      <c r="S289" t="s">
        <v>48</v>
      </c>
      <c r="T289" t="s">
        <v>40</v>
      </c>
      <c r="U289" t="s">
        <v>41</v>
      </c>
      <c r="V289" s="9" t="str">
        <f>HYPERLINK("https://app.ntsb.gov/pdfgenerator/ReportGeneratorFile.ashx?EventID=20160421X11602&amp;AKey=1&amp;Rtype=Final&amp;IType=LA","PDF Report")</f>
        <v>PDF Report</v>
      </c>
    </row>
    <row r="290" spans="1:22" x14ac:dyDescent="0.25">
      <c r="A290" t="s">
        <v>1266</v>
      </c>
      <c r="B290">
        <v>1</v>
      </c>
      <c r="C290" s="5">
        <v>42481</v>
      </c>
      <c r="D290" t="s">
        <v>1267</v>
      </c>
      <c r="E290" t="s">
        <v>1268</v>
      </c>
      <c r="F290" t="s">
        <v>1269</v>
      </c>
      <c r="G290" t="s">
        <v>32</v>
      </c>
      <c r="H290" t="s">
        <v>33</v>
      </c>
      <c r="I290">
        <v>1</v>
      </c>
      <c r="J290">
        <v>2</v>
      </c>
      <c r="K290" t="s">
        <v>90</v>
      </c>
      <c r="L290" t="s">
        <v>35</v>
      </c>
      <c r="M290" t="s">
        <v>36</v>
      </c>
      <c r="Q290" t="s">
        <v>37</v>
      </c>
      <c r="R290" t="s">
        <v>38</v>
      </c>
      <c r="S290" t="s">
        <v>191</v>
      </c>
      <c r="T290" t="s">
        <v>49</v>
      </c>
      <c r="U290" t="s">
        <v>41</v>
      </c>
      <c r="V290" s="9" t="str">
        <f>HYPERLINK("https://app.ntsb.gov/pdfgenerator/ReportGeneratorFile.ashx?EventID=20160421X94028&amp;AKey=1&amp;Rtype=Final&amp;IType=FA","PDF Report")</f>
        <v>PDF Report</v>
      </c>
    </row>
    <row r="291" spans="1:22" x14ac:dyDescent="0.25">
      <c r="A291" t="s">
        <v>1270</v>
      </c>
      <c r="B291">
        <v>1</v>
      </c>
      <c r="C291" s="5">
        <v>42481</v>
      </c>
      <c r="D291" t="s">
        <v>1271</v>
      </c>
      <c r="E291" t="s">
        <v>1272</v>
      </c>
      <c r="F291" t="s">
        <v>1273</v>
      </c>
      <c r="G291" t="s">
        <v>237</v>
      </c>
      <c r="H291" t="s">
        <v>33</v>
      </c>
      <c r="K291" t="s">
        <v>34</v>
      </c>
      <c r="L291" t="s">
        <v>35</v>
      </c>
      <c r="M291" t="s">
        <v>36</v>
      </c>
      <c r="Q291" t="s">
        <v>37</v>
      </c>
      <c r="R291" t="s">
        <v>38</v>
      </c>
      <c r="S291" t="s">
        <v>163</v>
      </c>
      <c r="T291" t="s">
        <v>73</v>
      </c>
      <c r="U291" t="s">
        <v>41</v>
      </c>
      <c r="V291" s="9" t="str">
        <f>HYPERLINK("https://app.ntsb.gov/pdfgenerator/ReportGeneratorFile.ashx?EventID=20160422X14706&amp;AKey=1&amp;Rtype=Final&amp;IType=LA","PDF Report")</f>
        <v>PDF Report</v>
      </c>
    </row>
    <row r="292" spans="1:22" x14ac:dyDescent="0.25">
      <c r="A292" t="s">
        <v>1274</v>
      </c>
      <c r="B292">
        <v>1</v>
      </c>
      <c r="C292" s="5">
        <v>42481</v>
      </c>
      <c r="D292" t="s">
        <v>1275</v>
      </c>
      <c r="E292" t="s">
        <v>1276</v>
      </c>
      <c r="F292" t="s">
        <v>1277</v>
      </c>
      <c r="G292" t="s">
        <v>645</v>
      </c>
      <c r="H292" t="s">
        <v>33</v>
      </c>
      <c r="K292" t="s">
        <v>47</v>
      </c>
      <c r="L292" t="s">
        <v>35</v>
      </c>
      <c r="M292" t="s">
        <v>36</v>
      </c>
      <c r="Q292" t="s">
        <v>37</v>
      </c>
      <c r="R292" t="s">
        <v>130</v>
      </c>
      <c r="S292" t="s">
        <v>1278</v>
      </c>
      <c r="T292" t="s">
        <v>79</v>
      </c>
      <c r="U292" t="s">
        <v>41</v>
      </c>
      <c r="V292" s="9" t="str">
        <f>HYPERLINK("https://app.ntsb.gov/pdfgenerator/ReportGeneratorFile.ashx?EventID=20160422X22121&amp;AKey=1&amp;Rtype=Final&amp;IType=LA","PDF Report")</f>
        <v>PDF Report</v>
      </c>
    </row>
    <row r="293" spans="1:22" x14ac:dyDescent="0.25">
      <c r="A293" t="s">
        <v>1279</v>
      </c>
      <c r="B293">
        <v>1</v>
      </c>
      <c r="C293" s="5">
        <v>42481</v>
      </c>
      <c r="D293" t="s">
        <v>1280</v>
      </c>
      <c r="E293" t="s">
        <v>1281</v>
      </c>
      <c r="F293" t="s">
        <v>1282</v>
      </c>
      <c r="G293" t="s">
        <v>237</v>
      </c>
      <c r="H293" t="s">
        <v>33</v>
      </c>
      <c r="K293" t="s">
        <v>47</v>
      </c>
      <c r="L293" t="s">
        <v>35</v>
      </c>
      <c r="M293" t="s">
        <v>36</v>
      </c>
      <c r="Q293" t="s">
        <v>37</v>
      </c>
      <c r="R293" t="s">
        <v>38</v>
      </c>
      <c r="S293" t="s">
        <v>39</v>
      </c>
      <c r="T293" t="s">
        <v>143</v>
      </c>
      <c r="U293" t="s">
        <v>41</v>
      </c>
      <c r="V293" s="9" t="str">
        <f>HYPERLINK("https://app.ntsb.gov/pdfgenerator/ReportGeneratorFile.ashx?EventID=20160425X01007&amp;AKey=1&amp;Rtype=Final&amp;IType=LA","PDF Report")</f>
        <v>PDF Report</v>
      </c>
    </row>
    <row r="294" spans="1:22" x14ac:dyDescent="0.25">
      <c r="A294" t="s">
        <v>1283</v>
      </c>
      <c r="B294">
        <v>1</v>
      </c>
      <c r="C294" s="5">
        <v>42482</v>
      </c>
      <c r="D294" t="s">
        <v>1284</v>
      </c>
      <c r="E294" t="s">
        <v>1285</v>
      </c>
      <c r="F294" t="s">
        <v>1286</v>
      </c>
      <c r="G294" t="s">
        <v>206</v>
      </c>
      <c r="H294" t="s">
        <v>33</v>
      </c>
      <c r="K294" t="s">
        <v>47</v>
      </c>
      <c r="L294" t="s">
        <v>35</v>
      </c>
      <c r="M294" t="s">
        <v>36</v>
      </c>
      <c r="Q294" t="s">
        <v>185</v>
      </c>
      <c r="R294" t="s">
        <v>38</v>
      </c>
      <c r="S294" t="s">
        <v>48</v>
      </c>
      <c r="T294" t="s">
        <v>79</v>
      </c>
      <c r="U294" t="s">
        <v>41</v>
      </c>
      <c r="V294" s="9" t="str">
        <f>HYPERLINK("https://app.ntsb.gov/pdfgenerator/ReportGeneratorFile.ashx?EventID=20160425X71401&amp;AKey=1&amp;Rtype=Final&amp;IType=CA","PDF Report")</f>
        <v>PDF Report</v>
      </c>
    </row>
    <row r="295" spans="1:22" x14ac:dyDescent="0.25">
      <c r="A295" t="s">
        <v>1287</v>
      </c>
      <c r="B295">
        <v>1</v>
      </c>
      <c r="C295" s="5">
        <v>42483</v>
      </c>
      <c r="D295" t="s">
        <v>1288</v>
      </c>
      <c r="E295" t="s">
        <v>1289</v>
      </c>
      <c r="F295" t="s">
        <v>1290</v>
      </c>
      <c r="G295" t="s">
        <v>66</v>
      </c>
      <c r="H295" t="s">
        <v>33</v>
      </c>
      <c r="K295" t="s">
        <v>47</v>
      </c>
      <c r="L295" t="s">
        <v>35</v>
      </c>
      <c r="M295" t="s">
        <v>36</v>
      </c>
      <c r="Q295" t="s">
        <v>37</v>
      </c>
      <c r="R295" t="s">
        <v>38</v>
      </c>
      <c r="S295" t="s">
        <v>131</v>
      </c>
      <c r="T295" t="s">
        <v>49</v>
      </c>
      <c r="U295" t="s">
        <v>41</v>
      </c>
      <c r="V295" s="9" t="str">
        <f>HYPERLINK("https://app.ntsb.gov/pdfgenerator/ReportGeneratorFile.ashx?EventID=20160425X35546&amp;AKey=1&amp;Rtype=Final&amp;IType=CA","PDF Report")</f>
        <v>PDF Report</v>
      </c>
    </row>
    <row r="296" spans="1:22" x14ac:dyDescent="0.25">
      <c r="A296" t="s">
        <v>1291</v>
      </c>
      <c r="B296">
        <v>1</v>
      </c>
      <c r="C296" s="5">
        <v>42483</v>
      </c>
      <c r="D296" t="s">
        <v>1292</v>
      </c>
      <c r="E296" t="s">
        <v>1293</v>
      </c>
      <c r="F296" t="s">
        <v>1294</v>
      </c>
      <c r="G296" t="s">
        <v>401</v>
      </c>
      <c r="H296" t="s">
        <v>33</v>
      </c>
      <c r="K296" t="s">
        <v>47</v>
      </c>
      <c r="L296" t="s">
        <v>35</v>
      </c>
      <c r="M296" t="s">
        <v>36</v>
      </c>
      <c r="Q296" t="s">
        <v>37</v>
      </c>
      <c r="R296" t="s">
        <v>38</v>
      </c>
      <c r="S296" t="s">
        <v>97</v>
      </c>
      <c r="T296" t="s">
        <v>61</v>
      </c>
      <c r="U296" t="s">
        <v>41</v>
      </c>
      <c r="V296" s="9" t="str">
        <f>HYPERLINK("https://app.ntsb.gov/pdfgenerator/ReportGeneratorFile.ashx?EventID=20160425X42642&amp;AKey=1&amp;Rtype=Final&amp;IType=LA","PDF Report")</f>
        <v>PDF Report</v>
      </c>
    </row>
    <row r="297" spans="1:22" x14ac:dyDescent="0.25">
      <c r="A297" t="s">
        <v>1295</v>
      </c>
      <c r="B297">
        <v>1</v>
      </c>
      <c r="C297" s="5">
        <v>42483</v>
      </c>
      <c r="D297" t="s">
        <v>1296</v>
      </c>
      <c r="E297" t="s">
        <v>1297</v>
      </c>
      <c r="F297" t="s">
        <v>1298</v>
      </c>
      <c r="G297" t="s">
        <v>645</v>
      </c>
      <c r="H297" t="s">
        <v>33</v>
      </c>
      <c r="J297">
        <v>1</v>
      </c>
      <c r="K297" t="s">
        <v>55</v>
      </c>
      <c r="L297" t="s">
        <v>35</v>
      </c>
      <c r="M297" t="s">
        <v>36</v>
      </c>
      <c r="Q297" t="s">
        <v>1299</v>
      </c>
      <c r="R297" t="s">
        <v>38</v>
      </c>
      <c r="S297" t="s">
        <v>48</v>
      </c>
      <c r="T297" t="s">
        <v>49</v>
      </c>
      <c r="U297" t="s">
        <v>41</v>
      </c>
      <c r="V297" s="9" t="str">
        <f>HYPERLINK("https://app.ntsb.gov/pdfgenerator/ReportGeneratorFile.ashx?EventID=20160425X55011&amp;AKey=1&amp;Rtype=Final&amp;IType=LA","PDF Report")</f>
        <v>PDF Report</v>
      </c>
    </row>
    <row r="298" spans="1:22" x14ac:dyDescent="0.25">
      <c r="A298" t="s">
        <v>1300</v>
      </c>
      <c r="B298">
        <v>1</v>
      </c>
      <c r="C298" s="5">
        <v>42483</v>
      </c>
      <c r="D298" t="s">
        <v>1301</v>
      </c>
      <c r="E298" t="s">
        <v>1302</v>
      </c>
      <c r="F298" t="s">
        <v>1303</v>
      </c>
      <c r="G298" t="s">
        <v>54</v>
      </c>
      <c r="H298" t="s">
        <v>33</v>
      </c>
      <c r="K298" t="s">
        <v>47</v>
      </c>
      <c r="L298" t="s">
        <v>35</v>
      </c>
      <c r="M298" t="s">
        <v>36</v>
      </c>
      <c r="Q298" t="s">
        <v>37</v>
      </c>
      <c r="R298" t="s">
        <v>38</v>
      </c>
      <c r="S298" t="s">
        <v>131</v>
      </c>
      <c r="T298" t="s">
        <v>73</v>
      </c>
      <c r="U298" t="s">
        <v>41</v>
      </c>
      <c r="V298" s="9" t="str">
        <f>HYPERLINK("https://app.ntsb.gov/pdfgenerator/ReportGeneratorFile.ashx?EventID=20160502X45850&amp;AKey=1&amp;Rtype=Final&amp;IType=CA","PDF Report")</f>
        <v>PDF Report</v>
      </c>
    </row>
    <row r="299" spans="1:22" x14ac:dyDescent="0.25">
      <c r="A299" t="s">
        <v>1304</v>
      </c>
      <c r="B299">
        <v>1</v>
      </c>
      <c r="C299" s="5">
        <v>42483</v>
      </c>
      <c r="D299" t="s">
        <v>1305</v>
      </c>
      <c r="E299" t="s">
        <v>1306</v>
      </c>
      <c r="F299" t="s">
        <v>670</v>
      </c>
      <c r="G299" t="s">
        <v>54</v>
      </c>
      <c r="H299" t="s">
        <v>33</v>
      </c>
      <c r="K299" t="s">
        <v>34</v>
      </c>
      <c r="L299" t="s">
        <v>35</v>
      </c>
      <c r="M299" t="s">
        <v>36</v>
      </c>
      <c r="Q299" t="s">
        <v>37</v>
      </c>
      <c r="R299" t="s">
        <v>38</v>
      </c>
      <c r="S299" t="s">
        <v>39</v>
      </c>
      <c r="T299" t="s">
        <v>49</v>
      </c>
      <c r="U299" t="s">
        <v>41</v>
      </c>
      <c r="V299" s="9" t="str">
        <f>HYPERLINK("https://app.ntsb.gov/pdfgenerator/ReportGeneratorFile.ashx?EventID=20160505X24651&amp;AKey=1&amp;Rtype=Final&amp;IType=LA","PDF Report")</f>
        <v>PDF Report</v>
      </c>
    </row>
    <row r="300" spans="1:22" x14ac:dyDescent="0.25">
      <c r="A300" t="s">
        <v>1307</v>
      </c>
      <c r="B300">
        <v>1</v>
      </c>
      <c r="C300" s="5">
        <v>42483</v>
      </c>
      <c r="D300" t="s">
        <v>1308</v>
      </c>
      <c r="E300" t="s">
        <v>1309</v>
      </c>
      <c r="F300" t="s">
        <v>1176</v>
      </c>
      <c r="G300" t="s">
        <v>180</v>
      </c>
      <c r="H300" t="s">
        <v>33</v>
      </c>
      <c r="K300" t="s">
        <v>34</v>
      </c>
      <c r="L300" t="s">
        <v>35</v>
      </c>
      <c r="M300" t="s">
        <v>36</v>
      </c>
      <c r="Q300" t="s">
        <v>37</v>
      </c>
      <c r="R300" t="s">
        <v>38</v>
      </c>
      <c r="S300" t="s">
        <v>131</v>
      </c>
      <c r="T300" t="s">
        <v>73</v>
      </c>
      <c r="U300" t="s">
        <v>41</v>
      </c>
      <c r="V300" s="9" t="str">
        <f>HYPERLINK("https://app.ntsb.gov/pdfgenerator/ReportGeneratorFile.ashx?EventID=20160505X61804&amp;AKey=1&amp;Rtype=Final&amp;IType=CA","PDF Report")</f>
        <v>PDF Report</v>
      </c>
    </row>
    <row r="301" spans="1:22" x14ac:dyDescent="0.25">
      <c r="A301" t="s">
        <v>1310</v>
      </c>
      <c r="B301">
        <v>1</v>
      </c>
      <c r="C301" s="5">
        <v>42483</v>
      </c>
      <c r="D301" t="s">
        <v>1311</v>
      </c>
      <c r="E301" t="s">
        <v>1312</v>
      </c>
      <c r="F301" t="s">
        <v>1313</v>
      </c>
      <c r="G301" t="s">
        <v>115</v>
      </c>
      <c r="H301" t="s">
        <v>33</v>
      </c>
      <c r="K301" t="s">
        <v>34</v>
      </c>
      <c r="L301" t="s">
        <v>35</v>
      </c>
      <c r="M301" t="s">
        <v>36</v>
      </c>
      <c r="Q301" t="s">
        <v>37</v>
      </c>
      <c r="R301" t="s">
        <v>38</v>
      </c>
      <c r="S301" t="s">
        <v>131</v>
      </c>
      <c r="T301" t="s">
        <v>73</v>
      </c>
      <c r="U301" t="s">
        <v>41</v>
      </c>
      <c r="V301" s="9" t="str">
        <f>HYPERLINK("https://app.ntsb.gov/pdfgenerator/ReportGeneratorFile.ashx?EventID=20160518X24924&amp;AKey=1&amp;Rtype=Final&amp;IType=CA","PDF Report")</f>
        <v>PDF Report</v>
      </c>
    </row>
    <row r="302" spans="1:22" x14ac:dyDescent="0.25">
      <c r="A302" t="s">
        <v>1314</v>
      </c>
      <c r="B302">
        <v>1</v>
      </c>
      <c r="C302" s="5">
        <v>42484</v>
      </c>
      <c r="D302" t="s">
        <v>1315</v>
      </c>
      <c r="E302" t="s">
        <v>1316</v>
      </c>
      <c r="F302" t="s">
        <v>1317</v>
      </c>
      <c r="G302" t="s">
        <v>789</v>
      </c>
      <c r="H302" t="s">
        <v>33</v>
      </c>
      <c r="I302">
        <v>1</v>
      </c>
      <c r="K302" t="s">
        <v>90</v>
      </c>
      <c r="L302" t="s">
        <v>110</v>
      </c>
      <c r="M302" t="s">
        <v>36</v>
      </c>
      <c r="Q302" t="s">
        <v>37</v>
      </c>
      <c r="R302" t="s">
        <v>38</v>
      </c>
      <c r="S302" t="s">
        <v>48</v>
      </c>
      <c r="T302" t="s">
        <v>79</v>
      </c>
      <c r="U302" t="s">
        <v>41</v>
      </c>
      <c r="V302" s="9" t="str">
        <f>HYPERLINK("https://app.ntsb.gov/pdfgenerator/ReportGeneratorFile.ashx?EventID=20160424X92047&amp;AKey=1&amp;Rtype=Final&amp;IType=FA","PDF Report")</f>
        <v>PDF Report</v>
      </c>
    </row>
    <row r="303" spans="1:22" x14ac:dyDescent="0.25">
      <c r="A303" t="s">
        <v>1318</v>
      </c>
      <c r="B303">
        <v>1</v>
      </c>
      <c r="C303" s="5">
        <v>42484</v>
      </c>
      <c r="D303" t="s">
        <v>1319</v>
      </c>
      <c r="E303" t="s">
        <v>1320</v>
      </c>
      <c r="F303" t="s">
        <v>1321</v>
      </c>
      <c r="G303" t="s">
        <v>66</v>
      </c>
      <c r="H303" t="s">
        <v>33</v>
      </c>
      <c r="K303" t="s">
        <v>34</v>
      </c>
      <c r="L303" t="s">
        <v>35</v>
      </c>
      <c r="M303" t="s">
        <v>36</v>
      </c>
      <c r="Q303" t="s">
        <v>874</v>
      </c>
      <c r="R303" t="s">
        <v>38</v>
      </c>
      <c r="S303" t="s">
        <v>39</v>
      </c>
      <c r="T303" t="s">
        <v>79</v>
      </c>
      <c r="U303" t="s">
        <v>41</v>
      </c>
      <c r="V303" s="9" t="str">
        <f>HYPERLINK("https://app.ntsb.gov/pdfgenerator/ReportGeneratorFile.ashx?EventID=20160425X12027&amp;AKey=1&amp;Rtype=Final&amp;IType=LA","PDF Report")</f>
        <v>PDF Report</v>
      </c>
    </row>
    <row r="304" spans="1:22" x14ac:dyDescent="0.25">
      <c r="A304" t="s">
        <v>1322</v>
      </c>
      <c r="B304">
        <v>1</v>
      </c>
      <c r="C304" s="5">
        <v>42484</v>
      </c>
      <c r="D304" t="s">
        <v>1323</v>
      </c>
      <c r="E304" t="s">
        <v>1324</v>
      </c>
      <c r="F304" t="s">
        <v>1325</v>
      </c>
      <c r="G304" t="s">
        <v>96</v>
      </c>
      <c r="H304" t="s">
        <v>33</v>
      </c>
      <c r="K304" t="s">
        <v>34</v>
      </c>
      <c r="L304" t="s">
        <v>35</v>
      </c>
      <c r="M304" t="s">
        <v>36</v>
      </c>
      <c r="Q304" t="s">
        <v>37</v>
      </c>
      <c r="R304" t="s">
        <v>38</v>
      </c>
      <c r="S304" t="s">
        <v>48</v>
      </c>
      <c r="T304" t="s">
        <v>49</v>
      </c>
      <c r="U304" t="s">
        <v>41</v>
      </c>
      <c r="V304" s="9" t="str">
        <f>HYPERLINK("https://app.ntsb.gov/pdfgenerator/ReportGeneratorFile.ashx?EventID=20160425X51140&amp;AKey=1&amp;Rtype=Final&amp;IType=CA","PDF Report")</f>
        <v>PDF Report</v>
      </c>
    </row>
    <row r="305" spans="1:22" x14ac:dyDescent="0.25">
      <c r="A305" t="s">
        <v>1326</v>
      </c>
      <c r="B305">
        <v>1</v>
      </c>
      <c r="C305" s="5">
        <v>42484</v>
      </c>
      <c r="D305" t="s">
        <v>1327</v>
      </c>
      <c r="E305" t="s">
        <v>1328</v>
      </c>
      <c r="F305" t="s">
        <v>1329</v>
      </c>
      <c r="G305" t="s">
        <v>287</v>
      </c>
      <c r="H305" t="s">
        <v>33</v>
      </c>
      <c r="K305" t="s">
        <v>47</v>
      </c>
      <c r="L305" t="s">
        <v>35</v>
      </c>
      <c r="M305" t="s">
        <v>36</v>
      </c>
      <c r="Q305" t="s">
        <v>874</v>
      </c>
      <c r="R305" t="s">
        <v>38</v>
      </c>
      <c r="S305" t="s">
        <v>1330</v>
      </c>
      <c r="T305" t="s">
        <v>40</v>
      </c>
      <c r="U305" t="s">
        <v>41</v>
      </c>
      <c r="V305" s="9" t="str">
        <f>HYPERLINK("https://app.ntsb.gov/pdfgenerator/ReportGeneratorFile.ashx?EventID=20160426X70224&amp;AKey=1&amp;Rtype=Final&amp;IType=CA","PDF Report")</f>
        <v>PDF Report</v>
      </c>
    </row>
    <row r="306" spans="1:22" x14ac:dyDescent="0.25">
      <c r="A306" t="s">
        <v>1331</v>
      </c>
      <c r="B306">
        <v>1</v>
      </c>
      <c r="C306" s="5">
        <v>42484</v>
      </c>
      <c r="D306" t="s">
        <v>1332</v>
      </c>
      <c r="E306" t="s">
        <v>1333</v>
      </c>
      <c r="F306" t="s">
        <v>1334</v>
      </c>
      <c r="G306" t="s">
        <v>312</v>
      </c>
      <c r="H306" t="s">
        <v>33</v>
      </c>
      <c r="I306">
        <v>1</v>
      </c>
      <c r="K306" t="s">
        <v>90</v>
      </c>
      <c r="L306" t="s">
        <v>35</v>
      </c>
      <c r="M306" t="s">
        <v>36</v>
      </c>
      <c r="Q306" t="s">
        <v>37</v>
      </c>
      <c r="R306" t="s">
        <v>38</v>
      </c>
      <c r="S306" t="s">
        <v>243</v>
      </c>
      <c r="T306" t="s">
        <v>40</v>
      </c>
      <c r="U306" t="s">
        <v>41</v>
      </c>
      <c r="V306" s="9" t="str">
        <f>HYPERLINK("https://app.ntsb.gov/pdfgenerator/ReportGeneratorFile.ashx?EventID=20160429X25500&amp;AKey=1&amp;Rtype=Final&amp;IType=FA","PDF Report")</f>
        <v>PDF Report</v>
      </c>
    </row>
    <row r="307" spans="1:22" x14ac:dyDescent="0.25">
      <c r="A307" t="s">
        <v>1335</v>
      </c>
      <c r="B307">
        <v>1</v>
      </c>
      <c r="C307" s="5">
        <v>42484</v>
      </c>
      <c r="D307" t="s">
        <v>1336</v>
      </c>
      <c r="E307" t="s">
        <v>1337</v>
      </c>
      <c r="F307" t="s">
        <v>1338</v>
      </c>
      <c r="G307" t="s">
        <v>102</v>
      </c>
      <c r="H307" t="s">
        <v>33</v>
      </c>
      <c r="K307" t="s">
        <v>34</v>
      </c>
      <c r="L307" t="s">
        <v>35</v>
      </c>
      <c r="M307" t="s">
        <v>36</v>
      </c>
      <c r="Q307" t="s">
        <v>37</v>
      </c>
      <c r="R307" t="s">
        <v>38</v>
      </c>
      <c r="S307" t="s">
        <v>84</v>
      </c>
      <c r="T307" t="s">
        <v>73</v>
      </c>
      <c r="U307" t="s">
        <v>41</v>
      </c>
      <c r="V307" s="9" t="str">
        <f>HYPERLINK("https://app.ntsb.gov/pdfgenerator/ReportGeneratorFile.ashx?EventID=20160512X33714&amp;AKey=1&amp;Rtype=Final&amp;IType=LA","PDF Report")</f>
        <v>PDF Report</v>
      </c>
    </row>
    <row r="308" spans="1:22" x14ac:dyDescent="0.25">
      <c r="A308" t="s">
        <v>1339</v>
      </c>
      <c r="B308">
        <v>1</v>
      </c>
      <c r="C308" s="5">
        <v>42485</v>
      </c>
      <c r="D308" t="s">
        <v>1340</v>
      </c>
      <c r="E308" t="s">
        <v>1341</v>
      </c>
      <c r="F308" t="s">
        <v>1342</v>
      </c>
      <c r="G308" t="s">
        <v>102</v>
      </c>
      <c r="H308" t="s">
        <v>33</v>
      </c>
      <c r="I308">
        <v>1</v>
      </c>
      <c r="J308">
        <v>2</v>
      </c>
      <c r="K308" t="s">
        <v>90</v>
      </c>
      <c r="L308" t="s">
        <v>110</v>
      </c>
      <c r="M308" t="s">
        <v>36</v>
      </c>
      <c r="Q308" t="s">
        <v>37</v>
      </c>
      <c r="R308" t="s">
        <v>38</v>
      </c>
      <c r="S308" t="s">
        <v>48</v>
      </c>
      <c r="T308" t="s">
        <v>143</v>
      </c>
      <c r="U308" t="s">
        <v>41</v>
      </c>
      <c r="V308" s="9" t="str">
        <f>HYPERLINK("https://app.ntsb.gov/pdfgenerator/ReportGeneratorFile.ashx?EventID=20160425X45203&amp;AKey=1&amp;Rtype=Final&amp;IType=FA","PDF Report")</f>
        <v>PDF Report</v>
      </c>
    </row>
    <row r="309" spans="1:22" x14ac:dyDescent="0.25">
      <c r="A309" t="s">
        <v>1343</v>
      </c>
      <c r="B309">
        <v>1</v>
      </c>
      <c r="C309" s="5">
        <v>42485</v>
      </c>
      <c r="D309" t="s">
        <v>1344</v>
      </c>
      <c r="E309" t="s">
        <v>1345</v>
      </c>
      <c r="F309" t="s">
        <v>1346</v>
      </c>
      <c r="G309" t="s">
        <v>115</v>
      </c>
      <c r="H309" t="s">
        <v>33</v>
      </c>
      <c r="J309">
        <v>3</v>
      </c>
      <c r="K309" t="s">
        <v>55</v>
      </c>
      <c r="L309" t="s">
        <v>110</v>
      </c>
      <c r="M309" t="s">
        <v>36</v>
      </c>
      <c r="Q309" t="s">
        <v>37</v>
      </c>
      <c r="R309" t="s">
        <v>130</v>
      </c>
      <c r="S309" t="s">
        <v>48</v>
      </c>
      <c r="T309" t="s">
        <v>143</v>
      </c>
      <c r="U309" t="s">
        <v>41</v>
      </c>
      <c r="V309" s="9" t="str">
        <f>HYPERLINK("https://app.ntsb.gov/pdfgenerator/ReportGeneratorFile.ashx?EventID=20160425X54913&amp;AKey=1&amp;Rtype=Final&amp;IType=FA","PDF Report")</f>
        <v>PDF Report</v>
      </c>
    </row>
    <row r="310" spans="1:22" x14ac:dyDescent="0.25">
      <c r="A310" t="s">
        <v>1347</v>
      </c>
      <c r="B310">
        <v>1</v>
      </c>
      <c r="C310" s="5">
        <v>42485</v>
      </c>
      <c r="D310" t="s">
        <v>1348</v>
      </c>
      <c r="E310" t="s">
        <v>1349</v>
      </c>
      <c r="F310" t="s">
        <v>227</v>
      </c>
      <c r="G310" t="s">
        <v>264</v>
      </c>
      <c r="H310" t="s">
        <v>33</v>
      </c>
      <c r="K310" t="s">
        <v>34</v>
      </c>
      <c r="L310" t="s">
        <v>35</v>
      </c>
      <c r="M310" t="s">
        <v>767</v>
      </c>
      <c r="Q310" t="s">
        <v>37</v>
      </c>
      <c r="R310" t="s">
        <v>768</v>
      </c>
      <c r="S310" t="s">
        <v>131</v>
      </c>
      <c r="T310" t="s">
        <v>73</v>
      </c>
      <c r="U310" t="s">
        <v>41</v>
      </c>
      <c r="V310" s="9" t="str">
        <f>HYPERLINK("https://app.ntsb.gov/pdfgenerator/ReportGeneratorFile.ashx?EventID=20160425X65928&amp;AKey=1&amp;Rtype=Final&amp;IType=CA","PDF Report")</f>
        <v>PDF Report</v>
      </c>
    </row>
    <row r="311" spans="1:22" x14ac:dyDescent="0.25">
      <c r="A311" t="s">
        <v>1350</v>
      </c>
      <c r="B311">
        <v>1</v>
      </c>
      <c r="C311" s="5">
        <v>42485</v>
      </c>
      <c r="D311" t="s">
        <v>1351</v>
      </c>
      <c r="E311" t="s">
        <v>1352</v>
      </c>
      <c r="F311" t="s">
        <v>1353</v>
      </c>
      <c r="G311" t="s">
        <v>96</v>
      </c>
      <c r="H311" t="s">
        <v>33</v>
      </c>
      <c r="K311" t="s">
        <v>34</v>
      </c>
      <c r="L311" t="s">
        <v>35</v>
      </c>
      <c r="M311" t="s">
        <v>56</v>
      </c>
      <c r="N311" t="s">
        <v>57</v>
      </c>
      <c r="O311" t="s">
        <v>58</v>
      </c>
      <c r="P311" t="s">
        <v>162</v>
      </c>
      <c r="Q311" t="s">
        <v>185</v>
      </c>
      <c r="S311" t="s">
        <v>48</v>
      </c>
      <c r="T311" t="s">
        <v>49</v>
      </c>
      <c r="U311" t="s">
        <v>41</v>
      </c>
      <c r="V311" s="9" t="str">
        <f>HYPERLINK("https://app.ntsb.gov/pdfgenerator/ReportGeneratorFile.ashx?EventID=20160426X20123&amp;AKey=1&amp;Rtype=Final&amp;IType=LA","PDF Report")</f>
        <v>PDF Report</v>
      </c>
    </row>
    <row r="312" spans="1:22" x14ac:dyDescent="0.25">
      <c r="A312" t="s">
        <v>1354</v>
      </c>
      <c r="B312">
        <v>1</v>
      </c>
      <c r="C312" s="5">
        <v>42485</v>
      </c>
      <c r="D312" t="s">
        <v>1355</v>
      </c>
      <c r="E312" t="s">
        <v>1356</v>
      </c>
      <c r="F312" t="s">
        <v>1357</v>
      </c>
      <c r="G312" t="s">
        <v>348</v>
      </c>
      <c r="H312" t="s">
        <v>33</v>
      </c>
      <c r="K312" t="s">
        <v>47</v>
      </c>
      <c r="L312" t="s">
        <v>35</v>
      </c>
      <c r="M312" t="s">
        <v>36</v>
      </c>
      <c r="Q312" t="s">
        <v>37</v>
      </c>
      <c r="R312" t="s">
        <v>38</v>
      </c>
      <c r="S312" t="s">
        <v>131</v>
      </c>
      <c r="T312" t="s">
        <v>73</v>
      </c>
      <c r="U312" t="s">
        <v>41</v>
      </c>
      <c r="V312" s="9" t="str">
        <f>HYPERLINK("https://app.ntsb.gov/pdfgenerator/ReportGeneratorFile.ashx?EventID=20160426X54214&amp;AKey=1&amp;Rtype=Final&amp;IType=CA","PDF Report")</f>
        <v>PDF Report</v>
      </c>
    </row>
    <row r="313" spans="1:22" x14ac:dyDescent="0.25">
      <c r="A313" t="s">
        <v>1358</v>
      </c>
      <c r="B313">
        <v>1</v>
      </c>
      <c r="C313" s="5">
        <v>42486</v>
      </c>
      <c r="D313" t="s">
        <v>1359</v>
      </c>
      <c r="E313" t="s">
        <v>1360</v>
      </c>
      <c r="F313" t="s">
        <v>1361</v>
      </c>
      <c r="G313" t="s">
        <v>180</v>
      </c>
      <c r="H313" t="s">
        <v>33</v>
      </c>
      <c r="K313" t="s">
        <v>47</v>
      </c>
      <c r="L313" t="s">
        <v>110</v>
      </c>
      <c r="M313" t="s">
        <v>36</v>
      </c>
      <c r="Q313" t="s">
        <v>37</v>
      </c>
      <c r="R313" t="s">
        <v>38</v>
      </c>
      <c r="S313" t="s">
        <v>1330</v>
      </c>
      <c r="T313" t="s">
        <v>49</v>
      </c>
      <c r="U313" t="s">
        <v>41</v>
      </c>
      <c r="V313" s="9" t="str">
        <f>HYPERLINK("https://app.ntsb.gov/pdfgenerator/ReportGeneratorFile.ashx?EventID=20160427X81659&amp;AKey=1&amp;Rtype=Final&amp;IType=LA","PDF Report")</f>
        <v>PDF Report</v>
      </c>
    </row>
    <row r="314" spans="1:22" x14ac:dyDescent="0.25">
      <c r="A314" t="s">
        <v>1362</v>
      </c>
      <c r="B314">
        <v>1</v>
      </c>
      <c r="C314" s="5">
        <v>42486</v>
      </c>
      <c r="D314" t="s">
        <v>1363</v>
      </c>
      <c r="E314" t="s">
        <v>1364</v>
      </c>
      <c r="F314" t="s">
        <v>1365</v>
      </c>
      <c r="G314" t="s">
        <v>597</v>
      </c>
      <c r="H314" t="s">
        <v>1366</v>
      </c>
      <c r="K314" t="s">
        <v>34</v>
      </c>
      <c r="L314" t="s">
        <v>35</v>
      </c>
      <c r="M314" t="s">
        <v>599</v>
      </c>
      <c r="Q314" t="s">
        <v>37</v>
      </c>
      <c r="S314" t="s">
        <v>196</v>
      </c>
      <c r="T314" t="s">
        <v>61</v>
      </c>
      <c r="U314" t="s">
        <v>41</v>
      </c>
      <c r="V314" s="9" t="str">
        <f>HYPERLINK("https://app.ntsb.gov/pdfgenerator/ReportGeneratorFile.ashx?EventID=20160512X10814&amp;AKey=1&amp;Rtype=Final&amp;IType=WA","PDF Report")</f>
        <v>PDF Report</v>
      </c>
    </row>
    <row r="315" spans="1:22" x14ac:dyDescent="0.25">
      <c r="A315" t="s">
        <v>1367</v>
      </c>
      <c r="B315">
        <v>1</v>
      </c>
      <c r="C315" s="5">
        <v>42486</v>
      </c>
      <c r="D315" t="s">
        <v>1368</v>
      </c>
      <c r="E315" t="s">
        <v>1369</v>
      </c>
      <c r="F315" t="s">
        <v>1370</v>
      </c>
      <c r="G315" t="s">
        <v>468</v>
      </c>
      <c r="H315" t="s">
        <v>33</v>
      </c>
      <c r="K315" t="s">
        <v>34</v>
      </c>
      <c r="L315" t="s">
        <v>35</v>
      </c>
      <c r="M315" t="s">
        <v>56</v>
      </c>
      <c r="N315" t="s">
        <v>57</v>
      </c>
      <c r="O315" t="s">
        <v>58</v>
      </c>
      <c r="P315" t="s">
        <v>162</v>
      </c>
      <c r="Q315" t="s">
        <v>185</v>
      </c>
      <c r="S315" t="s">
        <v>191</v>
      </c>
      <c r="T315" t="s">
        <v>61</v>
      </c>
      <c r="U315" t="s">
        <v>41</v>
      </c>
      <c r="V315" s="9" t="str">
        <f>HYPERLINK("https://app.ntsb.gov/pdfgenerator/ReportGeneratorFile.ashx?EventID=20160723X95223&amp;AKey=1&amp;Rtype=Final&amp;IType=LA","PDF Report")</f>
        <v>PDF Report</v>
      </c>
    </row>
    <row r="316" spans="1:22" x14ac:dyDescent="0.25">
      <c r="A316" t="s">
        <v>1371</v>
      </c>
      <c r="B316">
        <v>1</v>
      </c>
      <c r="C316" s="5">
        <v>42487</v>
      </c>
      <c r="D316" t="s">
        <v>341</v>
      </c>
      <c r="E316" t="s">
        <v>1372</v>
      </c>
      <c r="F316" t="s">
        <v>343</v>
      </c>
      <c r="G316" t="s">
        <v>237</v>
      </c>
      <c r="H316" t="s">
        <v>33</v>
      </c>
      <c r="K316" t="s">
        <v>34</v>
      </c>
      <c r="L316" t="s">
        <v>35</v>
      </c>
      <c r="M316" t="s">
        <v>36</v>
      </c>
      <c r="Q316" t="s">
        <v>37</v>
      </c>
      <c r="R316" t="s">
        <v>130</v>
      </c>
      <c r="S316" t="s">
        <v>84</v>
      </c>
      <c r="T316" t="s">
        <v>73</v>
      </c>
      <c r="U316" t="s">
        <v>41</v>
      </c>
      <c r="V316" s="9" t="str">
        <f>HYPERLINK("https://app.ntsb.gov/pdfgenerator/ReportGeneratorFile.ashx?EventID=20160502X22358&amp;AKey=1&amp;Rtype=Final&amp;IType=CA","PDF Report")</f>
        <v>PDF Report</v>
      </c>
    </row>
    <row r="317" spans="1:22" x14ac:dyDescent="0.25">
      <c r="A317" t="s">
        <v>1373</v>
      </c>
      <c r="B317">
        <v>1</v>
      </c>
      <c r="C317" s="5">
        <v>42488</v>
      </c>
      <c r="D317" t="s">
        <v>1374</v>
      </c>
      <c r="E317" t="s">
        <v>1375</v>
      </c>
      <c r="F317" t="s">
        <v>1376</v>
      </c>
      <c r="G317" t="s">
        <v>66</v>
      </c>
      <c r="H317" t="s">
        <v>33</v>
      </c>
      <c r="K317" t="s">
        <v>34</v>
      </c>
      <c r="L317" t="s">
        <v>35</v>
      </c>
      <c r="M317" t="s">
        <v>103</v>
      </c>
      <c r="N317" t="s">
        <v>57</v>
      </c>
      <c r="O317" t="s">
        <v>58</v>
      </c>
      <c r="P317" t="s">
        <v>59</v>
      </c>
      <c r="Q317" t="s">
        <v>37</v>
      </c>
      <c r="S317" t="s">
        <v>932</v>
      </c>
      <c r="T317" t="s">
        <v>164</v>
      </c>
      <c r="U317" t="s">
        <v>41</v>
      </c>
      <c r="V317" s="9" t="str">
        <f>HYPERLINK("https://app.ntsb.gov/pdfgenerator/ReportGeneratorFile.ashx?EventID=20160502X75955&amp;AKey=1&amp;Rtype=Final&amp;IType=CA","PDF Report")</f>
        <v>PDF Report</v>
      </c>
    </row>
    <row r="318" spans="1:22" x14ac:dyDescent="0.25">
      <c r="A318" t="s">
        <v>1377</v>
      </c>
      <c r="B318">
        <v>1</v>
      </c>
      <c r="C318" s="5">
        <v>42488</v>
      </c>
      <c r="D318" t="s">
        <v>1378</v>
      </c>
      <c r="E318" t="s">
        <v>1379</v>
      </c>
      <c r="F318" t="s">
        <v>1380</v>
      </c>
      <c r="G318" t="s">
        <v>66</v>
      </c>
      <c r="H318" t="s">
        <v>33</v>
      </c>
      <c r="K318" t="s">
        <v>34</v>
      </c>
      <c r="L318" t="s">
        <v>35</v>
      </c>
      <c r="M318" t="s">
        <v>36</v>
      </c>
      <c r="Q318" t="s">
        <v>37</v>
      </c>
      <c r="R318" t="s">
        <v>130</v>
      </c>
      <c r="S318" t="s">
        <v>84</v>
      </c>
      <c r="T318" t="s">
        <v>73</v>
      </c>
      <c r="U318" t="s">
        <v>41</v>
      </c>
      <c r="V318" s="9" t="str">
        <f>HYPERLINK("https://app.ntsb.gov/pdfgenerator/ReportGeneratorFile.ashx?EventID=20160503X44051&amp;AKey=1&amp;Rtype=Final&amp;IType=CA","PDF Report")</f>
        <v>PDF Report</v>
      </c>
    </row>
    <row r="319" spans="1:22" x14ac:dyDescent="0.25">
      <c r="A319" t="s">
        <v>1381</v>
      </c>
      <c r="B319">
        <v>1</v>
      </c>
      <c r="C319" s="5">
        <v>42488</v>
      </c>
      <c r="D319" t="s">
        <v>1382</v>
      </c>
      <c r="E319" t="s">
        <v>1383</v>
      </c>
      <c r="F319" t="s">
        <v>1384</v>
      </c>
      <c r="G319" t="s">
        <v>264</v>
      </c>
      <c r="H319" t="s">
        <v>33</v>
      </c>
      <c r="K319" t="s">
        <v>34</v>
      </c>
      <c r="L319" t="s">
        <v>35</v>
      </c>
      <c r="M319" t="s">
        <v>36</v>
      </c>
      <c r="Q319" t="s">
        <v>37</v>
      </c>
      <c r="R319" t="s">
        <v>1132</v>
      </c>
      <c r="S319" t="s">
        <v>97</v>
      </c>
      <c r="T319" t="s">
        <v>143</v>
      </c>
      <c r="U319" t="s">
        <v>41</v>
      </c>
      <c r="V319" s="9" t="str">
        <f>HYPERLINK("https://app.ntsb.gov/pdfgenerator/ReportGeneratorFile.ashx?EventID=20160510X14942&amp;AKey=1&amp;Rtype=Final&amp;IType=LA","PDF Report")</f>
        <v>PDF Report</v>
      </c>
    </row>
    <row r="320" spans="1:22" x14ac:dyDescent="0.25">
      <c r="A320" t="s">
        <v>1385</v>
      </c>
      <c r="B320">
        <v>1</v>
      </c>
      <c r="C320" s="5">
        <v>42489</v>
      </c>
      <c r="D320" t="s">
        <v>1386</v>
      </c>
      <c r="E320" t="s">
        <v>1387</v>
      </c>
      <c r="F320" t="s">
        <v>1388</v>
      </c>
      <c r="G320" t="s">
        <v>54</v>
      </c>
      <c r="H320" t="s">
        <v>33</v>
      </c>
      <c r="K320" t="s">
        <v>34</v>
      </c>
      <c r="L320" t="s">
        <v>35</v>
      </c>
      <c r="M320" t="s">
        <v>36</v>
      </c>
      <c r="Q320" t="s">
        <v>37</v>
      </c>
      <c r="R320" t="s">
        <v>38</v>
      </c>
      <c r="S320" t="s">
        <v>48</v>
      </c>
      <c r="T320" t="s">
        <v>73</v>
      </c>
      <c r="U320" t="s">
        <v>41</v>
      </c>
      <c r="V320" s="9" t="str">
        <f>HYPERLINK("https://app.ntsb.gov/pdfgenerator/ReportGeneratorFile.ashx?EventID=20160429X20105&amp;AKey=1&amp;Rtype=Final&amp;IType=CA","PDF Report")</f>
        <v>PDF Report</v>
      </c>
    </row>
    <row r="321" spans="1:22" x14ac:dyDescent="0.25">
      <c r="A321" t="s">
        <v>1389</v>
      </c>
      <c r="B321">
        <v>1</v>
      </c>
      <c r="C321" s="5">
        <v>42489</v>
      </c>
      <c r="D321" t="s">
        <v>1390</v>
      </c>
      <c r="E321" t="s">
        <v>1391</v>
      </c>
      <c r="F321" t="s">
        <v>1392</v>
      </c>
      <c r="G321" t="s">
        <v>645</v>
      </c>
      <c r="H321" t="s">
        <v>33</v>
      </c>
      <c r="J321">
        <v>1</v>
      </c>
      <c r="K321" t="s">
        <v>55</v>
      </c>
      <c r="L321" t="s">
        <v>35</v>
      </c>
      <c r="M321" t="s">
        <v>36</v>
      </c>
      <c r="Q321" t="s">
        <v>1299</v>
      </c>
      <c r="R321" t="s">
        <v>505</v>
      </c>
      <c r="S321" t="s">
        <v>191</v>
      </c>
      <c r="T321" t="s">
        <v>79</v>
      </c>
      <c r="U321" t="s">
        <v>41</v>
      </c>
      <c r="V321" s="9" t="str">
        <f>HYPERLINK("https://app.ntsb.gov/pdfgenerator/ReportGeneratorFile.ashx?EventID=20160504X02103&amp;AKey=1&amp;Rtype=Final&amp;IType=LA","PDF Report")</f>
        <v>PDF Report</v>
      </c>
    </row>
    <row r="322" spans="1:22" x14ac:dyDescent="0.25">
      <c r="A322" t="s">
        <v>1393</v>
      </c>
      <c r="B322">
        <v>1</v>
      </c>
      <c r="C322" s="5">
        <v>42489</v>
      </c>
      <c r="D322" t="s">
        <v>1394</v>
      </c>
      <c r="E322" t="s">
        <v>1395</v>
      </c>
      <c r="F322" t="s">
        <v>1396</v>
      </c>
      <c r="G322" t="s">
        <v>66</v>
      </c>
      <c r="H322" t="s">
        <v>33</v>
      </c>
      <c r="K322" t="s">
        <v>47</v>
      </c>
      <c r="L322" t="s">
        <v>35</v>
      </c>
      <c r="M322" t="s">
        <v>767</v>
      </c>
      <c r="Q322" t="s">
        <v>185</v>
      </c>
      <c r="R322" t="s">
        <v>768</v>
      </c>
      <c r="S322" t="s">
        <v>201</v>
      </c>
      <c r="T322" t="s">
        <v>40</v>
      </c>
      <c r="U322" t="s">
        <v>41</v>
      </c>
      <c r="V322" s="9" t="str">
        <f>HYPERLINK("https://app.ntsb.gov/pdfgenerator/ReportGeneratorFile.ashx?EventID=20160505X23224&amp;AKey=1&amp;Rtype=Final&amp;IType=LA","PDF Report")</f>
        <v>PDF Report</v>
      </c>
    </row>
    <row r="323" spans="1:22" x14ac:dyDescent="0.25">
      <c r="A323" t="s">
        <v>1397</v>
      </c>
      <c r="B323">
        <v>1</v>
      </c>
      <c r="C323" s="5">
        <v>42490</v>
      </c>
      <c r="D323" t="s">
        <v>1398</v>
      </c>
      <c r="E323" t="s">
        <v>1399</v>
      </c>
      <c r="F323" t="s">
        <v>119</v>
      </c>
      <c r="G323" t="s">
        <v>120</v>
      </c>
      <c r="H323" t="s">
        <v>33</v>
      </c>
      <c r="I323">
        <v>2</v>
      </c>
      <c r="K323" t="s">
        <v>90</v>
      </c>
      <c r="L323" t="s">
        <v>110</v>
      </c>
      <c r="M323" t="s">
        <v>36</v>
      </c>
      <c r="Q323" t="s">
        <v>37</v>
      </c>
      <c r="R323" t="s">
        <v>130</v>
      </c>
      <c r="S323" t="s">
        <v>60</v>
      </c>
      <c r="T323" t="s">
        <v>40</v>
      </c>
      <c r="U323" t="s">
        <v>41</v>
      </c>
      <c r="V323" s="9" t="str">
        <f>HYPERLINK("https://app.ntsb.gov/pdfgenerator/ReportGeneratorFile.ashx?EventID=20160430X20726&amp;AKey=1&amp;Rtype=Final&amp;IType=FA","PDF Report")</f>
        <v>PDF Report</v>
      </c>
    </row>
    <row r="324" spans="1:22" x14ac:dyDescent="0.25">
      <c r="A324" t="s">
        <v>1400</v>
      </c>
      <c r="B324">
        <v>1</v>
      </c>
      <c r="C324" s="5">
        <v>42490</v>
      </c>
      <c r="D324" t="s">
        <v>1401</v>
      </c>
      <c r="E324" t="s">
        <v>1402</v>
      </c>
      <c r="F324" t="s">
        <v>1403</v>
      </c>
      <c r="G324" t="s">
        <v>322</v>
      </c>
      <c r="H324" t="s">
        <v>33</v>
      </c>
      <c r="K324" t="s">
        <v>34</v>
      </c>
      <c r="L324" t="s">
        <v>35</v>
      </c>
      <c r="M324" t="s">
        <v>36</v>
      </c>
      <c r="Q324" t="s">
        <v>37</v>
      </c>
      <c r="R324" t="s">
        <v>38</v>
      </c>
      <c r="S324" t="s">
        <v>131</v>
      </c>
      <c r="T324" t="s">
        <v>73</v>
      </c>
      <c r="U324" t="s">
        <v>41</v>
      </c>
      <c r="V324" s="9" t="str">
        <f>HYPERLINK("https://app.ntsb.gov/pdfgenerator/ReportGeneratorFile.ashx?EventID=20160501X01725&amp;AKey=1&amp;Rtype=Final&amp;IType=LA","PDF Report")</f>
        <v>PDF Report</v>
      </c>
    </row>
    <row r="325" spans="1:22" x14ac:dyDescent="0.25">
      <c r="A325" t="s">
        <v>1404</v>
      </c>
      <c r="B325">
        <v>1</v>
      </c>
      <c r="C325" s="5">
        <v>42490</v>
      </c>
      <c r="D325" t="s">
        <v>1405</v>
      </c>
      <c r="E325" t="s">
        <v>1406</v>
      </c>
      <c r="F325" t="s">
        <v>1407</v>
      </c>
      <c r="G325" t="s">
        <v>136</v>
      </c>
      <c r="H325" t="s">
        <v>33</v>
      </c>
      <c r="K325" t="s">
        <v>34</v>
      </c>
      <c r="L325" t="s">
        <v>35</v>
      </c>
      <c r="M325" t="s">
        <v>36</v>
      </c>
      <c r="Q325" t="s">
        <v>37</v>
      </c>
      <c r="R325" t="s">
        <v>274</v>
      </c>
      <c r="S325" t="s">
        <v>39</v>
      </c>
      <c r="T325" t="s">
        <v>61</v>
      </c>
      <c r="U325" t="s">
        <v>41</v>
      </c>
      <c r="V325" s="9" t="str">
        <f>HYPERLINK("https://app.ntsb.gov/pdfgenerator/ReportGeneratorFile.ashx?EventID=20160501X83655&amp;AKey=1&amp;Rtype=Final&amp;IType=LA","PDF Report")</f>
        <v>PDF Report</v>
      </c>
    </row>
    <row r="326" spans="1:22" x14ac:dyDescent="0.25">
      <c r="A326" t="s">
        <v>1408</v>
      </c>
      <c r="B326">
        <v>1</v>
      </c>
      <c r="C326" s="5">
        <v>42490</v>
      </c>
      <c r="D326" t="s">
        <v>1409</v>
      </c>
      <c r="E326" t="s">
        <v>1410</v>
      </c>
      <c r="F326" t="s">
        <v>1411</v>
      </c>
      <c r="G326" t="s">
        <v>66</v>
      </c>
      <c r="H326" t="s">
        <v>33</v>
      </c>
      <c r="K326" t="s">
        <v>34</v>
      </c>
      <c r="L326" t="s">
        <v>35</v>
      </c>
      <c r="M326" t="s">
        <v>36</v>
      </c>
      <c r="Q326" t="s">
        <v>37</v>
      </c>
      <c r="R326" t="s">
        <v>38</v>
      </c>
      <c r="S326" t="s">
        <v>84</v>
      </c>
      <c r="T326" t="s">
        <v>73</v>
      </c>
      <c r="U326" t="s">
        <v>41</v>
      </c>
      <c r="V326" s="9" t="str">
        <f>HYPERLINK("https://app.ntsb.gov/pdfgenerator/ReportGeneratorFile.ashx?EventID=20160502X40721&amp;AKey=1&amp;Rtype=Final&amp;IType=CA","PDF Report")</f>
        <v>PDF Report</v>
      </c>
    </row>
    <row r="327" spans="1:22" x14ac:dyDescent="0.25">
      <c r="A327" t="s">
        <v>1412</v>
      </c>
      <c r="B327">
        <v>1</v>
      </c>
      <c r="C327" s="5">
        <v>42490</v>
      </c>
      <c r="D327" t="s">
        <v>1413</v>
      </c>
      <c r="E327" t="s">
        <v>1414</v>
      </c>
      <c r="F327" t="s">
        <v>1415</v>
      </c>
      <c r="G327" t="s">
        <v>1416</v>
      </c>
      <c r="H327" t="s">
        <v>33</v>
      </c>
      <c r="K327" t="s">
        <v>34</v>
      </c>
      <c r="L327" t="s">
        <v>35</v>
      </c>
      <c r="M327" t="s">
        <v>36</v>
      </c>
      <c r="Q327" t="s">
        <v>37</v>
      </c>
      <c r="R327" t="s">
        <v>38</v>
      </c>
      <c r="S327" t="s">
        <v>131</v>
      </c>
      <c r="T327" t="s">
        <v>73</v>
      </c>
      <c r="U327" t="s">
        <v>41</v>
      </c>
      <c r="V327" s="9" t="str">
        <f>HYPERLINK("https://app.ntsb.gov/pdfgenerator/ReportGeneratorFile.ashx?EventID=20160503X12400&amp;AKey=1&amp;Rtype=Final&amp;IType=LA","PDF Report")</f>
        <v>PDF Report</v>
      </c>
    </row>
    <row r="328" spans="1:22" x14ac:dyDescent="0.25">
      <c r="A328" t="s">
        <v>1417</v>
      </c>
      <c r="B328">
        <v>1</v>
      </c>
      <c r="C328" s="5">
        <v>42490</v>
      </c>
      <c r="D328" t="s">
        <v>1418</v>
      </c>
      <c r="E328" t="s">
        <v>1419</v>
      </c>
      <c r="F328" t="s">
        <v>1420</v>
      </c>
      <c r="G328" t="s">
        <v>401</v>
      </c>
      <c r="H328" t="s">
        <v>33</v>
      </c>
      <c r="K328" t="s">
        <v>34</v>
      </c>
      <c r="L328" t="s">
        <v>35</v>
      </c>
      <c r="M328" t="s">
        <v>36</v>
      </c>
      <c r="Q328" t="s">
        <v>37</v>
      </c>
      <c r="R328" t="s">
        <v>38</v>
      </c>
      <c r="S328" t="s">
        <v>60</v>
      </c>
      <c r="T328" t="s">
        <v>79</v>
      </c>
      <c r="U328" t="s">
        <v>41</v>
      </c>
      <c r="V328" s="9" t="str">
        <f>HYPERLINK("https://app.ntsb.gov/pdfgenerator/ReportGeneratorFile.ashx?EventID=20160503X50149&amp;AKey=1&amp;Rtype=Final&amp;IType=CA","PDF Report")</f>
        <v>PDF Report</v>
      </c>
    </row>
    <row r="329" spans="1:22" x14ac:dyDescent="0.25">
      <c r="A329" t="s">
        <v>1421</v>
      </c>
      <c r="B329">
        <v>1</v>
      </c>
      <c r="C329" s="5">
        <v>42490</v>
      </c>
      <c r="D329" t="s">
        <v>1422</v>
      </c>
      <c r="E329" t="s">
        <v>1423</v>
      </c>
      <c r="F329" t="s">
        <v>1424</v>
      </c>
      <c r="G329" t="s">
        <v>636</v>
      </c>
      <c r="H329" t="s">
        <v>33</v>
      </c>
      <c r="K329" t="s">
        <v>34</v>
      </c>
      <c r="L329" t="s">
        <v>35</v>
      </c>
      <c r="M329" t="s">
        <v>36</v>
      </c>
      <c r="Q329" t="s">
        <v>37</v>
      </c>
      <c r="R329" t="s">
        <v>38</v>
      </c>
      <c r="S329" t="s">
        <v>84</v>
      </c>
      <c r="T329" t="s">
        <v>73</v>
      </c>
      <c r="U329" t="s">
        <v>41</v>
      </c>
      <c r="V329" s="9" t="str">
        <f>HYPERLINK("https://app.ntsb.gov/pdfgenerator/ReportGeneratorFile.ashx?EventID=20160504X63038&amp;AKey=1&amp;Rtype=Final&amp;IType=LA","PDF Report")</f>
        <v>PDF Report</v>
      </c>
    </row>
    <row r="330" spans="1:22" x14ac:dyDescent="0.25">
      <c r="A330" t="s">
        <v>1425</v>
      </c>
      <c r="B330">
        <v>1</v>
      </c>
      <c r="C330" s="5">
        <v>42490</v>
      </c>
      <c r="D330" t="s">
        <v>1426</v>
      </c>
      <c r="E330" t="s">
        <v>1427</v>
      </c>
      <c r="F330" t="s">
        <v>1428</v>
      </c>
      <c r="G330" t="s">
        <v>96</v>
      </c>
      <c r="H330" t="s">
        <v>33</v>
      </c>
      <c r="K330" t="s">
        <v>34</v>
      </c>
      <c r="L330" t="s">
        <v>35</v>
      </c>
      <c r="M330" t="s">
        <v>36</v>
      </c>
      <c r="Q330" t="s">
        <v>37</v>
      </c>
      <c r="R330" t="s">
        <v>274</v>
      </c>
      <c r="S330" t="s">
        <v>84</v>
      </c>
      <c r="T330" t="s">
        <v>73</v>
      </c>
      <c r="U330" t="s">
        <v>41</v>
      </c>
      <c r="V330" s="9" t="str">
        <f>HYPERLINK("https://app.ntsb.gov/pdfgenerator/ReportGeneratorFile.ashx?EventID=20160518X82339&amp;AKey=1&amp;Rtype=Final&amp;IType=LA","PDF Report")</f>
        <v>PDF Report</v>
      </c>
    </row>
    <row r="331" spans="1:22" x14ac:dyDescent="0.25">
      <c r="A331" t="s">
        <v>1429</v>
      </c>
      <c r="B331">
        <v>1</v>
      </c>
      <c r="C331" s="5">
        <v>42491</v>
      </c>
      <c r="D331" t="s">
        <v>1430</v>
      </c>
      <c r="E331" t="s">
        <v>1431</v>
      </c>
      <c r="F331" t="s">
        <v>1432</v>
      </c>
      <c r="G331" t="s">
        <v>450</v>
      </c>
      <c r="H331" t="s">
        <v>33</v>
      </c>
      <c r="K331" t="s">
        <v>34</v>
      </c>
      <c r="L331" t="s">
        <v>35</v>
      </c>
      <c r="M331" t="s">
        <v>36</v>
      </c>
      <c r="Q331" t="s">
        <v>37</v>
      </c>
      <c r="R331" t="s">
        <v>38</v>
      </c>
      <c r="S331" t="s">
        <v>131</v>
      </c>
      <c r="T331" t="s">
        <v>73</v>
      </c>
      <c r="U331" t="s">
        <v>41</v>
      </c>
      <c r="V331" s="9" t="str">
        <f>HYPERLINK("https://app.ntsb.gov/pdfgenerator/ReportGeneratorFile.ashx?EventID=20160505X15324&amp;AKey=1&amp;Rtype=Final&amp;IType=CA","PDF Report")</f>
        <v>PDF Report</v>
      </c>
    </row>
    <row r="332" spans="1:22" x14ac:dyDescent="0.25">
      <c r="A332" t="s">
        <v>1433</v>
      </c>
      <c r="B332">
        <v>1</v>
      </c>
      <c r="C332" s="5">
        <v>42491</v>
      </c>
      <c r="D332" t="s">
        <v>1434</v>
      </c>
      <c r="E332" t="s">
        <v>1435</v>
      </c>
      <c r="F332" t="s">
        <v>1436</v>
      </c>
      <c r="G332" t="s">
        <v>96</v>
      </c>
      <c r="H332" t="s">
        <v>33</v>
      </c>
      <c r="K332" t="s">
        <v>47</v>
      </c>
      <c r="L332" t="s">
        <v>35</v>
      </c>
      <c r="M332" t="s">
        <v>36</v>
      </c>
      <c r="Q332" t="s">
        <v>37</v>
      </c>
      <c r="R332" t="s">
        <v>38</v>
      </c>
      <c r="S332" t="s">
        <v>48</v>
      </c>
      <c r="T332" t="s">
        <v>73</v>
      </c>
      <c r="U332" t="s">
        <v>41</v>
      </c>
      <c r="V332" s="9" t="str">
        <f>HYPERLINK("https://app.ntsb.gov/pdfgenerator/ReportGeneratorFile.ashx?EventID=20160509X00934&amp;AKey=1&amp;Rtype=Final&amp;IType=CA","PDF Report")</f>
        <v>PDF Report</v>
      </c>
    </row>
    <row r="333" spans="1:22" x14ac:dyDescent="0.25">
      <c r="A333" t="s">
        <v>1437</v>
      </c>
      <c r="B333">
        <v>1</v>
      </c>
      <c r="C333" s="5">
        <v>42491</v>
      </c>
      <c r="D333" t="s">
        <v>1438</v>
      </c>
      <c r="E333" t="s">
        <v>1439</v>
      </c>
      <c r="F333" t="s">
        <v>1440</v>
      </c>
      <c r="G333" t="s">
        <v>96</v>
      </c>
      <c r="H333" t="s">
        <v>33</v>
      </c>
      <c r="K333" t="s">
        <v>34</v>
      </c>
      <c r="L333" t="s">
        <v>35</v>
      </c>
      <c r="M333" t="s">
        <v>36</v>
      </c>
      <c r="Q333" t="s">
        <v>37</v>
      </c>
      <c r="R333" t="s">
        <v>38</v>
      </c>
      <c r="S333" t="s">
        <v>131</v>
      </c>
      <c r="T333" t="s">
        <v>73</v>
      </c>
      <c r="U333" t="s">
        <v>41</v>
      </c>
      <c r="V333" s="9" t="str">
        <f>HYPERLINK("https://app.ntsb.gov/pdfgenerator/ReportGeneratorFile.ashx?EventID=20160510X34023&amp;AKey=1&amp;Rtype=Final&amp;IType=CA","PDF Report")</f>
        <v>PDF Report</v>
      </c>
    </row>
    <row r="334" spans="1:22" x14ac:dyDescent="0.25">
      <c r="A334" t="s">
        <v>1441</v>
      </c>
      <c r="B334">
        <v>1</v>
      </c>
      <c r="C334" s="5">
        <v>42491</v>
      </c>
      <c r="D334" t="s">
        <v>1442</v>
      </c>
      <c r="E334" t="s">
        <v>1443</v>
      </c>
      <c r="F334" t="s">
        <v>1444</v>
      </c>
      <c r="G334" t="s">
        <v>237</v>
      </c>
      <c r="H334" t="s">
        <v>33</v>
      </c>
      <c r="J334">
        <v>1</v>
      </c>
      <c r="K334" t="s">
        <v>55</v>
      </c>
      <c r="L334" t="s">
        <v>35</v>
      </c>
      <c r="M334" t="s">
        <v>36</v>
      </c>
      <c r="Q334" t="s">
        <v>37</v>
      </c>
      <c r="R334" t="s">
        <v>38</v>
      </c>
      <c r="S334" t="s">
        <v>196</v>
      </c>
      <c r="T334" t="s">
        <v>73</v>
      </c>
      <c r="U334" t="s">
        <v>41</v>
      </c>
      <c r="V334" s="9" t="str">
        <f>HYPERLINK("https://app.ntsb.gov/pdfgenerator/ReportGeneratorFile.ashx?EventID=20160516X45021&amp;AKey=1&amp;Rtype=Final&amp;IType=LA","PDF Report")</f>
        <v>PDF Report</v>
      </c>
    </row>
    <row r="335" spans="1:22" x14ac:dyDescent="0.25">
      <c r="A335" t="s">
        <v>1445</v>
      </c>
      <c r="B335">
        <v>1</v>
      </c>
      <c r="C335" s="5">
        <v>42492</v>
      </c>
      <c r="D335" t="s">
        <v>1446</v>
      </c>
      <c r="E335" t="s">
        <v>1447</v>
      </c>
      <c r="F335" t="s">
        <v>1448</v>
      </c>
      <c r="G335" t="s">
        <v>287</v>
      </c>
      <c r="H335" t="s">
        <v>33</v>
      </c>
      <c r="K335" t="s">
        <v>34</v>
      </c>
      <c r="L335" t="s">
        <v>35</v>
      </c>
      <c r="M335" t="s">
        <v>36</v>
      </c>
      <c r="Q335" t="s">
        <v>37</v>
      </c>
      <c r="R335" t="s">
        <v>38</v>
      </c>
      <c r="S335" t="s">
        <v>84</v>
      </c>
      <c r="T335" t="s">
        <v>73</v>
      </c>
      <c r="U335" t="s">
        <v>41</v>
      </c>
      <c r="V335" s="9" t="str">
        <f>HYPERLINK("https://app.ntsb.gov/pdfgenerator/ReportGeneratorFile.ashx?EventID=20160509X10654&amp;AKey=1&amp;Rtype=Final&amp;IType=CA","PDF Report")</f>
        <v>PDF Report</v>
      </c>
    </row>
    <row r="336" spans="1:22" x14ac:dyDescent="0.25">
      <c r="A336" t="s">
        <v>1449</v>
      </c>
      <c r="B336">
        <v>1</v>
      </c>
      <c r="C336" s="5">
        <v>42493</v>
      </c>
      <c r="D336" t="s">
        <v>1450</v>
      </c>
      <c r="E336" t="s">
        <v>1451</v>
      </c>
      <c r="F336" t="s">
        <v>1452</v>
      </c>
      <c r="G336" t="s">
        <v>322</v>
      </c>
      <c r="H336" t="s">
        <v>33</v>
      </c>
      <c r="I336">
        <v>3</v>
      </c>
      <c r="K336" t="s">
        <v>90</v>
      </c>
      <c r="L336" t="s">
        <v>110</v>
      </c>
      <c r="M336" t="s">
        <v>36</v>
      </c>
      <c r="Q336" t="s">
        <v>37</v>
      </c>
      <c r="R336" t="s">
        <v>38</v>
      </c>
      <c r="S336" t="s">
        <v>48</v>
      </c>
      <c r="T336" t="s">
        <v>61</v>
      </c>
      <c r="U336" t="s">
        <v>41</v>
      </c>
      <c r="V336" s="9" t="str">
        <f>HYPERLINK("https://app.ntsb.gov/pdfgenerator/ReportGeneratorFile.ashx?EventID=20160503X70529&amp;AKey=1&amp;Rtype=Final&amp;IType=FA","PDF Report")</f>
        <v>PDF Report</v>
      </c>
    </row>
    <row r="337" spans="1:22" x14ac:dyDescent="0.25">
      <c r="A337" t="s">
        <v>1453</v>
      </c>
      <c r="B337">
        <v>1</v>
      </c>
      <c r="C337" s="5">
        <v>42493</v>
      </c>
      <c r="D337" t="s">
        <v>1454</v>
      </c>
      <c r="E337" t="s">
        <v>1455</v>
      </c>
      <c r="F337" t="s">
        <v>1456</v>
      </c>
      <c r="G337" t="s">
        <v>78</v>
      </c>
      <c r="H337" t="s">
        <v>33</v>
      </c>
      <c r="K337" t="s">
        <v>47</v>
      </c>
      <c r="L337" t="s">
        <v>35</v>
      </c>
      <c r="M337" t="s">
        <v>36</v>
      </c>
      <c r="Q337" t="s">
        <v>185</v>
      </c>
      <c r="R337" t="s">
        <v>130</v>
      </c>
      <c r="S337" t="s">
        <v>201</v>
      </c>
      <c r="T337" t="s">
        <v>40</v>
      </c>
      <c r="U337" t="s">
        <v>41</v>
      </c>
      <c r="V337" s="9" t="str">
        <f>HYPERLINK("https://app.ntsb.gov/pdfgenerator/ReportGeneratorFile.ashx?EventID=20160505X05345&amp;AKey=1&amp;Rtype=Final&amp;IType=CA","PDF Report")</f>
        <v>PDF Report</v>
      </c>
    </row>
    <row r="338" spans="1:22" x14ac:dyDescent="0.25">
      <c r="A338" t="s">
        <v>1457</v>
      </c>
      <c r="B338">
        <v>1</v>
      </c>
      <c r="C338" s="5">
        <v>42493</v>
      </c>
      <c r="D338" t="s">
        <v>1458</v>
      </c>
      <c r="E338" t="s">
        <v>1459</v>
      </c>
      <c r="F338" t="s">
        <v>1460</v>
      </c>
      <c r="G338" t="s">
        <v>32</v>
      </c>
      <c r="H338" t="s">
        <v>33</v>
      </c>
      <c r="K338" t="s">
        <v>34</v>
      </c>
      <c r="L338" t="s">
        <v>35</v>
      </c>
      <c r="M338" t="s">
        <v>36</v>
      </c>
      <c r="Q338" t="s">
        <v>547</v>
      </c>
      <c r="R338" t="s">
        <v>38</v>
      </c>
      <c r="S338" t="s">
        <v>131</v>
      </c>
      <c r="T338" t="s">
        <v>164</v>
      </c>
      <c r="U338" t="s">
        <v>41</v>
      </c>
      <c r="V338" s="9" t="str">
        <f>HYPERLINK("https://app.ntsb.gov/pdfgenerator/ReportGeneratorFile.ashx?EventID=20160505X32117&amp;AKey=1&amp;Rtype=Final&amp;IType=CA","PDF Report")</f>
        <v>PDF Report</v>
      </c>
    </row>
    <row r="339" spans="1:22" x14ac:dyDescent="0.25">
      <c r="A339" t="s">
        <v>1461</v>
      </c>
      <c r="B339">
        <v>1</v>
      </c>
      <c r="C339" s="5">
        <v>42493</v>
      </c>
      <c r="D339" t="s">
        <v>1462</v>
      </c>
      <c r="E339" t="s">
        <v>1463</v>
      </c>
      <c r="F339" t="s">
        <v>1464</v>
      </c>
      <c r="G339" t="s">
        <v>54</v>
      </c>
      <c r="H339" t="s">
        <v>33</v>
      </c>
      <c r="K339" t="s">
        <v>34</v>
      </c>
      <c r="L339" t="s">
        <v>35</v>
      </c>
      <c r="M339" t="s">
        <v>36</v>
      </c>
      <c r="Q339" t="s">
        <v>37</v>
      </c>
      <c r="R339" t="s">
        <v>38</v>
      </c>
      <c r="S339" t="s">
        <v>196</v>
      </c>
      <c r="T339" t="s">
        <v>73</v>
      </c>
      <c r="U339" t="s">
        <v>41</v>
      </c>
      <c r="V339" s="9" t="str">
        <f>HYPERLINK("https://app.ntsb.gov/pdfgenerator/ReportGeneratorFile.ashx?EventID=20160510X60338&amp;AKey=1&amp;Rtype=Final&amp;IType=LA","PDF Report")</f>
        <v>PDF Report</v>
      </c>
    </row>
    <row r="340" spans="1:22" x14ac:dyDescent="0.25">
      <c r="A340" t="s">
        <v>1465</v>
      </c>
      <c r="B340">
        <v>1</v>
      </c>
      <c r="C340" s="5">
        <v>42494</v>
      </c>
      <c r="D340" t="s">
        <v>1466</v>
      </c>
      <c r="E340" t="s">
        <v>1467</v>
      </c>
      <c r="F340" t="s">
        <v>1468</v>
      </c>
      <c r="G340" t="s">
        <v>395</v>
      </c>
      <c r="H340" t="s">
        <v>33</v>
      </c>
      <c r="I340">
        <v>1</v>
      </c>
      <c r="K340" t="s">
        <v>90</v>
      </c>
      <c r="L340" t="s">
        <v>35</v>
      </c>
      <c r="M340" t="s">
        <v>1072</v>
      </c>
      <c r="Q340" t="s">
        <v>185</v>
      </c>
      <c r="R340" t="s">
        <v>1073</v>
      </c>
      <c r="S340" t="s">
        <v>39</v>
      </c>
      <c r="T340" t="s">
        <v>40</v>
      </c>
      <c r="U340" t="s">
        <v>41</v>
      </c>
      <c r="V340" s="9" t="str">
        <f>HYPERLINK("https://app.ntsb.gov/pdfgenerator/ReportGeneratorFile.ashx?EventID=20160504X30424&amp;AKey=1&amp;Rtype=Final&amp;IType=FA","PDF Report")</f>
        <v>PDF Report</v>
      </c>
    </row>
    <row r="341" spans="1:22" x14ac:dyDescent="0.25">
      <c r="A341" t="s">
        <v>1469</v>
      </c>
      <c r="B341">
        <v>1</v>
      </c>
      <c r="C341" s="5">
        <v>42494</v>
      </c>
      <c r="D341" t="s">
        <v>1470</v>
      </c>
      <c r="E341" t="s">
        <v>1471</v>
      </c>
      <c r="F341" t="s">
        <v>1472</v>
      </c>
      <c r="G341" t="s">
        <v>206</v>
      </c>
      <c r="H341" t="s">
        <v>33</v>
      </c>
      <c r="K341" t="s">
        <v>34</v>
      </c>
      <c r="L341" t="s">
        <v>35</v>
      </c>
      <c r="M341" t="s">
        <v>36</v>
      </c>
      <c r="Q341" t="s">
        <v>37</v>
      </c>
      <c r="R341" t="s">
        <v>130</v>
      </c>
      <c r="S341" t="s">
        <v>72</v>
      </c>
      <c r="T341" t="s">
        <v>73</v>
      </c>
      <c r="U341" t="s">
        <v>41</v>
      </c>
      <c r="V341" s="9" t="str">
        <f>HYPERLINK("https://app.ntsb.gov/pdfgenerator/ReportGeneratorFile.ashx?EventID=20160505X05128&amp;AKey=1&amp;Rtype=Final&amp;IType=CA","PDF Report")</f>
        <v>PDF Report</v>
      </c>
    </row>
    <row r="342" spans="1:22" x14ac:dyDescent="0.25">
      <c r="A342" t="s">
        <v>1473</v>
      </c>
      <c r="B342">
        <v>1</v>
      </c>
      <c r="C342" s="5">
        <v>42494</v>
      </c>
      <c r="D342" t="s">
        <v>1474</v>
      </c>
      <c r="E342" t="s">
        <v>1475</v>
      </c>
      <c r="F342" t="s">
        <v>1476</v>
      </c>
      <c r="G342" t="s">
        <v>169</v>
      </c>
      <c r="H342" t="s">
        <v>33</v>
      </c>
      <c r="K342" t="s">
        <v>34</v>
      </c>
      <c r="L342" t="s">
        <v>35</v>
      </c>
      <c r="M342" t="s">
        <v>767</v>
      </c>
      <c r="Q342" t="s">
        <v>37</v>
      </c>
      <c r="R342" t="s">
        <v>768</v>
      </c>
      <c r="S342" t="s">
        <v>131</v>
      </c>
      <c r="T342" t="s">
        <v>73</v>
      </c>
      <c r="U342" t="s">
        <v>41</v>
      </c>
      <c r="V342" s="9" t="str">
        <f>HYPERLINK("https://app.ntsb.gov/pdfgenerator/ReportGeneratorFile.ashx?EventID=20160505X85839&amp;AKey=1&amp;Rtype=Final&amp;IType=LA","PDF Report")</f>
        <v>PDF Report</v>
      </c>
    </row>
    <row r="343" spans="1:22" x14ac:dyDescent="0.25">
      <c r="A343" t="s">
        <v>1477</v>
      </c>
      <c r="B343">
        <v>1</v>
      </c>
      <c r="C343" s="5">
        <v>42495</v>
      </c>
      <c r="D343" t="s">
        <v>1478</v>
      </c>
      <c r="E343" t="s">
        <v>1479</v>
      </c>
      <c r="F343" t="s">
        <v>1480</v>
      </c>
      <c r="G343" t="s">
        <v>54</v>
      </c>
      <c r="H343" t="s">
        <v>33</v>
      </c>
      <c r="J343">
        <v>1</v>
      </c>
      <c r="K343" t="s">
        <v>55</v>
      </c>
      <c r="L343" t="s">
        <v>35</v>
      </c>
      <c r="M343" t="s">
        <v>36</v>
      </c>
      <c r="Q343" t="s">
        <v>185</v>
      </c>
      <c r="R343" t="s">
        <v>186</v>
      </c>
      <c r="S343" t="s">
        <v>60</v>
      </c>
      <c r="T343" t="s">
        <v>79</v>
      </c>
      <c r="U343" t="s">
        <v>41</v>
      </c>
      <c r="V343" s="9" t="str">
        <f>HYPERLINK("https://app.ntsb.gov/pdfgenerator/ReportGeneratorFile.ashx?EventID=20160505X02315&amp;AKey=1&amp;Rtype=Final&amp;IType=LA","PDF Report")</f>
        <v>PDF Report</v>
      </c>
    </row>
    <row r="344" spans="1:22" x14ac:dyDescent="0.25">
      <c r="A344" t="s">
        <v>1481</v>
      </c>
      <c r="B344">
        <v>1</v>
      </c>
      <c r="C344" s="5">
        <v>42495</v>
      </c>
      <c r="D344" t="s">
        <v>1482</v>
      </c>
      <c r="E344" t="s">
        <v>1483</v>
      </c>
      <c r="F344" t="s">
        <v>1484</v>
      </c>
      <c r="G344" t="s">
        <v>491</v>
      </c>
      <c r="H344" t="s">
        <v>33</v>
      </c>
      <c r="I344">
        <v>1</v>
      </c>
      <c r="J344">
        <v>1</v>
      </c>
      <c r="K344" t="s">
        <v>90</v>
      </c>
      <c r="L344" t="s">
        <v>110</v>
      </c>
      <c r="M344" t="s">
        <v>36</v>
      </c>
      <c r="Q344" t="s">
        <v>37</v>
      </c>
      <c r="R344" t="s">
        <v>130</v>
      </c>
      <c r="S344" t="s">
        <v>39</v>
      </c>
      <c r="T344" t="s">
        <v>143</v>
      </c>
      <c r="U344" t="s">
        <v>41</v>
      </c>
      <c r="V344" s="9" t="str">
        <f>HYPERLINK("https://app.ntsb.gov/pdfgenerator/ReportGeneratorFile.ashx?EventID=20160505X61259&amp;AKey=1&amp;Rtype=Final&amp;IType=FA","PDF Report")</f>
        <v>PDF Report</v>
      </c>
    </row>
    <row r="345" spans="1:22" x14ac:dyDescent="0.25">
      <c r="A345" t="s">
        <v>1485</v>
      </c>
      <c r="B345">
        <v>1</v>
      </c>
      <c r="C345" s="5">
        <v>42495</v>
      </c>
      <c r="D345" t="s">
        <v>1486</v>
      </c>
      <c r="E345" t="s">
        <v>1487</v>
      </c>
      <c r="F345" t="s">
        <v>1488</v>
      </c>
      <c r="G345" t="s">
        <v>538</v>
      </c>
      <c r="H345" t="s">
        <v>33</v>
      </c>
      <c r="I345">
        <v>1</v>
      </c>
      <c r="K345" t="s">
        <v>90</v>
      </c>
      <c r="L345" t="s">
        <v>110</v>
      </c>
      <c r="M345" t="s">
        <v>36</v>
      </c>
      <c r="Q345" t="s">
        <v>547</v>
      </c>
      <c r="R345" t="s">
        <v>38</v>
      </c>
      <c r="S345" t="s">
        <v>48</v>
      </c>
      <c r="T345" t="s">
        <v>143</v>
      </c>
      <c r="U345" t="s">
        <v>41</v>
      </c>
      <c r="V345" s="9" t="str">
        <f>HYPERLINK("https://app.ntsb.gov/pdfgenerator/ReportGeneratorFile.ashx?EventID=20160509X14747&amp;AKey=1&amp;Rtype=Final&amp;IType=LA","PDF Report")</f>
        <v>PDF Report</v>
      </c>
    </row>
    <row r="346" spans="1:22" x14ac:dyDescent="0.25">
      <c r="A346" t="s">
        <v>1489</v>
      </c>
      <c r="B346">
        <v>1</v>
      </c>
      <c r="C346" s="5">
        <v>42495</v>
      </c>
      <c r="D346" t="s">
        <v>1490</v>
      </c>
      <c r="E346" t="s">
        <v>1491</v>
      </c>
      <c r="F346" t="s">
        <v>657</v>
      </c>
      <c r="G346" t="s">
        <v>136</v>
      </c>
      <c r="H346" t="s">
        <v>33</v>
      </c>
      <c r="K346" t="s">
        <v>34</v>
      </c>
      <c r="L346" t="s">
        <v>35</v>
      </c>
      <c r="M346" t="s">
        <v>36</v>
      </c>
      <c r="Q346" t="s">
        <v>37</v>
      </c>
      <c r="R346" t="s">
        <v>38</v>
      </c>
      <c r="S346" t="s">
        <v>84</v>
      </c>
      <c r="T346" t="s">
        <v>73</v>
      </c>
      <c r="U346" t="s">
        <v>41</v>
      </c>
      <c r="V346" s="9" t="str">
        <f>HYPERLINK("https://app.ntsb.gov/pdfgenerator/ReportGeneratorFile.ashx?EventID=20160509X53729&amp;AKey=1&amp;Rtype=Final&amp;IType=CA","PDF Report")</f>
        <v>PDF Report</v>
      </c>
    </row>
    <row r="347" spans="1:22" x14ac:dyDescent="0.25">
      <c r="A347" t="s">
        <v>1492</v>
      </c>
      <c r="B347">
        <v>1</v>
      </c>
      <c r="C347" s="5">
        <v>42495</v>
      </c>
      <c r="D347" t="s">
        <v>1493</v>
      </c>
      <c r="E347" t="s">
        <v>1494</v>
      </c>
      <c r="F347" t="s">
        <v>1495</v>
      </c>
      <c r="G347" t="s">
        <v>54</v>
      </c>
      <c r="H347" t="s">
        <v>33</v>
      </c>
      <c r="K347" t="s">
        <v>47</v>
      </c>
      <c r="L347" t="s">
        <v>35</v>
      </c>
      <c r="M347" t="s">
        <v>36</v>
      </c>
      <c r="Q347" t="s">
        <v>37</v>
      </c>
      <c r="R347" t="s">
        <v>38</v>
      </c>
      <c r="S347" t="s">
        <v>48</v>
      </c>
      <c r="T347" t="s">
        <v>40</v>
      </c>
      <c r="U347" t="s">
        <v>41</v>
      </c>
      <c r="V347" s="9" t="str">
        <f>HYPERLINK("https://app.ntsb.gov/pdfgenerator/ReportGeneratorFile.ashx?EventID=20160510X62431&amp;AKey=1&amp;Rtype=Final&amp;IType=CA","PDF Report")</f>
        <v>PDF Report</v>
      </c>
    </row>
    <row r="348" spans="1:22" x14ac:dyDescent="0.25">
      <c r="A348" t="s">
        <v>1496</v>
      </c>
      <c r="B348">
        <v>1</v>
      </c>
      <c r="C348" s="5">
        <v>42496</v>
      </c>
      <c r="D348" t="s">
        <v>1497</v>
      </c>
      <c r="E348" t="s">
        <v>1498</v>
      </c>
      <c r="F348" t="s">
        <v>1499</v>
      </c>
      <c r="G348" t="s">
        <v>66</v>
      </c>
      <c r="H348" t="s">
        <v>33</v>
      </c>
      <c r="K348" t="s">
        <v>34</v>
      </c>
      <c r="L348" t="s">
        <v>35</v>
      </c>
      <c r="M348" t="s">
        <v>36</v>
      </c>
      <c r="Q348" t="s">
        <v>37</v>
      </c>
      <c r="R348" t="s">
        <v>38</v>
      </c>
      <c r="S348" t="s">
        <v>97</v>
      </c>
      <c r="T348" t="s">
        <v>61</v>
      </c>
      <c r="U348" t="s">
        <v>41</v>
      </c>
      <c r="V348" s="9" t="str">
        <f>HYPERLINK("https://app.ntsb.gov/pdfgenerator/ReportGeneratorFile.ashx?EventID=20160506X61121&amp;AKey=1&amp;Rtype=Final&amp;IType=LA","PDF Report")</f>
        <v>PDF Report</v>
      </c>
    </row>
    <row r="349" spans="1:22" x14ac:dyDescent="0.25">
      <c r="A349" t="s">
        <v>1500</v>
      </c>
      <c r="B349">
        <v>1</v>
      </c>
      <c r="C349" s="5">
        <v>42496</v>
      </c>
      <c r="D349" t="s">
        <v>1501</v>
      </c>
      <c r="E349" t="s">
        <v>1502</v>
      </c>
      <c r="F349" t="s">
        <v>1503</v>
      </c>
      <c r="G349" t="s">
        <v>54</v>
      </c>
      <c r="H349" t="s">
        <v>33</v>
      </c>
      <c r="I349">
        <v>1</v>
      </c>
      <c r="K349" t="s">
        <v>90</v>
      </c>
      <c r="L349" t="s">
        <v>35</v>
      </c>
      <c r="M349" t="s">
        <v>36</v>
      </c>
      <c r="Q349" t="s">
        <v>185</v>
      </c>
      <c r="R349" t="s">
        <v>186</v>
      </c>
      <c r="S349" t="s">
        <v>91</v>
      </c>
      <c r="T349" t="s">
        <v>61</v>
      </c>
      <c r="U349" t="s">
        <v>41</v>
      </c>
      <c r="V349" s="9" t="str">
        <f>HYPERLINK("https://app.ntsb.gov/pdfgenerator/ReportGeneratorFile.ashx?EventID=20160507X31120&amp;AKey=1&amp;Rtype=Final&amp;IType=FA","PDF Report")</f>
        <v>PDF Report</v>
      </c>
    </row>
    <row r="350" spans="1:22" x14ac:dyDescent="0.25">
      <c r="A350" t="s">
        <v>1504</v>
      </c>
      <c r="B350">
        <v>1</v>
      </c>
      <c r="C350" s="5">
        <v>42496</v>
      </c>
      <c r="D350" t="s">
        <v>1505</v>
      </c>
      <c r="E350" t="s">
        <v>1506</v>
      </c>
      <c r="F350" t="s">
        <v>1507</v>
      </c>
      <c r="G350" t="s">
        <v>1508</v>
      </c>
      <c r="H350" t="s">
        <v>33</v>
      </c>
      <c r="K350" t="s">
        <v>34</v>
      </c>
      <c r="L350" t="s">
        <v>35</v>
      </c>
      <c r="M350" t="s">
        <v>36</v>
      </c>
      <c r="Q350" t="s">
        <v>37</v>
      </c>
      <c r="R350" t="s">
        <v>38</v>
      </c>
      <c r="S350" t="s">
        <v>131</v>
      </c>
      <c r="T350" t="s">
        <v>49</v>
      </c>
      <c r="U350" t="s">
        <v>41</v>
      </c>
      <c r="V350" s="9" t="str">
        <f>HYPERLINK("https://app.ntsb.gov/pdfgenerator/ReportGeneratorFile.ashx?EventID=20160509X20555&amp;AKey=1&amp;Rtype=Final&amp;IType=CA","PDF Report")</f>
        <v>PDF Report</v>
      </c>
    </row>
    <row r="351" spans="1:22" x14ac:dyDescent="0.25">
      <c r="A351" t="s">
        <v>1509</v>
      </c>
      <c r="B351">
        <v>1</v>
      </c>
      <c r="C351" s="5">
        <v>42496</v>
      </c>
      <c r="D351" t="s">
        <v>1510</v>
      </c>
      <c r="E351" t="s">
        <v>1511</v>
      </c>
      <c r="F351" t="s">
        <v>1512</v>
      </c>
      <c r="G351" t="s">
        <v>312</v>
      </c>
      <c r="H351" t="s">
        <v>33</v>
      </c>
      <c r="K351" t="s">
        <v>34</v>
      </c>
      <c r="L351" t="s">
        <v>35</v>
      </c>
      <c r="M351" t="s">
        <v>36</v>
      </c>
      <c r="Q351" t="s">
        <v>37</v>
      </c>
      <c r="R351" t="s">
        <v>38</v>
      </c>
      <c r="S351" t="s">
        <v>48</v>
      </c>
      <c r="T351" t="s">
        <v>73</v>
      </c>
      <c r="U351" t="s">
        <v>41</v>
      </c>
      <c r="V351" s="9" t="str">
        <f>HYPERLINK("https://app.ntsb.gov/pdfgenerator/ReportGeneratorFile.ashx?EventID=20160509X30039&amp;AKey=1&amp;Rtype=Final&amp;IType=CA","PDF Report")</f>
        <v>PDF Report</v>
      </c>
    </row>
    <row r="352" spans="1:22" x14ac:dyDescent="0.25">
      <c r="A352" t="s">
        <v>1513</v>
      </c>
      <c r="B352">
        <v>1</v>
      </c>
      <c r="C352" s="5">
        <v>42496</v>
      </c>
      <c r="D352" t="s">
        <v>1514</v>
      </c>
      <c r="E352" t="s">
        <v>1515</v>
      </c>
      <c r="F352" t="s">
        <v>1176</v>
      </c>
      <c r="G352" t="s">
        <v>96</v>
      </c>
      <c r="H352" t="s">
        <v>33</v>
      </c>
      <c r="K352" t="s">
        <v>34</v>
      </c>
      <c r="L352" t="s">
        <v>35</v>
      </c>
      <c r="M352" t="s">
        <v>36</v>
      </c>
      <c r="Q352" t="s">
        <v>37</v>
      </c>
      <c r="R352" t="s">
        <v>38</v>
      </c>
      <c r="S352" t="s">
        <v>84</v>
      </c>
      <c r="T352" t="s">
        <v>73</v>
      </c>
      <c r="U352" t="s">
        <v>41</v>
      </c>
      <c r="V352" s="9" t="str">
        <f>HYPERLINK("https://app.ntsb.gov/pdfgenerator/ReportGeneratorFile.ashx?EventID=20160509X72822&amp;AKey=1&amp;Rtype=Final&amp;IType=CA","PDF Report")</f>
        <v>PDF Report</v>
      </c>
    </row>
    <row r="353" spans="1:22" x14ac:dyDescent="0.25">
      <c r="A353" t="s">
        <v>1516</v>
      </c>
      <c r="B353">
        <v>1</v>
      </c>
      <c r="C353" s="5">
        <v>42496</v>
      </c>
      <c r="D353" t="s">
        <v>1517</v>
      </c>
      <c r="E353" t="s">
        <v>1518</v>
      </c>
      <c r="F353" t="s">
        <v>1519</v>
      </c>
      <c r="G353" t="s">
        <v>645</v>
      </c>
      <c r="H353" t="s">
        <v>33</v>
      </c>
      <c r="K353" t="s">
        <v>34</v>
      </c>
      <c r="L353" t="s">
        <v>35</v>
      </c>
      <c r="M353" t="s">
        <v>36</v>
      </c>
      <c r="Q353" t="s">
        <v>37</v>
      </c>
      <c r="R353" t="s">
        <v>38</v>
      </c>
      <c r="S353" t="s">
        <v>84</v>
      </c>
      <c r="T353" t="s">
        <v>73</v>
      </c>
      <c r="U353" t="s">
        <v>41</v>
      </c>
      <c r="V353" s="9" t="str">
        <f>HYPERLINK("https://app.ntsb.gov/pdfgenerator/ReportGeneratorFile.ashx?EventID=20160510X62435&amp;AKey=1&amp;Rtype=Final&amp;IType=CA","PDF Report")</f>
        <v>PDF Report</v>
      </c>
    </row>
    <row r="354" spans="1:22" x14ac:dyDescent="0.25">
      <c r="A354" t="s">
        <v>1520</v>
      </c>
      <c r="B354">
        <v>1</v>
      </c>
      <c r="C354" s="5">
        <v>42496</v>
      </c>
      <c r="D354" t="s">
        <v>1521</v>
      </c>
      <c r="E354" t="s">
        <v>1522</v>
      </c>
      <c r="F354" t="s">
        <v>1523</v>
      </c>
      <c r="G354" t="s">
        <v>66</v>
      </c>
      <c r="H354" t="s">
        <v>33</v>
      </c>
      <c r="K354" t="s">
        <v>34</v>
      </c>
      <c r="L354" t="s">
        <v>35</v>
      </c>
      <c r="M354" t="s">
        <v>767</v>
      </c>
      <c r="Q354" t="s">
        <v>185</v>
      </c>
      <c r="R354" t="s">
        <v>768</v>
      </c>
      <c r="S354" t="s">
        <v>39</v>
      </c>
      <c r="T354" t="s">
        <v>49</v>
      </c>
      <c r="U354" t="s">
        <v>41</v>
      </c>
      <c r="V354" s="9" t="str">
        <f>HYPERLINK("https://app.ntsb.gov/pdfgenerator/ReportGeneratorFile.ashx?EventID=20160511X23030&amp;AKey=1&amp;Rtype=Final&amp;IType=LA","PDF Report")</f>
        <v>PDF Report</v>
      </c>
    </row>
    <row r="355" spans="1:22" x14ac:dyDescent="0.25">
      <c r="A355" t="s">
        <v>1524</v>
      </c>
      <c r="B355">
        <v>1</v>
      </c>
      <c r="C355" s="5">
        <v>42497</v>
      </c>
      <c r="D355" t="s">
        <v>1525</v>
      </c>
      <c r="E355" t="s">
        <v>1526</v>
      </c>
      <c r="F355" t="s">
        <v>1527</v>
      </c>
      <c r="G355" t="s">
        <v>287</v>
      </c>
      <c r="H355" t="s">
        <v>33</v>
      </c>
      <c r="I355">
        <v>1</v>
      </c>
      <c r="J355">
        <v>1</v>
      </c>
      <c r="K355" t="s">
        <v>90</v>
      </c>
      <c r="L355" t="s">
        <v>35</v>
      </c>
      <c r="M355" t="s">
        <v>36</v>
      </c>
      <c r="Q355" t="s">
        <v>37</v>
      </c>
      <c r="R355" t="s">
        <v>130</v>
      </c>
      <c r="S355" t="s">
        <v>97</v>
      </c>
      <c r="T355" t="s">
        <v>61</v>
      </c>
      <c r="U355" t="s">
        <v>41</v>
      </c>
      <c r="V355" s="9" t="str">
        <f>HYPERLINK("https://app.ntsb.gov/pdfgenerator/ReportGeneratorFile.ashx?EventID=20160507X23700&amp;AKey=1&amp;Rtype=Final&amp;IType=FA","PDF Report")</f>
        <v>PDF Report</v>
      </c>
    </row>
    <row r="356" spans="1:22" x14ac:dyDescent="0.25">
      <c r="A356" t="s">
        <v>1528</v>
      </c>
      <c r="B356">
        <v>1</v>
      </c>
      <c r="C356" s="5">
        <v>42497</v>
      </c>
      <c r="D356" t="s">
        <v>1529</v>
      </c>
      <c r="E356" t="s">
        <v>1530</v>
      </c>
      <c r="F356" t="s">
        <v>1531</v>
      </c>
      <c r="G356" t="s">
        <v>46</v>
      </c>
      <c r="H356" t="s">
        <v>33</v>
      </c>
      <c r="J356">
        <v>1</v>
      </c>
      <c r="K356" t="s">
        <v>55</v>
      </c>
      <c r="L356" t="s">
        <v>35</v>
      </c>
      <c r="M356" t="s">
        <v>36</v>
      </c>
      <c r="Q356" t="s">
        <v>37</v>
      </c>
      <c r="R356" t="s">
        <v>38</v>
      </c>
      <c r="S356" t="s">
        <v>48</v>
      </c>
      <c r="T356" t="s">
        <v>79</v>
      </c>
      <c r="U356" t="s">
        <v>41</v>
      </c>
      <c r="V356" s="9" t="str">
        <f>HYPERLINK("https://app.ntsb.gov/pdfgenerator/ReportGeneratorFile.ashx?EventID=20160509X95319&amp;AKey=1&amp;Rtype=Final&amp;IType=LA","PDF Report")</f>
        <v>PDF Report</v>
      </c>
    </row>
    <row r="357" spans="1:22" x14ac:dyDescent="0.25">
      <c r="A357" t="s">
        <v>1532</v>
      </c>
      <c r="B357">
        <v>1</v>
      </c>
      <c r="C357" s="5">
        <v>42497</v>
      </c>
      <c r="D357" t="s">
        <v>1533</v>
      </c>
      <c r="E357" t="s">
        <v>1534</v>
      </c>
      <c r="F357" t="s">
        <v>1535</v>
      </c>
      <c r="G357" t="s">
        <v>66</v>
      </c>
      <c r="H357" t="s">
        <v>33</v>
      </c>
      <c r="K357" t="s">
        <v>34</v>
      </c>
      <c r="L357" t="s">
        <v>35</v>
      </c>
      <c r="M357" t="s">
        <v>36</v>
      </c>
      <c r="Q357" t="s">
        <v>37</v>
      </c>
      <c r="R357" t="s">
        <v>38</v>
      </c>
      <c r="S357" t="s">
        <v>48</v>
      </c>
      <c r="T357" t="s">
        <v>49</v>
      </c>
      <c r="U357" t="s">
        <v>41</v>
      </c>
      <c r="V357" s="9" t="str">
        <f>HYPERLINK("https://app.ntsb.gov/pdfgenerator/ReportGeneratorFile.ashx?EventID=20160510X01715&amp;AKey=1&amp;Rtype=Final&amp;IType=CA","PDF Report")</f>
        <v>PDF Report</v>
      </c>
    </row>
    <row r="358" spans="1:22" x14ac:dyDescent="0.25">
      <c r="A358" t="s">
        <v>1536</v>
      </c>
      <c r="B358">
        <v>1</v>
      </c>
      <c r="C358" s="5">
        <v>42497</v>
      </c>
      <c r="D358" t="s">
        <v>1537</v>
      </c>
      <c r="E358" t="s">
        <v>1538</v>
      </c>
      <c r="F358" t="s">
        <v>1539</v>
      </c>
      <c r="G358" t="s">
        <v>115</v>
      </c>
      <c r="H358" t="s">
        <v>33</v>
      </c>
      <c r="K358" t="s">
        <v>34</v>
      </c>
      <c r="L358" t="s">
        <v>35</v>
      </c>
      <c r="M358" t="s">
        <v>36</v>
      </c>
      <c r="Q358" t="s">
        <v>37</v>
      </c>
      <c r="R358" t="s">
        <v>38</v>
      </c>
      <c r="S358" t="s">
        <v>48</v>
      </c>
      <c r="T358" t="s">
        <v>49</v>
      </c>
      <c r="U358" t="s">
        <v>41</v>
      </c>
      <c r="V358" s="9" t="str">
        <f>HYPERLINK("https://app.ntsb.gov/pdfgenerator/ReportGeneratorFile.ashx?EventID=20160510X10340&amp;AKey=1&amp;Rtype=Final&amp;IType=CA","PDF Report")</f>
        <v>PDF Report</v>
      </c>
    </row>
    <row r="359" spans="1:22" x14ac:dyDescent="0.25">
      <c r="A359" t="s">
        <v>1540</v>
      </c>
      <c r="B359">
        <v>1</v>
      </c>
      <c r="C359" s="5">
        <v>42498</v>
      </c>
      <c r="D359" t="s">
        <v>1541</v>
      </c>
      <c r="E359" t="s">
        <v>1542</v>
      </c>
      <c r="F359" t="s">
        <v>1543</v>
      </c>
      <c r="G359" t="s">
        <v>66</v>
      </c>
      <c r="H359" t="s">
        <v>33</v>
      </c>
      <c r="J359">
        <v>1</v>
      </c>
      <c r="K359" t="s">
        <v>55</v>
      </c>
      <c r="L359" t="s">
        <v>35</v>
      </c>
      <c r="M359" t="s">
        <v>36</v>
      </c>
      <c r="Q359" t="s">
        <v>37</v>
      </c>
      <c r="R359" t="s">
        <v>38</v>
      </c>
      <c r="S359" t="s">
        <v>97</v>
      </c>
      <c r="T359" t="s">
        <v>61</v>
      </c>
      <c r="U359" t="s">
        <v>41</v>
      </c>
      <c r="V359" s="9" t="str">
        <f>HYPERLINK("https://app.ntsb.gov/pdfgenerator/ReportGeneratorFile.ashx?EventID=20160508X23450&amp;AKey=1&amp;Rtype=Final&amp;IType=FA","PDF Report")</f>
        <v>PDF Report</v>
      </c>
    </row>
    <row r="360" spans="1:22" x14ac:dyDescent="0.25">
      <c r="A360" t="s">
        <v>1544</v>
      </c>
      <c r="B360">
        <v>1</v>
      </c>
      <c r="C360" s="5">
        <v>42498</v>
      </c>
      <c r="D360" t="s">
        <v>1545</v>
      </c>
      <c r="E360" t="s">
        <v>1546</v>
      </c>
      <c r="F360" t="s">
        <v>1547</v>
      </c>
      <c r="G360" t="s">
        <v>264</v>
      </c>
      <c r="H360" t="s">
        <v>33</v>
      </c>
      <c r="K360" t="s">
        <v>34</v>
      </c>
      <c r="L360" t="s">
        <v>35</v>
      </c>
      <c r="M360" t="s">
        <v>767</v>
      </c>
      <c r="Q360" t="s">
        <v>37</v>
      </c>
      <c r="R360" t="s">
        <v>768</v>
      </c>
      <c r="S360" t="s">
        <v>131</v>
      </c>
      <c r="T360" t="s">
        <v>73</v>
      </c>
      <c r="U360" t="s">
        <v>41</v>
      </c>
      <c r="V360" s="9" t="str">
        <f>HYPERLINK("https://app.ntsb.gov/pdfgenerator/ReportGeneratorFile.ashx?EventID=20160510X21705&amp;AKey=1&amp;Rtype=Final&amp;IType=CA","PDF Report")</f>
        <v>PDF Report</v>
      </c>
    </row>
    <row r="361" spans="1:22" x14ac:dyDescent="0.25">
      <c r="A361" t="s">
        <v>1548</v>
      </c>
      <c r="B361">
        <v>1</v>
      </c>
      <c r="C361" s="5">
        <v>42499</v>
      </c>
      <c r="D361" t="s">
        <v>1549</v>
      </c>
      <c r="E361" t="s">
        <v>1550</v>
      </c>
      <c r="F361" t="s">
        <v>1551</v>
      </c>
      <c r="G361" t="s">
        <v>96</v>
      </c>
      <c r="H361" t="s">
        <v>33</v>
      </c>
      <c r="K361" t="s">
        <v>47</v>
      </c>
      <c r="L361" t="s">
        <v>35</v>
      </c>
      <c r="M361" t="s">
        <v>36</v>
      </c>
      <c r="Q361" t="s">
        <v>37</v>
      </c>
      <c r="R361" t="s">
        <v>38</v>
      </c>
      <c r="S361" t="s">
        <v>48</v>
      </c>
      <c r="T361" t="s">
        <v>49</v>
      </c>
      <c r="U361" t="s">
        <v>41</v>
      </c>
      <c r="V361" s="9" t="str">
        <f>HYPERLINK("https://app.ntsb.gov/pdfgenerator/ReportGeneratorFile.ashx?EventID=20160510X64921&amp;AKey=1&amp;Rtype=Final&amp;IType=CA","PDF Report")</f>
        <v>PDF Report</v>
      </c>
    </row>
    <row r="362" spans="1:22" x14ac:dyDescent="0.25">
      <c r="A362" t="s">
        <v>1552</v>
      </c>
      <c r="B362">
        <v>1</v>
      </c>
      <c r="C362" s="5">
        <v>42500</v>
      </c>
      <c r="D362" t="s">
        <v>1553</v>
      </c>
      <c r="E362" t="s">
        <v>1554</v>
      </c>
      <c r="F362" t="s">
        <v>1555</v>
      </c>
      <c r="G362" t="s">
        <v>66</v>
      </c>
      <c r="H362" t="s">
        <v>33</v>
      </c>
      <c r="K362" t="s">
        <v>47</v>
      </c>
      <c r="L362" t="s">
        <v>35</v>
      </c>
      <c r="M362" t="s">
        <v>36</v>
      </c>
      <c r="Q362" t="s">
        <v>37</v>
      </c>
      <c r="R362" t="s">
        <v>38</v>
      </c>
      <c r="S362" t="s">
        <v>191</v>
      </c>
      <c r="T362" t="s">
        <v>49</v>
      </c>
      <c r="U362" t="s">
        <v>41</v>
      </c>
      <c r="V362" s="9" t="str">
        <f>HYPERLINK("https://app.ntsb.gov/pdfgenerator/ReportGeneratorFile.ashx?EventID=20160511X13324&amp;AKey=1&amp;Rtype=Final&amp;IType=LA","PDF Report")</f>
        <v>PDF Report</v>
      </c>
    </row>
    <row r="363" spans="1:22" x14ac:dyDescent="0.25">
      <c r="A363" t="s">
        <v>1556</v>
      </c>
      <c r="B363">
        <v>1</v>
      </c>
      <c r="C363" s="5">
        <v>42500</v>
      </c>
      <c r="D363" t="s">
        <v>1401</v>
      </c>
      <c r="E363" t="s">
        <v>1557</v>
      </c>
      <c r="F363" t="s">
        <v>1558</v>
      </c>
      <c r="G363" t="s">
        <v>312</v>
      </c>
      <c r="H363" t="s">
        <v>33</v>
      </c>
      <c r="K363" t="s">
        <v>34</v>
      </c>
      <c r="L363" t="s">
        <v>35</v>
      </c>
      <c r="M363" t="s">
        <v>36</v>
      </c>
      <c r="Q363" t="s">
        <v>37</v>
      </c>
      <c r="R363" t="s">
        <v>38</v>
      </c>
      <c r="S363" t="s">
        <v>131</v>
      </c>
      <c r="T363" t="s">
        <v>49</v>
      </c>
      <c r="U363" t="s">
        <v>41</v>
      </c>
      <c r="V363" s="9" t="str">
        <f>HYPERLINK("https://app.ntsb.gov/pdfgenerator/ReportGeneratorFile.ashx?EventID=20160511X91028&amp;AKey=1&amp;Rtype=Final&amp;IType=LA","PDF Report")</f>
        <v>PDF Report</v>
      </c>
    </row>
    <row r="364" spans="1:22" x14ac:dyDescent="0.25">
      <c r="A364" t="s">
        <v>1559</v>
      </c>
      <c r="B364">
        <v>1</v>
      </c>
      <c r="C364" s="5">
        <v>42500</v>
      </c>
      <c r="D364" t="s">
        <v>1560</v>
      </c>
      <c r="E364" t="s">
        <v>1561</v>
      </c>
      <c r="F364" t="s">
        <v>1562</v>
      </c>
      <c r="G364" t="s">
        <v>348</v>
      </c>
      <c r="H364" t="s">
        <v>33</v>
      </c>
      <c r="K364" t="s">
        <v>34</v>
      </c>
      <c r="L364" t="s">
        <v>35</v>
      </c>
      <c r="M364" t="s">
        <v>36</v>
      </c>
      <c r="Q364" t="s">
        <v>37</v>
      </c>
      <c r="R364" t="s">
        <v>130</v>
      </c>
      <c r="S364" t="s">
        <v>396</v>
      </c>
      <c r="T364" t="s">
        <v>73</v>
      </c>
      <c r="U364" t="s">
        <v>41</v>
      </c>
      <c r="V364" s="9" t="str">
        <f>HYPERLINK("https://app.ntsb.gov/pdfgenerator/ReportGeneratorFile.ashx?EventID=20160518X32211&amp;AKey=1&amp;Rtype=Final&amp;IType=LA","PDF Report")</f>
        <v>PDF Report</v>
      </c>
    </row>
    <row r="365" spans="1:22" x14ac:dyDescent="0.25">
      <c r="A365" t="s">
        <v>1563</v>
      </c>
      <c r="B365">
        <v>1</v>
      </c>
      <c r="C365" s="5">
        <v>42501</v>
      </c>
      <c r="D365" t="s">
        <v>1564</v>
      </c>
      <c r="E365" t="s">
        <v>1565</v>
      </c>
      <c r="F365" t="s">
        <v>1566</v>
      </c>
      <c r="G365" t="s">
        <v>287</v>
      </c>
      <c r="H365" t="s">
        <v>33</v>
      </c>
      <c r="K365" t="s">
        <v>34</v>
      </c>
      <c r="L365" t="s">
        <v>35</v>
      </c>
      <c r="M365" t="s">
        <v>36</v>
      </c>
      <c r="Q365" t="s">
        <v>37</v>
      </c>
      <c r="R365" t="s">
        <v>38</v>
      </c>
      <c r="S365" t="s">
        <v>39</v>
      </c>
      <c r="T365" t="s">
        <v>143</v>
      </c>
      <c r="U365" t="s">
        <v>41</v>
      </c>
      <c r="V365" s="9" t="str">
        <f>HYPERLINK("https://app.ntsb.gov/pdfgenerator/ReportGeneratorFile.ashx?EventID=20160511X13726&amp;AKey=1&amp;Rtype=Final&amp;IType=LA","PDF Report")</f>
        <v>PDF Report</v>
      </c>
    </row>
    <row r="366" spans="1:22" x14ac:dyDescent="0.25">
      <c r="A366" t="s">
        <v>1567</v>
      </c>
      <c r="B366">
        <v>1</v>
      </c>
      <c r="C366" s="5">
        <v>42501</v>
      </c>
      <c r="D366" t="s">
        <v>1413</v>
      </c>
      <c r="E366" t="s">
        <v>1414</v>
      </c>
      <c r="F366" t="s">
        <v>1415</v>
      </c>
      <c r="G366" t="s">
        <v>1416</v>
      </c>
      <c r="H366" t="s">
        <v>33</v>
      </c>
      <c r="K366" t="s">
        <v>47</v>
      </c>
      <c r="L366" t="s">
        <v>35</v>
      </c>
      <c r="M366" t="s">
        <v>36</v>
      </c>
      <c r="Q366" t="s">
        <v>37</v>
      </c>
      <c r="R366" t="s">
        <v>38</v>
      </c>
      <c r="S366" t="s">
        <v>317</v>
      </c>
      <c r="T366" t="s">
        <v>73</v>
      </c>
      <c r="U366" t="s">
        <v>41</v>
      </c>
      <c r="V366" s="9" t="str">
        <f>HYPERLINK("https://app.ntsb.gov/pdfgenerator/ReportGeneratorFile.ashx?EventID=20160511X50135&amp;AKey=1&amp;Rtype=Final&amp;IType=CA","PDF Report")</f>
        <v>PDF Report</v>
      </c>
    </row>
    <row r="367" spans="1:22" x14ac:dyDescent="0.25">
      <c r="A367" t="s">
        <v>1568</v>
      </c>
      <c r="B367">
        <v>1</v>
      </c>
      <c r="C367" s="5">
        <v>42501</v>
      </c>
      <c r="D367" t="s">
        <v>1569</v>
      </c>
      <c r="E367" t="s">
        <v>1570</v>
      </c>
      <c r="F367" t="s">
        <v>1571</v>
      </c>
      <c r="G367" t="s">
        <v>169</v>
      </c>
      <c r="H367" t="s">
        <v>33</v>
      </c>
      <c r="K367" t="s">
        <v>47</v>
      </c>
      <c r="L367" t="s">
        <v>35</v>
      </c>
      <c r="M367" t="s">
        <v>767</v>
      </c>
      <c r="Q367" t="s">
        <v>37</v>
      </c>
      <c r="R367" t="s">
        <v>768</v>
      </c>
      <c r="S367" t="s">
        <v>97</v>
      </c>
      <c r="T367" t="s">
        <v>40</v>
      </c>
      <c r="U367" t="s">
        <v>41</v>
      </c>
      <c r="V367" s="9" t="str">
        <f>HYPERLINK("https://app.ntsb.gov/pdfgenerator/ReportGeneratorFile.ashx?EventID=20160512X20316&amp;AKey=1&amp;Rtype=Final&amp;IType=LA","PDF Report")</f>
        <v>PDF Report</v>
      </c>
    </row>
    <row r="368" spans="1:22" x14ac:dyDescent="0.25">
      <c r="A368" t="s">
        <v>1572</v>
      </c>
      <c r="B368">
        <v>1</v>
      </c>
      <c r="C368" s="5">
        <v>42501</v>
      </c>
      <c r="D368" t="s">
        <v>1573</v>
      </c>
      <c r="E368" t="s">
        <v>1574</v>
      </c>
      <c r="F368" t="s">
        <v>1575</v>
      </c>
      <c r="G368" t="s">
        <v>683</v>
      </c>
      <c r="H368" t="s">
        <v>33</v>
      </c>
      <c r="K368" t="s">
        <v>34</v>
      </c>
      <c r="L368" t="s">
        <v>35</v>
      </c>
      <c r="M368" t="s">
        <v>36</v>
      </c>
      <c r="Q368" t="s">
        <v>37</v>
      </c>
      <c r="R368" t="s">
        <v>38</v>
      </c>
      <c r="S368" t="s">
        <v>48</v>
      </c>
      <c r="T368" t="s">
        <v>73</v>
      </c>
      <c r="U368" t="s">
        <v>41</v>
      </c>
      <c r="V368" s="9" t="str">
        <f>HYPERLINK("https://app.ntsb.gov/pdfgenerator/ReportGeneratorFile.ashx?EventID=20160516X10337&amp;AKey=1&amp;Rtype=Final&amp;IType=CA","PDF Report")</f>
        <v>PDF Report</v>
      </c>
    </row>
    <row r="369" spans="1:22" x14ac:dyDescent="0.25">
      <c r="A369" t="s">
        <v>1576</v>
      </c>
      <c r="B369">
        <v>1</v>
      </c>
      <c r="C369" s="5">
        <v>42502</v>
      </c>
      <c r="D369" t="s">
        <v>1577</v>
      </c>
      <c r="E369" t="s">
        <v>1578</v>
      </c>
      <c r="F369" t="s">
        <v>1579</v>
      </c>
      <c r="G369" t="s">
        <v>66</v>
      </c>
      <c r="H369" t="s">
        <v>33</v>
      </c>
      <c r="K369" t="s">
        <v>47</v>
      </c>
      <c r="L369" t="s">
        <v>35</v>
      </c>
      <c r="M369" t="s">
        <v>36</v>
      </c>
      <c r="Q369" t="s">
        <v>37</v>
      </c>
      <c r="R369" t="s">
        <v>1132</v>
      </c>
      <c r="S369" t="s">
        <v>39</v>
      </c>
      <c r="T369" t="s">
        <v>61</v>
      </c>
      <c r="U369" t="s">
        <v>41</v>
      </c>
      <c r="V369" s="9" t="str">
        <f>HYPERLINK("https://app.ntsb.gov/pdfgenerator/ReportGeneratorFile.ashx?EventID=20160513X05838&amp;AKey=1&amp;Rtype=Final&amp;IType=LA","PDF Report")</f>
        <v>PDF Report</v>
      </c>
    </row>
    <row r="370" spans="1:22" x14ac:dyDescent="0.25">
      <c r="A370" t="s">
        <v>1580</v>
      </c>
      <c r="B370">
        <v>1</v>
      </c>
      <c r="C370" s="5">
        <v>42502</v>
      </c>
      <c r="D370" t="s">
        <v>1581</v>
      </c>
      <c r="E370" t="s">
        <v>1582</v>
      </c>
      <c r="F370" t="s">
        <v>1150</v>
      </c>
      <c r="G370" t="s">
        <v>348</v>
      </c>
      <c r="H370" t="s">
        <v>33</v>
      </c>
      <c r="K370" t="s">
        <v>34</v>
      </c>
      <c r="L370" t="s">
        <v>35</v>
      </c>
      <c r="M370" t="s">
        <v>36</v>
      </c>
      <c r="Q370" t="s">
        <v>37</v>
      </c>
      <c r="R370" t="s">
        <v>38</v>
      </c>
      <c r="S370" t="s">
        <v>84</v>
      </c>
      <c r="T370" t="s">
        <v>73</v>
      </c>
      <c r="U370" t="s">
        <v>41</v>
      </c>
      <c r="V370" s="9" t="str">
        <f>HYPERLINK("https://app.ntsb.gov/pdfgenerator/ReportGeneratorFile.ashx?EventID=20160517X35427&amp;AKey=1&amp;Rtype=Final&amp;IType=CA","PDF Report")</f>
        <v>PDF Report</v>
      </c>
    </row>
    <row r="371" spans="1:22" x14ac:dyDescent="0.25">
      <c r="A371" t="s">
        <v>1583</v>
      </c>
      <c r="B371">
        <v>1</v>
      </c>
      <c r="C371" s="5">
        <v>42502</v>
      </c>
      <c r="D371" t="s">
        <v>1584</v>
      </c>
      <c r="E371" t="s">
        <v>1585</v>
      </c>
      <c r="F371" t="s">
        <v>1586</v>
      </c>
      <c r="G371" t="s">
        <v>287</v>
      </c>
      <c r="H371" t="s">
        <v>33</v>
      </c>
      <c r="K371" t="s">
        <v>34</v>
      </c>
      <c r="L371" t="s">
        <v>35</v>
      </c>
      <c r="M371" t="s">
        <v>36</v>
      </c>
      <c r="Q371" t="s">
        <v>37</v>
      </c>
      <c r="R371" t="s">
        <v>38</v>
      </c>
      <c r="S371" t="s">
        <v>163</v>
      </c>
      <c r="T371" t="s">
        <v>378</v>
      </c>
      <c r="U371" t="s">
        <v>41</v>
      </c>
      <c r="V371" s="9" t="str">
        <f>HYPERLINK("https://app.ntsb.gov/pdfgenerator/ReportGeneratorFile.ashx?EventID=20160517X40205&amp;AKey=1&amp;Rtype=Final&amp;IType=CA","PDF Report")</f>
        <v>PDF Report</v>
      </c>
    </row>
    <row r="372" spans="1:22" x14ac:dyDescent="0.25">
      <c r="A372" t="s">
        <v>1587</v>
      </c>
      <c r="B372">
        <v>1</v>
      </c>
      <c r="C372" s="5">
        <v>42503</v>
      </c>
      <c r="D372" t="s">
        <v>1588</v>
      </c>
      <c r="E372" t="s">
        <v>1589</v>
      </c>
      <c r="F372" t="s">
        <v>1590</v>
      </c>
      <c r="G372" t="s">
        <v>66</v>
      </c>
      <c r="H372" t="s">
        <v>33</v>
      </c>
      <c r="K372" t="s">
        <v>47</v>
      </c>
      <c r="L372" t="s">
        <v>110</v>
      </c>
      <c r="M372" t="s">
        <v>36</v>
      </c>
      <c r="Q372" t="s">
        <v>37</v>
      </c>
      <c r="R372" t="s">
        <v>505</v>
      </c>
      <c r="S372" t="s">
        <v>39</v>
      </c>
      <c r="T372" t="s">
        <v>79</v>
      </c>
      <c r="U372" t="s">
        <v>41</v>
      </c>
      <c r="V372" s="9" t="str">
        <f>HYPERLINK("https://app.ntsb.gov/pdfgenerator/ReportGeneratorFile.ashx?EventID=20160513X30806&amp;AKey=1&amp;Rtype=Final&amp;IType=LA","PDF Report")</f>
        <v>PDF Report</v>
      </c>
    </row>
    <row r="373" spans="1:22" x14ac:dyDescent="0.25">
      <c r="A373" t="s">
        <v>1591</v>
      </c>
      <c r="B373">
        <v>1</v>
      </c>
      <c r="C373" s="5">
        <v>42503</v>
      </c>
      <c r="D373" t="s">
        <v>1592</v>
      </c>
      <c r="E373" t="s">
        <v>1593</v>
      </c>
      <c r="F373" t="s">
        <v>1594</v>
      </c>
      <c r="G373" t="s">
        <v>66</v>
      </c>
      <c r="H373" t="s">
        <v>33</v>
      </c>
      <c r="K373" t="s">
        <v>47</v>
      </c>
      <c r="L373" t="s">
        <v>35</v>
      </c>
      <c r="M373" t="s">
        <v>36</v>
      </c>
      <c r="Q373" t="s">
        <v>37</v>
      </c>
      <c r="R373" t="s">
        <v>38</v>
      </c>
      <c r="S373" t="s">
        <v>131</v>
      </c>
      <c r="T373" t="s">
        <v>73</v>
      </c>
      <c r="U373" t="s">
        <v>41</v>
      </c>
      <c r="V373" s="9" t="str">
        <f>HYPERLINK("https://app.ntsb.gov/pdfgenerator/ReportGeneratorFile.ashx?EventID=20160513X85711&amp;AKey=1&amp;Rtype=Final&amp;IType=LA","PDF Report")</f>
        <v>PDF Report</v>
      </c>
    </row>
    <row r="374" spans="1:22" x14ac:dyDescent="0.25">
      <c r="A374" t="s">
        <v>1595</v>
      </c>
      <c r="B374">
        <v>1</v>
      </c>
      <c r="C374" s="5">
        <v>42503</v>
      </c>
      <c r="D374" t="s">
        <v>1596</v>
      </c>
      <c r="E374" t="s">
        <v>1597</v>
      </c>
      <c r="F374" t="s">
        <v>278</v>
      </c>
      <c r="G374" t="s">
        <v>120</v>
      </c>
      <c r="H374" t="s">
        <v>33</v>
      </c>
      <c r="K374" t="s">
        <v>34</v>
      </c>
      <c r="L374" t="s">
        <v>35</v>
      </c>
      <c r="M374" t="s">
        <v>36</v>
      </c>
      <c r="Q374" t="s">
        <v>37</v>
      </c>
      <c r="R374" t="s">
        <v>38</v>
      </c>
      <c r="S374" t="s">
        <v>131</v>
      </c>
      <c r="T374" t="s">
        <v>73</v>
      </c>
      <c r="U374" t="s">
        <v>41</v>
      </c>
      <c r="V374" s="9" t="str">
        <f>HYPERLINK("https://app.ntsb.gov/pdfgenerator/ReportGeneratorFile.ashx?EventID=20160513X90002&amp;AKey=1&amp;Rtype=Final&amp;IType=LA","PDF Report")</f>
        <v>PDF Report</v>
      </c>
    </row>
    <row r="375" spans="1:22" x14ac:dyDescent="0.25">
      <c r="A375" t="s">
        <v>1598</v>
      </c>
      <c r="B375">
        <v>1</v>
      </c>
      <c r="C375" s="5">
        <v>42503</v>
      </c>
      <c r="D375" t="s">
        <v>1599</v>
      </c>
      <c r="E375" t="s">
        <v>1600</v>
      </c>
      <c r="F375" t="s">
        <v>1601</v>
      </c>
      <c r="G375" t="s">
        <v>491</v>
      </c>
      <c r="H375" t="s">
        <v>33</v>
      </c>
      <c r="I375">
        <v>1</v>
      </c>
      <c r="K375" t="s">
        <v>90</v>
      </c>
      <c r="L375" t="s">
        <v>35</v>
      </c>
      <c r="M375" t="s">
        <v>767</v>
      </c>
      <c r="Q375" t="s">
        <v>185</v>
      </c>
      <c r="R375" t="s">
        <v>768</v>
      </c>
      <c r="S375" t="s">
        <v>131</v>
      </c>
      <c r="T375" t="s">
        <v>49</v>
      </c>
      <c r="U375" t="s">
        <v>41</v>
      </c>
      <c r="V375" s="9" t="str">
        <f>HYPERLINK("https://app.ntsb.gov/pdfgenerator/ReportGeneratorFile.ashx?EventID=20160516X00545&amp;AKey=1&amp;Rtype=Final&amp;IType=LA","PDF Report")</f>
        <v>PDF Report</v>
      </c>
    </row>
    <row r="376" spans="1:22" x14ac:dyDescent="0.25">
      <c r="A376" t="s">
        <v>1602</v>
      </c>
      <c r="B376">
        <v>1</v>
      </c>
      <c r="C376" s="5">
        <v>42503</v>
      </c>
      <c r="D376" t="s">
        <v>1603</v>
      </c>
      <c r="E376" t="s">
        <v>1604</v>
      </c>
      <c r="F376" t="s">
        <v>1605</v>
      </c>
      <c r="G376" t="s">
        <v>237</v>
      </c>
      <c r="H376" t="s">
        <v>33</v>
      </c>
      <c r="J376">
        <v>1</v>
      </c>
      <c r="K376" t="s">
        <v>55</v>
      </c>
      <c r="L376" t="s">
        <v>35</v>
      </c>
      <c r="M376" t="s">
        <v>36</v>
      </c>
      <c r="Q376" t="s">
        <v>523</v>
      </c>
      <c r="R376" t="s">
        <v>274</v>
      </c>
      <c r="S376" t="s">
        <v>84</v>
      </c>
      <c r="T376" t="s">
        <v>73</v>
      </c>
      <c r="U376" t="s">
        <v>41</v>
      </c>
      <c r="V376" s="9" t="str">
        <f>HYPERLINK("https://app.ntsb.gov/pdfgenerator/ReportGeneratorFile.ashx?EventID=20160516X15413&amp;AKey=1&amp;Rtype=Final&amp;IType=LA","PDF Report")</f>
        <v>PDF Report</v>
      </c>
    </row>
    <row r="377" spans="1:22" x14ac:dyDescent="0.25">
      <c r="A377" t="s">
        <v>1606</v>
      </c>
      <c r="B377">
        <v>1</v>
      </c>
      <c r="C377" s="5">
        <v>42503</v>
      </c>
      <c r="D377" t="s">
        <v>1607</v>
      </c>
      <c r="E377" t="s">
        <v>1608</v>
      </c>
      <c r="F377" t="s">
        <v>1609</v>
      </c>
      <c r="G377" t="s">
        <v>142</v>
      </c>
      <c r="H377" t="s">
        <v>33</v>
      </c>
      <c r="K377" t="s">
        <v>34</v>
      </c>
      <c r="L377" t="s">
        <v>35</v>
      </c>
      <c r="M377" t="s">
        <v>36</v>
      </c>
      <c r="Q377" t="s">
        <v>37</v>
      </c>
      <c r="R377" t="s">
        <v>38</v>
      </c>
      <c r="S377" t="s">
        <v>584</v>
      </c>
      <c r="T377" t="s">
        <v>143</v>
      </c>
      <c r="U377" t="s">
        <v>41</v>
      </c>
      <c r="V377" s="9" t="str">
        <f>HYPERLINK("https://app.ntsb.gov/pdfgenerator/ReportGeneratorFile.ashx?EventID=20160516X70808&amp;AKey=1&amp;Rtype=Final&amp;IType=LA","PDF Report")</f>
        <v>PDF Report</v>
      </c>
    </row>
    <row r="378" spans="1:22" x14ac:dyDescent="0.25">
      <c r="A378" t="s">
        <v>1610</v>
      </c>
      <c r="B378">
        <v>1</v>
      </c>
      <c r="C378" s="5">
        <v>42503</v>
      </c>
      <c r="D378" t="s">
        <v>1611</v>
      </c>
      <c r="E378" t="s">
        <v>1612</v>
      </c>
      <c r="F378" t="s">
        <v>1613</v>
      </c>
      <c r="G378" t="s">
        <v>96</v>
      </c>
      <c r="H378" t="s">
        <v>33</v>
      </c>
      <c r="K378" t="s">
        <v>34</v>
      </c>
      <c r="L378" t="s">
        <v>35</v>
      </c>
      <c r="M378" t="s">
        <v>36</v>
      </c>
      <c r="Q378" t="s">
        <v>37</v>
      </c>
      <c r="R378" t="s">
        <v>38</v>
      </c>
      <c r="S378" t="s">
        <v>72</v>
      </c>
      <c r="T378" t="s">
        <v>49</v>
      </c>
      <c r="U378" t="s">
        <v>41</v>
      </c>
      <c r="V378" s="9" t="str">
        <f>HYPERLINK("https://app.ntsb.gov/pdfgenerator/ReportGeneratorFile.ashx?EventID=20160517X14712&amp;AKey=1&amp;Rtype=Final&amp;IType=LA","PDF Report")</f>
        <v>PDF Report</v>
      </c>
    </row>
    <row r="379" spans="1:22" x14ac:dyDescent="0.25">
      <c r="A379" t="s">
        <v>1614</v>
      </c>
      <c r="B379">
        <v>1</v>
      </c>
      <c r="C379" s="5">
        <v>42503</v>
      </c>
      <c r="D379" t="s">
        <v>1615</v>
      </c>
      <c r="E379" t="s">
        <v>1616</v>
      </c>
      <c r="F379" t="s">
        <v>1617</v>
      </c>
      <c r="G379" t="s">
        <v>312</v>
      </c>
      <c r="H379" t="s">
        <v>33</v>
      </c>
      <c r="K379" t="s">
        <v>34</v>
      </c>
      <c r="L379" t="s">
        <v>35</v>
      </c>
      <c r="M379" t="s">
        <v>36</v>
      </c>
      <c r="Q379" t="s">
        <v>37</v>
      </c>
      <c r="R379" t="s">
        <v>38</v>
      </c>
      <c r="S379" t="s">
        <v>131</v>
      </c>
      <c r="T379" t="s">
        <v>73</v>
      </c>
      <c r="U379" t="s">
        <v>41</v>
      </c>
      <c r="V379" s="9" t="str">
        <f>HYPERLINK("https://app.ntsb.gov/pdfgenerator/ReportGeneratorFile.ashx?EventID=20160517X60053&amp;AKey=1&amp;Rtype=Final&amp;IType=CA","PDF Report")</f>
        <v>PDF Report</v>
      </c>
    </row>
    <row r="380" spans="1:22" x14ac:dyDescent="0.25">
      <c r="A380" t="s">
        <v>1618</v>
      </c>
      <c r="B380">
        <v>1</v>
      </c>
      <c r="C380" s="5">
        <v>42503</v>
      </c>
      <c r="D380" t="s">
        <v>1619</v>
      </c>
      <c r="E380" t="s">
        <v>1620</v>
      </c>
      <c r="F380" t="s">
        <v>1621</v>
      </c>
      <c r="G380" t="s">
        <v>115</v>
      </c>
      <c r="H380" t="s">
        <v>33</v>
      </c>
      <c r="K380" t="s">
        <v>34</v>
      </c>
      <c r="L380" t="s">
        <v>35</v>
      </c>
      <c r="M380" t="s">
        <v>36</v>
      </c>
      <c r="Q380" t="s">
        <v>37</v>
      </c>
      <c r="R380" t="s">
        <v>38</v>
      </c>
      <c r="S380" t="s">
        <v>131</v>
      </c>
      <c r="T380" t="s">
        <v>49</v>
      </c>
      <c r="U380" t="s">
        <v>41</v>
      </c>
      <c r="V380" s="9" t="str">
        <f>HYPERLINK("https://app.ntsb.gov/pdfgenerator/ReportGeneratorFile.ashx?EventID=20160519X10102&amp;AKey=1&amp;Rtype=Final&amp;IType=CA","PDF Report")</f>
        <v>PDF Report</v>
      </c>
    </row>
    <row r="381" spans="1:22" x14ac:dyDescent="0.25">
      <c r="A381" t="s">
        <v>1622</v>
      </c>
      <c r="B381">
        <v>1</v>
      </c>
      <c r="C381" s="5">
        <v>42503</v>
      </c>
      <c r="D381" t="s">
        <v>1623</v>
      </c>
      <c r="E381" t="s">
        <v>1624</v>
      </c>
      <c r="F381" t="s">
        <v>1625</v>
      </c>
      <c r="G381" t="s">
        <v>491</v>
      </c>
      <c r="H381" t="s">
        <v>33</v>
      </c>
      <c r="K381" t="s">
        <v>34</v>
      </c>
      <c r="L381" t="s">
        <v>35</v>
      </c>
      <c r="M381" t="s">
        <v>36</v>
      </c>
      <c r="Q381" t="s">
        <v>37</v>
      </c>
      <c r="R381" t="s">
        <v>38</v>
      </c>
      <c r="S381" t="s">
        <v>39</v>
      </c>
      <c r="T381" t="s">
        <v>49</v>
      </c>
      <c r="U381" t="s">
        <v>41</v>
      </c>
      <c r="V381" s="9" t="str">
        <f>HYPERLINK("https://app.ntsb.gov/pdfgenerator/ReportGeneratorFile.ashx?EventID=20160601X91155&amp;AKey=1&amp;Rtype=Final&amp;IType=LA","PDF Report")</f>
        <v>PDF Report</v>
      </c>
    </row>
    <row r="382" spans="1:22" x14ac:dyDescent="0.25">
      <c r="A382" t="s">
        <v>1626</v>
      </c>
      <c r="B382">
        <v>1</v>
      </c>
      <c r="C382" s="5">
        <v>42504</v>
      </c>
      <c r="D382" t="s">
        <v>659</v>
      </c>
      <c r="E382" t="s">
        <v>1627</v>
      </c>
      <c r="F382" t="s">
        <v>661</v>
      </c>
      <c r="G382" t="s">
        <v>136</v>
      </c>
      <c r="H382" t="s">
        <v>33</v>
      </c>
      <c r="I382">
        <v>1</v>
      </c>
      <c r="K382" t="s">
        <v>90</v>
      </c>
      <c r="L382" t="s">
        <v>110</v>
      </c>
      <c r="M382" t="s">
        <v>36</v>
      </c>
      <c r="Q382" t="s">
        <v>37</v>
      </c>
      <c r="R382" t="s">
        <v>1628</v>
      </c>
      <c r="S382" t="s">
        <v>201</v>
      </c>
      <c r="T382" t="s">
        <v>40</v>
      </c>
      <c r="U382" t="s">
        <v>41</v>
      </c>
      <c r="V382" s="9" t="str">
        <f>HYPERLINK("https://app.ntsb.gov/pdfgenerator/ReportGeneratorFile.ashx?EventID=20160514X01501&amp;AKey=1&amp;Rtype=Final&amp;IType=FA","PDF Report")</f>
        <v>PDF Report</v>
      </c>
    </row>
    <row r="383" spans="1:22" x14ac:dyDescent="0.25">
      <c r="A383" t="s">
        <v>1629</v>
      </c>
      <c r="B383">
        <v>1</v>
      </c>
      <c r="C383" s="5">
        <v>42504</v>
      </c>
      <c r="D383" t="s">
        <v>1630</v>
      </c>
      <c r="E383" t="s">
        <v>1631</v>
      </c>
      <c r="F383" t="s">
        <v>1632</v>
      </c>
      <c r="G383" t="s">
        <v>339</v>
      </c>
      <c r="H383" t="s">
        <v>33</v>
      </c>
      <c r="J383">
        <v>1</v>
      </c>
      <c r="K383" t="s">
        <v>55</v>
      </c>
      <c r="L383" t="s">
        <v>35</v>
      </c>
      <c r="M383" t="s">
        <v>36</v>
      </c>
      <c r="Q383" t="s">
        <v>37</v>
      </c>
      <c r="R383" t="s">
        <v>38</v>
      </c>
      <c r="S383" t="s">
        <v>48</v>
      </c>
      <c r="T383" t="s">
        <v>143</v>
      </c>
      <c r="U383" t="s">
        <v>41</v>
      </c>
      <c r="V383" s="9" t="str">
        <f>HYPERLINK("https://app.ntsb.gov/pdfgenerator/ReportGeneratorFile.ashx?EventID=20160516X83754&amp;AKey=1&amp;Rtype=Final&amp;IType=LA","PDF Report")</f>
        <v>PDF Report</v>
      </c>
    </row>
    <row r="384" spans="1:22" x14ac:dyDescent="0.25">
      <c r="A384" t="s">
        <v>1633</v>
      </c>
      <c r="B384">
        <v>1</v>
      </c>
      <c r="C384" s="5">
        <v>42504</v>
      </c>
      <c r="F384" t="s">
        <v>1634</v>
      </c>
      <c r="G384" t="s">
        <v>468</v>
      </c>
      <c r="H384" t="s">
        <v>33</v>
      </c>
      <c r="J384">
        <v>1</v>
      </c>
      <c r="K384" t="s">
        <v>55</v>
      </c>
      <c r="L384" t="s">
        <v>34</v>
      </c>
      <c r="M384" t="s">
        <v>103</v>
      </c>
      <c r="N384" t="s">
        <v>57</v>
      </c>
      <c r="O384" t="s">
        <v>58</v>
      </c>
      <c r="P384" t="s">
        <v>59</v>
      </c>
      <c r="Q384" t="s">
        <v>37</v>
      </c>
      <c r="S384" t="s">
        <v>104</v>
      </c>
      <c r="T384" t="s">
        <v>79</v>
      </c>
      <c r="U384" t="s">
        <v>41</v>
      </c>
      <c r="V384" s="9" t="str">
        <f>HYPERLINK("https://app.ntsb.gov/pdfgenerator/ReportGeneratorFile.ashx?EventID=20160516X92239&amp;AKey=1&amp;Rtype=Final&amp;IType=CA","PDF Report")</f>
        <v>PDF Report</v>
      </c>
    </row>
    <row r="385" spans="1:22" x14ac:dyDescent="0.25">
      <c r="A385" t="s">
        <v>1635</v>
      </c>
      <c r="B385">
        <v>1</v>
      </c>
      <c r="C385" s="5">
        <v>42504</v>
      </c>
      <c r="D385" t="s">
        <v>1636</v>
      </c>
      <c r="E385" t="s">
        <v>1637</v>
      </c>
      <c r="F385" t="s">
        <v>1638</v>
      </c>
      <c r="G385" t="s">
        <v>96</v>
      </c>
      <c r="H385" t="s">
        <v>33</v>
      </c>
      <c r="I385">
        <v>1</v>
      </c>
      <c r="K385" t="s">
        <v>90</v>
      </c>
      <c r="L385" t="s">
        <v>110</v>
      </c>
      <c r="M385" t="s">
        <v>767</v>
      </c>
      <c r="Q385" t="s">
        <v>37</v>
      </c>
      <c r="R385" t="s">
        <v>768</v>
      </c>
      <c r="S385" t="s">
        <v>201</v>
      </c>
      <c r="T385" t="s">
        <v>40</v>
      </c>
      <c r="U385" t="s">
        <v>41</v>
      </c>
      <c r="V385" s="9" t="str">
        <f>HYPERLINK("https://app.ntsb.gov/pdfgenerator/ReportGeneratorFile.ashx?EventID=20160516X95548&amp;AKey=1&amp;Rtype=Final&amp;IType=LA","PDF Report")</f>
        <v>PDF Report</v>
      </c>
    </row>
    <row r="386" spans="1:22" x14ac:dyDescent="0.25">
      <c r="A386" t="s">
        <v>1639</v>
      </c>
      <c r="B386">
        <v>1</v>
      </c>
      <c r="C386" s="5">
        <v>42504</v>
      </c>
      <c r="D386" t="s">
        <v>1640</v>
      </c>
      <c r="E386" t="s">
        <v>1641</v>
      </c>
      <c r="F386" t="s">
        <v>1642</v>
      </c>
      <c r="G386" t="s">
        <v>46</v>
      </c>
      <c r="H386" t="s">
        <v>33</v>
      </c>
      <c r="K386" t="s">
        <v>34</v>
      </c>
      <c r="L386" t="s">
        <v>35</v>
      </c>
      <c r="M386" t="s">
        <v>36</v>
      </c>
      <c r="Q386" t="s">
        <v>37</v>
      </c>
      <c r="R386" t="s">
        <v>38</v>
      </c>
      <c r="S386" t="s">
        <v>48</v>
      </c>
      <c r="T386" t="s">
        <v>73</v>
      </c>
      <c r="U386" t="s">
        <v>41</v>
      </c>
      <c r="V386" s="9" t="str">
        <f>HYPERLINK("https://app.ntsb.gov/pdfgenerator/ReportGeneratorFile.ashx?EventID=20160517X15930&amp;AKey=1&amp;Rtype=Final&amp;IType=CA","PDF Report")</f>
        <v>PDF Report</v>
      </c>
    </row>
    <row r="387" spans="1:22" x14ac:dyDescent="0.25">
      <c r="A387" t="s">
        <v>1643</v>
      </c>
      <c r="B387">
        <v>1</v>
      </c>
      <c r="C387" s="5">
        <v>42504</v>
      </c>
      <c r="D387" t="s">
        <v>1644</v>
      </c>
      <c r="E387" t="s">
        <v>1645</v>
      </c>
      <c r="F387" t="s">
        <v>670</v>
      </c>
      <c r="G387" t="s">
        <v>54</v>
      </c>
      <c r="H387" t="s">
        <v>33</v>
      </c>
      <c r="K387" t="s">
        <v>34</v>
      </c>
      <c r="L387" t="s">
        <v>35</v>
      </c>
      <c r="M387" t="s">
        <v>36</v>
      </c>
      <c r="Q387" t="s">
        <v>37</v>
      </c>
      <c r="R387" t="s">
        <v>38</v>
      </c>
      <c r="S387" t="s">
        <v>131</v>
      </c>
      <c r="T387" t="s">
        <v>73</v>
      </c>
      <c r="U387" t="s">
        <v>41</v>
      </c>
      <c r="V387" s="9" t="str">
        <f>HYPERLINK("https://app.ntsb.gov/pdfgenerator/ReportGeneratorFile.ashx?EventID=20160517X93629&amp;AKey=1&amp;Rtype=Final&amp;IType=CA","PDF Report")</f>
        <v>PDF Report</v>
      </c>
    </row>
    <row r="388" spans="1:22" x14ac:dyDescent="0.25">
      <c r="A388" t="s">
        <v>1646</v>
      </c>
      <c r="B388">
        <v>1</v>
      </c>
      <c r="C388" s="5">
        <v>42504</v>
      </c>
      <c r="D388" t="s">
        <v>1647</v>
      </c>
      <c r="E388" t="s">
        <v>1648</v>
      </c>
      <c r="F388" t="s">
        <v>1649</v>
      </c>
      <c r="G388" t="s">
        <v>136</v>
      </c>
      <c r="H388" t="s">
        <v>33</v>
      </c>
      <c r="K388" t="s">
        <v>34</v>
      </c>
      <c r="L388" t="s">
        <v>35</v>
      </c>
      <c r="M388" t="s">
        <v>36</v>
      </c>
      <c r="Q388" t="s">
        <v>402</v>
      </c>
      <c r="R388" t="s">
        <v>38</v>
      </c>
      <c r="S388" t="s">
        <v>131</v>
      </c>
      <c r="T388" t="s">
        <v>49</v>
      </c>
      <c r="U388" t="s">
        <v>41</v>
      </c>
      <c r="V388" s="9" t="str">
        <f>HYPERLINK("https://app.ntsb.gov/pdfgenerator/ReportGeneratorFile.ashx?EventID=20160518X52006&amp;AKey=1&amp;Rtype=Final&amp;IType=CA","PDF Report")</f>
        <v>PDF Report</v>
      </c>
    </row>
    <row r="389" spans="1:22" x14ac:dyDescent="0.25">
      <c r="A389" t="s">
        <v>1650</v>
      </c>
      <c r="B389">
        <v>1</v>
      </c>
      <c r="C389" s="5">
        <v>42504</v>
      </c>
      <c r="D389" t="s">
        <v>1651</v>
      </c>
      <c r="E389" t="s">
        <v>1652</v>
      </c>
      <c r="F389" t="s">
        <v>1653</v>
      </c>
      <c r="G389" t="s">
        <v>66</v>
      </c>
      <c r="H389" t="s">
        <v>33</v>
      </c>
      <c r="K389" t="s">
        <v>47</v>
      </c>
      <c r="L389" t="s">
        <v>35</v>
      </c>
      <c r="M389" t="s">
        <v>36</v>
      </c>
      <c r="Q389" t="s">
        <v>37</v>
      </c>
      <c r="R389" t="s">
        <v>38</v>
      </c>
      <c r="S389" t="s">
        <v>97</v>
      </c>
      <c r="T389" t="s">
        <v>61</v>
      </c>
      <c r="U389" t="s">
        <v>41</v>
      </c>
      <c r="V389" s="9" t="str">
        <f>HYPERLINK("https://app.ntsb.gov/pdfgenerator/ReportGeneratorFile.ashx?EventID=20160520X12145&amp;AKey=1&amp;Rtype=Final&amp;IType=LA","PDF Report")</f>
        <v>PDF Report</v>
      </c>
    </row>
    <row r="390" spans="1:22" x14ac:dyDescent="0.25">
      <c r="A390" t="s">
        <v>1654</v>
      </c>
      <c r="B390">
        <v>1</v>
      </c>
      <c r="C390" s="5">
        <v>42504</v>
      </c>
      <c r="D390" t="s">
        <v>1655</v>
      </c>
      <c r="E390" t="s">
        <v>1656</v>
      </c>
      <c r="F390" t="s">
        <v>1657</v>
      </c>
      <c r="G390" t="s">
        <v>237</v>
      </c>
      <c r="H390" t="s">
        <v>33</v>
      </c>
      <c r="K390" t="s">
        <v>34</v>
      </c>
      <c r="L390" t="s">
        <v>35</v>
      </c>
      <c r="M390" t="s">
        <v>36</v>
      </c>
      <c r="Q390" t="s">
        <v>37</v>
      </c>
      <c r="R390" t="s">
        <v>38</v>
      </c>
      <c r="S390" t="s">
        <v>163</v>
      </c>
      <c r="T390" t="s">
        <v>378</v>
      </c>
      <c r="U390" t="s">
        <v>41</v>
      </c>
      <c r="V390" s="9" t="str">
        <f>HYPERLINK("https://app.ntsb.gov/pdfgenerator/ReportGeneratorFile.ashx?EventID=20160523X65816&amp;AKey=1&amp;Rtype=Final&amp;IType=CA","PDF Report")</f>
        <v>PDF Report</v>
      </c>
    </row>
    <row r="391" spans="1:22" x14ac:dyDescent="0.25">
      <c r="A391" t="s">
        <v>1658</v>
      </c>
      <c r="B391">
        <v>1</v>
      </c>
      <c r="C391" s="5">
        <v>42504</v>
      </c>
      <c r="D391" t="s">
        <v>1659</v>
      </c>
      <c r="E391" t="s">
        <v>1660</v>
      </c>
      <c r="F391" t="s">
        <v>1661</v>
      </c>
      <c r="G391" t="s">
        <v>538</v>
      </c>
      <c r="H391" t="s">
        <v>33</v>
      </c>
      <c r="K391" t="s">
        <v>34</v>
      </c>
      <c r="L391" t="s">
        <v>35</v>
      </c>
      <c r="M391" t="s">
        <v>36</v>
      </c>
      <c r="Q391" t="s">
        <v>37</v>
      </c>
      <c r="R391" t="s">
        <v>38</v>
      </c>
      <c r="S391" t="s">
        <v>84</v>
      </c>
      <c r="T391" t="s">
        <v>73</v>
      </c>
      <c r="U391" t="s">
        <v>41</v>
      </c>
      <c r="V391" s="9" t="str">
        <f>HYPERLINK("https://app.ntsb.gov/pdfgenerator/ReportGeneratorFile.ashx?EventID=20160523X82630&amp;AKey=1&amp;Rtype=Final&amp;IType=CA","PDF Report")</f>
        <v>PDF Report</v>
      </c>
    </row>
    <row r="392" spans="1:22" x14ac:dyDescent="0.25">
      <c r="A392" t="s">
        <v>1662</v>
      </c>
      <c r="B392">
        <v>1</v>
      </c>
      <c r="C392" s="5">
        <v>42505</v>
      </c>
      <c r="D392" t="s">
        <v>1663</v>
      </c>
      <c r="E392" t="s">
        <v>1664</v>
      </c>
      <c r="F392" t="s">
        <v>1665</v>
      </c>
      <c r="G392" t="s">
        <v>66</v>
      </c>
      <c r="H392" t="s">
        <v>33</v>
      </c>
      <c r="I392">
        <v>1</v>
      </c>
      <c r="K392" t="s">
        <v>90</v>
      </c>
      <c r="L392" t="s">
        <v>110</v>
      </c>
      <c r="M392" t="s">
        <v>36</v>
      </c>
      <c r="Q392" t="s">
        <v>37</v>
      </c>
      <c r="R392" t="s">
        <v>38</v>
      </c>
      <c r="S392" t="s">
        <v>60</v>
      </c>
      <c r="T392" t="s">
        <v>79</v>
      </c>
      <c r="U392" t="s">
        <v>41</v>
      </c>
      <c r="V392" s="9" t="str">
        <f>HYPERLINK("https://app.ntsb.gov/pdfgenerator/ReportGeneratorFile.ashx?EventID=20160516X04030&amp;AKey=1&amp;Rtype=Final&amp;IType=FA","PDF Report")</f>
        <v>PDF Report</v>
      </c>
    </row>
    <row r="393" spans="1:22" x14ac:dyDescent="0.25">
      <c r="A393" t="s">
        <v>1666</v>
      </c>
      <c r="B393">
        <v>1</v>
      </c>
      <c r="C393" s="5">
        <v>42505</v>
      </c>
      <c r="D393" t="s">
        <v>1667</v>
      </c>
      <c r="E393" t="s">
        <v>1668</v>
      </c>
      <c r="F393" t="s">
        <v>1669</v>
      </c>
      <c r="G393" t="s">
        <v>115</v>
      </c>
      <c r="H393" t="s">
        <v>33</v>
      </c>
      <c r="K393" t="s">
        <v>34</v>
      </c>
      <c r="L393" t="s">
        <v>35</v>
      </c>
      <c r="M393" t="s">
        <v>36</v>
      </c>
      <c r="Q393" t="s">
        <v>37</v>
      </c>
      <c r="R393" t="s">
        <v>38</v>
      </c>
      <c r="S393" t="s">
        <v>48</v>
      </c>
      <c r="T393" t="s">
        <v>143</v>
      </c>
      <c r="U393" t="s">
        <v>41</v>
      </c>
      <c r="V393" s="9" t="str">
        <f>HYPERLINK("https://app.ntsb.gov/pdfgenerator/ReportGeneratorFile.ashx?EventID=20160517X10403&amp;AKey=1&amp;Rtype=Final&amp;IType=CA","PDF Report")</f>
        <v>PDF Report</v>
      </c>
    </row>
    <row r="394" spans="1:22" x14ac:dyDescent="0.25">
      <c r="A394" t="s">
        <v>1670</v>
      </c>
      <c r="B394">
        <v>1</v>
      </c>
      <c r="C394" s="5">
        <v>42505</v>
      </c>
      <c r="D394" t="s">
        <v>1671</v>
      </c>
      <c r="E394" t="s">
        <v>1672</v>
      </c>
      <c r="F394" t="s">
        <v>108</v>
      </c>
      <c r="G394" t="s">
        <v>96</v>
      </c>
      <c r="H394" t="s">
        <v>33</v>
      </c>
      <c r="K394" t="s">
        <v>34</v>
      </c>
      <c r="L394" t="s">
        <v>35</v>
      </c>
      <c r="M394" t="s">
        <v>36</v>
      </c>
      <c r="Q394" t="s">
        <v>37</v>
      </c>
      <c r="R394" t="s">
        <v>38</v>
      </c>
      <c r="S394" t="s">
        <v>39</v>
      </c>
      <c r="T394" t="s">
        <v>143</v>
      </c>
      <c r="U394" t="s">
        <v>41</v>
      </c>
      <c r="V394" s="9" t="str">
        <f>HYPERLINK("https://app.ntsb.gov/pdfgenerator/ReportGeneratorFile.ashx?EventID=20160517X22140&amp;AKey=1&amp;Rtype=Final&amp;IType=LA","PDF Report")</f>
        <v>PDF Report</v>
      </c>
    </row>
    <row r="395" spans="1:22" x14ac:dyDescent="0.25">
      <c r="A395" t="s">
        <v>1673</v>
      </c>
      <c r="B395">
        <v>1</v>
      </c>
      <c r="C395" s="5">
        <v>42505</v>
      </c>
      <c r="D395" t="s">
        <v>1674</v>
      </c>
      <c r="E395" t="s">
        <v>1675</v>
      </c>
      <c r="F395" t="s">
        <v>1676</v>
      </c>
      <c r="G395" t="s">
        <v>645</v>
      </c>
      <c r="H395" t="s">
        <v>33</v>
      </c>
      <c r="K395" t="s">
        <v>47</v>
      </c>
      <c r="L395" t="s">
        <v>35</v>
      </c>
      <c r="M395" t="s">
        <v>36</v>
      </c>
      <c r="Q395" t="s">
        <v>874</v>
      </c>
      <c r="R395" t="s">
        <v>38</v>
      </c>
      <c r="S395" t="s">
        <v>48</v>
      </c>
      <c r="T395" t="s">
        <v>79</v>
      </c>
      <c r="U395" t="s">
        <v>41</v>
      </c>
      <c r="V395" s="9" t="str">
        <f>HYPERLINK("https://app.ntsb.gov/pdfgenerator/ReportGeneratorFile.ashx?EventID=20160519X10226&amp;AKey=1&amp;Rtype=Final&amp;IType=CA","PDF Report")</f>
        <v>PDF Report</v>
      </c>
    </row>
    <row r="396" spans="1:22" x14ac:dyDescent="0.25">
      <c r="A396" t="s">
        <v>1677</v>
      </c>
      <c r="B396">
        <v>1</v>
      </c>
      <c r="C396" s="5">
        <v>42505</v>
      </c>
      <c r="D396" t="s">
        <v>1678</v>
      </c>
      <c r="E396" t="s">
        <v>1679</v>
      </c>
      <c r="F396" t="s">
        <v>1680</v>
      </c>
      <c r="G396" t="s">
        <v>169</v>
      </c>
      <c r="H396" t="s">
        <v>33</v>
      </c>
      <c r="K396" t="s">
        <v>34</v>
      </c>
      <c r="L396" t="s">
        <v>35</v>
      </c>
      <c r="M396" t="s">
        <v>36</v>
      </c>
      <c r="Q396" t="s">
        <v>37</v>
      </c>
      <c r="R396" t="s">
        <v>38</v>
      </c>
      <c r="S396" t="s">
        <v>131</v>
      </c>
      <c r="T396" t="s">
        <v>73</v>
      </c>
      <c r="U396" t="s">
        <v>41</v>
      </c>
      <c r="V396" s="9" t="str">
        <f>HYPERLINK("https://app.ntsb.gov/pdfgenerator/ReportGeneratorFile.ashx?EventID=20160523X33454&amp;AKey=1&amp;Rtype=Final&amp;IType=LA","PDF Report")</f>
        <v>PDF Report</v>
      </c>
    </row>
    <row r="397" spans="1:22" x14ac:dyDescent="0.25">
      <c r="A397" t="s">
        <v>1681</v>
      </c>
      <c r="B397">
        <v>1</v>
      </c>
      <c r="C397" s="5">
        <v>42506</v>
      </c>
      <c r="D397" t="s">
        <v>1682</v>
      </c>
      <c r="E397" t="s">
        <v>1683</v>
      </c>
      <c r="F397" t="s">
        <v>1684</v>
      </c>
      <c r="G397" t="s">
        <v>1026</v>
      </c>
      <c r="H397" t="s">
        <v>33</v>
      </c>
      <c r="I397">
        <v>4</v>
      </c>
      <c r="K397" t="s">
        <v>90</v>
      </c>
      <c r="L397" t="s">
        <v>110</v>
      </c>
      <c r="M397" t="s">
        <v>36</v>
      </c>
      <c r="Q397" t="s">
        <v>37</v>
      </c>
      <c r="R397" t="s">
        <v>38</v>
      </c>
      <c r="S397" t="s">
        <v>196</v>
      </c>
      <c r="T397" t="s">
        <v>49</v>
      </c>
      <c r="U397" t="s">
        <v>41</v>
      </c>
      <c r="V397" s="9" t="str">
        <f>HYPERLINK("https://app.ntsb.gov/pdfgenerator/ReportGeneratorFile.ashx?EventID=20160516X05929&amp;AKey=1&amp;Rtype=Final&amp;IType=FA","PDF Report")</f>
        <v>PDF Report</v>
      </c>
    </row>
    <row r="398" spans="1:22" x14ac:dyDescent="0.25">
      <c r="A398" t="s">
        <v>1685</v>
      </c>
      <c r="B398">
        <v>1</v>
      </c>
      <c r="C398" s="5">
        <v>42506</v>
      </c>
      <c r="D398" t="s">
        <v>1686</v>
      </c>
      <c r="E398" t="s">
        <v>1687</v>
      </c>
      <c r="F398" t="s">
        <v>931</v>
      </c>
      <c r="G398" t="s">
        <v>115</v>
      </c>
      <c r="H398" t="s">
        <v>33</v>
      </c>
      <c r="J398">
        <v>1</v>
      </c>
      <c r="K398" t="s">
        <v>55</v>
      </c>
      <c r="L398" t="s">
        <v>35</v>
      </c>
      <c r="M398" t="s">
        <v>36</v>
      </c>
      <c r="Q398" t="s">
        <v>37</v>
      </c>
      <c r="R398" t="s">
        <v>38</v>
      </c>
      <c r="S398" t="s">
        <v>48</v>
      </c>
      <c r="T398" t="s">
        <v>73</v>
      </c>
      <c r="U398" t="s">
        <v>41</v>
      </c>
      <c r="V398" s="9" t="str">
        <f>HYPERLINK("https://app.ntsb.gov/pdfgenerator/ReportGeneratorFile.ashx?EventID=20160517X74113&amp;AKey=1&amp;Rtype=Final&amp;IType=FA","PDF Report")</f>
        <v>PDF Report</v>
      </c>
    </row>
    <row r="399" spans="1:22" x14ac:dyDescent="0.25">
      <c r="A399" t="s">
        <v>1688</v>
      </c>
      <c r="B399">
        <v>1</v>
      </c>
      <c r="C399" s="5">
        <v>42506</v>
      </c>
      <c r="D399" t="s">
        <v>1689</v>
      </c>
      <c r="E399" t="s">
        <v>1690</v>
      </c>
      <c r="F399" t="s">
        <v>1691</v>
      </c>
      <c r="G399" t="s">
        <v>211</v>
      </c>
      <c r="H399" t="s">
        <v>33</v>
      </c>
      <c r="I399">
        <v>1</v>
      </c>
      <c r="K399" t="s">
        <v>90</v>
      </c>
      <c r="L399" t="s">
        <v>35</v>
      </c>
      <c r="M399" t="s">
        <v>36</v>
      </c>
      <c r="Q399" t="s">
        <v>37</v>
      </c>
      <c r="R399" t="s">
        <v>38</v>
      </c>
      <c r="S399" t="s">
        <v>243</v>
      </c>
      <c r="T399" t="s">
        <v>243</v>
      </c>
      <c r="U399" t="s">
        <v>41</v>
      </c>
      <c r="V399" s="9" t="str">
        <f>HYPERLINK("https://app.ntsb.gov/pdfgenerator/ReportGeneratorFile.ashx?EventID=20160519X33035&amp;AKey=1&amp;Rtype=Final&amp;IType=FA","PDF Report")</f>
        <v>PDF Report</v>
      </c>
    </row>
    <row r="400" spans="1:22" x14ac:dyDescent="0.25">
      <c r="A400" t="s">
        <v>1692</v>
      </c>
      <c r="B400">
        <v>1</v>
      </c>
      <c r="C400" s="5">
        <v>42506</v>
      </c>
      <c r="D400" t="s">
        <v>1693</v>
      </c>
      <c r="E400" t="s">
        <v>1694</v>
      </c>
      <c r="F400" t="s">
        <v>1695</v>
      </c>
      <c r="G400" t="s">
        <v>115</v>
      </c>
      <c r="H400" t="s">
        <v>33</v>
      </c>
      <c r="K400" t="s">
        <v>34</v>
      </c>
      <c r="L400" t="s">
        <v>35</v>
      </c>
      <c r="M400" t="s">
        <v>36</v>
      </c>
      <c r="Q400" t="s">
        <v>37</v>
      </c>
      <c r="R400" t="s">
        <v>38</v>
      </c>
      <c r="S400" t="s">
        <v>84</v>
      </c>
      <c r="T400" t="s">
        <v>73</v>
      </c>
      <c r="U400" t="s">
        <v>41</v>
      </c>
      <c r="V400" s="9" t="str">
        <f>HYPERLINK("https://app.ntsb.gov/pdfgenerator/ReportGeneratorFile.ashx?EventID=20160519X43838&amp;AKey=1&amp;Rtype=Final&amp;IType=LA","PDF Report")</f>
        <v>PDF Report</v>
      </c>
    </row>
    <row r="401" spans="1:22" x14ac:dyDescent="0.25">
      <c r="A401" t="s">
        <v>1696</v>
      </c>
      <c r="B401">
        <v>1</v>
      </c>
      <c r="C401" s="5">
        <v>42506</v>
      </c>
      <c r="D401" t="s">
        <v>1697</v>
      </c>
      <c r="E401" t="s">
        <v>1698</v>
      </c>
      <c r="F401" t="s">
        <v>1699</v>
      </c>
      <c r="G401" t="s">
        <v>597</v>
      </c>
      <c r="H401" t="s">
        <v>1700</v>
      </c>
      <c r="J401">
        <v>2</v>
      </c>
      <c r="K401" t="s">
        <v>55</v>
      </c>
      <c r="L401" t="s">
        <v>110</v>
      </c>
      <c r="M401" t="s">
        <v>599</v>
      </c>
      <c r="Q401" t="s">
        <v>37</v>
      </c>
      <c r="S401" t="s">
        <v>396</v>
      </c>
      <c r="T401" t="s">
        <v>73</v>
      </c>
      <c r="U401" t="s">
        <v>41</v>
      </c>
      <c r="V401" s="9" t="str">
        <f>HYPERLINK("https://app.ntsb.gov/pdfgenerator/ReportGeneratorFile.ashx?EventID=20170214X94328&amp;AKey=1&amp;Rtype=Final&amp;IType=WA","PDF Report")</f>
        <v>PDF Report</v>
      </c>
    </row>
    <row r="402" spans="1:22" x14ac:dyDescent="0.25">
      <c r="A402" t="s">
        <v>1701</v>
      </c>
      <c r="B402">
        <v>1</v>
      </c>
      <c r="C402" s="5">
        <v>42507</v>
      </c>
      <c r="D402" t="s">
        <v>1702</v>
      </c>
      <c r="E402" t="s">
        <v>1703</v>
      </c>
      <c r="F402" t="s">
        <v>1448</v>
      </c>
      <c r="G402" t="s">
        <v>287</v>
      </c>
      <c r="H402" t="s">
        <v>33</v>
      </c>
      <c r="I402">
        <v>2</v>
      </c>
      <c r="K402" t="s">
        <v>90</v>
      </c>
      <c r="L402" t="s">
        <v>110</v>
      </c>
      <c r="M402" t="s">
        <v>36</v>
      </c>
      <c r="Q402" t="s">
        <v>37</v>
      </c>
      <c r="R402" t="s">
        <v>274</v>
      </c>
      <c r="S402" t="s">
        <v>48</v>
      </c>
      <c r="T402" t="s">
        <v>40</v>
      </c>
      <c r="U402" t="s">
        <v>41</v>
      </c>
      <c r="V402" s="9" t="str">
        <f>HYPERLINK("https://app.ntsb.gov/pdfgenerator/ReportGeneratorFile.ashx?EventID=20160518X05644&amp;AKey=1&amp;Rtype=Final&amp;IType=FA","PDF Report")</f>
        <v>PDF Report</v>
      </c>
    </row>
    <row r="403" spans="1:22" x14ac:dyDescent="0.25">
      <c r="A403" t="s">
        <v>1704</v>
      </c>
      <c r="B403">
        <v>1</v>
      </c>
      <c r="C403" s="5">
        <v>42507</v>
      </c>
      <c r="D403" t="s">
        <v>1705</v>
      </c>
      <c r="E403" t="s">
        <v>1706</v>
      </c>
      <c r="F403" t="s">
        <v>1707</v>
      </c>
      <c r="G403" t="s">
        <v>66</v>
      </c>
      <c r="H403" t="s">
        <v>33</v>
      </c>
      <c r="K403" t="s">
        <v>47</v>
      </c>
      <c r="L403" t="s">
        <v>110</v>
      </c>
      <c r="M403" t="s">
        <v>36</v>
      </c>
      <c r="Q403" t="s">
        <v>37</v>
      </c>
      <c r="R403" t="s">
        <v>38</v>
      </c>
      <c r="S403" t="s">
        <v>131</v>
      </c>
      <c r="T403" t="s">
        <v>73</v>
      </c>
      <c r="U403" t="s">
        <v>41</v>
      </c>
      <c r="V403" s="9" t="str">
        <f>HYPERLINK("https://app.ntsb.gov/pdfgenerator/ReportGeneratorFile.ashx?EventID=20160519X02257&amp;AKey=1&amp;Rtype=Final&amp;IType=CA","PDF Report")</f>
        <v>PDF Report</v>
      </c>
    </row>
    <row r="404" spans="1:22" x14ac:dyDescent="0.25">
      <c r="A404" t="s">
        <v>1708</v>
      </c>
      <c r="B404">
        <v>1</v>
      </c>
      <c r="C404" s="5">
        <v>42508</v>
      </c>
      <c r="D404" t="s">
        <v>1709</v>
      </c>
      <c r="E404" t="s">
        <v>1710</v>
      </c>
      <c r="F404" t="s">
        <v>1711</v>
      </c>
      <c r="G404" t="s">
        <v>206</v>
      </c>
      <c r="H404" t="s">
        <v>33</v>
      </c>
      <c r="I404">
        <v>1</v>
      </c>
      <c r="K404" t="s">
        <v>90</v>
      </c>
      <c r="L404" t="s">
        <v>35</v>
      </c>
      <c r="M404" t="s">
        <v>36</v>
      </c>
      <c r="Q404" t="s">
        <v>37</v>
      </c>
      <c r="R404" t="s">
        <v>38</v>
      </c>
      <c r="S404" t="s">
        <v>48</v>
      </c>
      <c r="T404" t="s">
        <v>40</v>
      </c>
      <c r="U404" t="s">
        <v>41</v>
      </c>
      <c r="V404" s="9" t="str">
        <f>HYPERLINK("https://app.ntsb.gov/pdfgenerator/ReportGeneratorFile.ashx?EventID=20160518X42840&amp;AKey=1&amp;Rtype=Final&amp;IType=FA","PDF Report")</f>
        <v>PDF Report</v>
      </c>
    </row>
    <row r="405" spans="1:22" x14ac:dyDescent="0.25">
      <c r="A405" t="s">
        <v>1712</v>
      </c>
      <c r="B405">
        <v>1</v>
      </c>
      <c r="C405" s="5">
        <v>42508</v>
      </c>
      <c r="D405" t="s">
        <v>1713</v>
      </c>
      <c r="E405" t="s">
        <v>1714</v>
      </c>
      <c r="F405" t="s">
        <v>1715</v>
      </c>
      <c r="G405" t="s">
        <v>401</v>
      </c>
      <c r="H405" t="s">
        <v>33</v>
      </c>
      <c r="K405" t="s">
        <v>34</v>
      </c>
      <c r="L405" t="s">
        <v>35</v>
      </c>
      <c r="M405" t="s">
        <v>36</v>
      </c>
      <c r="Q405" t="s">
        <v>37</v>
      </c>
      <c r="R405" t="s">
        <v>130</v>
      </c>
      <c r="S405" t="s">
        <v>131</v>
      </c>
      <c r="T405" t="s">
        <v>73</v>
      </c>
      <c r="U405" t="s">
        <v>41</v>
      </c>
      <c r="V405" s="9" t="str">
        <f>HYPERLINK("https://app.ntsb.gov/pdfgenerator/ReportGeneratorFile.ashx?EventID=20160519X11557&amp;AKey=1&amp;Rtype=Final&amp;IType=CA","PDF Report")</f>
        <v>PDF Report</v>
      </c>
    </row>
    <row r="406" spans="1:22" x14ac:dyDescent="0.25">
      <c r="A406" t="s">
        <v>1716</v>
      </c>
      <c r="B406">
        <v>1</v>
      </c>
      <c r="C406" s="5">
        <v>42508</v>
      </c>
      <c r="D406" t="s">
        <v>1717</v>
      </c>
      <c r="E406" t="s">
        <v>1718</v>
      </c>
      <c r="F406" t="s">
        <v>1719</v>
      </c>
      <c r="G406" t="s">
        <v>66</v>
      </c>
      <c r="H406" t="s">
        <v>33</v>
      </c>
      <c r="K406" t="s">
        <v>34</v>
      </c>
      <c r="L406" t="s">
        <v>35</v>
      </c>
      <c r="M406" t="s">
        <v>36</v>
      </c>
      <c r="Q406" t="s">
        <v>37</v>
      </c>
      <c r="R406" t="s">
        <v>38</v>
      </c>
      <c r="S406" t="s">
        <v>131</v>
      </c>
      <c r="T406" t="s">
        <v>73</v>
      </c>
      <c r="U406" t="s">
        <v>41</v>
      </c>
      <c r="V406" s="9" t="str">
        <f>HYPERLINK("https://app.ntsb.gov/pdfgenerator/ReportGeneratorFile.ashx?EventID=20160519X35926&amp;AKey=1&amp;Rtype=Final&amp;IType=CA","PDF Report")</f>
        <v>PDF Report</v>
      </c>
    </row>
    <row r="407" spans="1:22" x14ac:dyDescent="0.25">
      <c r="A407" t="s">
        <v>1720</v>
      </c>
      <c r="B407">
        <v>1</v>
      </c>
      <c r="C407" s="5">
        <v>42508</v>
      </c>
      <c r="D407" t="s">
        <v>1721</v>
      </c>
      <c r="E407" t="s">
        <v>1722</v>
      </c>
      <c r="F407" t="s">
        <v>1723</v>
      </c>
      <c r="G407" t="s">
        <v>54</v>
      </c>
      <c r="H407" t="s">
        <v>33</v>
      </c>
      <c r="K407" t="s">
        <v>34</v>
      </c>
      <c r="L407" t="s">
        <v>35</v>
      </c>
      <c r="M407" t="s">
        <v>36</v>
      </c>
      <c r="Q407" t="s">
        <v>37</v>
      </c>
      <c r="R407" t="s">
        <v>38</v>
      </c>
      <c r="S407" t="s">
        <v>84</v>
      </c>
      <c r="T407" t="s">
        <v>49</v>
      </c>
      <c r="U407" t="s">
        <v>41</v>
      </c>
      <c r="V407" s="9" t="str">
        <f>HYPERLINK("https://app.ntsb.gov/pdfgenerator/ReportGeneratorFile.ashx?EventID=20160523X64922&amp;AKey=1&amp;Rtype=Final&amp;IType=CA","PDF Report")</f>
        <v>PDF Report</v>
      </c>
    </row>
    <row r="408" spans="1:22" x14ac:dyDescent="0.25">
      <c r="A408" t="s">
        <v>1724</v>
      </c>
      <c r="B408">
        <v>1</v>
      </c>
      <c r="C408" s="5">
        <v>42508</v>
      </c>
      <c r="D408" t="s">
        <v>1725</v>
      </c>
      <c r="E408" t="s">
        <v>1726</v>
      </c>
      <c r="F408" t="s">
        <v>1727</v>
      </c>
      <c r="G408" t="s">
        <v>407</v>
      </c>
      <c r="H408" t="s">
        <v>33</v>
      </c>
      <c r="K408" t="s">
        <v>34</v>
      </c>
      <c r="L408" t="s">
        <v>35</v>
      </c>
      <c r="M408" t="s">
        <v>36</v>
      </c>
      <c r="Q408" t="s">
        <v>37</v>
      </c>
      <c r="R408" t="s">
        <v>38</v>
      </c>
      <c r="S408" t="s">
        <v>72</v>
      </c>
      <c r="T408" t="s">
        <v>73</v>
      </c>
      <c r="U408" t="s">
        <v>41</v>
      </c>
      <c r="V408" s="9" t="str">
        <f>HYPERLINK("https://app.ntsb.gov/pdfgenerator/ReportGeneratorFile.ashx?EventID=20160524X74006&amp;AKey=1&amp;Rtype=Final&amp;IType=CA","PDF Report")</f>
        <v>PDF Report</v>
      </c>
    </row>
    <row r="409" spans="1:22" x14ac:dyDescent="0.25">
      <c r="A409" t="s">
        <v>1728</v>
      </c>
      <c r="B409">
        <v>1</v>
      </c>
      <c r="C409" s="5">
        <v>42509</v>
      </c>
      <c r="D409" t="s">
        <v>1729</v>
      </c>
      <c r="E409" t="s">
        <v>1730</v>
      </c>
      <c r="F409" t="s">
        <v>1731</v>
      </c>
      <c r="G409" t="s">
        <v>142</v>
      </c>
      <c r="H409" t="s">
        <v>33</v>
      </c>
      <c r="I409">
        <v>1</v>
      </c>
      <c r="K409" t="s">
        <v>90</v>
      </c>
      <c r="L409" t="s">
        <v>35</v>
      </c>
      <c r="M409" t="s">
        <v>36</v>
      </c>
      <c r="Q409" t="s">
        <v>37</v>
      </c>
      <c r="R409" t="s">
        <v>38</v>
      </c>
      <c r="S409" t="s">
        <v>84</v>
      </c>
      <c r="T409" t="s">
        <v>73</v>
      </c>
      <c r="U409" t="s">
        <v>41</v>
      </c>
      <c r="V409" s="9" t="str">
        <f>HYPERLINK("https://app.ntsb.gov/pdfgenerator/ReportGeneratorFile.ashx?EventID=20160519X25723&amp;AKey=1&amp;Rtype=Final&amp;IType=FA","PDF Report")</f>
        <v>PDF Report</v>
      </c>
    </row>
    <row r="410" spans="1:22" x14ac:dyDescent="0.25">
      <c r="A410" t="s">
        <v>1732</v>
      </c>
      <c r="B410">
        <v>1</v>
      </c>
      <c r="C410" s="5">
        <v>42509</v>
      </c>
      <c r="D410" t="s">
        <v>1733</v>
      </c>
      <c r="E410" t="s">
        <v>1734</v>
      </c>
      <c r="F410" t="s">
        <v>1735</v>
      </c>
      <c r="G410" t="s">
        <v>468</v>
      </c>
      <c r="H410" t="s">
        <v>33</v>
      </c>
      <c r="K410" t="s">
        <v>34</v>
      </c>
      <c r="L410" t="s">
        <v>35</v>
      </c>
      <c r="M410" t="s">
        <v>36</v>
      </c>
      <c r="Q410" t="s">
        <v>37</v>
      </c>
      <c r="R410" t="s">
        <v>130</v>
      </c>
      <c r="S410" t="s">
        <v>131</v>
      </c>
      <c r="T410" t="s">
        <v>49</v>
      </c>
      <c r="U410" t="s">
        <v>41</v>
      </c>
      <c r="V410" s="9" t="str">
        <f>HYPERLINK("https://app.ntsb.gov/pdfgenerator/ReportGeneratorFile.ashx?EventID=20160519X65409&amp;AKey=1&amp;Rtype=Final&amp;IType=CA","PDF Report")</f>
        <v>PDF Report</v>
      </c>
    </row>
    <row r="411" spans="1:22" x14ac:dyDescent="0.25">
      <c r="A411" t="s">
        <v>1736</v>
      </c>
      <c r="B411">
        <v>1</v>
      </c>
      <c r="C411" s="5">
        <v>42509</v>
      </c>
      <c r="D411" t="s">
        <v>1737</v>
      </c>
      <c r="E411" t="s">
        <v>1738</v>
      </c>
      <c r="F411" t="s">
        <v>1512</v>
      </c>
      <c r="G411" t="s">
        <v>322</v>
      </c>
      <c r="H411" t="s">
        <v>33</v>
      </c>
      <c r="K411" t="s">
        <v>34</v>
      </c>
      <c r="L411" t="s">
        <v>35</v>
      </c>
      <c r="M411" t="s">
        <v>36</v>
      </c>
      <c r="Q411" t="s">
        <v>37</v>
      </c>
      <c r="R411" t="s">
        <v>130</v>
      </c>
      <c r="S411" t="s">
        <v>131</v>
      </c>
      <c r="T411" t="s">
        <v>49</v>
      </c>
      <c r="U411" t="s">
        <v>41</v>
      </c>
      <c r="V411" s="9" t="str">
        <f>HYPERLINK("https://app.ntsb.gov/pdfgenerator/ReportGeneratorFile.ashx?EventID=20160523X20657&amp;AKey=1&amp;Rtype=Final&amp;IType=LA","PDF Report")</f>
        <v>PDF Report</v>
      </c>
    </row>
    <row r="412" spans="1:22" x14ac:dyDescent="0.25">
      <c r="A412" t="s">
        <v>1739</v>
      </c>
      <c r="B412">
        <v>1</v>
      </c>
      <c r="C412" s="5">
        <v>42509</v>
      </c>
      <c r="D412" t="s">
        <v>1740</v>
      </c>
      <c r="E412" t="s">
        <v>1741</v>
      </c>
      <c r="F412" t="s">
        <v>1742</v>
      </c>
      <c r="G412" t="s">
        <v>71</v>
      </c>
      <c r="H412" t="s">
        <v>33</v>
      </c>
      <c r="K412" t="s">
        <v>34</v>
      </c>
      <c r="L412" t="s">
        <v>35</v>
      </c>
      <c r="M412" t="s">
        <v>36</v>
      </c>
      <c r="Q412" t="s">
        <v>37</v>
      </c>
      <c r="R412" t="s">
        <v>38</v>
      </c>
      <c r="S412" t="s">
        <v>131</v>
      </c>
      <c r="T412" t="s">
        <v>73</v>
      </c>
      <c r="U412" t="s">
        <v>41</v>
      </c>
      <c r="V412" s="9" t="str">
        <f>HYPERLINK("https://app.ntsb.gov/pdfgenerator/ReportGeneratorFile.ashx?EventID=20160524X13930&amp;AKey=1&amp;Rtype=Final&amp;IType=CA","PDF Report")</f>
        <v>PDF Report</v>
      </c>
    </row>
    <row r="413" spans="1:22" x14ac:dyDescent="0.25">
      <c r="A413" t="s">
        <v>1743</v>
      </c>
      <c r="B413">
        <v>1</v>
      </c>
      <c r="C413" s="5">
        <v>42509</v>
      </c>
      <c r="D413" t="s">
        <v>1744</v>
      </c>
      <c r="E413" t="s">
        <v>1745</v>
      </c>
      <c r="F413" t="s">
        <v>1746</v>
      </c>
      <c r="G413" t="s">
        <v>71</v>
      </c>
      <c r="H413" t="s">
        <v>33</v>
      </c>
      <c r="J413">
        <v>1</v>
      </c>
      <c r="K413" t="s">
        <v>55</v>
      </c>
      <c r="L413" t="s">
        <v>35</v>
      </c>
      <c r="M413" t="s">
        <v>36</v>
      </c>
      <c r="Q413" t="s">
        <v>37</v>
      </c>
      <c r="R413" t="s">
        <v>38</v>
      </c>
      <c r="S413" t="s">
        <v>97</v>
      </c>
      <c r="T413" t="s">
        <v>61</v>
      </c>
      <c r="U413" t="s">
        <v>41</v>
      </c>
      <c r="V413" s="9" t="str">
        <f>HYPERLINK("https://app.ntsb.gov/pdfgenerator/ReportGeneratorFile.ashx?EventID=20160526X14855&amp;AKey=1&amp;Rtype=Final&amp;IType=LA","PDF Report")</f>
        <v>PDF Report</v>
      </c>
    </row>
    <row r="414" spans="1:22" x14ac:dyDescent="0.25">
      <c r="A414" t="s">
        <v>1747</v>
      </c>
      <c r="B414">
        <v>1</v>
      </c>
      <c r="C414" s="5">
        <v>42509</v>
      </c>
      <c r="D414" t="s">
        <v>1748</v>
      </c>
      <c r="E414" t="s">
        <v>1749</v>
      </c>
      <c r="F414" t="s">
        <v>555</v>
      </c>
      <c r="G414" t="s">
        <v>46</v>
      </c>
      <c r="H414" t="s">
        <v>33</v>
      </c>
      <c r="K414" t="s">
        <v>34</v>
      </c>
      <c r="L414" t="s">
        <v>35</v>
      </c>
      <c r="M414" t="s">
        <v>36</v>
      </c>
      <c r="Q414" t="s">
        <v>37</v>
      </c>
      <c r="R414" t="s">
        <v>130</v>
      </c>
      <c r="S414" t="s">
        <v>84</v>
      </c>
      <c r="T414" t="s">
        <v>73</v>
      </c>
      <c r="U414" t="s">
        <v>41</v>
      </c>
      <c r="V414" s="9" t="str">
        <f>HYPERLINK("https://app.ntsb.gov/pdfgenerator/ReportGeneratorFile.ashx?EventID=20160601X03445&amp;AKey=1&amp;Rtype=Final&amp;IType=CA","PDF Report")</f>
        <v>PDF Report</v>
      </c>
    </row>
    <row r="415" spans="1:22" x14ac:dyDescent="0.25">
      <c r="A415" t="s">
        <v>1750</v>
      </c>
      <c r="B415">
        <v>1</v>
      </c>
      <c r="C415" s="5">
        <v>42510</v>
      </c>
      <c r="D415" t="s">
        <v>1751</v>
      </c>
      <c r="E415" t="s">
        <v>1752</v>
      </c>
      <c r="F415" t="s">
        <v>1753</v>
      </c>
      <c r="G415" t="s">
        <v>242</v>
      </c>
      <c r="H415" t="s">
        <v>33</v>
      </c>
      <c r="J415">
        <v>2</v>
      </c>
      <c r="K415" t="s">
        <v>55</v>
      </c>
      <c r="L415" t="s">
        <v>35</v>
      </c>
      <c r="M415" t="s">
        <v>36</v>
      </c>
      <c r="Q415" t="s">
        <v>402</v>
      </c>
      <c r="R415" t="s">
        <v>38</v>
      </c>
      <c r="S415" t="s">
        <v>104</v>
      </c>
      <c r="T415" t="s">
        <v>61</v>
      </c>
      <c r="U415" t="s">
        <v>41</v>
      </c>
      <c r="V415" s="9" t="str">
        <f>HYPERLINK("https://app.ntsb.gov/pdfgenerator/ReportGeneratorFile.ashx?EventID=20160520X02127&amp;AKey=1&amp;Rtype=Final&amp;IType=LA","PDF Report")</f>
        <v>PDF Report</v>
      </c>
    </row>
    <row r="416" spans="1:22" x14ac:dyDescent="0.25">
      <c r="A416" t="s">
        <v>1754</v>
      </c>
      <c r="B416">
        <v>1</v>
      </c>
      <c r="C416" s="5">
        <v>42510</v>
      </c>
      <c r="D416" t="s">
        <v>1755</v>
      </c>
      <c r="E416" t="s">
        <v>1756</v>
      </c>
      <c r="F416" t="s">
        <v>1757</v>
      </c>
      <c r="G416" t="s">
        <v>66</v>
      </c>
      <c r="H416" t="s">
        <v>33</v>
      </c>
      <c r="K416" t="s">
        <v>34</v>
      </c>
      <c r="L416" t="s">
        <v>35</v>
      </c>
      <c r="M416" t="s">
        <v>36</v>
      </c>
      <c r="Q416" t="s">
        <v>37</v>
      </c>
      <c r="R416" t="s">
        <v>38</v>
      </c>
      <c r="S416" t="s">
        <v>131</v>
      </c>
      <c r="T416" t="s">
        <v>73</v>
      </c>
      <c r="U416" t="s">
        <v>41</v>
      </c>
      <c r="V416" s="9" t="str">
        <f>HYPERLINK("https://app.ntsb.gov/pdfgenerator/ReportGeneratorFile.ashx?EventID=20160523X11844&amp;AKey=1&amp;Rtype=Final&amp;IType=CA","PDF Report")</f>
        <v>PDF Report</v>
      </c>
    </row>
    <row r="417" spans="1:22" x14ac:dyDescent="0.25">
      <c r="A417" t="s">
        <v>1758</v>
      </c>
      <c r="B417">
        <v>1</v>
      </c>
      <c r="C417" s="5">
        <v>42510</v>
      </c>
      <c r="D417" t="s">
        <v>1759</v>
      </c>
      <c r="E417" t="s">
        <v>1760</v>
      </c>
      <c r="F417" t="s">
        <v>1761</v>
      </c>
      <c r="G417" t="s">
        <v>883</v>
      </c>
      <c r="H417" t="s">
        <v>33</v>
      </c>
      <c r="K417" t="s">
        <v>34</v>
      </c>
      <c r="L417" t="s">
        <v>35</v>
      </c>
      <c r="M417" t="s">
        <v>36</v>
      </c>
      <c r="Q417" t="s">
        <v>37</v>
      </c>
      <c r="R417" t="s">
        <v>38</v>
      </c>
      <c r="S417" t="s">
        <v>131</v>
      </c>
      <c r="T417" t="s">
        <v>73</v>
      </c>
      <c r="U417" t="s">
        <v>41</v>
      </c>
      <c r="V417" s="9" t="str">
        <f>HYPERLINK("https://app.ntsb.gov/pdfgenerator/ReportGeneratorFile.ashx?EventID=20160526X90012&amp;AKey=1&amp;Rtype=Final&amp;IType=CA","PDF Report")</f>
        <v>PDF Report</v>
      </c>
    </row>
    <row r="418" spans="1:22" x14ac:dyDescent="0.25">
      <c r="A418" t="s">
        <v>1762</v>
      </c>
      <c r="B418">
        <v>1</v>
      </c>
      <c r="C418" s="5">
        <v>42511</v>
      </c>
      <c r="D418" t="s">
        <v>1763</v>
      </c>
      <c r="E418" t="s">
        <v>1764</v>
      </c>
      <c r="F418" t="s">
        <v>1765</v>
      </c>
      <c r="G418" t="s">
        <v>206</v>
      </c>
      <c r="H418" t="s">
        <v>33</v>
      </c>
      <c r="K418" t="s">
        <v>34</v>
      </c>
      <c r="L418" t="s">
        <v>35</v>
      </c>
      <c r="M418" t="s">
        <v>36</v>
      </c>
      <c r="Q418" t="s">
        <v>37</v>
      </c>
      <c r="R418" t="s">
        <v>38</v>
      </c>
      <c r="S418" t="s">
        <v>84</v>
      </c>
      <c r="T418" t="s">
        <v>73</v>
      </c>
      <c r="U418" t="s">
        <v>41</v>
      </c>
      <c r="V418" s="9" t="str">
        <f>HYPERLINK("https://app.ntsb.gov/pdfgenerator/ReportGeneratorFile.ashx?EventID=20160523X15754&amp;AKey=1&amp;Rtype=Final&amp;IType=CA","PDF Report")</f>
        <v>PDF Report</v>
      </c>
    </row>
    <row r="419" spans="1:22" x14ac:dyDescent="0.25">
      <c r="A419" t="s">
        <v>1766</v>
      </c>
      <c r="B419">
        <v>1</v>
      </c>
      <c r="C419" s="5">
        <v>42511</v>
      </c>
      <c r="D419" t="s">
        <v>1767</v>
      </c>
      <c r="E419" t="s">
        <v>1768</v>
      </c>
      <c r="F419" t="s">
        <v>1769</v>
      </c>
      <c r="G419" t="s">
        <v>538</v>
      </c>
      <c r="H419" t="s">
        <v>33</v>
      </c>
      <c r="K419" t="s">
        <v>47</v>
      </c>
      <c r="L419" t="s">
        <v>35</v>
      </c>
      <c r="M419" t="s">
        <v>36</v>
      </c>
      <c r="Q419" t="s">
        <v>37</v>
      </c>
      <c r="R419" t="s">
        <v>38</v>
      </c>
      <c r="S419" t="s">
        <v>84</v>
      </c>
      <c r="T419" t="s">
        <v>73</v>
      </c>
      <c r="U419" t="s">
        <v>41</v>
      </c>
      <c r="V419" s="9" t="str">
        <f>HYPERLINK("https://app.ntsb.gov/pdfgenerator/ReportGeneratorFile.ashx?EventID=20160523X75755&amp;AKey=1&amp;Rtype=Final&amp;IType=CA","PDF Report")</f>
        <v>PDF Report</v>
      </c>
    </row>
    <row r="420" spans="1:22" x14ac:dyDescent="0.25">
      <c r="A420" t="s">
        <v>1770</v>
      </c>
      <c r="B420">
        <v>1</v>
      </c>
      <c r="C420" s="5">
        <v>42511</v>
      </c>
      <c r="D420" t="s">
        <v>1771</v>
      </c>
      <c r="E420" t="s">
        <v>1772</v>
      </c>
      <c r="F420" t="s">
        <v>1773</v>
      </c>
      <c r="G420" t="s">
        <v>32</v>
      </c>
      <c r="H420" t="s">
        <v>33</v>
      </c>
      <c r="K420" t="s">
        <v>34</v>
      </c>
      <c r="L420" t="s">
        <v>35</v>
      </c>
      <c r="M420" t="s">
        <v>767</v>
      </c>
      <c r="Q420" t="s">
        <v>185</v>
      </c>
      <c r="R420" t="s">
        <v>768</v>
      </c>
      <c r="S420" t="s">
        <v>84</v>
      </c>
      <c r="T420" t="s">
        <v>958</v>
      </c>
      <c r="U420" t="s">
        <v>41</v>
      </c>
      <c r="V420" s="9" t="str">
        <f>HYPERLINK("https://app.ntsb.gov/pdfgenerator/ReportGeneratorFile.ashx?EventID=20160524X71954&amp;AKey=1&amp;Rtype=Final&amp;IType=CA","PDF Report")</f>
        <v>PDF Report</v>
      </c>
    </row>
    <row r="421" spans="1:22" x14ac:dyDescent="0.25">
      <c r="A421" t="s">
        <v>1774</v>
      </c>
      <c r="B421">
        <v>1</v>
      </c>
      <c r="C421" s="5">
        <v>42511</v>
      </c>
      <c r="D421" t="s">
        <v>1775</v>
      </c>
      <c r="E421" t="s">
        <v>1776</v>
      </c>
      <c r="F421" t="s">
        <v>1777</v>
      </c>
      <c r="G421" t="s">
        <v>54</v>
      </c>
      <c r="H421" t="s">
        <v>33</v>
      </c>
      <c r="K421" t="s">
        <v>34</v>
      </c>
      <c r="L421" t="s">
        <v>35</v>
      </c>
      <c r="M421" t="s">
        <v>36</v>
      </c>
      <c r="Q421" t="s">
        <v>37</v>
      </c>
      <c r="R421" t="s">
        <v>130</v>
      </c>
      <c r="S421" t="s">
        <v>84</v>
      </c>
      <c r="T421" t="s">
        <v>73</v>
      </c>
      <c r="U421" t="s">
        <v>41</v>
      </c>
      <c r="V421" s="9" t="str">
        <f>HYPERLINK("https://app.ntsb.gov/pdfgenerator/ReportGeneratorFile.ashx?EventID=20160531X63010&amp;AKey=1&amp;Rtype=Final&amp;IType=CA","PDF Report")</f>
        <v>PDF Report</v>
      </c>
    </row>
    <row r="422" spans="1:22" x14ac:dyDescent="0.25">
      <c r="A422" t="s">
        <v>1778</v>
      </c>
      <c r="B422">
        <v>1</v>
      </c>
      <c r="C422" s="5">
        <v>42512</v>
      </c>
      <c r="D422" t="s">
        <v>1779</v>
      </c>
      <c r="E422" t="s">
        <v>1780</v>
      </c>
      <c r="F422" t="s">
        <v>1781</v>
      </c>
      <c r="G422" t="s">
        <v>66</v>
      </c>
      <c r="H422" t="s">
        <v>33</v>
      </c>
      <c r="K422" t="s">
        <v>34</v>
      </c>
      <c r="L422" t="s">
        <v>35</v>
      </c>
      <c r="M422" t="s">
        <v>36</v>
      </c>
      <c r="Q422" t="s">
        <v>37</v>
      </c>
      <c r="R422" t="s">
        <v>130</v>
      </c>
      <c r="S422" t="s">
        <v>39</v>
      </c>
      <c r="T422" t="s">
        <v>49</v>
      </c>
      <c r="U422" t="s">
        <v>41</v>
      </c>
      <c r="V422" s="9" t="str">
        <f>HYPERLINK("https://app.ntsb.gov/pdfgenerator/ReportGeneratorFile.ashx?EventID=20160522X34523&amp;AKey=1&amp;Rtype=Final&amp;IType=FA","PDF Report")</f>
        <v>PDF Report</v>
      </c>
    </row>
    <row r="423" spans="1:22" x14ac:dyDescent="0.25">
      <c r="A423" t="s">
        <v>1782</v>
      </c>
      <c r="B423">
        <v>1</v>
      </c>
      <c r="C423" s="5">
        <v>42512</v>
      </c>
      <c r="D423" t="s">
        <v>1783</v>
      </c>
      <c r="E423" t="s">
        <v>1784</v>
      </c>
      <c r="F423" t="s">
        <v>1785</v>
      </c>
      <c r="G423" t="s">
        <v>407</v>
      </c>
      <c r="H423" t="s">
        <v>33</v>
      </c>
      <c r="K423" t="s">
        <v>34</v>
      </c>
      <c r="L423" t="s">
        <v>35</v>
      </c>
      <c r="M423" t="s">
        <v>36</v>
      </c>
      <c r="Q423" t="s">
        <v>37</v>
      </c>
      <c r="R423" t="s">
        <v>38</v>
      </c>
      <c r="S423" t="s">
        <v>196</v>
      </c>
      <c r="T423" t="s">
        <v>79</v>
      </c>
      <c r="U423" t="s">
        <v>41</v>
      </c>
      <c r="V423" s="9" t="str">
        <f>HYPERLINK("https://app.ntsb.gov/pdfgenerator/ReportGeneratorFile.ashx?EventID=20160523X60417&amp;AKey=1&amp;Rtype=Final&amp;IType=LA","PDF Report")</f>
        <v>PDF Report</v>
      </c>
    </row>
    <row r="424" spans="1:22" x14ac:dyDescent="0.25">
      <c r="A424" t="s">
        <v>1786</v>
      </c>
      <c r="B424">
        <v>1</v>
      </c>
      <c r="C424" s="5">
        <v>42512</v>
      </c>
      <c r="D424" t="s">
        <v>1787</v>
      </c>
      <c r="E424" t="s">
        <v>1788</v>
      </c>
      <c r="F424" t="s">
        <v>1789</v>
      </c>
      <c r="G424" t="s">
        <v>136</v>
      </c>
      <c r="H424" t="s">
        <v>33</v>
      </c>
      <c r="K424" t="s">
        <v>34</v>
      </c>
      <c r="L424" t="s">
        <v>35</v>
      </c>
      <c r="M424" t="s">
        <v>36</v>
      </c>
      <c r="Q424" t="s">
        <v>37</v>
      </c>
      <c r="R424" t="s">
        <v>38</v>
      </c>
      <c r="S424" t="s">
        <v>72</v>
      </c>
      <c r="T424" t="s">
        <v>73</v>
      </c>
      <c r="U424" t="s">
        <v>41</v>
      </c>
      <c r="V424" s="9" t="str">
        <f>HYPERLINK("https://app.ntsb.gov/pdfgenerator/ReportGeneratorFile.ashx?EventID=20160523X75408&amp;AKey=1&amp;Rtype=Final&amp;IType=CA","PDF Report")</f>
        <v>PDF Report</v>
      </c>
    </row>
    <row r="425" spans="1:22" x14ac:dyDescent="0.25">
      <c r="A425" t="s">
        <v>1790</v>
      </c>
      <c r="B425">
        <v>1</v>
      </c>
      <c r="C425" s="5">
        <v>42512</v>
      </c>
      <c r="D425" t="s">
        <v>1791</v>
      </c>
      <c r="E425" t="s">
        <v>1792</v>
      </c>
      <c r="F425" t="s">
        <v>1793</v>
      </c>
      <c r="G425" t="s">
        <v>142</v>
      </c>
      <c r="H425" t="s">
        <v>33</v>
      </c>
      <c r="K425" t="s">
        <v>47</v>
      </c>
      <c r="L425" t="s">
        <v>35</v>
      </c>
      <c r="M425" t="s">
        <v>36</v>
      </c>
      <c r="Q425" t="s">
        <v>37</v>
      </c>
      <c r="R425" t="s">
        <v>38</v>
      </c>
      <c r="S425" t="s">
        <v>48</v>
      </c>
      <c r="T425" t="s">
        <v>49</v>
      </c>
      <c r="U425" t="s">
        <v>41</v>
      </c>
      <c r="V425" s="9" t="str">
        <f>HYPERLINK("https://app.ntsb.gov/pdfgenerator/ReportGeneratorFile.ashx?EventID=20160523X94413&amp;AKey=1&amp;Rtype=Final&amp;IType=LA","PDF Report")</f>
        <v>PDF Report</v>
      </c>
    </row>
    <row r="426" spans="1:22" x14ac:dyDescent="0.25">
      <c r="A426" t="s">
        <v>1794</v>
      </c>
      <c r="B426">
        <v>1</v>
      </c>
      <c r="C426" s="5">
        <v>42513</v>
      </c>
      <c r="D426" t="s">
        <v>1795</v>
      </c>
      <c r="E426" t="s">
        <v>1796</v>
      </c>
      <c r="F426" t="s">
        <v>1797</v>
      </c>
      <c r="G426" t="s">
        <v>232</v>
      </c>
      <c r="H426" t="s">
        <v>33</v>
      </c>
      <c r="I426">
        <v>5</v>
      </c>
      <c r="K426" t="s">
        <v>90</v>
      </c>
      <c r="L426" t="s">
        <v>110</v>
      </c>
      <c r="M426" t="s">
        <v>36</v>
      </c>
      <c r="Q426" t="s">
        <v>37</v>
      </c>
      <c r="R426" t="s">
        <v>1132</v>
      </c>
      <c r="S426" t="s">
        <v>48</v>
      </c>
      <c r="T426" t="s">
        <v>49</v>
      </c>
      <c r="U426" t="s">
        <v>41</v>
      </c>
      <c r="V426" s="9" t="str">
        <f>HYPERLINK("https://app.ntsb.gov/pdfgenerator/ReportGeneratorFile.ashx?EventID=20160523X75309&amp;AKey=1&amp;Rtype=Final&amp;IType=FA","PDF Report")</f>
        <v>PDF Report</v>
      </c>
    </row>
    <row r="427" spans="1:22" x14ac:dyDescent="0.25">
      <c r="A427" t="s">
        <v>1798</v>
      </c>
      <c r="B427">
        <v>1</v>
      </c>
      <c r="C427" s="5">
        <v>42513</v>
      </c>
      <c r="D427" t="s">
        <v>1799</v>
      </c>
      <c r="E427" t="s">
        <v>1800</v>
      </c>
      <c r="F427" t="s">
        <v>1801</v>
      </c>
      <c r="G427" t="s">
        <v>115</v>
      </c>
      <c r="H427" t="s">
        <v>33</v>
      </c>
      <c r="K427" t="s">
        <v>47</v>
      </c>
      <c r="L427" t="s">
        <v>35</v>
      </c>
      <c r="M427" t="s">
        <v>36</v>
      </c>
      <c r="Q427" t="s">
        <v>37</v>
      </c>
      <c r="R427" t="s">
        <v>38</v>
      </c>
      <c r="S427" t="s">
        <v>97</v>
      </c>
      <c r="T427" t="s">
        <v>61</v>
      </c>
      <c r="U427" t="s">
        <v>41</v>
      </c>
      <c r="V427" s="9" t="str">
        <f>HYPERLINK("https://app.ntsb.gov/pdfgenerator/ReportGeneratorFile.ashx?EventID=20160524X62134&amp;AKey=1&amp;Rtype=Final&amp;IType=LA","PDF Report")</f>
        <v>PDF Report</v>
      </c>
    </row>
    <row r="428" spans="1:22" x14ac:dyDescent="0.25">
      <c r="A428" t="s">
        <v>1802</v>
      </c>
      <c r="B428">
        <v>1</v>
      </c>
      <c r="C428" s="5">
        <v>42513</v>
      </c>
      <c r="D428" t="s">
        <v>1803</v>
      </c>
      <c r="E428" t="s">
        <v>1804</v>
      </c>
      <c r="F428" t="s">
        <v>1805</v>
      </c>
      <c r="G428" t="s">
        <v>491</v>
      </c>
      <c r="H428" t="s">
        <v>33</v>
      </c>
      <c r="K428" t="s">
        <v>47</v>
      </c>
      <c r="L428" t="s">
        <v>35</v>
      </c>
      <c r="M428" t="s">
        <v>36</v>
      </c>
      <c r="Q428" t="s">
        <v>37</v>
      </c>
      <c r="R428" t="s">
        <v>1806</v>
      </c>
      <c r="S428" t="s">
        <v>196</v>
      </c>
      <c r="T428" t="s">
        <v>61</v>
      </c>
      <c r="U428" t="s">
        <v>41</v>
      </c>
      <c r="V428" s="9" t="str">
        <f>HYPERLINK("https://app.ntsb.gov/pdfgenerator/ReportGeneratorFile.ashx?EventID=20160527X13034&amp;AKey=1&amp;Rtype=Final&amp;IType=LA","PDF Report")</f>
        <v>PDF Report</v>
      </c>
    </row>
    <row r="429" spans="1:22" x14ac:dyDescent="0.25">
      <c r="A429" t="s">
        <v>1807</v>
      </c>
      <c r="B429">
        <v>1</v>
      </c>
      <c r="C429" s="5">
        <v>42513</v>
      </c>
      <c r="D429" t="s">
        <v>1808</v>
      </c>
      <c r="E429" t="s">
        <v>1809</v>
      </c>
      <c r="F429" t="s">
        <v>1810</v>
      </c>
      <c r="G429" t="s">
        <v>232</v>
      </c>
      <c r="H429" t="s">
        <v>33</v>
      </c>
      <c r="K429" t="s">
        <v>47</v>
      </c>
      <c r="L429" t="s">
        <v>35</v>
      </c>
      <c r="M429" t="s">
        <v>36</v>
      </c>
      <c r="Q429" t="s">
        <v>37</v>
      </c>
      <c r="R429" t="s">
        <v>38</v>
      </c>
      <c r="S429" t="s">
        <v>39</v>
      </c>
      <c r="T429" t="s">
        <v>61</v>
      </c>
      <c r="U429" t="s">
        <v>41</v>
      </c>
      <c r="V429" s="9" t="str">
        <f>HYPERLINK("https://app.ntsb.gov/pdfgenerator/ReportGeneratorFile.ashx?EventID=20160531X61809&amp;AKey=1&amp;Rtype=Final&amp;IType=LA","PDF Report")</f>
        <v>PDF Report</v>
      </c>
    </row>
    <row r="430" spans="1:22" x14ac:dyDescent="0.25">
      <c r="A430" t="s">
        <v>1811</v>
      </c>
      <c r="B430">
        <v>1</v>
      </c>
      <c r="C430" s="5">
        <v>42513</v>
      </c>
      <c r="D430" t="s">
        <v>1812</v>
      </c>
      <c r="E430" t="s">
        <v>1813</v>
      </c>
      <c r="F430" t="s">
        <v>1814</v>
      </c>
      <c r="G430" t="s">
        <v>54</v>
      </c>
      <c r="H430" t="s">
        <v>33</v>
      </c>
      <c r="K430" t="s">
        <v>34</v>
      </c>
      <c r="L430" t="s">
        <v>35</v>
      </c>
      <c r="M430" t="s">
        <v>56</v>
      </c>
      <c r="N430" t="s">
        <v>57</v>
      </c>
      <c r="O430" t="s">
        <v>58</v>
      </c>
      <c r="P430" t="s">
        <v>162</v>
      </c>
      <c r="Q430" t="s">
        <v>37</v>
      </c>
      <c r="S430" t="s">
        <v>84</v>
      </c>
      <c r="T430" t="s">
        <v>378</v>
      </c>
      <c r="U430" t="s">
        <v>41</v>
      </c>
      <c r="V430" s="9" t="str">
        <f>HYPERLINK("https://app.ntsb.gov/pdfgenerator/ReportGeneratorFile.ashx?EventID=20160602X32125&amp;AKey=1&amp;Rtype=Final&amp;IType=CA","PDF Report")</f>
        <v>PDF Report</v>
      </c>
    </row>
    <row r="431" spans="1:22" x14ac:dyDescent="0.25">
      <c r="A431" t="s">
        <v>1815</v>
      </c>
      <c r="B431">
        <v>1</v>
      </c>
      <c r="C431" s="5">
        <v>42513</v>
      </c>
      <c r="D431" t="s">
        <v>1816</v>
      </c>
      <c r="E431" t="s">
        <v>1817</v>
      </c>
      <c r="F431" t="s">
        <v>307</v>
      </c>
      <c r="G431" t="s">
        <v>66</v>
      </c>
      <c r="H431" t="s">
        <v>33</v>
      </c>
      <c r="K431" t="s">
        <v>47</v>
      </c>
      <c r="L431" t="s">
        <v>35</v>
      </c>
      <c r="M431" t="s">
        <v>36</v>
      </c>
      <c r="Q431" t="s">
        <v>37</v>
      </c>
      <c r="R431" t="s">
        <v>38</v>
      </c>
      <c r="S431" t="s">
        <v>39</v>
      </c>
      <c r="T431" t="s">
        <v>79</v>
      </c>
      <c r="U431" t="s">
        <v>41</v>
      </c>
      <c r="V431" s="9" t="str">
        <f>HYPERLINK("https://app.ntsb.gov/pdfgenerator/ReportGeneratorFile.ashx?EventID=20160607X73221&amp;AKey=1&amp;Rtype=Final&amp;IType=LA","PDF Report")</f>
        <v>PDF Report</v>
      </c>
    </row>
    <row r="432" spans="1:22" x14ac:dyDescent="0.25">
      <c r="A432" t="s">
        <v>1818</v>
      </c>
      <c r="B432">
        <v>1</v>
      </c>
      <c r="C432" s="5">
        <v>42514</v>
      </c>
      <c r="D432" t="s">
        <v>1819</v>
      </c>
      <c r="E432" t="s">
        <v>1820</v>
      </c>
      <c r="F432" t="s">
        <v>1821</v>
      </c>
      <c r="G432" t="s">
        <v>89</v>
      </c>
      <c r="H432" t="s">
        <v>33</v>
      </c>
      <c r="K432" t="s">
        <v>47</v>
      </c>
      <c r="L432" t="s">
        <v>35</v>
      </c>
      <c r="M432" t="s">
        <v>767</v>
      </c>
      <c r="Q432" t="s">
        <v>37</v>
      </c>
      <c r="R432" t="s">
        <v>768</v>
      </c>
      <c r="S432" t="s">
        <v>48</v>
      </c>
      <c r="T432" t="s">
        <v>40</v>
      </c>
      <c r="U432" t="s">
        <v>41</v>
      </c>
      <c r="V432" s="9" t="str">
        <f>HYPERLINK("https://app.ntsb.gov/pdfgenerator/ReportGeneratorFile.ashx?EventID=20160524X74410&amp;AKey=1&amp;Rtype=Final&amp;IType=LA","PDF Report")</f>
        <v>PDF Report</v>
      </c>
    </row>
    <row r="433" spans="1:22" x14ac:dyDescent="0.25">
      <c r="A433" t="s">
        <v>1822</v>
      </c>
      <c r="B433">
        <v>1</v>
      </c>
      <c r="C433" s="5">
        <v>42514</v>
      </c>
      <c r="D433" t="s">
        <v>1823</v>
      </c>
      <c r="E433" t="s">
        <v>1824</v>
      </c>
      <c r="F433" t="s">
        <v>1825</v>
      </c>
      <c r="G433" t="s">
        <v>46</v>
      </c>
      <c r="H433" t="s">
        <v>33</v>
      </c>
      <c r="I433">
        <v>2</v>
      </c>
      <c r="K433" t="s">
        <v>90</v>
      </c>
      <c r="L433" t="s">
        <v>110</v>
      </c>
      <c r="M433" t="s">
        <v>36</v>
      </c>
      <c r="Q433" t="s">
        <v>37</v>
      </c>
      <c r="R433" t="s">
        <v>130</v>
      </c>
      <c r="S433" t="s">
        <v>196</v>
      </c>
      <c r="T433" t="s">
        <v>1826</v>
      </c>
      <c r="U433" t="s">
        <v>41</v>
      </c>
      <c r="V433" s="9" t="str">
        <f>HYPERLINK("https://app.ntsb.gov/pdfgenerator/ReportGeneratorFile.ashx?EventID=20160524X81845&amp;AKey=1&amp;Rtype=Final&amp;IType=FA","PDF Report")</f>
        <v>PDF Report</v>
      </c>
    </row>
    <row r="434" spans="1:22" x14ac:dyDescent="0.25">
      <c r="A434" t="s">
        <v>1827</v>
      </c>
      <c r="B434">
        <v>1</v>
      </c>
      <c r="C434" s="5">
        <v>42514</v>
      </c>
      <c r="D434" t="s">
        <v>1828</v>
      </c>
      <c r="E434" t="s">
        <v>1829</v>
      </c>
      <c r="F434" t="s">
        <v>1830</v>
      </c>
      <c r="G434" t="s">
        <v>120</v>
      </c>
      <c r="H434" t="s">
        <v>33</v>
      </c>
      <c r="K434" t="s">
        <v>34</v>
      </c>
      <c r="L434" t="s">
        <v>35</v>
      </c>
      <c r="M434" t="s">
        <v>36</v>
      </c>
      <c r="Q434" t="s">
        <v>37</v>
      </c>
      <c r="R434" t="s">
        <v>38</v>
      </c>
      <c r="S434" t="s">
        <v>39</v>
      </c>
      <c r="T434" t="s">
        <v>61</v>
      </c>
      <c r="U434" t="s">
        <v>41</v>
      </c>
      <c r="V434" s="9" t="str">
        <f>HYPERLINK("https://app.ntsb.gov/pdfgenerator/ReportGeneratorFile.ashx?EventID=20160525X15244&amp;AKey=1&amp;Rtype=Final&amp;IType=CA","PDF Report")</f>
        <v>PDF Report</v>
      </c>
    </row>
    <row r="435" spans="1:22" x14ac:dyDescent="0.25">
      <c r="A435" t="s">
        <v>1831</v>
      </c>
      <c r="B435">
        <v>1</v>
      </c>
      <c r="C435" s="5">
        <v>42514</v>
      </c>
      <c r="D435" t="s">
        <v>1832</v>
      </c>
      <c r="E435" t="s">
        <v>1833</v>
      </c>
      <c r="F435" t="s">
        <v>531</v>
      </c>
      <c r="G435" t="s">
        <v>54</v>
      </c>
      <c r="H435" t="s">
        <v>33</v>
      </c>
      <c r="K435" t="s">
        <v>34</v>
      </c>
      <c r="L435" t="s">
        <v>35</v>
      </c>
      <c r="M435" t="s">
        <v>36</v>
      </c>
      <c r="Q435" t="s">
        <v>37</v>
      </c>
      <c r="R435" t="s">
        <v>38</v>
      </c>
      <c r="S435" t="s">
        <v>131</v>
      </c>
      <c r="T435" t="s">
        <v>73</v>
      </c>
      <c r="U435" t="s">
        <v>41</v>
      </c>
      <c r="V435" s="9" t="str">
        <f>HYPERLINK("https://app.ntsb.gov/pdfgenerator/ReportGeneratorFile.ashx?EventID=20160525X25941&amp;AKey=1&amp;Rtype=Final&amp;IType=CA","PDF Report")</f>
        <v>PDF Report</v>
      </c>
    </row>
    <row r="436" spans="1:22" x14ac:dyDescent="0.25">
      <c r="A436" t="s">
        <v>1834</v>
      </c>
      <c r="B436">
        <v>1</v>
      </c>
      <c r="C436" s="5">
        <v>42515</v>
      </c>
      <c r="D436" t="s">
        <v>1835</v>
      </c>
      <c r="E436" t="s">
        <v>1836</v>
      </c>
      <c r="F436" t="s">
        <v>1837</v>
      </c>
      <c r="G436" t="s">
        <v>211</v>
      </c>
      <c r="H436" t="s">
        <v>33</v>
      </c>
      <c r="J436">
        <v>1</v>
      </c>
      <c r="K436" t="s">
        <v>55</v>
      </c>
      <c r="L436" t="s">
        <v>35</v>
      </c>
      <c r="M436" t="s">
        <v>36</v>
      </c>
      <c r="Q436" t="s">
        <v>874</v>
      </c>
      <c r="R436" t="s">
        <v>38</v>
      </c>
      <c r="S436" t="s">
        <v>1330</v>
      </c>
      <c r="T436" t="s">
        <v>61</v>
      </c>
      <c r="U436" t="s">
        <v>41</v>
      </c>
      <c r="V436" s="9" t="str">
        <f>HYPERLINK("https://app.ntsb.gov/pdfgenerator/ReportGeneratorFile.ashx?EventID=20160526X60820&amp;AKey=1&amp;Rtype=Final&amp;IType=CA","PDF Report")</f>
        <v>PDF Report</v>
      </c>
    </row>
    <row r="437" spans="1:22" x14ac:dyDescent="0.25">
      <c r="A437" t="s">
        <v>1838</v>
      </c>
      <c r="B437">
        <v>1</v>
      </c>
      <c r="C437" s="5">
        <v>42515</v>
      </c>
      <c r="D437" t="s">
        <v>1839</v>
      </c>
      <c r="E437" t="s">
        <v>1840</v>
      </c>
      <c r="F437" t="s">
        <v>1841</v>
      </c>
      <c r="G437" t="s">
        <v>78</v>
      </c>
      <c r="H437" t="s">
        <v>33</v>
      </c>
      <c r="J437">
        <v>1</v>
      </c>
      <c r="K437" t="s">
        <v>55</v>
      </c>
      <c r="L437" t="s">
        <v>35</v>
      </c>
      <c r="M437" t="s">
        <v>36</v>
      </c>
      <c r="Q437" t="s">
        <v>37</v>
      </c>
      <c r="R437" t="s">
        <v>38</v>
      </c>
      <c r="S437" t="s">
        <v>455</v>
      </c>
      <c r="T437" t="s">
        <v>73</v>
      </c>
      <c r="U437" t="s">
        <v>41</v>
      </c>
      <c r="V437" s="9" t="str">
        <f>HYPERLINK("https://app.ntsb.gov/pdfgenerator/ReportGeneratorFile.ashx?EventID=20160607X65825&amp;AKey=1&amp;Rtype=Final&amp;IType=CA","PDF Report")</f>
        <v>PDF Report</v>
      </c>
    </row>
    <row r="438" spans="1:22" x14ac:dyDescent="0.25">
      <c r="A438" t="s">
        <v>1842</v>
      </c>
      <c r="B438">
        <v>1</v>
      </c>
      <c r="C438" s="5">
        <v>42517</v>
      </c>
      <c r="D438" t="s">
        <v>1843</v>
      </c>
      <c r="E438" t="s">
        <v>1844</v>
      </c>
      <c r="F438" t="s">
        <v>1845</v>
      </c>
      <c r="G438" t="s">
        <v>120</v>
      </c>
      <c r="H438" t="s">
        <v>33</v>
      </c>
      <c r="K438" t="s">
        <v>34</v>
      </c>
      <c r="L438" t="s">
        <v>35</v>
      </c>
      <c r="M438" t="s">
        <v>36</v>
      </c>
      <c r="Q438" t="s">
        <v>37</v>
      </c>
      <c r="R438" t="s">
        <v>38</v>
      </c>
      <c r="S438" t="s">
        <v>84</v>
      </c>
      <c r="T438" t="s">
        <v>73</v>
      </c>
      <c r="U438" t="s">
        <v>41</v>
      </c>
      <c r="V438" s="9" t="str">
        <f>HYPERLINK("https://app.ntsb.gov/pdfgenerator/ReportGeneratorFile.ashx?EventID=20160527X64617&amp;AKey=1&amp;Rtype=Final&amp;IType=LA","PDF Report")</f>
        <v>PDF Report</v>
      </c>
    </row>
    <row r="439" spans="1:22" x14ac:dyDescent="0.25">
      <c r="A439" t="s">
        <v>1846</v>
      </c>
      <c r="B439">
        <v>1</v>
      </c>
      <c r="C439" s="5">
        <v>42517</v>
      </c>
      <c r="D439" t="s">
        <v>1847</v>
      </c>
      <c r="E439" t="s">
        <v>1848</v>
      </c>
      <c r="F439" t="s">
        <v>1849</v>
      </c>
      <c r="G439" t="s">
        <v>322</v>
      </c>
      <c r="H439" t="s">
        <v>33</v>
      </c>
      <c r="I439">
        <v>1</v>
      </c>
      <c r="K439" t="s">
        <v>90</v>
      </c>
      <c r="L439" t="s">
        <v>35</v>
      </c>
      <c r="M439" t="s">
        <v>36</v>
      </c>
      <c r="Q439" t="s">
        <v>37</v>
      </c>
      <c r="R439" t="s">
        <v>170</v>
      </c>
      <c r="S439" t="s">
        <v>39</v>
      </c>
      <c r="T439" t="s">
        <v>61</v>
      </c>
      <c r="U439" t="s">
        <v>41</v>
      </c>
      <c r="V439" s="9" t="str">
        <f>HYPERLINK("https://app.ntsb.gov/pdfgenerator/ReportGeneratorFile.ashx?EventID=20160530X30749&amp;AKey=1&amp;Rtype=Final&amp;IType=LA","PDF Report")</f>
        <v>PDF Report</v>
      </c>
    </row>
    <row r="440" spans="1:22" x14ac:dyDescent="0.25">
      <c r="A440" t="s">
        <v>1850</v>
      </c>
      <c r="B440">
        <v>1</v>
      </c>
      <c r="C440" s="5">
        <v>42517</v>
      </c>
      <c r="D440" t="s">
        <v>1851</v>
      </c>
      <c r="E440" t="s">
        <v>1852</v>
      </c>
      <c r="F440" t="s">
        <v>1853</v>
      </c>
      <c r="G440" t="s">
        <v>500</v>
      </c>
      <c r="H440" t="s">
        <v>33</v>
      </c>
      <c r="K440" t="s">
        <v>34</v>
      </c>
      <c r="L440" t="s">
        <v>35</v>
      </c>
      <c r="M440" t="s">
        <v>36</v>
      </c>
      <c r="Q440" t="s">
        <v>37</v>
      </c>
      <c r="R440" t="s">
        <v>130</v>
      </c>
      <c r="S440" t="s">
        <v>584</v>
      </c>
      <c r="T440" t="s">
        <v>79</v>
      </c>
      <c r="U440" t="s">
        <v>41</v>
      </c>
      <c r="V440" s="9" t="str">
        <f>HYPERLINK("https://app.ntsb.gov/pdfgenerator/ReportGeneratorFile.ashx?EventID=20160601X01308&amp;AKey=1&amp;Rtype=Final&amp;IType=LA","PDF Report")</f>
        <v>PDF Report</v>
      </c>
    </row>
    <row r="441" spans="1:22" x14ac:dyDescent="0.25">
      <c r="A441" t="s">
        <v>1854</v>
      </c>
      <c r="B441">
        <v>1</v>
      </c>
      <c r="C441" s="5">
        <v>42517</v>
      </c>
      <c r="D441" t="s">
        <v>1855</v>
      </c>
      <c r="E441" t="s">
        <v>1856</v>
      </c>
      <c r="F441" t="s">
        <v>1857</v>
      </c>
      <c r="G441" t="s">
        <v>666</v>
      </c>
      <c r="H441" t="s">
        <v>33</v>
      </c>
      <c r="K441" t="s">
        <v>47</v>
      </c>
      <c r="L441" t="s">
        <v>35</v>
      </c>
      <c r="M441" t="s">
        <v>36</v>
      </c>
      <c r="Q441" t="s">
        <v>37</v>
      </c>
      <c r="R441" t="s">
        <v>130</v>
      </c>
      <c r="S441" t="s">
        <v>97</v>
      </c>
      <c r="T441" t="s">
        <v>61</v>
      </c>
      <c r="U441" t="s">
        <v>41</v>
      </c>
      <c r="V441" s="9" t="str">
        <f>HYPERLINK("https://app.ntsb.gov/pdfgenerator/ReportGeneratorFile.ashx?EventID=20160601X95218&amp;AKey=1&amp;Rtype=Final&amp;IType=CA","PDF Report")</f>
        <v>PDF Report</v>
      </c>
    </row>
    <row r="442" spans="1:22" x14ac:dyDescent="0.25">
      <c r="A442" t="s">
        <v>1858</v>
      </c>
      <c r="B442">
        <v>1</v>
      </c>
      <c r="C442" s="5">
        <v>42517</v>
      </c>
      <c r="D442" t="s">
        <v>1859</v>
      </c>
      <c r="E442" t="s">
        <v>1860</v>
      </c>
      <c r="F442" t="s">
        <v>1082</v>
      </c>
      <c r="G442" t="s">
        <v>54</v>
      </c>
      <c r="H442" t="s">
        <v>33</v>
      </c>
      <c r="K442" t="s">
        <v>34</v>
      </c>
      <c r="L442" t="s">
        <v>35</v>
      </c>
      <c r="M442" t="s">
        <v>36</v>
      </c>
      <c r="Q442" t="s">
        <v>37</v>
      </c>
      <c r="R442" t="s">
        <v>38</v>
      </c>
      <c r="S442" t="s">
        <v>131</v>
      </c>
      <c r="T442" t="s">
        <v>73</v>
      </c>
      <c r="U442" t="s">
        <v>41</v>
      </c>
      <c r="V442" s="9" t="str">
        <f>HYPERLINK("https://app.ntsb.gov/pdfgenerator/ReportGeneratorFile.ashx?EventID=20160608X25102&amp;AKey=1&amp;Rtype=Final&amp;IType=CA","PDF Report")</f>
        <v>PDF Report</v>
      </c>
    </row>
    <row r="443" spans="1:22" x14ac:dyDescent="0.25">
      <c r="A443" t="s">
        <v>1861</v>
      </c>
      <c r="B443">
        <v>1</v>
      </c>
      <c r="C443" s="5">
        <v>42517</v>
      </c>
      <c r="D443" t="s">
        <v>1862</v>
      </c>
      <c r="E443" t="s">
        <v>1863</v>
      </c>
      <c r="F443" t="s">
        <v>1555</v>
      </c>
      <c r="G443" t="s">
        <v>66</v>
      </c>
      <c r="H443" t="s">
        <v>33</v>
      </c>
      <c r="K443" t="s">
        <v>47</v>
      </c>
      <c r="L443" t="s">
        <v>35</v>
      </c>
      <c r="M443" t="s">
        <v>36</v>
      </c>
      <c r="Q443" t="s">
        <v>37</v>
      </c>
      <c r="R443" t="s">
        <v>38</v>
      </c>
      <c r="S443" t="s">
        <v>131</v>
      </c>
      <c r="T443" t="s">
        <v>73</v>
      </c>
      <c r="U443" t="s">
        <v>41</v>
      </c>
      <c r="V443" s="9" t="str">
        <f>HYPERLINK("https://app.ntsb.gov/pdfgenerator/ReportGeneratorFile.ashx?EventID=20160613X65133&amp;AKey=1&amp;Rtype=Final&amp;IType=CA","PDF Report")</f>
        <v>PDF Report</v>
      </c>
    </row>
    <row r="444" spans="1:22" x14ac:dyDescent="0.25">
      <c r="A444" t="s">
        <v>1864</v>
      </c>
      <c r="B444">
        <v>1</v>
      </c>
      <c r="C444" s="5">
        <v>42517</v>
      </c>
      <c r="D444" t="s">
        <v>1865</v>
      </c>
      <c r="E444" t="s">
        <v>1866</v>
      </c>
      <c r="F444" t="s">
        <v>1867</v>
      </c>
      <c r="G444" t="s">
        <v>115</v>
      </c>
      <c r="H444" t="s">
        <v>33</v>
      </c>
      <c r="K444" t="s">
        <v>34</v>
      </c>
      <c r="L444" t="s">
        <v>35</v>
      </c>
      <c r="M444" t="s">
        <v>36</v>
      </c>
      <c r="Q444" t="s">
        <v>37</v>
      </c>
      <c r="R444" t="s">
        <v>38</v>
      </c>
      <c r="S444" t="s">
        <v>131</v>
      </c>
      <c r="T444" t="s">
        <v>73</v>
      </c>
      <c r="U444" t="s">
        <v>41</v>
      </c>
      <c r="V444" s="9" t="str">
        <f>HYPERLINK("https://app.ntsb.gov/pdfgenerator/ReportGeneratorFile.ashx?EventID=20161122X02351&amp;AKey=1&amp;Rtype=Final&amp;IType=CA","PDF Report")</f>
        <v>PDF Report</v>
      </c>
    </row>
    <row r="445" spans="1:22" x14ac:dyDescent="0.25">
      <c r="A445" t="s">
        <v>1868</v>
      </c>
      <c r="B445">
        <v>1</v>
      </c>
      <c r="C445" s="5">
        <v>42518</v>
      </c>
      <c r="D445" t="s">
        <v>1869</v>
      </c>
      <c r="E445" t="s">
        <v>1870</v>
      </c>
      <c r="F445" t="s">
        <v>495</v>
      </c>
      <c r="G445" t="s">
        <v>66</v>
      </c>
      <c r="H445" t="s">
        <v>33</v>
      </c>
      <c r="I445">
        <v>2</v>
      </c>
      <c r="K445" t="s">
        <v>90</v>
      </c>
      <c r="L445" t="s">
        <v>110</v>
      </c>
      <c r="M445" t="s">
        <v>36</v>
      </c>
      <c r="Q445" t="s">
        <v>37</v>
      </c>
      <c r="R445" t="s">
        <v>38</v>
      </c>
      <c r="S445" t="s">
        <v>39</v>
      </c>
      <c r="T445" t="s">
        <v>40</v>
      </c>
      <c r="U445" t="s">
        <v>41</v>
      </c>
      <c r="V445" s="9" t="str">
        <f>HYPERLINK("https://app.ntsb.gov/pdfgenerator/ReportGeneratorFile.ashx?EventID=20160528X01400&amp;AKey=1&amp;Rtype=Final&amp;IType=FA","PDF Report")</f>
        <v>PDF Report</v>
      </c>
    </row>
    <row r="446" spans="1:22" x14ac:dyDescent="0.25">
      <c r="A446" t="s">
        <v>1871</v>
      </c>
      <c r="B446">
        <v>1</v>
      </c>
      <c r="C446" s="5">
        <v>42518</v>
      </c>
      <c r="D446" t="s">
        <v>1872</v>
      </c>
      <c r="E446" t="s">
        <v>1873</v>
      </c>
      <c r="F446" t="s">
        <v>821</v>
      </c>
      <c r="G446" t="s">
        <v>96</v>
      </c>
      <c r="H446" t="s">
        <v>33</v>
      </c>
      <c r="K446" t="s">
        <v>47</v>
      </c>
      <c r="L446" t="s">
        <v>35</v>
      </c>
      <c r="M446" t="s">
        <v>36</v>
      </c>
      <c r="Q446" t="s">
        <v>37</v>
      </c>
      <c r="R446" t="s">
        <v>38</v>
      </c>
      <c r="S446" t="s">
        <v>131</v>
      </c>
      <c r="T446" t="s">
        <v>73</v>
      </c>
      <c r="U446" t="s">
        <v>41</v>
      </c>
      <c r="V446" s="9" t="str">
        <f>HYPERLINK("https://app.ntsb.gov/pdfgenerator/ReportGeneratorFile.ashx?EventID=20160601X13256&amp;AKey=1&amp;Rtype=Final&amp;IType=CA","PDF Report")</f>
        <v>PDF Report</v>
      </c>
    </row>
    <row r="447" spans="1:22" x14ac:dyDescent="0.25">
      <c r="A447" t="s">
        <v>1874</v>
      </c>
      <c r="B447">
        <v>1</v>
      </c>
      <c r="C447" s="5">
        <v>42518</v>
      </c>
      <c r="D447" t="s">
        <v>1875</v>
      </c>
      <c r="E447" t="s">
        <v>1876</v>
      </c>
      <c r="F447" t="s">
        <v>1877</v>
      </c>
      <c r="G447" t="s">
        <v>96</v>
      </c>
      <c r="H447" t="s">
        <v>33</v>
      </c>
      <c r="K447" t="s">
        <v>34</v>
      </c>
      <c r="L447" t="s">
        <v>35</v>
      </c>
      <c r="M447" t="s">
        <v>36</v>
      </c>
      <c r="Q447" t="s">
        <v>185</v>
      </c>
      <c r="R447" t="s">
        <v>38</v>
      </c>
      <c r="S447" t="s">
        <v>834</v>
      </c>
      <c r="T447" t="s">
        <v>378</v>
      </c>
      <c r="U447" t="s">
        <v>41</v>
      </c>
      <c r="V447" s="9" t="str">
        <f>HYPERLINK("https://app.ntsb.gov/pdfgenerator/ReportGeneratorFile.ashx?EventID=20160607X23848&amp;AKey=1&amp;Rtype=Final&amp;IType=CA","PDF Report")</f>
        <v>PDF Report</v>
      </c>
    </row>
    <row r="448" spans="1:22" x14ac:dyDescent="0.25">
      <c r="A448" t="s">
        <v>1878</v>
      </c>
      <c r="B448">
        <v>1</v>
      </c>
      <c r="C448" s="5">
        <v>42518</v>
      </c>
      <c r="D448" t="s">
        <v>1879</v>
      </c>
      <c r="E448" t="s">
        <v>1880</v>
      </c>
      <c r="F448" t="s">
        <v>1198</v>
      </c>
      <c r="G448" t="s">
        <v>66</v>
      </c>
      <c r="H448" t="s">
        <v>33</v>
      </c>
      <c r="I448">
        <v>2</v>
      </c>
      <c r="K448" t="s">
        <v>90</v>
      </c>
      <c r="L448" t="s">
        <v>110</v>
      </c>
      <c r="M448" t="s">
        <v>36</v>
      </c>
      <c r="Q448" t="s">
        <v>37</v>
      </c>
      <c r="R448" t="s">
        <v>130</v>
      </c>
      <c r="S448" t="s">
        <v>243</v>
      </c>
      <c r="T448" t="s">
        <v>243</v>
      </c>
      <c r="U448" t="s">
        <v>41</v>
      </c>
      <c r="V448" s="9" t="str">
        <f>HYPERLINK("https://app.ntsb.gov/pdfgenerator/ReportGeneratorFile.ashx?EventID=20160607X31317&amp;AKey=1&amp;Rtype=Final&amp;IType=FA","PDF Report")</f>
        <v>PDF Report</v>
      </c>
    </row>
    <row r="449" spans="1:22" x14ac:dyDescent="0.25">
      <c r="A449" t="s">
        <v>1881</v>
      </c>
      <c r="B449">
        <v>1</v>
      </c>
      <c r="C449" s="5">
        <v>42519</v>
      </c>
      <c r="D449" t="s">
        <v>1882</v>
      </c>
      <c r="E449" t="s">
        <v>1883</v>
      </c>
      <c r="F449" t="s">
        <v>1884</v>
      </c>
      <c r="G449" t="s">
        <v>491</v>
      </c>
      <c r="H449" t="s">
        <v>33</v>
      </c>
      <c r="K449" t="s">
        <v>47</v>
      </c>
      <c r="L449" t="s">
        <v>35</v>
      </c>
      <c r="M449" t="s">
        <v>36</v>
      </c>
      <c r="Q449" t="s">
        <v>37</v>
      </c>
      <c r="R449" t="s">
        <v>38</v>
      </c>
      <c r="S449" t="s">
        <v>201</v>
      </c>
      <c r="T449" t="s">
        <v>40</v>
      </c>
      <c r="U449" t="s">
        <v>41</v>
      </c>
      <c r="V449" s="9" t="str">
        <f>HYPERLINK("https://app.ntsb.gov/pdfgenerator/ReportGeneratorFile.ashx?EventID=20160531X05951&amp;AKey=1&amp;Rtype=Final&amp;IType=CA","PDF Report")</f>
        <v>PDF Report</v>
      </c>
    </row>
    <row r="450" spans="1:22" x14ac:dyDescent="0.25">
      <c r="A450" t="s">
        <v>1885</v>
      </c>
      <c r="B450">
        <v>1</v>
      </c>
      <c r="C450" s="5">
        <v>42519</v>
      </c>
      <c r="D450" t="s">
        <v>1886</v>
      </c>
      <c r="E450" t="s">
        <v>1887</v>
      </c>
      <c r="F450" t="s">
        <v>1888</v>
      </c>
      <c r="G450" t="s">
        <v>1416</v>
      </c>
      <c r="H450" t="s">
        <v>33</v>
      </c>
      <c r="J450">
        <v>1</v>
      </c>
      <c r="K450" t="s">
        <v>55</v>
      </c>
      <c r="L450" t="s">
        <v>35</v>
      </c>
      <c r="M450" t="s">
        <v>36</v>
      </c>
      <c r="Q450" t="s">
        <v>37</v>
      </c>
      <c r="R450" t="s">
        <v>38</v>
      </c>
      <c r="S450" t="s">
        <v>91</v>
      </c>
      <c r="T450" t="s">
        <v>40</v>
      </c>
      <c r="U450" t="s">
        <v>41</v>
      </c>
      <c r="V450" s="9" t="str">
        <f>HYPERLINK("https://app.ntsb.gov/pdfgenerator/ReportGeneratorFile.ashx?EventID=20160531X11910&amp;AKey=1&amp;Rtype=Final&amp;IType=CA","PDF Report")</f>
        <v>PDF Report</v>
      </c>
    </row>
    <row r="451" spans="1:22" x14ac:dyDescent="0.25">
      <c r="A451" t="s">
        <v>1889</v>
      </c>
      <c r="B451">
        <v>1</v>
      </c>
      <c r="C451" s="5">
        <v>42519</v>
      </c>
      <c r="D451" t="s">
        <v>1890</v>
      </c>
      <c r="E451" t="s">
        <v>1891</v>
      </c>
      <c r="F451" t="s">
        <v>1892</v>
      </c>
      <c r="G451" t="s">
        <v>66</v>
      </c>
      <c r="H451" t="s">
        <v>33</v>
      </c>
      <c r="J451">
        <v>1</v>
      </c>
      <c r="K451" t="s">
        <v>55</v>
      </c>
      <c r="L451" t="s">
        <v>34</v>
      </c>
      <c r="M451" t="s">
        <v>103</v>
      </c>
      <c r="N451" t="s">
        <v>57</v>
      </c>
      <c r="O451" t="s">
        <v>58</v>
      </c>
      <c r="P451" t="s">
        <v>59</v>
      </c>
      <c r="Q451" t="s">
        <v>37</v>
      </c>
      <c r="S451" t="s">
        <v>433</v>
      </c>
      <c r="T451" t="s">
        <v>61</v>
      </c>
      <c r="U451" t="s">
        <v>41</v>
      </c>
      <c r="V451" s="9" t="str">
        <f>HYPERLINK("https://app.ntsb.gov/pdfgenerator/ReportGeneratorFile.ashx?EventID=20160531X12742&amp;AKey=1&amp;Rtype=Final&amp;IType=LA","PDF Report")</f>
        <v>PDF Report</v>
      </c>
    </row>
    <row r="452" spans="1:22" x14ac:dyDescent="0.25">
      <c r="A452" t="s">
        <v>1893</v>
      </c>
      <c r="B452">
        <v>1</v>
      </c>
      <c r="C452" s="5">
        <v>42519</v>
      </c>
      <c r="D452" t="s">
        <v>1894</v>
      </c>
      <c r="E452" t="s">
        <v>1895</v>
      </c>
      <c r="F452" t="s">
        <v>1896</v>
      </c>
      <c r="G452" t="s">
        <v>666</v>
      </c>
      <c r="H452" t="s">
        <v>33</v>
      </c>
      <c r="K452" t="s">
        <v>34</v>
      </c>
      <c r="L452" t="s">
        <v>35</v>
      </c>
      <c r="M452" t="s">
        <v>36</v>
      </c>
      <c r="Q452" t="s">
        <v>37</v>
      </c>
      <c r="R452" t="s">
        <v>38</v>
      </c>
      <c r="S452" t="s">
        <v>131</v>
      </c>
      <c r="T452" t="s">
        <v>73</v>
      </c>
      <c r="U452" t="s">
        <v>41</v>
      </c>
      <c r="V452" s="9" t="str">
        <f>HYPERLINK("https://app.ntsb.gov/pdfgenerator/ReportGeneratorFile.ashx?EventID=20160601X13049&amp;AKey=1&amp;Rtype=Final&amp;IType=LA","PDF Report")</f>
        <v>PDF Report</v>
      </c>
    </row>
    <row r="453" spans="1:22" x14ac:dyDescent="0.25">
      <c r="A453" t="s">
        <v>1897</v>
      </c>
      <c r="B453">
        <v>1</v>
      </c>
      <c r="C453" s="5">
        <v>42519</v>
      </c>
      <c r="D453" t="s">
        <v>1898</v>
      </c>
      <c r="E453" t="s">
        <v>1899</v>
      </c>
      <c r="F453" t="s">
        <v>1900</v>
      </c>
      <c r="G453" t="s">
        <v>206</v>
      </c>
      <c r="H453" t="s">
        <v>33</v>
      </c>
      <c r="K453" t="s">
        <v>34</v>
      </c>
      <c r="L453" t="s">
        <v>35</v>
      </c>
      <c r="M453" t="s">
        <v>36</v>
      </c>
      <c r="Q453" t="s">
        <v>37</v>
      </c>
      <c r="R453" t="s">
        <v>38</v>
      </c>
      <c r="S453" t="s">
        <v>131</v>
      </c>
      <c r="T453" t="s">
        <v>73</v>
      </c>
      <c r="U453" t="s">
        <v>41</v>
      </c>
      <c r="V453" s="9" t="str">
        <f>HYPERLINK("https://app.ntsb.gov/pdfgenerator/ReportGeneratorFile.ashx?EventID=20160601X14755&amp;AKey=1&amp;Rtype=Final&amp;IType=CA","PDF Report")</f>
        <v>PDF Report</v>
      </c>
    </row>
    <row r="454" spans="1:22" x14ac:dyDescent="0.25">
      <c r="A454" t="s">
        <v>1901</v>
      </c>
      <c r="B454">
        <v>1</v>
      </c>
      <c r="C454" s="5">
        <v>42519</v>
      </c>
      <c r="D454" t="s">
        <v>1902</v>
      </c>
      <c r="E454" t="s">
        <v>1903</v>
      </c>
      <c r="F454" t="s">
        <v>1904</v>
      </c>
      <c r="G454" t="s">
        <v>54</v>
      </c>
      <c r="H454" t="s">
        <v>33</v>
      </c>
      <c r="K454" t="s">
        <v>47</v>
      </c>
      <c r="L454" t="s">
        <v>35</v>
      </c>
      <c r="M454" t="s">
        <v>36</v>
      </c>
      <c r="Q454" t="s">
        <v>37</v>
      </c>
      <c r="R454" t="s">
        <v>38</v>
      </c>
      <c r="S454" t="s">
        <v>396</v>
      </c>
      <c r="T454" t="s">
        <v>73</v>
      </c>
      <c r="U454" t="s">
        <v>41</v>
      </c>
      <c r="V454" s="9" t="str">
        <f>HYPERLINK("https://app.ntsb.gov/pdfgenerator/ReportGeneratorFile.ashx?EventID=20160602X55802&amp;AKey=1&amp;Rtype=Final&amp;IType=CA","PDF Report")</f>
        <v>PDF Report</v>
      </c>
    </row>
    <row r="455" spans="1:22" x14ac:dyDescent="0.25">
      <c r="A455" t="s">
        <v>1905</v>
      </c>
      <c r="B455">
        <v>1</v>
      </c>
      <c r="C455" s="5">
        <v>42520</v>
      </c>
      <c r="D455" t="s">
        <v>1906</v>
      </c>
      <c r="E455" t="s">
        <v>1907</v>
      </c>
      <c r="F455" t="s">
        <v>1908</v>
      </c>
      <c r="G455" t="s">
        <v>125</v>
      </c>
      <c r="H455" t="s">
        <v>33</v>
      </c>
      <c r="K455" t="s">
        <v>47</v>
      </c>
      <c r="L455" t="s">
        <v>35</v>
      </c>
      <c r="M455" t="s">
        <v>36</v>
      </c>
      <c r="Q455" t="s">
        <v>37</v>
      </c>
      <c r="R455" t="s">
        <v>38</v>
      </c>
      <c r="S455" t="s">
        <v>834</v>
      </c>
      <c r="T455" t="s">
        <v>73</v>
      </c>
      <c r="U455" t="s">
        <v>41</v>
      </c>
      <c r="V455" s="9" t="str">
        <f>HYPERLINK("https://app.ntsb.gov/pdfgenerator/ReportGeneratorFile.ashx?EventID=20160531X02231&amp;AKey=1&amp;Rtype=Final&amp;IType=CA","PDF Report")</f>
        <v>PDF Report</v>
      </c>
    </row>
    <row r="456" spans="1:22" x14ac:dyDescent="0.25">
      <c r="A456" t="s">
        <v>1909</v>
      </c>
      <c r="B456">
        <v>1</v>
      </c>
      <c r="C456" s="5">
        <v>42520</v>
      </c>
      <c r="D456" t="s">
        <v>1910</v>
      </c>
      <c r="E456" t="s">
        <v>1911</v>
      </c>
      <c r="F456" t="s">
        <v>1912</v>
      </c>
      <c r="G456" t="s">
        <v>1508</v>
      </c>
      <c r="H456" t="s">
        <v>33</v>
      </c>
      <c r="I456">
        <v>1</v>
      </c>
      <c r="K456" t="s">
        <v>90</v>
      </c>
      <c r="L456" t="s">
        <v>110</v>
      </c>
      <c r="M456" t="s">
        <v>36</v>
      </c>
      <c r="Q456" t="s">
        <v>37</v>
      </c>
      <c r="R456" t="s">
        <v>38</v>
      </c>
      <c r="S456" t="s">
        <v>243</v>
      </c>
      <c r="T456" t="s">
        <v>243</v>
      </c>
      <c r="U456" t="s">
        <v>41</v>
      </c>
      <c r="V456" s="9" t="str">
        <f>HYPERLINK("https://app.ntsb.gov/pdfgenerator/ReportGeneratorFile.ashx?EventID=20160601X60430&amp;AKey=1&amp;Rtype=Final&amp;IType=LA","PDF Report")</f>
        <v>PDF Report</v>
      </c>
    </row>
    <row r="457" spans="1:22" x14ac:dyDescent="0.25">
      <c r="A457" t="s">
        <v>1913</v>
      </c>
      <c r="B457">
        <v>1</v>
      </c>
      <c r="C457" s="5">
        <v>42520</v>
      </c>
      <c r="D457" t="s">
        <v>1914</v>
      </c>
      <c r="E457" t="s">
        <v>1915</v>
      </c>
      <c r="F457" t="s">
        <v>1916</v>
      </c>
      <c r="G457" t="s">
        <v>407</v>
      </c>
      <c r="H457" t="s">
        <v>33</v>
      </c>
      <c r="K457" t="s">
        <v>34</v>
      </c>
      <c r="L457" t="s">
        <v>35</v>
      </c>
      <c r="M457" t="s">
        <v>36</v>
      </c>
      <c r="Q457" t="s">
        <v>37</v>
      </c>
      <c r="R457" t="s">
        <v>38</v>
      </c>
      <c r="S457" t="s">
        <v>84</v>
      </c>
      <c r="T457" t="s">
        <v>73</v>
      </c>
      <c r="U457" t="s">
        <v>41</v>
      </c>
      <c r="V457" s="9" t="str">
        <f>HYPERLINK("https://app.ntsb.gov/pdfgenerator/ReportGeneratorFile.ashx?EventID=20160606X05701&amp;AKey=1&amp;Rtype=Final&amp;IType=CA","PDF Report")</f>
        <v>PDF Report</v>
      </c>
    </row>
    <row r="458" spans="1:22" x14ac:dyDescent="0.25">
      <c r="A458" t="s">
        <v>1917</v>
      </c>
      <c r="B458">
        <v>1</v>
      </c>
      <c r="C458" s="5">
        <v>42520</v>
      </c>
      <c r="D458" t="s">
        <v>1918</v>
      </c>
      <c r="E458" t="s">
        <v>1919</v>
      </c>
      <c r="F458" t="s">
        <v>1920</v>
      </c>
      <c r="G458" t="s">
        <v>395</v>
      </c>
      <c r="H458" t="s">
        <v>33</v>
      </c>
      <c r="K458" t="s">
        <v>34</v>
      </c>
      <c r="L458" t="s">
        <v>35</v>
      </c>
      <c r="M458" t="s">
        <v>36</v>
      </c>
      <c r="Q458" t="s">
        <v>37</v>
      </c>
      <c r="R458" t="s">
        <v>38</v>
      </c>
      <c r="S458" t="s">
        <v>84</v>
      </c>
      <c r="T458" t="s">
        <v>73</v>
      </c>
      <c r="U458" t="s">
        <v>41</v>
      </c>
      <c r="V458" s="9" t="str">
        <f>HYPERLINK("https://app.ntsb.gov/pdfgenerator/ReportGeneratorFile.ashx?EventID=20160606X90906&amp;AKey=1&amp;Rtype=Final&amp;IType=LA","PDF Report")</f>
        <v>PDF Report</v>
      </c>
    </row>
    <row r="459" spans="1:22" x14ac:dyDescent="0.25">
      <c r="A459" t="s">
        <v>1921</v>
      </c>
      <c r="B459">
        <v>1</v>
      </c>
      <c r="C459" s="5">
        <v>42520</v>
      </c>
      <c r="D459" t="s">
        <v>1922</v>
      </c>
      <c r="E459" t="s">
        <v>1923</v>
      </c>
      <c r="F459" t="s">
        <v>1924</v>
      </c>
      <c r="G459" t="s">
        <v>120</v>
      </c>
      <c r="H459" t="s">
        <v>33</v>
      </c>
      <c r="K459" t="s">
        <v>34</v>
      </c>
      <c r="L459" t="s">
        <v>35</v>
      </c>
      <c r="M459" t="s">
        <v>36</v>
      </c>
      <c r="Q459" t="s">
        <v>37</v>
      </c>
      <c r="R459" t="s">
        <v>38</v>
      </c>
      <c r="S459" t="s">
        <v>84</v>
      </c>
      <c r="T459" t="s">
        <v>73</v>
      </c>
      <c r="U459" t="s">
        <v>41</v>
      </c>
      <c r="V459" s="9" t="str">
        <f>HYPERLINK("https://app.ntsb.gov/pdfgenerator/ReportGeneratorFile.ashx?EventID=20160607X13643&amp;AKey=1&amp;Rtype=Final&amp;IType=CA","PDF Report")</f>
        <v>PDF Report</v>
      </c>
    </row>
    <row r="460" spans="1:22" x14ac:dyDescent="0.25">
      <c r="A460" t="s">
        <v>1925</v>
      </c>
      <c r="B460">
        <v>1</v>
      </c>
      <c r="C460" s="5">
        <v>42521</v>
      </c>
      <c r="D460" t="s">
        <v>1926</v>
      </c>
      <c r="E460" t="s">
        <v>1927</v>
      </c>
      <c r="F460" t="s">
        <v>1928</v>
      </c>
      <c r="G460" t="s">
        <v>180</v>
      </c>
      <c r="H460" t="s">
        <v>33</v>
      </c>
      <c r="K460" t="s">
        <v>34</v>
      </c>
      <c r="L460" t="s">
        <v>35</v>
      </c>
      <c r="M460" t="s">
        <v>36</v>
      </c>
      <c r="Q460" t="s">
        <v>37</v>
      </c>
      <c r="R460" t="s">
        <v>38</v>
      </c>
      <c r="S460" t="s">
        <v>39</v>
      </c>
      <c r="T460" t="s">
        <v>143</v>
      </c>
      <c r="U460" t="s">
        <v>41</v>
      </c>
      <c r="V460" s="9" t="str">
        <f>HYPERLINK("https://app.ntsb.gov/pdfgenerator/ReportGeneratorFile.ashx?EventID=20160601X33411&amp;AKey=1&amp;Rtype=Final&amp;IType=LA","PDF Report")</f>
        <v>PDF Report</v>
      </c>
    </row>
    <row r="461" spans="1:22" x14ac:dyDescent="0.25">
      <c r="A461" t="s">
        <v>1929</v>
      </c>
      <c r="B461">
        <v>1</v>
      </c>
      <c r="C461" s="5">
        <v>42521</v>
      </c>
      <c r="D461" t="s">
        <v>1930</v>
      </c>
      <c r="E461" t="s">
        <v>1931</v>
      </c>
      <c r="F461" t="s">
        <v>1932</v>
      </c>
      <c r="G461" t="s">
        <v>312</v>
      </c>
      <c r="H461" t="s">
        <v>33</v>
      </c>
      <c r="K461" t="s">
        <v>47</v>
      </c>
      <c r="L461" t="s">
        <v>35</v>
      </c>
      <c r="M461" t="s">
        <v>36</v>
      </c>
      <c r="Q461" t="s">
        <v>37</v>
      </c>
      <c r="R461" t="s">
        <v>38</v>
      </c>
      <c r="S461" t="s">
        <v>131</v>
      </c>
      <c r="T461" t="s">
        <v>73</v>
      </c>
      <c r="U461" t="s">
        <v>41</v>
      </c>
      <c r="V461" s="9" t="str">
        <f>HYPERLINK("https://app.ntsb.gov/pdfgenerator/ReportGeneratorFile.ashx?EventID=20160602X80041&amp;AKey=1&amp;Rtype=Final&amp;IType=CA","PDF Report")</f>
        <v>PDF Report</v>
      </c>
    </row>
    <row r="462" spans="1:22" x14ac:dyDescent="0.25">
      <c r="A462" t="s">
        <v>1933</v>
      </c>
      <c r="B462">
        <v>1</v>
      </c>
      <c r="C462" s="5">
        <v>42521</v>
      </c>
      <c r="D462" t="s">
        <v>1934</v>
      </c>
      <c r="E462" t="s">
        <v>1935</v>
      </c>
      <c r="F462" t="s">
        <v>1936</v>
      </c>
      <c r="G462" t="s">
        <v>312</v>
      </c>
      <c r="H462" t="s">
        <v>33</v>
      </c>
      <c r="K462" t="s">
        <v>34</v>
      </c>
      <c r="L462" t="s">
        <v>35</v>
      </c>
      <c r="M462" t="s">
        <v>36</v>
      </c>
      <c r="Q462" t="s">
        <v>37</v>
      </c>
      <c r="R462" t="s">
        <v>130</v>
      </c>
      <c r="S462" t="s">
        <v>455</v>
      </c>
      <c r="T462" t="s">
        <v>73</v>
      </c>
      <c r="U462" t="s">
        <v>41</v>
      </c>
      <c r="V462" s="9" t="str">
        <f>HYPERLINK("https://app.ntsb.gov/pdfgenerator/ReportGeneratorFile.ashx?EventID=20160606X45524&amp;AKey=1&amp;Rtype=Final&amp;IType=CA","PDF Report")</f>
        <v>PDF Report</v>
      </c>
    </row>
    <row r="463" spans="1:22" x14ac:dyDescent="0.25">
      <c r="A463" t="s">
        <v>1937</v>
      </c>
      <c r="B463">
        <v>1</v>
      </c>
      <c r="C463" s="5">
        <v>42521</v>
      </c>
      <c r="D463" t="s">
        <v>1938</v>
      </c>
      <c r="E463" t="s">
        <v>1939</v>
      </c>
      <c r="F463" t="s">
        <v>1940</v>
      </c>
      <c r="G463" t="s">
        <v>211</v>
      </c>
      <c r="H463" t="s">
        <v>33</v>
      </c>
      <c r="K463" t="s">
        <v>34</v>
      </c>
      <c r="L463" t="s">
        <v>35</v>
      </c>
      <c r="M463" t="s">
        <v>36</v>
      </c>
      <c r="Q463" t="s">
        <v>37</v>
      </c>
      <c r="R463" t="s">
        <v>38</v>
      </c>
      <c r="S463" t="s">
        <v>84</v>
      </c>
      <c r="T463" t="s">
        <v>73</v>
      </c>
      <c r="U463" t="s">
        <v>41</v>
      </c>
      <c r="V463" s="9" t="str">
        <f>HYPERLINK("https://app.ntsb.gov/pdfgenerator/ReportGeneratorFile.ashx?EventID=20160628X75956&amp;AKey=1&amp;Rtype=Final&amp;IType=CA","PDF Report")</f>
        <v>PDF Report</v>
      </c>
    </row>
    <row r="464" spans="1:22" x14ac:dyDescent="0.25">
      <c r="A464" t="s">
        <v>1941</v>
      </c>
      <c r="B464">
        <v>1</v>
      </c>
      <c r="C464" s="5">
        <v>42522</v>
      </c>
      <c r="D464" t="s">
        <v>1942</v>
      </c>
      <c r="E464" t="s">
        <v>1943</v>
      </c>
      <c r="F464" t="s">
        <v>1944</v>
      </c>
      <c r="G464" t="s">
        <v>450</v>
      </c>
      <c r="H464" t="s">
        <v>33</v>
      </c>
      <c r="K464" t="s">
        <v>47</v>
      </c>
      <c r="L464" t="s">
        <v>35</v>
      </c>
      <c r="M464" t="s">
        <v>36</v>
      </c>
      <c r="Q464" t="s">
        <v>37</v>
      </c>
      <c r="R464" t="s">
        <v>38</v>
      </c>
      <c r="S464" t="s">
        <v>48</v>
      </c>
      <c r="T464" t="s">
        <v>49</v>
      </c>
      <c r="U464" t="s">
        <v>41</v>
      </c>
      <c r="V464" s="9" t="str">
        <f>HYPERLINK("https://app.ntsb.gov/pdfgenerator/ReportGeneratorFile.ashx?EventID=20160601X23412&amp;AKey=1&amp;Rtype=Final&amp;IType=CA","PDF Report")</f>
        <v>PDF Report</v>
      </c>
    </row>
    <row r="465" spans="1:22" x14ac:dyDescent="0.25">
      <c r="A465" t="s">
        <v>1945</v>
      </c>
      <c r="B465">
        <v>1</v>
      </c>
      <c r="C465" s="5">
        <v>42522</v>
      </c>
      <c r="D465" t="s">
        <v>1946</v>
      </c>
      <c r="E465" t="s">
        <v>1947</v>
      </c>
      <c r="F465" t="s">
        <v>1948</v>
      </c>
      <c r="G465" t="s">
        <v>468</v>
      </c>
      <c r="H465" t="s">
        <v>33</v>
      </c>
      <c r="K465" t="s">
        <v>47</v>
      </c>
      <c r="L465" t="s">
        <v>35</v>
      </c>
      <c r="M465" t="s">
        <v>36</v>
      </c>
      <c r="Q465" t="s">
        <v>37</v>
      </c>
      <c r="R465" t="s">
        <v>130</v>
      </c>
      <c r="S465" t="s">
        <v>97</v>
      </c>
      <c r="T465" t="s">
        <v>79</v>
      </c>
      <c r="U465" t="s">
        <v>41</v>
      </c>
      <c r="V465" s="9" t="str">
        <f>HYPERLINK("https://app.ntsb.gov/pdfgenerator/ReportGeneratorFile.ashx?EventID=20160601X34613&amp;AKey=1&amp;Rtype=Final&amp;IType=LA","PDF Report")</f>
        <v>PDF Report</v>
      </c>
    </row>
    <row r="466" spans="1:22" x14ac:dyDescent="0.25">
      <c r="A466" t="s">
        <v>1949</v>
      </c>
      <c r="B466">
        <v>1</v>
      </c>
      <c r="C466" s="5">
        <v>42522</v>
      </c>
      <c r="D466" t="s">
        <v>1950</v>
      </c>
      <c r="E466" t="s">
        <v>1951</v>
      </c>
      <c r="F466" t="s">
        <v>1952</v>
      </c>
      <c r="G466" t="s">
        <v>96</v>
      </c>
      <c r="H466" t="s">
        <v>33</v>
      </c>
      <c r="I466">
        <v>1</v>
      </c>
      <c r="K466" t="s">
        <v>90</v>
      </c>
      <c r="L466" t="s">
        <v>110</v>
      </c>
      <c r="M466" t="s">
        <v>36</v>
      </c>
      <c r="Q466" t="s">
        <v>37</v>
      </c>
      <c r="R466" t="s">
        <v>38</v>
      </c>
      <c r="S466" t="s">
        <v>60</v>
      </c>
      <c r="T466" t="s">
        <v>61</v>
      </c>
      <c r="U466" t="s">
        <v>1953</v>
      </c>
      <c r="V466" s="9" t="str">
        <f>HYPERLINK("https://app.ntsb.gov/pdfgenerator/ReportGeneratorFile.ashx?EventID=20160602X02902&amp;AKey=1&amp;Rtype=Final&amp;IType=LA","PDF Report")</f>
        <v>PDF Report</v>
      </c>
    </row>
    <row r="467" spans="1:22" x14ac:dyDescent="0.25">
      <c r="A467" t="s">
        <v>1954</v>
      </c>
      <c r="B467">
        <v>1</v>
      </c>
      <c r="C467" s="5">
        <v>42522</v>
      </c>
      <c r="D467" t="s">
        <v>1955</v>
      </c>
      <c r="E467" t="s">
        <v>1956</v>
      </c>
      <c r="F467" t="s">
        <v>1957</v>
      </c>
      <c r="G467" t="s">
        <v>66</v>
      </c>
      <c r="H467" t="s">
        <v>33</v>
      </c>
      <c r="K467" t="s">
        <v>34</v>
      </c>
      <c r="L467" t="s">
        <v>35</v>
      </c>
      <c r="M467" t="s">
        <v>767</v>
      </c>
      <c r="Q467" t="s">
        <v>37</v>
      </c>
      <c r="R467" t="s">
        <v>768</v>
      </c>
      <c r="S467" t="s">
        <v>201</v>
      </c>
      <c r="T467" t="s">
        <v>40</v>
      </c>
      <c r="U467" t="s">
        <v>41</v>
      </c>
      <c r="V467" s="9" t="str">
        <f>HYPERLINK("https://app.ntsb.gov/pdfgenerator/ReportGeneratorFile.ashx?EventID=20160613X21938&amp;AKey=1&amp;Rtype=Final&amp;IType=CA","PDF Report")</f>
        <v>PDF Report</v>
      </c>
    </row>
    <row r="468" spans="1:22" x14ac:dyDescent="0.25">
      <c r="A468" t="s">
        <v>1958</v>
      </c>
      <c r="B468">
        <v>1</v>
      </c>
      <c r="C468" s="5">
        <v>42523</v>
      </c>
      <c r="D468" t="s">
        <v>1959</v>
      </c>
      <c r="E468" t="s">
        <v>1960</v>
      </c>
      <c r="F468" t="s">
        <v>278</v>
      </c>
      <c r="G468" t="s">
        <v>120</v>
      </c>
      <c r="H468" t="s">
        <v>33</v>
      </c>
      <c r="K468" t="s">
        <v>34</v>
      </c>
      <c r="L468" t="s">
        <v>35</v>
      </c>
      <c r="M468" t="s">
        <v>36</v>
      </c>
      <c r="Q468" t="s">
        <v>185</v>
      </c>
      <c r="R468" t="s">
        <v>130</v>
      </c>
      <c r="S468" t="s">
        <v>48</v>
      </c>
      <c r="T468" t="s">
        <v>49</v>
      </c>
      <c r="U468" t="s">
        <v>41</v>
      </c>
      <c r="V468" s="9" t="str">
        <f>HYPERLINK("https://app.ntsb.gov/pdfgenerator/ReportGeneratorFile.ashx?EventID=20160606X54753&amp;AKey=1&amp;Rtype=Final&amp;IType=CA","PDF Report")</f>
        <v>PDF Report</v>
      </c>
    </row>
    <row r="469" spans="1:22" x14ac:dyDescent="0.25">
      <c r="A469" t="s">
        <v>1961</v>
      </c>
      <c r="B469">
        <v>1</v>
      </c>
      <c r="C469" s="5">
        <v>42523</v>
      </c>
      <c r="D469" t="s">
        <v>1962</v>
      </c>
      <c r="E469" t="s">
        <v>1963</v>
      </c>
      <c r="F469" t="s">
        <v>1964</v>
      </c>
      <c r="G469" t="s">
        <v>401</v>
      </c>
      <c r="H469" t="s">
        <v>33</v>
      </c>
      <c r="K469" t="s">
        <v>34</v>
      </c>
      <c r="L469" t="s">
        <v>35</v>
      </c>
      <c r="M469" t="s">
        <v>36</v>
      </c>
      <c r="Q469" t="s">
        <v>37</v>
      </c>
      <c r="R469" t="s">
        <v>38</v>
      </c>
      <c r="S469" t="s">
        <v>84</v>
      </c>
      <c r="T469" t="s">
        <v>73</v>
      </c>
      <c r="U469" t="s">
        <v>41</v>
      </c>
      <c r="V469" s="9" t="str">
        <f>HYPERLINK("https://app.ntsb.gov/pdfgenerator/ReportGeneratorFile.ashx?EventID=20160606X62610&amp;AKey=1&amp;Rtype=Final&amp;IType=CA","PDF Report")</f>
        <v>PDF Report</v>
      </c>
    </row>
    <row r="470" spans="1:22" x14ac:dyDescent="0.25">
      <c r="A470" t="s">
        <v>1965</v>
      </c>
      <c r="B470">
        <v>1</v>
      </c>
      <c r="C470" s="5">
        <v>42523</v>
      </c>
      <c r="D470" t="s">
        <v>1966</v>
      </c>
      <c r="E470" t="s">
        <v>1967</v>
      </c>
      <c r="F470" t="s">
        <v>1968</v>
      </c>
      <c r="G470" t="s">
        <v>32</v>
      </c>
      <c r="H470" t="s">
        <v>33</v>
      </c>
      <c r="K470" t="s">
        <v>34</v>
      </c>
      <c r="L470" t="s">
        <v>35</v>
      </c>
      <c r="M470" t="s">
        <v>36</v>
      </c>
      <c r="Q470" t="s">
        <v>37</v>
      </c>
      <c r="R470" t="s">
        <v>38</v>
      </c>
      <c r="S470" t="s">
        <v>196</v>
      </c>
      <c r="T470" t="s">
        <v>79</v>
      </c>
      <c r="U470" t="s">
        <v>41</v>
      </c>
      <c r="V470" s="9" t="str">
        <f>HYPERLINK("https://app.ntsb.gov/pdfgenerator/ReportGeneratorFile.ashx?EventID=20160621X91058&amp;AKey=1&amp;Rtype=Final&amp;IType=LA","PDF Report")</f>
        <v>PDF Report</v>
      </c>
    </row>
    <row r="471" spans="1:22" x14ac:dyDescent="0.25">
      <c r="A471" t="s">
        <v>1969</v>
      </c>
      <c r="B471">
        <v>1</v>
      </c>
      <c r="C471" s="5">
        <v>42524</v>
      </c>
      <c r="D471" t="s">
        <v>1970</v>
      </c>
      <c r="E471" t="s">
        <v>1971</v>
      </c>
      <c r="F471" t="s">
        <v>1972</v>
      </c>
      <c r="G471" t="s">
        <v>142</v>
      </c>
      <c r="H471" t="s">
        <v>33</v>
      </c>
      <c r="K471" t="s">
        <v>47</v>
      </c>
      <c r="L471" t="s">
        <v>35</v>
      </c>
      <c r="M471" t="s">
        <v>56</v>
      </c>
      <c r="N471" t="s">
        <v>57</v>
      </c>
      <c r="O471" t="s">
        <v>58</v>
      </c>
      <c r="P471" t="s">
        <v>162</v>
      </c>
      <c r="Q471" t="s">
        <v>185</v>
      </c>
      <c r="S471" t="s">
        <v>39</v>
      </c>
      <c r="T471" t="s">
        <v>143</v>
      </c>
      <c r="U471" t="s">
        <v>41</v>
      </c>
      <c r="V471" s="9" t="str">
        <f>HYPERLINK("https://app.ntsb.gov/pdfgenerator/ReportGeneratorFile.ashx?EventID=20160603X45936&amp;AKey=1&amp;Rtype=Final&amp;IType=LA","PDF Report")</f>
        <v>PDF Report</v>
      </c>
    </row>
    <row r="472" spans="1:22" x14ac:dyDescent="0.25">
      <c r="A472" t="s">
        <v>1973</v>
      </c>
      <c r="B472">
        <v>1</v>
      </c>
      <c r="C472" s="5">
        <v>42524</v>
      </c>
      <c r="D472" t="s">
        <v>1974</v>
      </c>
      <c r="E472" t="s">
        <v>1975</v>
      </c>
      <c r="F472" t="s">
        <v>1976</v>
      </c>
      <c r="G472" t="s">
        <v>401</v>
      </c>
      <c r="H472" t="s">
        <v>33</v>
      </c>
      <c r="K472" t="s">
        <v>47</v>
      </c>
      <c r="L472" t="s">
        <v>35</v>
      </c>
      <c r="M472" t="s">
        <v>36</v>
      </c>
      <c r="Q472" t="s">
        <v>37</v>
      </c>
      <c r="R472" t="s">
        <v>38</v>
      </c>
      <c r="S472" t="s">
        <v>97</v>
      </c>
      <c r="T472" t="s">
        <v>61</v>
      </c>
      <c r="U472" t="s">
        <v>41</v>
      </c>
      <c r="V472" s="9" t="str">
        <f>HYPERLINK("https://app.ntsb.gov/pdfgenerator/ReportGeneratorFile.ashx?EventID=20160606X43151&amp;AKey=1&amp;Rtype=Final&amp;IType=CA","PDF Report")</f>
        <v>PDF Report</v>
      </c>
    </row>
    <row r="473" spans="1:22" x14ac:dyDescent="0.25">
      <c r="A473" t="s">
        <v>1977</v>
      </c>
      <c r="B473">
        <v>1</v>
      </c>
      <c r="C473" s="5">
        <v>42524</v>
      </c>
      <c r="D473" t="s">
        <v>1978</v>
      </c>
      <c r="E473" t="s">
        <v>1979</v>
      </c>
      <c r="F473" t="s">
        <v>1980</v>
      </c>
      <c r="G473" t="s">
        <v>96</v>
      </c>
      <c r="H473" t="s">
        <v>33</v>
      </c>
      <c r="K473" t="s">
        <v>47</v>
      </c>
      <c r="L473" t="s">
        <v>35</v>
      </c>
      <c r="M473" t="s">
        <v>36</v>
      </c>
      <c r="Q473" t="s">
        <v>37</v>
      </c>
      <c r="R473" t="s">
        <v>38</v>
      </c>
      <c r="S473" t="s">
        <v>97</v>
      </c>
      <c r="T473" t="s">
        <v>61</v>
      </c>
      <c r="U473" t="s">
        <v>41</v>
      </c>
      <c r="V473" s="9" t="str">
        <f>HYPERLINK("https://app.ntsb.gov/pdfgenerator/ReportGeneratorFile.ashx?EventID=20160606X51627&amp;AKey=1&amp;Rtype=Final&amp;IType=LA","PDF Report")</f>
        <v>PDF Report</v>
      </c>
    </row>
    <row r="474" spans="1:22" x14ac:dyDescent="0.25">
      <c r="A474" t="s">
        <v>1981</v>
      </c>
      <c r="B474">
        <v>1</v>
      </c>
      <c r="C474" s="5">
        <v>42525</v>
      </c>
      <c r="D474" t="s">
        <v>1982</v>
      </c>
      <c r="E474" t="s">
        <v>1983</v>
      </c>
      <c r="F474" t="s">
        <v>1984</v>
      </c>
      <c r="G474" t="s">
        <v>211</v>
      </c>
      <c r="H474" t="s">
        <v>33</v>
      </c>
      <c r="K474" t="s">
        <v>34</v>
      </c>
      <c r="L474" t="s">
        <v>35</v>
      </c>
      <c r="M474" t="s">
        <v>36</v>
      </c>
      <c r="Q474" t="s">
        <v>37</v>
      </c>
      <c r="R474" t="s">
        <v>38</v>
      </c>
      <c r="S474" t="s">
        <v>131</v>
      </c>
      <c r="T474" t="s">
        <v>73</v>
      </c>
      <c r="U474" t="s">
        <v>41</v>
      </c>
      <c r="V474" s="9" t="str">
        <f>HYPERLINK("https://app.ntsb.gov/pdfgenerator/ReportGeneratorFile.ashx?EventID=20160606X34321&amp;AKey=1&amp;Rtype=Final&amp;IType=CA","PDF Report")</f>
        <v>PDF Report</v>
      </c>
    </row>
    <row r="475" spans="1:22" x14ac:dyDescent="0.25">
      <c r="A475" t="s">
        <v>1985</v>
      </c>
      <c r="B475">
        <v>1</v>
      </c>
      <c r="C475" s="5">
        <v>42525</v>
      </c>
      <c r="D475" t="s">
        <v>1986</v>
      </c>
      <c r="E475" t="s">
        <v>1987</v>
      </c>
      <c r="F475" t="s">
        <v>1988</v>
      </c>
      <c r="G475" t="s">
        <v>32</v>
      </c>
      <c r="H475" t="s">
        <v>33</v>
      </c>
      <c r="K475" t="s">
        <v>47</v>
      </c>
      <c r="L475" t="s">
        <v>35</v>
      </c>
      <c r="M475" t="s">
        <v>36</v>
      </c>
      <c r="Q475" t="s">
        <v>37</v>
      </c>
      <c r="R475" t="s">
        <v>38</v>
      </c>
      <c r="S475" t="s">
        <v>84</v>
      </c>
      <c r="T475" t="s">
        <v>73</v>
      </c>
      <c r="U475" t="s">
        <v>41</v>
      </c>
      <c r="V475" s="9" t="str">
        <f>HYPERLINK("https://app.ntsb.gov/pdfgenerator/ReportGeneratorFile.ashx?EventID=20160606X80512&amp;AKey=1&amp;Rtype=Final&amp;IType=CA","PDF Report")</f>
        <v>PDF Report</v>
      </c>
    </row>
    <row r="476" spans="1:22" x14ac:dyDescent="0.25">
      <c r="A476" t="s">
        <v>1989</v>
      </c>
      <c r="B476">
        <v>1</v>
      </c>
      <c r="C476" s="5">
        <v>42526</v>
      </c>
      <c r="D476" t="s">
        <v>1990</v>
      </c>
      <c r="E476" t="s">
        <v>1991</v>
      </c>
      <c r="F476" t="s">
        <v>1992</v>
      </c>
      <c r="G476" t="s">
        <v>211</v>
      </c>
      <c r="H476" t="s">
        <v>33</v>
      </c>
      <c r="K476" t="s">
        <v>34</v>
      </c>
      <c r="L476" t="s">
        <v>35</v>
      </c>
      <c r="M476" t="s">
        <v>36</v>
      </c>
      <c r="Q476" t="s">
        <v>37</v>
      </c>
      <c r="R476" t="s">
        <v>38</v>
      </c>
      <c r="S476" t="s">
        <v>39</v>
      </c>
      <c r="T476" t="s">
        <v>79</v>
      </c>
      <c r="U476" t="s">
        <v>41</v>
      </c>
      <c r="V476" s="9" t="str">
        <f>HYPERLINK("https://app.ntsb.gov/pdfgenerator/ReportGeneratorFile.ashx?EventID=20160605X31731&amp;AKey=1&amp;Rtype=Final&amp;IType=CA","PDF Report")</f>
        <v>PDF Report</v>
      </c>
    </row>
    <row r="477" spans="1:22" x14ac:dyDescent="0.25">
      <c r="A477" t="s">
        <v>1993</v>
      </c>
      <c r="B477">
        <v>1</v>
      </c>
      <c r="C477" s="5">
        <v>42526</v>
      </c>
      <c r="D477" t="s">
        <v>1994</v>
      </c>
      <c r="E477" t="s">
        <v>1995</v>
      </c>
      <c r="F477" t="s">
        <v>1996</v>
      </c>
      <c r="G477" t="s">
        <v>125</v>
      </c>
      <c r="H477" t="s">
        <v>33</v>
      </c>
      <c r="K477" t="s">
        <v>34</v>
      </c>
      <c r="L477" t="s">
        <v>35</v>
      </c>
      <c r="M477" t="s">
        <v>36</v>
      </c>
      <c r="Q477" t="s">
        <v>37</v>
      </c>
      <c r="R477" t="s">
        <v>38</v>
      </c>
      <c r="S477" t="s">
        <v>131</v>
      </c>
      <c r="T477" t="s">
        <v>49</v>
      </c>
      <c r="U477" t="s">
        <v>41</v>
      </c>
      <c r="V477" s="9" t="str">
        <f>HYPERLINK("https://app.ntsb.gov/pdfgenerator/ReportGeneratorFile.ashx?EventID=20160607X44444&amp;AKey=1&amp;Rtype=Final&amp;IType=CA","PDF Report")</f>
        <v>PDF Report</v>
      </c>
    </row>
    <row r="478" spans="1:22" x14ac:dyDescent="0.25">
      <c r="A478" t="s">
        <v>1997</v>
      </c>
      <c r="B478">
        <v>1</v>
      </c>
      <c r="C478" s="5">
        <v>42526</v>
      </c>
      <c r="D478" t="s">
        <v>1998</v>
      </c>
      <c r="E478" t="s">
        <v>1999</v>
      </c>
      <c r="F478" t="s">
        <v>2000</v>
      </c>
      <c r="G478" t="s">
        <v>125</v>
      </c>
      <c r="H478" t="s">
        <v>33</v>
      </c>
      <c r="K478" t="s">
        <v>34</v>
      </c>
      <c r="L478" t="s">
        <v>35</v>
      </c>
      <c r="M478" t="s">
        <v>36</v>
      </c>
      <c r="Q478" t="s">
        <v>37</v>
      </c>
      <c r="R478" t="s">
        <v>38</v>
      </c>
      <c r="S478" t="s">
        <v>131</v>
      </c>
      <c r="T478" t="s">
        <v>73</v>
      </c>
      <c r="U478" t="s">
        <v>41</v>
      </c>
      <c r="V478" s="9" t="str">
        <f>HYPERLINK("https://app.ntsb.gov/pdfgenerator/ReportGeneratorFile.ashx?EventID=20160607X50206&amp;AKey=1&amp;Rtype=Final&amp;IType=CA","PDF Report")</f>
        <v>PDF Report</v>
      </c>
    </row>
    <row r="479" spans="1:22" x14ac:dyDescent="0.25">
      <c r="A479" t="s">
        <v>2001</v>
      </c>
      <c r="B479">
        <v>1</v>
      </c>
      <c r="C479" s="5">
        <v>42526</v>
      </c>
      <c r="D479" t="s">
        <v>2002</v>
      </c>
      <c r="E479" t="s">
        <v>2003</v>
      </c>
      <c r="F479" t="s">
        <v>2004</v>
      </c>
      <c r="G479" t="s">
        <v>66</v>
      </c>
      <c r="H479" t="s">
        <v>33</v>
      </c>
      <c r="K479" t="s">
        <v>34</v>
      </c>
      <c r="L479" t="s">
        <v>35</v>
      </c>
      <c r="M479" t="s">
        <v>36</v>
      </c>
      <c r="Q479" t="s">
        <v>37</v>
      </c>
      <c r="R479" t="s">
        <v>38</v>
      </c>
      <c r="S479" t="s">
        <v>131</v>
      </c>
      <c r="T479" t="s">
        <v>73</v>
      </c>
      <c r="U479" t="s">
        <v>41</v>
      </c>
      <c r="V479" s="9" t="str">
        <f>HYPERLINK("https://app.ntsb.gov/pdfgenerator/ReportGeneratorFile.ashx?EventID=20160608X30439&amp;AKey=1&amp;Rtype=Final&amp;IType=CA","PDF Report")</f>
        <v>PDF Report</v>
      </c>
    </row>
    <row r="480" spans="1:22" x14ac:dyDescent="0.25">
      <c r="A480" t="s">
        <v>2005</v>
      </c>
      <c r="B480">
        <v>1</v>
      </c>
      <c r="C480" s="5">
        <v>42526</v>
      </c>
      <c r="D480" t="s">
        <v>2006</v>
      </c>
      <c r="E480" t="s">
        <v>2007</v>
      </c>
      <c r="F480" t="s">
        <v>119</v>
      </c>
      <c r="G480" t="s">
        <v>491</v>
      </c>
      <c r="H480" t="s">
        <v>33</v>
      </c>
      <c r="K480" t="s">
        <v>34</v>
      </c>
      <c r="L480" t="s">
        <v>35</v>
      </c>
      <c r="M480" t="s">
        <v>36</v>
      </c>
      <c r="Q480" t="s">
        <v>37</v>
      </c>
      <c r="R480" t="s">
        <v>38</v>
      </c>
      <c r="S480" t="s">
        <v>84</v>
      </c>
      <c r="T480" t="s">
        <v>73</v>
      </c>
      <c r="U480" t="s">
        <v>41</v>
      </c>
      <c r="V480" s="9" t="str">
        <f>HYPERLINK("https://app.ntsb.gov/pdfgenerator/ReportGeneratorFile.ashx?EventID=20160608X40401&amp;AKey=1&amp;Rtype=Final&amp;IType=CA","PDF Report")</f>
        <v>PDF Report</v>
      </c>
    </row>
    <row r="481" spans="1:22" x14ac:dyDescent="0.25">
      <c r="A481" t="s">
        <v>2008</v>
      </c>
      <c r="B481">
        <v>1</v>
      </c>
      <c r="C481" s="5">
        <v>42526</v>
      </c>
      <c r="D481" t="s">
        <v>2009</v>
      </c>
      <c r="E481" t="s">
        <v>2010</v>
      </c>
      <c r="F481" t="s">
        <v>2011</v>
      </c>
      <c r="G481" t="s">
        <v>71</v>
      </c>
      <c r="H481" t="s">
        <v>33</v>
      </c>
      <c r="K481" t="s">
        <v>34</v>
      </c>
      <c r="L481" t="s">
        <v>35</v>
      </c>
      <c r="M481" t="s">
        <v>56</v>
      </c>
      <c r="N481" t="s">
        <v>57</v>
      </c>
      <c r="O481" t="s">
        <v>58</v>
      </c>
      <c r="P481" t="s">
        <v>59</v>
      </c>
      <c r="Q481" t="s">
        <v>37</v>
      </c>
      <c r="S481" t="s">
        <v>932</v>
      </c>
      <c r="T481" t="s">
        <v>164</v>
      </c>
      <c r="U481" t="s">
        <v>41</v>
      </c>
      <c r="V481" s="9" t="str">
        <f>HYPERLINK("https://app.ntsb.gov/pdfgenerator/ReportGeneratorFile.ashx?EventID=20160613X45543&amp;AKey=1&amp;Rtype=Final&amp;IType=CA","PDF Report")</f>
        <v>PDF Report</v>
      </c>
    </row>
    <row r="482" spans="1:22" x14ac:dyDescent="0.25">
      <c r="A482" t="s">
        <v>2012</v>
      </c>
      <c r="B482">
        <v>1</v>
      </c>
      <c r="C482" s="5">
        <v>42526</v>
      </c>
      <c r="D482" t="s">
        <v>2013</v>
      </c>
      <c r="E482" t="s">
        <v>2014</v>
      </c>
      <c r="F482" t="s">
        <v>278</v>
      </c>
      <c r="G482" t="s">
        <v>120</v>
      </c>
      <c r="H482" t="s">
        <v>33</v>
      </c>
      <c r="J482">
        <v>1</v>
      </c>
      <c r="K482" t="s">
        <v>55</v>
      </c>
      <c r="L482" t="s">
        <v>34</v>
      </c>
      <c r="M482" t="s">
        <v>103</v>
      </c>
      <c r="N482" t="s">
        <v>57</v>
      </c>
      <c r="O482" t="s">
        <v>58</v>
      </c>
      <c r="P482" t="s">
        <v>59</v>
      </c>
      <c r="Q482" t="s">
        <v>37</v>
      </c>
      <c r="S482" t="s">
        <v>104</v>
      </c>
      <c r="T482" t="s">
        <v>79</v>
      </c>
      <c r="U482" t="s">
        <v>41</v>
      </c>
      <c r="V482" s="9" t="str">
        <f>HYPERLINK("https://app.ntsb.gov/pdfgenerator/ReportGeneratorFile.ashx?EventID=20160614X04330&amp;AKey=1&amp;Rtype=Final&amp;IType=CA","PDF Report")</f>
        <v>PDF Report</v>
      </c>
    </row>
    <row r="483" spans="1:22" x14ac:dyDescent="0.25">
      <c r="A483" t="s">
        <v>2015</v>
      </c>
      <c r="B483">
        <v>1</v>
      </c>
      <c r="C483" s="5">
        <v>42527</v>
      </c>
      <c r="D483" t="s">
        <v>2016</v>
      </c>
      <c r="E483" t="s">
        <v>2017</v>
      </c>
      <c r="F483" t="s">
        <v>2018</v>
      </c>
      <c r="G483" t="s">
        <v>597</v>
      </c>
      <c r="H483" t="s">
        <v>264</v>
      </c>
      <c r="K483" t="s">
        <v>47</v>
      </c>
      <c r="L483" t="s">
        <v>35</v>
      </c>
      <c r="M483" t="s">
        <v>103</v>
      </c>
      <c r="N483" t="s">
        <v>510</v>
      </c>
      <c r="O483" t="s">
        <v>2019</v>
      </c>
      <c r="P483" t="s">
        <v>162</v>
      </c>
      <c r="Q483" t="s">
        <v>37</v>
      </c>
      <c r="S483" t="s">
        <v>243</v>
      </c>
      <c r="T483" t="s">
        <v>49</v>
      </c>
      <c r="U483" t="s">
        <v>41</v>
      </c>
      <c r="V483" s="9" t="str">
        <f>HYPERLINK("https://app.ntsb.gov/pdfgenerator/ReportGeneratorFile.ashx?EventID=20160606X22549&amp;AKey=1&amp;Rtype=Final&amp;IType=RA","PDF Report")</f>
        <v>PDF Report</v>
      </c>
    </row>
    <row r="484" spans="1:22" x14ac:dyDescent="0.25">
      <c r="A484" t="s">
        <v>2020</v>
      </c>
      <c r="B484">
        <v>1</v>
      </c>
      <c r="C484" s="5">
        <v>42527</v>
      </c>
      <c r="D484" t="s">
        <v>2021</v>
      </c>
      <c r="E484" t="s">
        <v>2022</v>
      </c>
      <c r="F484" t="s">
        <v>2023</v>
      </c>
      <c r="G484" t="s">
        <v>450</v>
      </c>
      <c r="H484" t="s">
        <v>33</v>
      </c>
      <c r="I484">
        <v>1</v>
      </c>
      <c r="K484" t="s">
        <v>90</v>
      </c>
      <c r="L484" t="s">
        <v>35</v>
      </c>
      <c r="M484" t="s">
        <v>767</v>
      </c>
      <c r="Q484" t="s">
        <v>37</v>
      </c>
      <c r="R484" t="s">
        <v>768</v>
      </c>
      <c r="S484" t="s">
        <v>201</v>
      </c>
      <c r="T484" t="s">
        <v>40</v>
      </c>
      <c r="U484" t="s">
        <v>41</v>
      </c>
      <c r="V484" s="9" t="str">
        <f>HYPERLINK("https://app.ntsb.gov/pdfgenerator/ReportGeneratorFile.ashx?EventID=20160606X24551&amp;AKey=1&amp;Rtype=Final&amp;IType=FA","PDF Report")</f>
        <v>PDF Report</v>
      </c>
    </row>
    <row r="485" spans="1:22" x14ac:dyDescent="0.25">
      <c r="A485" t="s">
        <v>2024</v>
      </c>
      <c r="B485">
        <v>1</v>
      </c>
      <c r="C485" s="5">
        <v>42527</v>
      </c>
      <c r="D485" t="s">
        <v>2025</v>
      </c>
      <c r="E485" t="s">
        <v>2026</v>
      </c>
      <c r="F485" t="s">
        <v>2027</v>
      </c>
      <c r="G485" t="s">
        <v>54</v>
      </c>
      <c r="H485" t="s">
        <v>33</v>
      </c>
      <c r="K485" t="s">
        <v>34</v>
      </c>
      <c r="L485" t="s">
        <v>35</v>
      </c>
      <c r="M485" t="s">
        <v>36</v>
      </c>
      <c r="Q485" t="s">
        <v>37</v>
      </c>
      <c r="R485" t="s">
        <v>186</v>
      </c>
      <c r="S485" t="s">
        <v>97</v>
      </c>
      <c r="T485" t="s">
        <v>61</v>
      </c>
      <c r="U485" t="s">
        <v>41</v>
      </c>
      <c r="V485" s="9" t="str">
        <f>HYPERLINK("https://app.ntsb.gov/pdfgenerator/ReportGeneratorFile.ashx?EventID=20160607X23034&amp;AKey=1&amp;Rtype=Final&amp;IType=LA","PDF Report")</f>
        <v>PDF Report</v>
      </c>
    </row>
    <row r="486" spans="1:22" x14ac:dyDescent="0.25">
      <c r="A486" t="s">
        <v>2028</v>
      </c>
      <c r="B486">
        <v>1</v>
      </c>
      <c r="C486" s="5">
        <v>42527</v>
      </c>
      <c r="D486" t="s">
        <v>2029</v>
      </c>
      <c r="E486" t="s">
        <v>2030</v>
      </c>
      <c r="F486" t="s">
        <v>2031</v>
      </c>
      <c r="G486" t="s">
        <v>96</v>
      </c>
      <c r="H486" t="s">
        <v>33</v>
      </c>
      <c r="J486">
        <v>1</v>
      </c>
      <c r="K486" t="s">
        <v>55</v>
      </c>
      <c r="L486" t="s">
        <v>110</v>
      </c>
      <c r="M486" t="s">
        <v>767</v>
      </c>
      <c r="Q486" t="s">
        <v>37</v>
      </c>
      <c r="R486" t="s">
        <v>768</v>
      </c>
      <c r="S486" t="s">
        <v>48</v>
      </c>
      <c r="T486" t="s">
        <v>40</v>
      </c>
      <c r="U486" t="s">
        <v>41</v>
      </c>
      <c r="V486" s="9" t="str">
        <f>HYPERLINK("https://app.ntsb.gov/pdfgenerator/ReportGeneratorFile.ashx?EventID=20160607X33239&amp;AKey=1&amp;Rtype=Final&amp;IType=LA","PDF Report")</f>
        <v>PDF Report</v>
      </c>
    </row>
    <row r="487" spans="1:22" x14ac:dyDescent="0.25">
      <c r="A487" t="s">
        <v>2032</v>
      </c>
      <c r="B487">
        <v>1</v>
      </c>
      <c r="C487" s="5">
        <v>42527</v>
      </c>
      <c r="D487" t="s">
        <v>1458</v>
      </c>
      <c r="E487" t="s">
        <v>1459</v>
      </c>
      <c r="F487" t="s">
        <v>1460</v>
      </c>
      <c r="G487" t="s">
        <v>32</v>
      </c>
      <c r="H487" t="s">
        <v>33</v>
      </c>
      <c r="K487" t="s">
        <v>34</v>
      </c>
      <c r="L487" t="s">
        <v>35</v>
      </c>
      <c r="M487" t="s">
        <v>36</v>
      </c>
      <c r="Q487" t="s">
        <v>37</v>
      </c>
      <c r="R487" t="s">
        <v>38</v>
      </c>
      <c r="S487" t="s">
        <v>84</v>
      </c>
      <c r="T487" t="s">
        <v>73</v>
      </c>
      <c r="U487" t="s">
        <v>41</v>
      </c>
      <c r="V487" s="9" t="str">
        <f>HYPERLINK("https://app.ntsb.gov/pdfgenerator/ReportGeneratorFile.ashx?EventID=20160607X81747&amp;AKey=1&amp;Rtype=Final&amp;IType=CA","PDF Report")</f>
        <v>PDF Report</v>
      </c>
    </row>
    <row r="488" spans="1:22" x14ac:dyDescent="0.25">
      <c r="A488" t="s">
        <v>2033</v>
      </c>
      <c r="B488">
        <v>1</v>
      </c>
      <c r="C488" s="5">
        <v>42527</v>
      </c>
      <c r="D488" t="s">
        <v>2034</v>
      </c>
      <c r="E488" t="s">
        <v>2035</v>
      </c>
      <c r="F488" t="s">
        <v>2036</v>
      </c>
      <c r="G488" t="s">
        <v>46</v>
      </c>
      <c r="H488" t="s">
        <v>33</v>
      </c>
      <c r="J488">
        <v>1</v>
      </c>
      <c r="K488" t="s">
        <v>55</v>
      </c>
      <c r="L488" t="s">
        <v>35</v>
      </c>
      <c r="M488" t="s">
        <v>36</v>
      </c>
      <c r="Q488" t="s">
        <v>37</v>
      </c>
      <c r="R488" t="s">
        <v>505</v>
      </c>
      <c r="S488" t="s">
        <v>48</v>
      </c>
      <c r="T488" t="s">
        <v>143</v>
      </c>
      <c r="U488" t="s">
        <v>41</v>
      </c>
      <c r="V488" s="9" t="str">
        <f>HYPERLINK("https://app.ntsb.gov/pdfgenerator/ReportGeneratorFile.ashx?EventID=20160607X82034&amp;AKey=1&amp;Rtype=Final&amp;IType=LA","PDF Report")</f>
        <v>PDF Report</v>
      </c>
    </row>
    <row r="489" spans="1:22" x14ac:dyDescent="0.25">
      <c r="A489" t="s">
        <v>2037</v>
      </c>
      <c r="B489">
        <v>1</v>
      </c>
      <c r="C489" s="5">
        <v>42527</v>
      </c>
      <c r="D489" t="s">
        <v>2038</v>
      </c>
      <c r="E489" t="s">
        <v>2039</v>
      </c>
      <c r="F489" t="s">
        <v>2040</v>
      </c>
      <c r="G489" t="s">
        <v>401</v>
      </c>
      <c r="H489" t="s">
        <v>33</v>
      </c>
      <c r="K489" t="s">
        <v>34</v>
      </c>
      <c r="L489" t="s">
        <v>35</v>
      </c>
      <c r="M489" t="s">
        <v>36</v>
      </c>
      <c r="Q489" t="s">
        <v>37</v>
      </c>
      <c r="R489" t="s">
        <v>38</v>
      </c>
      <c r="S489" t="s">
        <v>39</v>
      </c>
      <c r="T489" t="s">
        <v>61</v>
      </c>
      <c r="U489" t="s">
        <v>41</v>
      </c>
      <c r="V489" s="9" t="str">
        <f>HYPERLINK("https://app.ntsb.gov/pdfgenerator/ReportGeneratorFile.ashx?EventID=20160614X40501&amp;AKey=1&amp;Rtype=Final&amp;IType=LA","PDF Report")</f>
        <v>PDF Report</v>
      </c>
    </row>
    <row r="490" spans="1:22" x14ac:dyDescent="0.25">
      <c r="A490" t="s">
        <v>2041</v>
      </c>
      <c r="B490">
        <v>1</v>
      </c>
      <c r="C490" s="5">
        <v>42527</v>
      </c>
      <c r="D490" t="s">
        <v>2042</v>
      </c>
      <c r="E490" t="s">
        <v>2043</v>
      </c>
      <c r="F490" t="s">
        <v>2044</v>
      </c>
      <c r="G490" t="s">
        <v>96</v>
      </c>
      <c r="H490" t="s">
        <v>33</v>
      </c>
      <c r="K490" t="s">
        <v>34</v>
      </c>
      <c r="L490" t="s">
        <v>35</v>
      </c>
      <c r="M490" t="s">
        <v>36</v>
      </c>
      <c r="Q490" t="s">
        <v>37</v>
      </c>
      <c r="R490" t="s">
        <v>38</v>
      </c>
      <c r="S490" t="s">
        <v>39</v>
      </c>
      <c r="T490" t="s">
        <v>40</v>
      </c>
      <c r="U490" t="s">
        <v>41</v>
      </c>
      <c r="V490" s="9" t="str">
        <f>HYPERLINK("https://app.ntsb.gov/pdfgenerator/ReportGeneratorFile.ashx?EventID=20160614X54845&amp;AKey=1&amp;Rtype=Final&amp;IType=LA","PDF Report")</f>
        <v>PDF Report</v>
      </c>
    </row>
    <row r="491" spans="1:22" x14ac:dyDescent="0.25">
      <c r="A491" t="s">
        <v>2045</v>
      </c>
      <c r="B491">
        <v>1</v>
      </c>
      <c r="C491" s="5">
        <v>42528</v>
      </c>
      <c r="D491" t="s">
        <v>2046</v>
      </c>
      <c r="E491" t="s">
        <v>2047</v>
      </c>
      <c r="F491" t="s">
        <v>2023</v>
      </c>
      <c r="G491" t="s">
        <v>500</v>
      </c>
      <c r="H491" t="s">
        <v>33</v>
      </c>
      <c r="I491">
        <v>1</v>
      </c>
      <c r="J491">
        <v>1</v>
      </c>
      <c r="K491" t="s">
        <v>90</v>
      </c>
      <c r="L491" t="s">
        <v>35</v>
      </c>
      <c r="M491" t="s">
        <v>36</v>
      </c>
      <c r="Q491" t="s">
        <v>37</v>
      </c>
      <c r="R491" t="s">
        <v>38</v>
      </c>
      <c r="S491" t="s">
        <v>48</v>
      </c>
      <c r="T491" t="s">
        <v>40</v>
      </c>
      <c r="U491" t="s">
        <v>41</v>
      </c>
      <c r="V491" s="9" t="str">
        <f>HYPERLINK("https://app.ntsb.gov/pdfgenerator/ReportGeneratorFile.ashx?EventID=20160607X80345&amp;AKey=1&amp;Rtype=Final&amp;IType=FA","PDF Report")</f>
        <v>PDF Report</v>
      </c>
    </row>
    <row r="492" spans="1:22" x14ac:dyDescent="0.25">
      <c r="A492" t="s">
        <v>2048</v>
      </c>
      <c r="B492">
        <v>1</v>
      </c>
      <c r="C492" s="5">
        <v>42528</v>
      </c>
      <c r="D492" t="s">
        <v>2049</v>
      </c>
      <c r="E492" t="s">
        <v>2050</v>
      </c>
      <c r="F492" t="s">
        <v>356</v>
      </c>
      <c r="G492" t="s">
        <v>96</v>
      </c>
      <c r="H492" t="s">
        <v>33</v>
      </c>
      <c r="K492" t="s">
        <v>34</v>
      </c>
      <c r="L492" t="s">
        <v>35</v>
      </c>
      <c r="M492" t="s">
        <v>36</v>
      </c>
      <c r="Q492" t="s">
        <v>185</v>
      </c>
      <c r="R492" t="s">
        <v>38</v>
      </c>
      <c r="S492" t="s">
        <v>131</v>
      </c>
      <c r="T492" t="s">
        <v>164</v>
      </c>
      <c r="U492" t="s">
        <v>41</v>
      </c>
      <c r="V492" s="9" t="str">
        <f>HYPERLINK("https://app.ntsb.gov/pdfgenerator/ReportGeneratorFile.ashx?EventID=20160608X50633&amp;AKey=1&amp;Rtype=Final&amp;IType=CA","PDF Report")</f>
        <v>PDF Report</v>
      </c>
    </row>
    <row r="493" spans="1:22" x14ac:dyDescent="0.25">
      <c r="A493" t="s">
        <v>2051</v>
      </c>
      <c r="B493">
        <v>1</v>
      </c>
      <c r="C493" s="5">
        <v>42528</v>
      </c>
      <c r="D493" t="s">
        <v>2052</v>
      </c>
      <c r="E493" t="s">
        <v>2053</v>
      </c>
      <c r="F493" t="s">
        <v>2054</v>
      </c>
      <c r="G493" t="s">
        <v>789</v>
      </c>
      <c r="H493" t="s">
        <v>33</v>
      </c>
      <c r="K493" t="s">
        <v>47</v>
      </c>
      <c r="L493" t="s">
        <v>35</v>
      </c>
      <c r="M493" t="s">
        <v>36</v>
      </c>
      <c r="Q493" t="s">
        <v>37</v>
      </c>
      <c r="R493" t="s">
        <v>38</v>
      </c>
      <c r="S493" t="s">
        <v>48</v>
      </c>
      <c r="T493" t="s">
        <v>73</v>
      </c>
      <c r="U493" t="s">
        <v>41</v>
      </c>
      <c r="V493" s="9" t="str">
        <f>HYPERLINK("https://app.ntsb.gov/pdfgenerator/ReportGeneratorFile.ashx?EventID=20160609X03109&amp;AKey=1&amp;Rtype=Final&amp;IType=CA","PDF Report")</f>
        <v>PDF Report</v>
      </c>
    </row>
    <row r="494" spans="1:22" x14ac:dyDescent="0.25">
      <c r="A494" t="s">
        <v>2055</v>
      </c>
      <c r="B494">
        <v>1</v>
      </c>
      <c r="C494" s="5">
        <v>42528</v>
      </c>
      <c r="D494" t="s">
        <v>2056</v>
      </c>
      <c r="E494" t="s">
        <v>2057</v>
      </c>
      <c r="F494" t="s">
        <v>2058</v>
      </c>
      <c r="G494" t="s">
        <v>136</v>
      </c>
      <c r="H494" t="s">
        <v>33</v>
      </c>
      <c r="K494" t="s">
        <v>34</v>
      </c>
      <c r="L494" t="s">
        <v>35</v>
      </c>
      <c r="M494" t="s">
        <v>36</v>
      </c>
      <c r="Q494" t="s">
        <v>37</v>
      </c>
      <c r="R494" t="s">
        <v>130</v>
      </c>
      <c r="S494" t="s">
        <v>84</v>
      </c>
      <c r="T494" t="s">
        <v>73</v>
      </c>
      <c r="U494" t="s">
        <v>41</v>
      </c>
      <c r="V494" s="9" t="str">
        <f>HYPERLINK("https://app.ntsb.gov/pdfgenerator/ReportGeneratorFile.ashx?EventID=20160609X34641&amp;AKey=1&amp;Rtype=Final&amp;IType=CA","PDF Report")</f>
        <v>PDF Report</v>
      </c>
    </row>
    <row r="495" spans="1:22" x14ac:dyDescent="0.25">
      <c r="A495" t="s">
        <v>2059</v>
      </c>
      <c r="B495">
        <v>1</v>
      </c>
      <c r="C495" s="5">
        <v>42528</v>
      </c>
      <c r="D495" t="s">
        <v>2060</v>
      </c>
      <c r="E495" t="s">
        <v>2061</v>
      </c>
      <c r="F495" t="s">
        <v>2062</v>
      </c>
      <c r="G495" t="s">
        <v>401</v>
      </c>
      <c r="H495" t="s">
        <v>33</v>
      </c>
      <c r="K495" t="s">
        <v>34</v>
      </c>
      <c r="L495" t="s">
        <v>35</v>
      </c>
      <c r="M495" t="s">
        <v>36</v>
      </c>
      <c r="Q495" t="s">
        <v>185</v>
      </c>
      <c r="R495" t="s">
        <v>274</v>
      </c>
      <c r="S495" t="s">
        <v>48</v>
      </c>
      <c r="T495" t="s">
        <v>40</v>
      </c>
      <c r="U495" t="s">
        <v>41</v>
      </c>
      <c r="V495" s="9" t="str">
        <f>HYPERLINK("https://app.ntsb.gov/pdfgenerator/ReportGeneratorFile.ashx?EventID=20160609X45739&amp;AKey=1&amp;Rtype=Final&amp;IType=CA","PDF Report")</f>
        <v>PDF Report</v>
      </c>
    </row>
    <row r="496" spans="1:22" x14ac:dyDescent="0.25">
      <c r="A496" t="s">
        <v>2063</v>
      </c>
      <c r="B496">
        <v>1</v>
      </c>
      <c r="C496" s="5">
        <v>42528</v>
      </c>
      <c r="D496" t="s">
        <v>2064</v>
      </c>
      <c r="E496" t="s">
        <v>2065</v>
      </c>
      <c r="F496" t="s">
        <v>2066</v>
      </c>
      <c r="G496" t="s">
        <v>96</v>
      </c>
      <c r="H496" t="s">
        <v>33</v>
      </c>
      <c r="K496" t="s">
        <v>34</v>
      </c>
      <c r="L496" t="s">
        <v>35</v>
      </c>
      <c r="M496" t="s">
        <v>36</v>
      </c>
      <c r="Q496" t="s">
        <v>185</v>
      </c>
      <c r="R496" t="s">
        <v>38</v>
      </c>
      <c r="S496" t="s">
        <v>84</v>
      </c>
      <c r="T496" t="s">
        <v>73</v>
      </c>
      <c r="U496" t="s">
        <v>41</v>
      </c>
      <c r="V496" s="9" t="str">
        <f>HYPERLINK("https://app.ntsb.gov/pdfgenerator/ReportGeneratorFile.ashx?EventID=20160609X70225&amp;AKey=1&amp;Rtype=Final&amp;IType=CA","PDF Report")</f>
        <v>PDF Report</v>
      </c>
    </row>
    <row r="497" spans="1:22" x14ac:dyDescent="0.25">
      <c r="A497" t="s">
        <v>2067</v>
      </c>
      <c r="B497">
        <v>1</v>
      </c>
      <c r="C497" s="5">
        <v>42529</v>
      </c>
      <c r="D497" t="s">
        <v>2068</v>
      </c>
      <c r="E497" t="s">
        <v>2069</v>
      </c>
      <c r="F497" t="s">
        <v>1884</v>
      </c>
      <c r="G497" t="s">
        <v>491</v>
      </c>
      <c r="H497" t="s">
        <v>33</v>
      </c>
      <c r="I497">
        <v>1</v>
      </c>
      <c r="K497" t="s">
        <v>90</v>
      </c>
      <c r="L497" t="s">
        <v>35</v>
      </c>
      <c r="M497" t="s">
        <v>36</v>
      </c>
      <c r="Q497" t="s">
        <v>37</v>
      </c>
      <c r="R497" t="s">
        <v>38</v>
      </c>
      <c r="S497" t="s">
        <v>39</v>
      </c>
      <c r="T497" t="s">
        <v>61</v>
      </c>
      <c r="U497" t="s">
        <v>41</v>
      </c>
      <c r="V497" s="9" t="str">
        <f>HYPERLINK("https://app.ntsb.gov/pdfgenerator/ReportGeneratorFile.ashx?EventID=20160608X10630&amp;AKey=1&amp;Rtype=Final&amp;IType=FA","PDF Report")</f>
        <v>PDF Report</v>
      </c>
    </row>
    <row r="498" spans="1:22" x14ac:dyDescent="0.25">
      <c r="A498" t="s">
        <v>2070</v>
      </c>
      <c r="B498">
        <v>1</v>
      </c>
      <c r="C498" s="5">
        <v>42529</v>
      </c>
      <c r="D498" t="s">
        <v>2071</v>
      </c>
      <c r="E498" t="s">
        <v>2072</v>
      </c>
      <c r="F498" t="s">
        <v>2073</v>
      </c>
      <c r="G498" t="s">
        <v>395</v>
      </c>
      <c r="H498" t="s">
        <v>33</v>
      </c>
      <c r="K498" t="s">
        <v>34</v>
      </c>
      <c r="L498" t="s">
        <v>35</v>
      </c>
      <c r="M498" t="s">
        <v>36</v>
      </c>
      <c r="Q498" t="s">
        <v>37</v>
      </c>
      <c r="R498" t="s">
        <v>38</v>
      </c>
      <c r="S498" t="s">
        <v>131</v>
      </c>
      <c r="T498" t="s">
        <v>73</v>
      </c>
      <c r="U498" t="s">
        <v>41</v>
      </c>
      <c r="V498" s="9" t="str">
        <f>HYPERLINK("https://app.ntsb.gov/pdfgenerator/ReportGeneratorFile.ashx?EventID=20160609X11010&amp;AKey=1&amp;Rtype=Final&amp;IType=CA","PDF Report")</f>
        <v>PDF Report</v>
      </c>
    </row>
    <row r="499" spans="1:22" x14ac:dyDescent="0.25">
      <c r="A499" t="s">
        <v>2074</v>
      </c>
      <c r="B499">
        <v>1</v>
      </c>
      <c r="C499" s="5">
        <v>42529</v>
      </c>
      <c r="D499" t="s">
        <v>2075</v>
      </c>
      <c r="E499" t="s">
        <v>2076</v>
      </c>
      <c r="F499" t="s">
        <v>2077</v>
      </c>
      <c r="G499" t="s">
        <v>538</v>
      </c>
      <c r="H499" t="s">
        <v>33</v>
      </c>
      <c r="K499" t="s">
        <v>34</v>
      </c>
      <c r="L499" t="s">
        <v>35</v>
      </c>
      <c r="M499" t="s">
        <v>767</v>
      </c>
      <c r="Q499" t="s">
        <v>185</v>
      </c>
      <c r="R499" t="s">
        <v>768</v>
      </c>
      <c r="S499" t="s">
        <v>48</v>
      </c>
      <c r="T499" t="s">
        <v>49</v>
      </c>
      <c r="U499" t="s">
        <v>41</v>
      </c>
      <c r="V499" s="9" t="str">
        <f>HYPERLINK("https://app.ntsb.gov/pdfgenerator/ReportGeneratorFile.ashx?EventID=20160609X31844&amp;AKey=1&amp;Rtype=Final&amp;IType=CA","PDF Report")</f>
        <v>PDF Report</v>
      </c>
    </row>
    <row r="500" spans="1:22" x14ac:dyDescent="0.25">
      <c r="A500" t="s">
        <v>2078</v>
      </c>
      <c r="B500">
        <v>1</v>
      </c>
      <c r="C500" s="5">
        <v>42529</v>
      </c>
      <c r="D500" t="s">
        <v>2079</v>
      </c>
      <c r="E500" t="s">
        <v>2080</v>
      </c>
      <c r="F500" t="s">
        <v>2081</v>
      </c>
      <c r="G500" t="s">
        <v>46</v>
      </c>
      <c r="H500" t="s">
        <v>33</v>
      </c>
      <c r="K500" t="s">
        <v>34</v>
      </c>
      <c r="L500" t="s">
        <v>35</v>
      </c>
      <c r="M500" t="s">
        <v>36</v>
      </c>
      <c r="Q500" t="s">
        <v>37</v>
      </c>
      <c r="R500" t="s">
        <v>38</v>
      </c>
      <c r="S500" t="s">
        <v>131</v>
      </c>
      <c r="T500" t="s">
        <v>73</v>
      </c>
      <c r="U500" t="s">
        <v>41</v>
      </c>
      <c r="V500" s="9" t="str">
        <f>HYPERLINK("https://app.ntsb.gov/pdfgenerator/ReportGeneratorFile.ashx?EventID=20160609X33959&amp;AKey=1&amp;Rtype=Final&amp;IType=CA","PDF Report")</f>
        <v>PDF Report</v>
      </c>
    </row>
    <row r="501" spans="1:22" x14ac:dyDescent="0.25">
      <c r="A501" t="s">
        <v>2082</v>
      </c>
      <c r="B501">
        <v>1</v>
      </c>
      <c r="C501" s="5">
        <v>42529</v>
      </c>
      <c r="D501" t="s">
        <v>2083</v>
      </c>
      <c r="E501" t="s">
        <v>2084</v>
      </c>
      <c r="F501" t="s">
        <v>2085</v>
      </c>
      <c r="G501" t="s">
        <v>312</v>
      </c>
      <c r="H501" t="s">
        <v>33</v>
      </c>
      <c r="K501" t="s">
        <v>34</v>
      </c>
      <c r="L501" t="s">
        <v>35</v>
      </c>
      <c r="M501" t="s">
        <v>36</v>
      </c>
      <c r="Q501" t="s">
        <v>37</v>
      </c>
      <c r="R501" t="s">
        <v>38</v>
      </c>
      <c r="S501" t="s">
        <v>84</v>
      </c>
      <c r="T501" t="s">
        <v>73</v>
      </c>
      <c r="U501" t="s">
        <v>41</v>
      </c>
      <c r="V501" s="9" t="str">
        <f>HYPERLINK("https://app.ntsb.gov/pdfgenerator/ReportGeneratorFile.ashx?EventID=20160613X02003&amp;AKey=1&amp;Rtype=Final&amp;IType=CA","PDF Report")</f>
        <v>PDF Report</v>
      </c>
    </row>
    <row r="502" spans="1:22" x14ac:dyDescent="0.25">
      <c r="A502" t="s">
        <v>2086</v>
      </c>
      <c r="B502">
        <v>1</v>
      </c>
      <c r="C502" s="5">
        <v>42529</v>
      </c>
      <c r="D502" t="s">
        <v>2087</v>
      </c>
      <c r="E502" t="s">
        <v>2088</v>
      </c>
      <c r="F502" t="s">
        <v>2089</v>
      </c>
      <c r="G502" t="s">
        <v>468</v>
      </c>
      <c r="H502" t="s">
        <v>33</v>
      </c>
      <c r="K502" t="s">
        <v>34</v>
      </c>
      <c r="L502" t="s">
        <v>35</v>
      </c>
      <c r="M502" t="s">
        <v>36</v>
      </c>
      <c r="Q502" t="s">
        <v>37</v>
      </c>
      <c r="R502" t="s">
        <v>38</v>
      </c>
      <c r="S502" t="s">
        <v>84</v>
      </c>
      <c r="T502" t="s">
        <v>73</v>
      </c>
      <c r="U502" t="s">
        <v>41</v>
      </c>
      <c r="V502" s="9" t="str">
        <f>HYPERLINK("https://app.ntsb.gov/pdfgenerator/ReportGeneratorFile.ashx?EventID=20160613X30056&amp;AKey=1&amp;Rtype=Final&amp;IType=CA","PDF Report")</f>
        <v>PDF Report</v>
      </c>
    </row>
    <row r="503" spans="1:22" x14ac:dyDescent="0.25">
      <c r="A503" t="s">
        <v>2090</v>
      </c>
      <c r="B503">
        <v>1</v>
      </c>
      <c r="C503" s="5">
        <v>42529</v>
      </c>
      <c r="D503" t="s">
        <v>2091</v>
      </c>
      <c r="E503" t="s">
        <v>2092</v>
      </c>
      <c r="F503" t="s">
        <v>2093</v>
      </c>
      <c r="G503" t="s">
        <v>136</v>
      </c>
      <c r="H503" t="s">
        <v>33</v>
      </c>
      <c r="K503" t="s">
        <v>34</v>
      </c>
      <c r="L503" t="s">
        <v>35</v>
      </c>
      <c r="M503" t="s">
        <v>36</v>
      </c>
      <c r="Q503" t="s">
        <v>37</v>
      </c>
      <c r="R503" t="s">
        <v>130</v>
      </c>
      <c r="S503" t="s">
        <v>131</v>
      </c>
      <c r="T503" t="s">
        <v>73</v>
      </c>
      <c r="U503" t="s">
        <v>41</v>
      </c>
      <c r="V503" s="9" t="str">
        <f>HYPERLINK("https://app.ntsb.gov/pdfgenerator/ReportGeneratorFile.ashx?EventID=20160614X23833&amp;AKey=1&amp;Rtype=Final&amp;IType=CA","PDF Report")</f>
        <v>PDF Report</v>
      </c>
    </row>
    <row r="504" spans="1:22" x14ac:dyDescent="0.25">
      <c r="A504" t="s">
        <v>2094</v>
      </c>
      <c r="B504">
        <v>1</v>
      </c>
      <c r="C504" s="5">
        <v>42530</v>
      </c>
      <c r="D504" t="s">
        <v>2095</v>
      </c>
      <c r="E504" t="s">
        <v>2096</v>
      </c>
      <c r="F504" t="s">
        <v>1353</v>
      </c>
      <c r="G504" t="s">
        <v>96</v>
      </c>
      <c r="H504" t="s">
        <v>33</v>
      </c>
      <c r="I504">
        <v>3</v>
      </c>
      <c r="K504" t="s">
        <v>90</v>
      </c>
      <c r="L504" t="s">
        <v>35</v>
      </c>
      <c r="M504" t="s">
        <v>36</v>
      </c>
      <c r="Q504" t="s">
        <v>37</v>
      </c>
      <c r="R504" t="s">
        <v>38</v>
      </c>
      <c r="S504" t="s">
        <v>48</v>
      </c>
      <c r="T504" t="s">
        <v>79</v>
      </c>
      <c r="U504" t="s">
        <v>41</v>
      </c>
      <c r="V504" s="9" t="str">
        <f>HYPERLINK("https://app.ntsb.gov/pdfgenerator/ReportGeneratorFile.ashx?EventID=20160609X50758&amp;AKey=1&amp;Rtype=Final&amp;IType=FA","PDF Report")</f>
        <v>PDF Report</v>
      </c>
    </row>
    <row r="505" spans="1:22" x14ac:dyDescent="0.25">
      <c r="A505" t="s">
        <v>2097</v>
      </c>
      <c r="B505">
        <v>1</v>
      </c>
      <c r="C505" s="5">
        <v>42530</v>
      </c>
      <c r="D505" t="s">
        <v>2098</v>
      </c>
      <c r="E505" t="s">
        <v>2099</v>
      </c>
      <c r="F505" t="s">
        <v>2100</v>
      </c>
      <c r="G505" t="s">
        <v>148</v>
      </c>
      <c r="H505" t="s">
        <v>33</v>
      </c>
      <c r="I505">
        <v>3</v>
      </c>
      <c r="K505" t="s">
        <v>90</v>
      </c>
      <c r="L505" t="s">
        <v>35</v>
      </c>
      <c r="M505" t="s">
        <v>36</v>
      </c>
      <c r="Q505" t="s">
        <v>37</v>
      </c>
      <c r="R505" t="s">
        <v>38</v>
      </c>
      <c r="S505" t="s">
        <v>48</v>
      </c>
      <c r="T505" t="s">
        <v>143</v>
      </c>
      <c r="U505" t="s">
        <v>41</v>
      </c>
      <c r="V505" s="9" t="str">
        <f>HYPERLINK("https://app.ntsb.gov/pdfgenerator/ReportGeneratorFile.ashx?EventID=20160609X92608&amp;AKey=1&amp;Rtype=Final&amp;IType=FA","PDF Report")</f>
        <v>PDF Report</v>
      </c>
    </row>
    <row r="506" spans="1:22" x14ac:dyDescent="0.25">
      <c r="A506" t="s">
        <v>2101</v>
      </c>
      <c r="B506">
        <v>1</v>
      </c>
      <c r="C506" s="5">
        <v>42530</v>
      </c>
      <c r="D506" t="s">
        <v>2102</v>
      </c>
      <c r="E506" t="s">
        <v>2103</v>
      </c>
      <c r="F506" t="s">
        <v>2104</v>
      </c>
      <c r="G506" t="s">
        <v>96</v>
      </c>
      <c r="H506" t="s">
        <v>33</v>
      </c>
      <c r="K506" t="s">
        <v>47</v>
      </c>
      <c r="L506" t="s">
        <v>35</v>
      </c>
      <c r="M506" t="s">
        <v>767</v>
      </c>
      <c r="Q506" t="s">
        <v>185</v>
      </c>
      <c r="R506" t="s">
        <v>768</v>
      </c>
      <c r="S506" t="s">
        <v>191</v>
      </c>
      <c r="T506" t="s">
        <v>40</v>
      </c>
      <c r="U506" t="s">
        <v>41</v>
      </c>
      <c r="V506" s="9" t="str">
        <f>HYPERLINK("https://app.ntsb.gov/pdfgenerator/ReportGeneratorFile.ashx?EventID=20160610X14116&amp;AKey=1&amp;Rtype=Final&amp;IType=LA","PDF Report")</f>
        <v>PDF Report</v>
      </c>
    </row>
    <row r="507" spans="1:22" x14ac:dyDescent="0.25">
      <c r="A507" t="s">
        <v>2105</v>
      </c>
      <c r="B507">
        <v>1</v>
      </c>
      <c r="C507" s="5">
        <v>42530</v>
      </c>
      <c r="D507" t="s">
        <v>2106</v>
      </c>
      <c r="E507" t="s">
        <v>2107</v>
      </c>
      <c r="F507" t="s">
        <v>2108</v>
      </c>
      <c r="G507" t="s">
        <v>450</v>
      </c>
      <c r="H507" t="s">
        <v>33</v>
      </c>
      <c r="K507" t="s">
        <v>34</v>
      </c>
      <c r="L507" t="s">
        <v>35</v>
      </c>
      <c r="M507" t="s">
        <v>36</v>
      </c>
      <c r="Q507" t="s">
        <v>37</v>
      </c>
      <c r="R507" t="s">
        <v>130</v>
      </c>
      <c r="S507" t="s">
        <v>834</v>
      </c>
      <c r="T507" t="s">
        <v>143</v>
      </c>
      <c r="U507" t="s">
        <v>41</v>
      </c>
      <c r="V507" s="9" t="str">
        <f>HYPERLINK("https://app.ntsb.gov/pdfgenerator/ReportGeneratorFile.ashx?EventID=20160610X32615&amp;AKey=1&amp;Rtype=Final&amp;IType=CA","PDF Report")</f>
        <v>PDF Report</v>
      </c>
    </row>
    <row r="508" spans="1:22" x14ac:dyDescent="0.25">
      <c r="A508" t="s">
        <v>2109</v>
      </c>
      <c r="B508">
        <v>1</v>
      </c>
      <c r="C508" s="5">
        <v>42530</v>
      </c>
      <c r="D508" t="s">
        <v>2110</v>
      </c>
      <c r="E508" t="s">
        <v>2111</v>
      </c>
      <c r="F508" t="s">
        <v>2112</v>
      </c>
      <c r="G508" t="s">
        <v>789</v>
      </c>
      <c r="H508" t="s">
        <v>33</v>
      </c>
      <c r="K508" t="s">
        <v>34</v>
      </c>
      <c r="L508" t="s">
        <v>35</v>
      </c>
      <c r="M508" t="s">
        <v>36</v>
      </c>
      <c r="Q508" t="s">
        <v>37</v>
      </c>
      <c r="R508" t="s">
        <v>38</v>
      </c>
      <c r="S508" t="s">
        <v>97</v>
      </c>
      <c r="T508" t="s">
        <v>61</v>
      </c>
      <c r="U508" t="s">
        <v>41</v>
      </c>
      <c r="V508" s="9" t="str">
        <f>HYPERLINK("https://app.ntsb.gov/pdfgenerator/ReportGeneratorFile.ashx?EventID=20160613X20559&amp;AKey=1&amp;Rtype=Final&amp;IType=CA","PDF Report")</f>
        <v>PDF Report</v>
      </c>
    </row>
    <row r="509" spans="1:22" x14ac:dyDescent="0.25">
      <c r="A509" t="s">
        <v>2113</v>
      </c>
      <c r="B509">
        <v>1</v>
      </c>
      <c r="C509" s="5">
        <v>42530</v>
      </c>
      <c r="D509" t="s">
        <v>2114</v>
      </c>
      <c r="E509" t="s">
        <v>2115</v>
      </c>
      <c r="F509" t="s">
        <v>2116</v>
      </c>
      <c r="G509" t="s">
        <v>211</v>
      </c>
      <c r="H509" t="s">
        <v>33</v>
      </c>
      <c r="K509" t="s">
        <v>34</v>
      </c>
      <c r="L509" t="s">
        <v>35</v>
      </c>
      <c r="M509" t="s">
        <v>36</v>
      </c>
      <c r="Q509" t="s">
        <v>37</v>
      </c>
      <c r="R509" t="s">
        <v>38</v>
      </c>
      <c r="S509" t="s">
        <v>84</v>
      </c>
      <c r="T509" t="s">
        <v>73</v>
      </c>
      <c r="U509" t="s">
        <v>41</v>
      </c>
      <c r="V509" s="9" t="str">
        <f>HYPERLINK("https://app.ntsb.gov/pdfgenerator/ReportGeneratorFile.ashx?EventID=20160613X21931&amp;AKey=1&amp;Rtype=Final&amp;IType=CA","PDF Report")</f>
        <v>PDF Report</v>
      </c>
    </row>
    <row r="510" spans="1:22" x14ac:dyDescent="0.25">
      <c r="A510" t="s">
        <v>2117</v>
      </c>
      <c r="B510">
        <v>1</v>
      </c>
      <c r="C510" s="5">
        <v>42530</v>
      </c>
      <c r="D510" t="s">
        <v>2118</v>
      </c>
      <c r="E510" t="s">
        <v>2119</v>
      </c>
      <c r="F510" t="s">
        <v>2120</v>
      </c>
      <c r="G510" t="s">
        <v>339</v>
      </c>
      <c r="H510" t="s">
        <v>33</v>
      </c>
      <c r="K510" t="s">
        <v>47</v>
      </c>
      <c r="L510" t="s">
        <v>35</v>
      </c>
      <c r="M510" t="s">
        <v>36</v>
      </c>
      <c r="Q510" t="s">
        <v>37</v>
      </c>
      <c r="R510" t="s">
        <v>38</v>
      </c>
      <c r="S510" t="s">
        <v>48</v>
      </c>
      <c r="T510" t="s">
        <v>73</v>
      </c>
      <c r="U510" t="s">
        <v>41</v>
      </c>
      <c r="V510" s="9" t="str">
        <f>HYPERLINK("https://app.ntsb.gov/pdfgenerator/ReportGeneratorFile.ashx?EventID=20160613X95657&amp;AKey=1&amp;Rtype=Final&amp;IType=CA","PDF Report")</f>
        <v>PDF Report</v>
      </c>
    </row>
    <row r="511" spans="1:22" x14ac:dyDescent="0.25">
      <c r="A511" t="s">
        <v>2121</v>
      </c>
      <c r="B511">
        <v>1</v>
      </c>
      <c r="C511" s="5">
        <v>42530</v>
      </c>
      <c r="D511" t="s">
        <v>2122</v>
      </c>
      <c r="E511" t="s">
        <v>2123</v>
      </c>
      <c r="F511" t="s">
        <v>2124</v>
      </c>
      <c r="G511" t="s">
        <v>206</v>
      </c>
      <c r="H511" t="s">
        <v>33</v>
      </c>
      <c r="K511" t="s">
        <v>34</v>
      </c>
      <c r="L511" t="s">
        <v>35</v>
      </c>
      <c r="M511" t="s">
        <v>36</v>
      </c>
      <c r="Q511" t="s">
        <v>37</v>
      </c>
      <c r="R511" t="s">
        <v>38</v>
      </c>
      <c r="S511" t="s">
        <v>131</v>
      </c>
      <c r="T511" t="s">
        <v>73</v>
      </c>
      <c r="U511" t="s">
        <v>41</v>
      </c>
      <c r="V511" s="9" t="str">
        <f>HYPERLINK("https://app.ntsb.gov/pdfgenerator/ReportGeneratorFile.ashx?EventID=20160627X81436&amp;AKey=1&amp;Rtype=Final&amp;IType=CA","PDF Report")</f>
        <v>PDF Report</v>
      </c>
    </row>
    <row r="512" spans="1:22" x14ac:dyDescent="0.25">
      <c r="A512" t="s">
        <v>2125</v>
      </c>
      <c r="B512">
        <v>1</v>
      </c>
      <c r="C512" s="5">
        <v>42531</v>
      </c>
      <c r="D512" t="s">
        <v>2126</v>
      </c>
      <c r="E512" t="s">
        <v>2127</v>
      </c>
      <c r="F512" t="s">
        <v>869</v>
      </c>
      <c r="G512" t="s">
        <v>66</v>
      </c>
      <c r="H512" t="s">
        <v>33</v>
      </c>
      <c r="I512">
        <v>2</v>
      </c>
      <c r="K512" t="s">
        <v>90</v>
      </c>
      <c r="L512" t="s">
        <v>110</v>
      </c>
      <c r="M512" t="s">
        <v>36</v>
      </c>
      <c r="Q512" t="s">
        <v>37</v>
      </c>
      <c r="R512" t="s">
        <v>130</v>
      </c>
      <c r="S512" t="s">
        <v>39</v>
      </c>
      <c r="T512" t="s">
        <v>49</v>
      </c>
      <c r="U512" t="s">
        <v>41</v>
      </c>
      <c r="V512" s="9" t="str">
        <f>HYPERLINK("https://app.ntsb.gov/pdfgenerator/ReportGeneratorFile.ashx?EventID=20160610X10917&amp;AKey=1&amp;Rtype=Final&amp;IType=FA","PDF Report")</f>
        <v>PDF Report</v>
      </c>
    </row>
    <row r="513" spans="1:22" x14ac:dyDescent="0.25">
      <c r="A513" t="s">
        <v>2128</v>
      </c>
      <c r="B513">
        <v>1</v>
      </c>
      <c r="C513" s="5">
        <v>42531</v>
      </c>
      <c r="D513" t="s">
        <v>2129</v>
      </c>
      <c r="E513" t="s">
        <v>2130</v>
      </c>
      <c r="F513" t="s">
        <v>2131</v>
      </c>
      <c r="G513" t="s">
        <v>96</v>
      </c>
      <c r="H513" t="s">
        <v>33</v>
      </c>
      <c r="K513" t="s">
        <v>47</v>
      </c>
      <c r="L513" t="s">
        <v>35</v>
      </c>
      <c r="M513" t="s">
        <v>36</v>
      </c>
      <c r="Q513" t="s">
        <v>37</v>
      </c>
      <c r="R513" t="s">
        <v>38</v>
      </c>
      <c r="S513" t="s">
        <v>131</v>
      </c>
      <c r="T513" t="s">
        <v>73</v>
      </c>
      <c r="U513" t="s">
        <v>41</v>
      </c>
      <c r="V513" s="9" t="str">
        <f>HYPERLINK("https://app.ntsb.gov/pdfgenerator/ReportGeneratorFile.ashx?EventID=20160610X65141&amp;AKey=1&amp;Rtype=Final&amp;IType=CA","PDF Report")</f>
        <v>PDF Report</v>
      </c>
    </row>
    <row r="514" spans="1:22" x14ac:dyDescent="0.25">
      <c r="A514" t="s">
        <v>2132</v>
      </c>
      <c r="B514">
        <v>1</v>
      </c>
      <c r="C514" s="5">
        <v>42531</v>
      </c>
      <c r="D514" t="s">
        <v>2133</v>
      </c>
      <c r="E514" t="s">
        <v>2134</v>
      </c>
      <c r="F514" t="s">
        <v>2135</v>
      </c>
      <c r="G514" t="s">
        <v>401</v>
      </c>
      <c r="H514" t="s">
        <v>33</v>
      </c>
      <c r="I514">
        <v>1</v>
      </c>
      <c r="J514">
        <v>1</v>
      </c>
      <c r="K514" t="s">
        <v>90</v>
      </c>
      <c r="L514" t="s">
        <v>110</v>
      </c>
      <c r="M514" t="s">
        <v>36</v>
      </c>
      <c r="Q514" t="s">
        <v>37</v>
      </c>
      <c r="R514" t="s">
        <v>130</v>
      </c>
      <c r="S514" t="s">
        <v>48</v>
      </c>
      <c r="T514" t="s">
        <v>958</v>
      </c>
      <c r="U514" t="s">
        <v>41</v>
      </c>
      <c r="V514" s="9" t="str">
        <f>HYPERLINK("https://app.ntsb.gov/pdfgenerator/ReportGeneratorFile.ashx?EventID=20160611X73822&amp;AKey=1&amp;Rtype=Final&amp;IType=FA","PDF Report")</f>
        <v>PDF Report</v>
      </c>
    </row>
    <row r="515" spans="1:22" x14ac:dyDescent="0.25">
      <c r="A515" t="s">
        <v>2136</v>
      </c>
      <c r="B515">
        <v>1</v>
      </c>
      <c r="C515" s="5">
        <v>42531</v>
      </c>
      <c r="D515" t="s">
        <v>2137</v>
      </c>
      <c r="E515" t="s">
        <v>2138</v>
      </c>
      <c r="F515" t="s">
        <v>678</v>
      </c>
      <c r="G515" t="s">
        <v>102</v>
      </c>
      <c r="H515" t="s">
        <v>33</v>
      </c>
      <c r="I515">
        <v>1</v>
      </c>
      <c r="K515" t="s">
        <v>90</v>
      </c>
      <c r="L515" t="s">
        <v>110</v>
      </c>
      <c r="M515" t="s">
        <v>767</v>
      </c>
      <c r="Q515" t="s">
        <v>37</v>
      </c>
      <c r="R515" t="s">
        <v>768</v>
      </c>
      <c r="S515" t="s">
        <v>196</v>
      </c>
      <c r="T515" t="s">
        <v>40</v>
      </c>
      <c r="U515" t="s">
        <v>41</v>
      </c>
      <c r="V515" s="9" t="str">
        <f>HYPERLINK("https://app.ntsb.gov/pdfgenerator/ReportGeneratorFile.ashx?EventID=20160612X02159&amp;AKey=1&amp;Rtype=Final&amp;IType=LA","PDF Report")</f>
        <v>PDF Report</v>
      </c>
    </row>
    <row r="516" spans="1:22" x14ac:dyDescent="0.25">
      <c r="A516" t="s">
        <v>2139</v>
      </c>
      <c r="B516">
        <v>1</v>
      </c>
      <c r="C516" s="5">
        <v>42531</v>
      </c>
      <c r="D516" t="s">
        <v>2140</v>
      </c>
      <c r="E516" t="s">
        <v>2141</v>
      </c>
      <c r="F516" t="s">
        <v>2142</v>
      </c>
      <c r="G516" t="s">
        <v>322</v>
      </c>
      <c r="H516" t="s">
        <v>33</v>
      </c>
      <c r="I516">
        <v>1</v>
      </c>
      <c r="K516" t="s">
        <v>90</v>
      </c>
      <c r="L516" t="s">
        <v>34</v>
      </c>
      <c r="M516" t="s">
        <v>36</v>
      </c>
      <c r="Q516" t="s">
        <v>523</v>
      </c>
      <c r="R516" t="s">
        <v>170</v>
      </c>
      <c r="S516" t="s">
        <v>131</v>
      </c>
      <c r="T516" t="s">
        <v>164</v>
      </c>
      <c r="U516" t="s">
        <v>41</v>
      </c>
      <c r="V516" s="9" t="str">
        <f>HYPERLINK("https://app.ntsb.gov/pdfgenerator/ReportGeneratorFile.ashx?EventID=20160612X04327&amp;AKey=1&amp;Rtype=Final&amp;IType=LA","PDF Report")</f>
        <v>PDF Report</v>
      </c>
    </row>
    <row r="517" spans="1:22" x14ac:dyDescent="0.25">
      <c r="A517" t="s">
        <v>2143</v>
      </c>
      <c r="B517">
        <v>1</v>
      </c>
      <c r="C517" s="5">
        <v>42531</v>
      </c>
      <c r="D517" t="s">
        <v>1640</v>
      </c>
      <c r="E517" t="s">
        <v>1641</v>
      </c>
      <c r="F517" t="s">
        <v>1642</v>
      </c>
      <c r="G517" t="s">
        <v>46</v>
      </c>
      <c r="H517" t="s">
        <v>33</v>
      </c>
      <c r="J517">
        <v>1</v>
      </c>
      <c r="K517" t="s">
        <v>55</v>
      </c>
      <c r="L517" t="s">
        <v>35</v>
      </c>
      <c r="M517" t="s">
        <v>36</v>
      </c>
      <c r="Q517" t="s">
        <v>37</v>
      </c>
      <c r="R517" t="s">
        <v>38</v>
      </c>
      <c r="S517" t="s">
        <v>48</v>
      </c>
      <c r="T517" t="s">
        <v>79</v>
      </c>
      <c r="U517" t="s">
        <v>41</v>
      </c>
      <c r="V517" s="9" t="str">
        <f>HYPERLINK("https://app.ntsb.gov/pdfgenerator/ReportGeneratorFile.ashx?EventID=20160612X11913&amp;AKey=1&amp;Rtype=Final&amp;IType=CA","PDF Report")</f>
        <v>PDF Report</v>
      </c>
    </row>
    <row r="518" spans="1:22" x14ac:dyDescent="0.25">
      <c r="A518" t="s">
        <v>2144</v>
      </c>
      <c r="B518">
        <v>1</v>
      </c>
      <c r="C518" s="5">
        <v>42531</v>
      </c>
      <c r="D518" t="s">
        <v>2145</v>
      </c>
      <c r="E518" t="s">
        <v>2146</v>
      </c>
      <c r="F518" t="s">
        <v>2147</v>
      </c>
      <c r="G518" t="s">
        <v>102</v>
      </c>
      <c r="H518" t="s">
        <v>33</v>
      </c>
      <c r="K518" t="s">
        <v>34</v>
      </c>
      <c r="L518" t="s">
        <v>35</v>
      </c>
      <c r="M518" t="s">
        <v>36</v>
      </c>
      <c r="Q518" t="s">
        <v>37</v>
      </c>
      <c r="R518" t="s">
        <v>38</v>
      </c>
      <c r="S518" t="s">
        <v>317</v>
      </c>
      <c r="T518" t="s">
        <v>73</v>
      </c>
      <c r="U518" t="s">
        <v>41</v>
      </c>
      <c r="V518" s="9" t="str">
        <f>HYPERLINK("https://app.ntsb.gov/pdfgenerator/ReportGeneratorFile.ashx?EventID=20160613X30919&amp;AKey=1&amp;Rtype=Final&amp;IType=CA","PDF Report")</f>
        <v>PDF Report</v>
      </c>
    </row>
    <row r="519" spans="1:22" x14ac:dyDescent="0.25">
      <c r="A519" t="s">
        <v>2148</v>
      </c>
      <c r="B519">
        <v>1</v>
      </c>
      <c r="C519" s="5">
        <v>42531</v>
      </c>
      <c r="D519" t="s">
        <v>2149</v>
      </c>
      <c r="E519" t="s">
        <v>2150</v>
      </c>
      <c r="F519" t="s">
        <v>2151</v>
      </c>
      <c r="G519" t="s">
        <v>32</v>
      </c>
      <c r="H519" t="s">
        <v>33</v>
      </c>
      <c r="K519" t="s">
        <v>47</v>
      </c>
      <c r="L519" t="s">
        <v>35</v>
      </c>
      <c r="M519" t="s">
        <v>36</v>
      </c>
      <c r="Q519" t="s">
        <v>37</v>
      </c>
      <c r="R519" t="s">
        <v>130</v>
      </c>
      <c r="S519" t="s">
        <v>84</v>
      </c>
      <c r="T519" t="s">
        <v>73</v>
      </c>
      <c r="U519" t="s">
        <v>41</v>
      </c>
      <c r="V519" s="9" t="str">
        <f>HYPERLINK("https://app.ntsb.gov/pdfgenerator/ReportGeneratorFile.ashx?EventID=20160613X32323&amp;AKey=1&amp;Rtype=Final&amp;IType=CA","PDF Report")</f>
        <v>PDF Report</v>
      </c>
    </row>
    <row r="520" spans="1:22" x14ac:dyDescent="0.25">
      <c r="A520" t="s">
        <v>2152</v>
      </c>
      <c r="B520">
        <v>1</v>
      </c>
      <c r="C520" s="5">
        <v>42531</v>
      </c>
      <c r="D520" t="s">
        <v>2153</v>
      </c>
      <c r="E520" t="s">
        <v>2154</v>
      </c>
      <c r="F520" t="s">
        <v>2155</v>
      </c>
      <c r="G520" t="s">
        <v>115</v>
      </c>
      <c r="H520" t="s">
        <v>33</v>
      </c>
      <c r="K520" t="s">
        <v>34</v>
      </c>
      <c r="L520" t="s">
        <v>35</v>
      </c>
      <c r="M520" t="s">
        <v>36</v>
      </c>
      <c r="Q520" t="s">
        <v>37</v>
      </c>
      <c r="R520" t="s">
        <v>505</v>
      </c>
      <c r="S520" t="s">
        <v>191</v>
      </c>
      <c r="T520" t="s">
        <v>73</v>
      </c>
      <c r="U520" t="s">
        <v>41</v>
      </c>
      <c r="V520" s="9" t="str">
        <f>HYPERLINK("https://app.ntsb.gov/pdfgenerator/ReportGeneratorFile.ashx?EventID=20160613X45945&amp;AKey=1&amp;Rtype=Final&amp;IType=LA","PDF Report")</f>
        <v>PDF Report</v>
      </c>
    </row>
    <row r="521" spans="1:22" x14ac:dyDescent="0.25">
      <c r="A521" t="s">
        <v>2156</v>
      </c>
      <c r="B521">
        <v>1</v>
      </c>
      <c r="C521" s="5">
        <v>42531</v>
      </c>
      <c r="D521" t="s">
        <v>2157</v>
      </c>
      <c r="E521" t="s">
        <v>2158</v>
      </c>
      <c r="F521" t="s">
        <v>175</v>
      </c>
      <c r="G521" t="s">
        <v>96</v>
      </c>
      <c r="H521" t="s">
        <v>33</v>
      </c>
      <c r="K521" t="s">
        <v>34</v>
      </c>
      <c r="L521" t="s">
        <v>35</v>
      </c>
      <c r="M521" t="s">
        <v>36</v>
      </c>
      <c r="Q521" t="s">
        <v>37</v>
      </c>
      <c r="R521" t="s">
        <v>130</v>
      </c>
      <c r="S521" t="s">
        <v>191</v>
      </c>
      <c r="T521" t="s">
        <v>40</v>
      </c>
      <c r="U521" t="s">
        <v>41</v>
      </c>
      <c r="V521" s="9" t="str">
        <f>HYPERLINK("https://app.ntsb.gov/pdfgenerator/ReportGeneratorFile.ashx?EventID=20160613X82937&amp;AKey=1&amp;Rtype=Final&amp;IType=CA","PDF Report")</f>
        <v>PDF Report</v>
      </c>
    </row>
    <row r="522" spans="1:22" x14ac:dyDescent="0.25">
      <c r="A522" t="s">
        <v>2159</v>
      </c>
      <c r="B522">
        <v>1</v>
      </c>
      <c r="C522" s="5">
        <v>42531</v>
      </c>
      <c r="D522" t="s">
        <v>2160</v>
      </c>
      <c r="E522" t="s">
        <v>2161</v>
      </c>
      <c r="F522" t="s">
        <v>2162</v>
      </c>
      <c r="G522" t="s">
        <v>1026</v>
      </c>
      <c r="H522" t="s">
        <v>33</v>
      </c>
      <c r="K522" t="s">
        <v>47</v>
      </c>
      <c r="L522" t="s">
        <v>35</v>
      </c>
      <c r="M522" t="s">
        <v>36</v>
      </c>
      <c r="Q522" t="s">
        <v>37</v>
      </c>
      <c r="R522" t="s">
        <v>38</v>
      </c>
      <c r="S522" t="s">
        <v>60</v>
      </c>
      <c r="T522" t="s">
        <v>40</v>
      </c>
      <c r="U522" t="s">
        <v>41</v>
      </c>
      <c r="V522" s="9" t="str">
        <f>HYPERLINK("https://app.ntsb.gov/pdfgenerator/ReportGeneratorFile.ashx?EventID=20160614X24106&amp;AKey=1&amp;Rtype=Final&amp;IType=CA","PDF Report")</f>
        <v>PDF Report</v>
      </c>
    </row>
    <row r="523" spans="1:22" x14ac:dyDescent="0.25">
      <c r="A523" t="s">
        <v>2163</v>
      </c>
      <c r="B523">
        <v>1</v>
      </c>
      <c r="C523" s="5">
        <v>42531</v>
      </c>
      <c r="D523" t="s">
        <v>2164</v>
      </c>
      <c r="E523" t="s">
        <v>2165</v>
      </c>
      <c r="F523" t="s">
        <v>2166</v>
      </c>
      <c r="G523" t="s">
        <v>666</v>
      </c>
      <c r="H523" t="s">
        <v>33</v>
      </c>
      <c r="J523">
        <v>2</v>
      </c>
      <c r="K523" t="s">
        <v>55</v>
      </c>
      <c r="L523" t="s">
        <v>35</v>
      </c>
      <c r="M523" t="s">
        <v>36</v>
      </c>
      <c r="Q523" t="s">
        <v>37</v>
      </c>
      <c r="R523" t="s">
        <v>274</v>
      </c>
      <c r="S523" t="s">
        <v>396</v>
      </c>
      <c r="T523" t="s">
        <v>49</v>
      </c>
      <c r="U523" t="s">
        <v>41</v>
      </c>
      <c r="V523" s="9" t="str">
        <f>HYPERLINK("https://app.ntsb.gov/pdfgenerator/ReportGeneratorFile.ashx?EventID=20160623X84139&amp;AKey=1&amp;Rtype=Final&amp;IType=LA","PDF Report")</f>
        <v>PDF Report</v>
      </c>
    </row>
    <row r="524" spans="1:22" x14ac:dyDescent="0.25">
      <c r="A524" t="s">
        <v>2167</v>
      </c>
      <c r="B524">
        <v>1</v>
      </c>
      <c r="C524" s="5">
        <v>42532</v>
      </c>
      <c r="D524" t="s">
        <v>2168</v>
      </c>
      <c r="E524" t="s">
        <v>2169</v>
      </c>
      <c r="F524" t="s">
        <v>2170</v>
      </c>
      <c r="G524" t="s">
        <v>142</v>
      </c>
      <c r="H524" t="s">
        <v>33</v>
      </c>
      <c r="I524">
        <v>3</v>
      </c>
      <c r="J524">
        <v>1</v>
      </c>
      <c r="K524" t="s">
        <v>90</v>
      </c>
      <c r="L524" t="s">
        <v>35</v>
      </c>
      <c r="M524" t="s">
        <v>36</v>
      </c>
      <c r="Q524" t="s">
        <v>37</v>
      </c>
      <c r="R524" t="s">
        <v>38</v>
      </c>
      <c r="S524" t="s">
        <v>48</v>
      </c>
      <c r="T524" t="s">
        <v>79</v>
      </c>
      <c r="U524" t="s">
        <v>41</v>
      </c>
      <c r="V524" s="9" t="str">
        <f>HYPERLINK("https://app.ntsb.gov/pdfgenerator/ReportGeneratorFile.ashx?EventID=20160611X45600&amp;AKey=1&amp;Rtype=Final&amp;IType=FA","PDF Report")</f>
        <v>PDF Report</v>
      </c>
    </row>
    <row r="525" spans="1:22" x14ac:dyDescent="0.25">
      <c r="A525" t="s">
        <v>2171</v>
      </c>
      <c r="B525">
        <v>1</v>
      </c>
      <c r="C525" s="5">
        <v>42532</v>
      </c>
      <c r="D525" t="s">
        <v>2172</v>
      </c>
      <c r="E525" t="s">
        <v>2173</v>
      </c>
      <c r="F525" t="s">
        <v>2174</v>
      </c>
      <c r="G525" t="s">
        <v>789</v>
      </c>
      <c r="H525" t="s">
        <v>33</v>
      </c>
      <c r="K525" t="s">
        <v>47</v>
      </c>
      <c r="L525" t="s">
        <v>35</v>
      </c>
      <c r="M525" t="s">
        <v>36</v>
      </c>
      <c r="Q525" t="s">
        <v>37</v>
      </c>
      <c r="R525" t="s">
        <v>38</v>
      </c>
      <c r="S525" t="s">
        <v>48</v>
      </c>
      <c r="T525" t="s">
        <v>49</v>
      </c>
      <c r="U525" t="s">
        <v>41</v>
      </c>
      <c r="V525" s="9" t="str">
        <f>HYPERLINK("https://app.ntsb.gov/pdfgenerator/ReportGeneratorFile.ashx?EventID=20160613X35347&amp;AKey=1&amp;Rtype=Final&amp;IType=CA","PDF Report")</f>
        <v>PDF Report</v>
      </c>
    </row>
    <row r="526" spans="1:22" x14ac:dyDescent="0.25">
      <c r="A526" t="s">
        <v>2175</v>
      </c>
      <c r="B526">
        <v>1</v>
      </c>
      <c r="C526" s="5">
        <v>42532</v>
      </c>
      <c r="D526" t="s">
        <v>2176</v>
      </c>
      <c r="E526" t="s">
        <v>886</v>
      </c>
      <c r="F526" t="s">
        <v>887</v>
      </c>
      <c r="G526" t="s">
        <v>645</v>
      </c>
      <c r="H526" t="s">
        <v>33</v>
      </c>
      <c r="K526" t="s">
        <v>34</v>
      </c>
      <c r="L526" t="s">
        <v>35</v>
      </c>
      <c r="M526" t="s">
        <v>36</v>
      </c>
      <c r="Q526" t="s">
        <v>37</v>
      </c>
      <c r="R526" t="s">
        <v>38</v>
      </c>
      <c r="S526" t="s">
        <v>131</v>
      </c>
      <c r="T526" t="s">
        <v>73</v>
      </c>
      <c r="U526" t="s">
        <v>41</v>
      </c>
      <c r="V526" s="9" t="str">
        <f>HYPERLINK("https://app.ntsb.gov/pdfgenerator/ReportGeneratorFile.ashx?EventID=20160613X35810&amp;AKey=1&amp;Rtype=Final&amp;IType=CA","PDF Report")</f>
        <v>PDF Report</v>
      </c>
    </row>
    <row r="527" spans="1:22" x14ac:dyDescent="0.25">
      <c r="A527" t="s">
        <v>2177</v>
      </c>
      <c r="B527">
        <v>1</v>
      </c>
      <c r="C527" s="5">
        <v>42532</v>
      </c>
      <c r="D527" t="s">
        <v>2178</v>
      </c>
      <c r="E527" t="s">
        <v>2179</v>
      </c>
      <c r="F527" t="s">
        <v>2180</v>
      </c>
      <c r="G527" t="s">
        <v>78</v>
      </c>
      <c r="H527" t="s">
        <v>33</v>
      </c>
      <c r="K527" t="s">
        <v>34</v>
      </c>
      <c r="L527" t="s">
        <v>35</v>
      </c>
      <c r="M527" t="s">
        <v>36</v>
      </c>
      <c r="Q527" t="s">
        <v>37</v>
      </c>
      <c r="R527" t="s">
        <v>38</v>
      </c>
      <c r="S527" t="s">
        <v>131</v>
      </c>
      <c r="T527" t="s">
        <v>73</v>
      </c>
      <c r="U527" t="s">
        <v>41</v>
      </c>
      <c r="V527" s="9" t="str">
        <f>HYPERLINK("https://app.ntsb.gov/pdfgenerator/ReportGeneratorFile.ashx?EventID=20160613X51156&amp;AKey=1&amp;Rtype=Final&amp;IType=CA","PDF Report")</f>
        <v>PDF Report</v>
      </c>
    </row>
    <row r="528" spans="1:22" x14ac:dyDescent="0.25">
      <c r="A528" t="s">
        <v>2181</v>
      </c>
      <c r="B528">
        <v>1</v>
      </c>
      <c r="C528" s="5">
        <v>42532</v>
      </c>
      <c r="D528" t="s">
        <v>1596</v>
      </c>
      <c r="E528" t="s">
        <v>2182</v>
      </c>
      <c r="F528" t="s">
        <v>2183</v>
      </c>
      <c r="G528" t="s">
        <v>237</v>
      </c>
      <c r="H528" t="s">
        <v>33</v>
      </c>
      <c r="K528" t="s">
        <v>47</v>
      </c>
      <c r="L528" t="s">
        <v>35</v>
      </c>
      <c r="M528" t="s">
        <v>36</v>
      </c>
      <c r="Q528" t="s">
        <v>37</v>
      </c>
      <c r="R528" t="s">
        <v>38</v>
      </c>
      <c r="S528" t="s">
        <v>97</v>
      </c>
      <c r="T528" t="s">
        <v>61</v>
      </c>
      <c r="U528" t="s">
        <v>41</v>
      </c>
      <c r="V528" s="9" t="str">
        <f>HYPERLINK("https://app.ntsb.gov/pdfgenerator/ReportGeneratorFile.ashx?EventID=20160614X34836&amp;AKey=1&amp;Rtype=Final&amp;IType=LA","PDF Report")</f>
        <v>PDF Report</v>
      </c>
    </row>
    <row r="529" spans="1:22" x14ac:dyDescent="0.25">
      <c r="A529" t="s">
        <v>2184</v>
      </c>
      <c r="B529">
        <v>1</v>
      </c>
      <c r="C529" s="5">
        <v>42532</v>
      </c>
      <c r="D529" t="s">
        <v>2185</v>
      </c>
      <c r="E529" t="s">
        <v>2186</v>
      </c>
      <c r="F529" t="s">
        <v>2027</v>
      </c>
      <c r="G529" t="s">
        <v>54</v>
      </c>
      <c r="H529" t="s">
        <v>33</v>
      </c>
      <c r="K529" t="s">
        <v>34</v>
      </c>
      <c r="L529" t="s">
        <v>35</v>
      </c>
      <c r="M529" t="s">
        <v>36</v>
      </c>
      <c r="Q529" t="s">
        <v>37</v>
      </c>
      <c r="R529" t="s">
        <v>38</v>
      </c>
      <c r="S529" t="s">
        <v>396</v>
      </c>
      <c r="T529" t="s">
        <v>73</v>
      </c>
      <c r="U529" t="s">
        <v>41</v>
      </c>
      <c r="V529" s="9" t="str">
        <f>HYPERLINK("https://app.ntsb.gov/pdfgenerator/ReportGeneratorFile.ashx?EventID=20160620X32159&amp;AKey=1&amp;Rtype=Final&amp;IType=CA","PDF Report")</f>
        <v>PDF Report</v>
      </c>
    </row>
    <row r="530" spans="1:22" x14ac:dyDescent="0.25">
      <c r="A530" t="s">
        <v>2187</v>
      </c>
      <c r="B530">
        <v>1</v>
      </c>
      <c r="C530" s="5">
        <v>42533</v>
      </c>
      <c r="D530" t="s">
        <v>2188</v>
      </c>
      <c r="E530" t="s">
        <v>2189</v>
      </c>
      <c r="F530" t="s">
        <v>2190</v>
      </c>
      <c r="G530" t="s">
        <v>491</v>
      </c>
      <c r="H530" t="s">
        <v>33</v>
      </c>
      <c r="I530">
        <v>1</v>
      </c>
      <c r="K530" t="s">
        <v>90</v>
      </c>
      <c r="L530" t="s">
        <v>110</v>
      </c>
      <c r="M530" t="s">
        <v>36</v>
      </c>
      <c r="Q530" t="s">
        <v>185</v>
      </c>
      <c r="R530" t="s">
        <v>38</v>
      </c>
      <c r="S530" t="s">
        <v>201</v>
      </c>
      <c r="T530" t="s">
        <v>40</v>
      </c>
      <c r="U530" t="s">
        <v>41</v>
      </c>
      <c r="V530" s="9" t="str">
        <f>HYPERLINK("https://app.ntsb.gov/pdfgenerator/ReportGeneratorFile.ashx?EventID=20160612X85856&amp;AKey=1&amp;Rtype=Final&amp;IType=FA","PDF Report")</f>
        <v>PDF Report</v>
      </c>
    </row>
    <row r="531" spans="1:22" x14ac:dyDescent="0.25">
      <c r="A531" t="s">
        <v>2191</v>
      </c>
      <c r="B531">
        <v>1</v>
      </c>
      <c r="C531" s="5">
        <v>42533</v>
      </c>
      <c r="D531" t="s">
        <v>2192</v>
      </c>
      <c r="E531" t="s">
        <v>2193</v>
      </c>
      <c r="F531" t="s">
        <v>2194</v>
      </c>
      <c r="G531" t="s">
        <v>401</v>
      </c>
      <c r="H531" t="s">
        <v>33</v>
      </c>
      <c r="K531" t="s">
        <v>34</v>
      </c>
      <c r="L531" t="s">
        <v>35</v>
      </c>
      <c r="M531" t="s">
        <v>767</v>
      </c>
      <c r="Q531" t="s">
        <v>37</v>
      </c>
      <c r="R531" t="s">
        <v>768</v>
      </c>
      <c r="S531" t="s">
        <v>131</v>
      </c>
      <c r="T531" t="s">
        <v>49</v>
      </c>
      <c r="U531" t="s">
        <v>41</v>
      </c>
      <c r="V531" s="9" t="str">
        <f>HYPERLINK("https://app.ntsb.gov/pdfgenerator/ReportGeneratorFile.ashx?EventID=20160613X12301&amp;AKey=1&amp;Rtype=Final&amp;IType=CA","PDF Report")</f>
        <v>PDF Report</v>
      </c>
    </row>
    <row r="532" spans="1:22" x14ac:dyDescent="0.25">
      <c r="A532" t="s">
        <v>2195</v>
      </c>
      <c r="B532">
        <v>1</v>
      </c>
      <c r="C532" s="5">
        <v>42533</v>
      </c>
      <c r="D532" t="s">
        <v>2196</v>
      </c>
      <c r="E532" t="s">
        <v>2197</v>
      </c>
      <c r="F532" t="s">
        <v>2198</v>
      </c>
      <c r="G532" t="s">
        <v>1508</v>
      </c>
      <c r="H532" t="s">
        <v>33</v>
      </c>
      <c r="J532">
        <v>1</v>
      </c>
      <c r="K532" t="s">
        <v>55</v>
      </c>
      <c r="L532" t="s">
        <v>110</v>
      </c>
      <c r="M532" t="s">
        <v>36</v>
      </c>
      <c r="Q532" t="s">
        <v>37</v>
      </c>
      <c r="R532" t="s">
        <v>38</v>
      </c>
      <c r="S532" t="s">
        <v>39</v>
      </c>
      <c r="T532" t="s">
        <v>49</v>
      </c>
      <c r="U532" t="s">
        <v>41</v>
      </c>
      <c r="V532" s="9" t="str">
        <f>HYPERLINK("https://app.ntsb.gov/pdfgenerator/ReportGeneratorFile.ashx?EventID=20160613X30040&amp;AKey=1&amp;Rtype=Final&amp;IType=LA","PDF Report")</f>
        <v>PDF Report</v>
      </c>
    </row>
    <row r="533" spans="1:22" x14ac:dyDescent="0.25">
      <c r="A533" t="s">
        <v>2199</v>
      </c>
      <c r="B533">
        <v>1</v>
      </c>
      <c r="C533" s="5">
        <v>42533</v>
      </c>
      <c r="D533" t="s">
        <v>2200</v>
      </c>
      <c r="E533" t="s">
        <v>2201</v>
      </c>
      <c r="F533" t="s">
        <v>2202</v>
      </c>
      <c r="G533" t="s">
        <v>491</v>
      </c>
      <c r="H533" t="s">
        <v>33</v>
      </c>
      <c r="K533" t="s">
        <v>47</v>
      </c>
      <c r="L533" t="s">
        <v>35</v>
      </c>
      <c r="M533" t="s">
        <v>36</v>
      </c>
      <c r="Q533" t="s">
        <v>37</v>
      </c>
      <c r="R533" t="s">
        <v>38</v>
      </c>
      <c r="S533" t="s">
        <v>84</v>
      </c>
      <c r="T533" t="s">
        <v>73</v>
      </c>
      <c r="U533" t="s">
        <v>41</v>
      </c>
      <c r="V533" s="9" t="str">
        <f>HYPERLINK("https://app.ntsb.gov/pdfgenerator/ReportGeneratorFile.ashx?EventID=20160613X55200&amp;AKey=1&amp;Rtype=Final&amp;IType=CA","PDF Report")</f>
        <v>PDF Report</v>
      </c>
    </row>
    <row r="534" spans="1:22" x14ac:dyDescent="0.25">
      <c r="A534" t="s">
        <v>2203</v>
      </c>
      <c r="B534">
        <v>1</v>
      </c>
      <c r="C534" s="5">
        <v>42533</v>
      </c>
      <c r="D534" t="s">
        <v>2204</v>
      </c>
      <c r="E534" t="s">
        <v>2205</v>
      </c>
      <c r="F534" t="s">
        <v>282</v>
      </c>
      <c r="G534" t="s">
        <v>125</v>
      </c>
      <c r="H534" t="s">
        <v>33</v>
      </c>
      <c r="K534" t="s">
        <v>34</v>
      </c>
      <c r="L534" t="s">
        <v>35</v>
      </c>
      <c r="M534" t="s">
        <v>36</v>
      </c>
      <c r="Q534" t="s">
        <v>37</v>
      </c>
      <c r="R534" t="s">
        <v>38</v>
      </c>
      <c r="S534" t="s">
        <v>131</v>
      </c>
      <c r="T534" t="s">
        <v>49</v>
      </c>
      <c r="U534" t="s">
        <v>41</v>
      </c>
      <c r="V534" s="9" t="str">
        <f>HYPERLINK("https://app.ntsb.gov/pdfgenerator/ReportGeneratorFile.ashx?EventID=20160616X45023&amp;AKey=1&amp;Rtype=Final&amp;IType=CA","PDF Report")</f>
        <v>PDF Report</v>
      </c>
    </row>
    <row r="535" spans="1:22" x14ac:dyDescent="0.25">
      <c r="A535" t="s">
        <v>2206</v>
      </c>
      <c r="B535">
        <v>1</v>
      </c>
      <c r="C535" s="5">
        <v>42533</v>
      </c>
      <c r="D535" t="s">
        <v>2207</v>
      </c>
      <c r="E535" t="s">
        <v>2208</v>
      </c>
      <c r="F535" t="s">
        <v>2209</v>
      </c>
      <c r="G535" t="s">
        <v>339</v>
      </c>
      <c r="H535" t="s">
        <v>33</v>
      </c>
      <c r="K535" t="s">
        <v>34</v>
      </c>
      <c r="L535" t="s">
        <v>35</v>
      </c>
      <c r="M535" t="s">
        <v>36</v>
      </c>
      <c r="Q535" t="s">
        <v>874</v>
      </c>
      <c r="R535" t="s">
        <v>38</v>
      </c>
      <c r="S535" t="s">
        <v>1330</v>
      </c>
      <c r="T535" t="s">
        <v>40</v>
      </c>
      <c r="U535" t="s">
        <v>41</v>
      </c>
      <c r="V535" s="9" t="str">
        <f>HYPERLINK("https://app.ntsb.gov/pdfgenerator/ReportGeneratorFile.ashx?EventID=20160622X92904&amp;AKey=1&amp;Rtype=Final&amp;IType=CA","PDF Report")</f>
        <v>PDF Report</v>
      </c>
    </row>
    <row r="536" spans="1:22" x14ac:dyDescent="0.25">
      <c r="A536" t="s">
        <v>2210</v>
      </c>
      <c r="B536">
        <v>1</v>
      </c>
      <c r="C536" s="5">
        <v>42533</v>
      </c>
      <c r="D536" t="s">
        <v>2211</v>
      </c>
      <c r="E536" t="s">
        <v>2212</v>
      </c>
      <c r="F536" t="s">
        <v>2213</v>
      </c>
      <c r="G536" t="s">
        <v>96</v>
      </c>
      <c r="H536" t="s">
        <v>33</v>
      </c>
      <c r="K536" t="s">
        <v>34</v>
      </c>
      <c r="L536" t="s">
        <v>35</v>
      </c>
      <c r="M536" t="s">
        <v>36</v>
      </c>
      <c r="Q536" t="s">
        <v>37</v>
      </c>
      <c r="R536" t="s">
        <v>38</v>
      </c>
      <c r="S536" t="s">
        <v>48</v>
      </c>
      <c r="T536" t="s">
        <v>49</v>
      </c>
      <c r="U536" t="s">
        <v>41</v>
      </c>
      <c r="V536" s="9" t="str">
        <f>HYPERLINK("https://app.ntsb.gov/pdfgenerator/ReportGeneratorFile.ashx?EventID=20160721X55442&amp;AKey=1&amp;Rtype=Final&amp;IType=CA","PDF Report")</f>
        <v>PDF Report</v>
      </c>
    </row>
    <row r="537" spans="1:22" x14ac:dyDescent="0.25">
      <c r="A537" t="s">
        <v>2214</v>
      </c>
      <c r="B537">
        <v>1</v>
      </c>
      <c r="C537" s="5">
        <v>42533</v>
      </c>
      <c r="D537" t="s">
        <v>2215</v>
      </c>
      <c r="E537" t="s">
        <v>2216</v>
      </c>
      <c r="F537" t="s">
        <v>2217</v>
      </c>
      <c r="G537" t="s">
        <v>322</v>
      </c>
      <c r="H537" t="s">
        <v>33</v>
      </c>
      <c r="J537">
        <v>1</v>
      </c>
      <c r="K537" t="s">
        <v>55</v>
      </c>
      <c r="L537" t="s">
        <v>34</v>
      </c>
      <c r="M537" t="s">
        <v>103</v>
      </c>
      <c r="N537" t="s">
        <v>57</v>
      </c>
      <c r="O537" t="s">
        <v>58</v>
      </c>
      <c r="P537" t="s">
        <v>59</v>
      </c>
      <c r="Q537" t="s">
        <v>37</v>
      </c>
      <c r="S537" t="s">
        <v>104</v>
      </c>
      <c r="T537" t="s">
        <v>61</v>
      </c>
      <c r="U537" t="s">
        <v>41</v>
      </c>
      <c r="V537" s="9" t="str">
        <f>HYPERLINK("https://app.ntsb.gov/pdfgenerator/ReportGeneratorFile.ashx?EventID=20160723X91246&amp;AKey=1&amp;Rtype=Final&amp;IType=CA","PDF Report")</f>
        <v>PDF Report</v>
      </c>
    </row>
    <row r="538" spans="1:22" x14ac:dyDescent="0.25">
      <c r="A538" t="s">
        <v>2218</v>
      </c>
      <c r="B538">
        <v>1</v>
      </c>
      <c r="C538" s="5">
        <v>42534</v>
      </c>
      <c r="D538" t="s">
        <v>2219</v>
      </c>
      <c r="E538" t="s">
        <v>2220</v>
      </c>
      <c r="F538" t="s">
        <v>2221</v>
      </c>
      <c r="G538" t="s">
        <v>645</v>
      </c>
      <c r="H538" t="s">
        <v>33</v>
      </c>
      <c r="I538">
        <v>2</v>
      </c>
      <c r="K538" t="s">
        <v>90</v>
      </c>
      <c r="L538" t="s">
        <v>110</v>
      </c>
      <c r="M538" t="s">
        <v>36</v>
      </c>
      <c r="Q538" t="s">
        <v>37</v>
      </c>
      <c r="R538" t="s">
        <v>38</v>
      </c>
      <c r="S538" t="s">
        <v>396</v>
      </c>
      <c r="T538" t="s">
        <v>143</v>
      </c>
      <c r="U538" t="s">
        <v>41</v>
      </c>
      <c r="V538" s="9" t="str">
        <f>HYPERLINK("https://app.ntsb.gov/pdfgenerator/ReportGeneratorFile.ashx?EventID=20160613X11613&amp;AKey=1&amp;Rtype=Final&amp;IType=FA","PDF Report")</f>
        <v>PDF Report</v>
      </c>
    </row>
    <row r="539" spans="1:22" x14ac:dyDescent="0.25">
      <c r="A539" t="s">
        <v>2222</v>
      </c>
      <c r="B539">
        <v>1</v>
      </c>
      <c r="C539" s="5">
        <v>42534</v>
      </c>
      <c r="D539" t="s">
        <v>2223</v>
      </c>
      <c r="E539" t="s">
        <v>2224</v>
      </c>
      <c r="F539" t="s">
        <v>2225</v>
      </c>
      <c r="G539" t="s">
        <v>78</v>
      </c>
      <c r="H539" t="s">
        <v>33</v>
      </c>
      <c r="K539" t="s">
        <v>47</v>
      </c>
      <c r="L539" t="s">
        <v>35</v>
      </c>
      <c r="M539" t="s">
        <v>36</v>
      </c>
      <c r="Q539" t="s">
        <v>37</v>
      </c>
      <c r="R539" t="s">
        <v>38</v>
      </c>
      <c r="S539" t="s">
        <v>39</v>
      </c>
      <c r="T539" t="s">
        <v>61</v>
      </c>
      <c r="U539" t="s">
        <v>41</v>
      </c>
      <c r="V539" s="9" t="str">
        <f>HYPERLINK("https://app.ntsb.gov/pdfgenerator/ReportGeneratorFile.ashx?EventID=20160614X43444&amp;AKey=1&amp;Rtype=Final&amp;IType=CA","PDF Report")</f>
        <v>PDF Report</v>
      </c>
    </row>
    <row r="540" spans="1:22" x14ac:dyDescent="0.25">
      <c r="A540" t="s">
        <v>2226</v>
      </c>
      <c r="B540">
        <v>1</v>
      </c>
      <c r="C540" s="5">
        <v>42534</v>
      </c>
      <c r="D540" t="s">
        <v>2227</v>
      </c>
      <c r="E540" t="s">
        <v>2228</v>
      </c>
      <c r="F540" t="s">
        <v>2229</v>
      </c>
      <c r="G540" t="s">
        <v>287</v>
      </c>
      <c r="H540" t="s">
        <v>33</v>
      </c>
      <c r="K540" t="s">
        <v>34</v>
      </c>
      <c r="L540" t="s">
        <v>35</v>
      </c>
      <c r="M540" t="s">
        <v>473</v>
      </c>
      <c r="Q540" t="s">
        <v>185</v>
      </c>
      <c r="R540" t="s">
        <v>2230</v>
      </c>
      <c r="S540" t="s">
        <v>131</v>
      </c>
      <c r="T540" t="s">
        <v>164</v>
      </c>
      <c r="U540" t="s">
        <v>41</v>
      </c>
      <c r="V540" s="9" t="str">
        <f>HYPERLINK("https://app.ntsb.gov/pdfgenerator/ReportGeneratorFile.ashx?EventID=20160614X83429&amp;AKey=1&amp;Rtype=Final&amp;IType=CA","PDF Report")</f>
        <v>PDF Report</v>
      </c>
    </row>
    <row r="541" spans="1:22" x14ac:dyDescent="0.25">
      <c r="A541" t="s">
        <v>2231</v>
      </c>
      <c r="B541">
        <v>1</v>
      </c>
      <c r="C541" s="5">
        <v>42535</v>
      </c>
      <c r="D541" t="s">
        <v>2232</v>
      </c>
      <c r="E541" t="s">
        <v>2233</v>
      </c>
      <c r="F541" t="s">
        <v>2234</v>
      </c>
      <c r="G541" t="s">
        <v>66</v>
      </c>
      <c r="H541" t="s">
        <v>33</v>
      </c>
      <c r="K541" t="s">
        <v>34</v>
      </c>
      <c r="L541" t="s">
        <v>35</v>
      </c>
      <c r="M541" t="s">
        <v>36</v>
      </c>
      <c r="Q541" t="s">
        <v>185</v>
      </c>
      <c r="R541" t="s">
        <v>38</v>
      </c>
      <c r="S541" t="s">
        <v>97</v>
      </c>
      <c r="T541" t="s">
        <v>61</v>
      </c>
      <c r="U541" t="s">
        <v>41</v>
      </c>
      <c r="V541" s="9" t="str">
        <f>HYPERLINK("https://app.ntsb.gov/pdfgenerator/ReportGeneratorFile.ashx?EventID=20160615X64926&amp;AKey=1&amp;Rtype=Final&amp;IType=LA","PDF Report")</f>
        <v>PDF Report</v>
      </c>
    </row>
    <row r="542" spans="1:22" x14ac:dyDescent="0.25">
      <c r="A542" t="s">
        <v>2235</v>
      </c>
      <c r="B542">
        <v>1</v>
      </c>
      <c r="C542" s="5">
        <v>42535</v>
      </c>
      <c r="D542" t="s">
        <v>2236</v>
      </c>
      <c r="E542" t="s">
        <v>2237</v>
      </c>
      <c r="F542" t="s">
        <v>2238</v>
      </c>
      <c r="G542" t="s">
        <v>96</v>
      </c>
      <c r="H542" t="s">
        <v>33</v>
      </c>
      <c r="K542" t="s">
        <v>34</v>
      </c>
      <c r="L542" t="s">
        <v>35</v>
      </c>
      <c r="M542" t="s">
        <v>36</v>
      </c>
      <c r="Q542" t="s">
        <v>37</v>
      </c>
      <c r="R542" t="s">
        <v>38</v>
      </c>
      <c r="S542" t="s">
        <v>39</v>
      </c>
      <c r="T542" t="s">
        <v>61</v>
      </c>
      <c r="U542" t="s">
        <v>41</v>
      </c>
      <c r="V542" s="9" t="str">
        <f>HYPERLINK("https://app.ntsb.gov/pdfgenerator/ReportGeneratorFile.ashx?EventID=20160706X42954&amp;AKey=1&amp;Rtype=Final&amp;IType=LA","PDF Report")</f>
        <v>PDF Report</v>
      </c>
    </row>
    <row r="543" spans="1:22" x14ac:dyDescent="0.25">
      <c r="A543" t="s">
        <v>2239</v>
      </c>
      <c r="B543">
        <v>1</v>
      </c>
      <c r="C543" s="5">
        <v>42536</v>
      </c>
      <c r="D543" t="s">
        <v>2240</v>
      </c>
      <c r="E543" t="s">
        <v>2241</v>
      </c>
      <c r="F543" t="s">
        <v>2242</v>
      </c>
      <c r="G543" t="s">
        <v>96</v>
      </c>
      <c r="H543" t="s">
        <v>33</v>
      </c>
      <c r="K543" t="s">
        <v>47</v>
      </c>
      <c r="L543" t="s">
        <v>110</v>
      </c>
      <c r="M543" t="s">
        <v>36</v>
      </c>
      <c r="Q543" t="s">
        <v>37</v>
      </c>
      <c r="R543" t="s">
        <v>130</v>
      </c>
      <c r="S543" t="s">
        <v>39</v>
      </c>
      <c r="T543" t="s">
        <v>143</v>
      </c>
      <c r="U543" t="s">
        <v>41</v>
      </c>
      <c r="V543" s="9" t="str">
        <f>HYPERLINK("https://app.ntsb.gov/pdfgenerator/ReportGeneratorFile.ashx?EventID=20160616X23207&amp;AKey=1&amp;Rtype=Final&amp;IType=LA","PDF Report")</f>
        <v>PDF Report</v>
      </c>
    </row>
    <row r="544" spans="1:22" x14ac:dyDescent="0.25">
      <c r="A544" t="s">
        <v>2243</v>
      </c>
      <c r="B544">
        <v>1</v>
      </c>
      <c r="C544" s="5">
        <v>42536</v>
      </c>
      <c r="D544" t="s">
        <v>2244</v>
      </c>
      <c r="E544" t="s">
        <v>2245</v>
      </c>
      <c r="F544" t="s">
        <v>2246</v>
      </c>
      <c r="G544" t="s">
        <v>666</v>
      </c>
      <c r="H544" t="s">
        <v>33</v>
      </c>
      <c r="K544" t="s">
        <v>34</v>
      </c>
      <c r="L544" t="s">
        <v>35</v>
      </c>
      <c r="M544" t="s">
        <v>36</v>
      </c>
      <c r="Q544" t="s">
        <v>37</v>
      </c>
      <c r="R544" t="s">
        <v>38</v>
      </c>
      <c r="S544" t="s">
        <v>1330</v>
      </c>
      <c r="T544" t="s">
        <v>143</v>
      </c>
      <c r="U544" t="s">
        <v>41</v>
      </c>
      <c r="V544" s="9" t="str">
        <f>HYPERLINK("https://app.ntsb.gov/pdfgenerator/ReportGeneratorFile.ashx?EventID=20160616X62306&amp;AKey=1&amp;Rtype=Final&amp;IType=CA","PDF Report")</f>
        <v>PDF Report</v>
      </c>
    </row>
    <row r="545" spans="1:22" x14ac:dyDescent="0.25">
      <c r="A545" t="s">
        <v>2247</v>
      </c>
      <c r="B545">
        <v>1</v>
      </c>
      <c r="C545" s="5">
        <v>42536</v>
      </c>
      <c r="D545" t="s">
        <v>2248</v>
      </c>
      <c r="E545" t="s">
        <v>2249</v>
      </c>
      <c r="F545" t="s">
        <v>2250</v>
      </c>
      <c r="G545" t="s">
        <v>169</v>
      </c>
      <c r="H545" t="s">
        <v>33</v>
      </c>
      <c r="K545" t="s">
        <v>34</v>
      </c>
      <c r="L545" t="s">
        <v>35</v>
      </c>
      <c r="M545" t="s">
        <v>767</v>
      </c>
      <c r="Q545" t="s">
        <v>37</v>
      </c>
      <c r="R545" t="s">
        <v>768</v>
      </c>
      <c r="S545" t="s">
        <v>131</v>
      </c>
      <c r="T545" t="s">
        <v>73</v>
      </c>
      <c r="U545" t="s">
        <v>41</v>
      </c>
      <c r="V545" s="9" t="str">
        <f>HYPERLINK("https://app.ntsb.gov/pdfgenerator/ReportGeneratorFile.ashx?EventID=20160617X35430&amp;AKey=1&amp;Rtype=Final&amp;IType=CA","PDF Report")</f>
        <v>PDF Report</v>
      </c>
    </row>
    <row r="546" spans="1:22" x14ac:dyDescent="0.25">
      <c r="A546" t="s">
        <v>2251</v>
      </c>
      <c r="B546">
        <v>1</v>
      </c>
      <c r="C546" s="5">
        <v>42536</v>
      </c>
      <c r="D546" t="s">
        <v>2252</v>
      </c>
      <c r="E546" t="s">
        <v>2253</v>
      </c>
      <c r="F546" t="s">
        <v>2254</v>
      </c>
      <c r="G546" t="s">
        <v>206</v>
      </c>
      <c r="H546" t="s">
        <v>33</v>
      </c>
      <c r="I546">
        <v>3</v>
      </c>
      <c r="K546" t="s">
        <v>90</v>
      </c>
      <c r="L546" t="s">
        <v>110</v>
      </c>
      <c r="M546" t="s">
        <v>36</v>
      </c>
      <c r="Q546" t="s">
        <v>37</v>
      </c>
      <c r="R546" t="s">
        <v>170</v>
      </c>
      <c r="S546" t="s">
        <v>243</v>
      </c>
      <c r="T546" t="s">
        <v>61</v>
      </c>
      <c r="U546" t="s">
        <v>41</v>
      </c>
      <c r="V546" s="9" t="str">
        <f>HYPERLINK("https://app.ntsb.gov/pdfgenerator/ReportGeneratorFile.ashx?EventID=20160620X21154&amp;AKey=1&amp;Rtype=Final&amp;IType=FA","PDF Report")</f>
        <v>PDF Report</v>
      </c>
    </row>
    <row r="547" spans="1:22" x14ac:dyDescent="0.25">
      <c r="A547" t="s">
        <v>2255</v>
      </c>
      <c r="B547">
        <v>1</v>
      </c>
      <c r="C547" s="5">
        <v>42537</v>
      </c>
      <c r="D547" t="s">
        <v>2256</v>
      </c>
      <c r="E547" t="s">
        <v>2257</v>
      </c>
      <c r="F547" t="s">
        <v>2089</v>
      </c>
      <c r="G547" t="s">
        <v>468</v>
      </c>
      <c r="H547" t="s">
        <v>33</v>
      </c>
      <c r="I547">
        <v>2</v>
      </c>
      <c r="K547" t="s">
        <v>90</v>
      </c>
      <c r="L547" t="s">
        <v>110</v>
      </c>
      <c r="M547" t="s">
        <v>56</v>
      </c>
      <c r="N547" t="s">
        <v>57</v>
      </c>
      <c r="O547" t="s">
        <v>58</v>
      </c>
      <c r="P547" t="s">
        <v>162</v>
      </c>
      <c r="Q547" t="s">
        <v>37</v>
      </c>
      <c r="S547" t="s">
        <v>60</v>
      </c>
      <c r="T547" t="s">
        <v>79</v>
      </c>
      <c r="U547" t="s">
        <v>41</v>
      </c>
      <c r="V547" s="9" t="str">
        <f>HYPERLINK("https://app.ntsb.gov/pdfgenerator/ReportGeneratorFile.ashx?EventID=20160616X04226&amp;AKey=1&amp;Rtype=Final&amp;IType=FA","PDF Report")</f>
        <v>PDF Report</v>
      </c>
    </row>
    <row r="548" spans="1:22" x14ac:dyDescent="0.25">
      <c r="A548" t="s">
        <v>2258</v>
      </c>
      <c r="B548">
        <v>1</v>
      </c>
      <c r="C548" s="5">
        <v>42537</v>
      </c>
      <c r="D548" t="s">
        <v>2259</v>
      </c>
      <c r="E548" t="s">
        <v>2260</v>
      </c>
      <c r="F548" t="s">
        <v>227</v>
      </c>
      <c r="G548" t="s">
        <v>645</v>
      </c>
      <c r="H548" t="s">
        <v>33</v>
      </c>
      <c r="I548">
        <v>1</v>
      </c>
      <c r="K548" t="s">
        <v>90</v>
      </c>
      <c r="L548" t="s">
        <v>35</v>
      </c>
      <c r="M548" t="s">
        <v>36</v>
      </c>
      <c r="Q548" t="s">
        <v>37</v>
      </c>
      <c r="R548" t="s">
        <v>38</v>
      </c>
      <c r="S548" t="s">
        <v>60</v>
      </c>
      <c r="T548" t="s">
        <v>143</v>
      </c>
      <c r="U548" t="s">
        <v>41</v>
      </c>
      <c r="V548" s="9" t="str">
        <f>HYPERLINK("https://app.ntsb.gov/pdfgenerator/ReportGeneratorFile.ashx?EventID=20160616X24257&amp;AKey=1&amp;Rtype=Final&amp;IType=FA","PDF Report")</f>
        <v>PDF Report</v>
      </c>
    </row>
    <row r="549" spans="1:22" x14ac:dyDescent="0.25">
      <c r="A549" t="s">
        <v>2261</v>
      </c>
      <c r="B549">
        <v>1</v>
      </c>
      <c r="C549" s="5">
        <v>42537</v>
      </c>
      <c r="D549" t="s">
        <v>2262</v>
      </c>
      <c r="E549" t="s">
        <v>2263</v>
      </c>
      <c r="F549" t="s">
        <v>2264</v>
      </c>
      <c r="G549" t="s">
        <v>1416</v>
      </c>
      <c r="H549" t="s">
        <v>33</v>
      </c>
      <c r="K549" t="s">
        <v>34</v>
      </c>
      <c r="L549" t="s">
        <v>35</v>
      </c>
      <c r="M549" t="s">
        <v>36</v>
      </c>
      <c r="Q549" t="s">
        <v>37</v>
      </c>
      <c r="R549" t="s">
        <v>38</v>
      </c>
      <c r="S549" t="s">
        <v>48</v>
      </c>
      <c r="T549" t="s">
        <v>49</v>
      </c>
      <c r="U549" t="s">
        <v>41</v>
      </c>
      <c r="V549" s="9" t="str">
        <f>HYPERLINK("https://app.ntsb.gov/pdfgenerator/ReportGeneratorFile.ashx?EventID=20160620X01640&amp;AKey=1&amp;Rtype=Final&amp;IType=LA","PDF Report")</f>
        <v>PDF Report</v>
      </c>
    </row>
    <row r="550" spans="1:22" x14ac:dyDescent="0.25">
      <c r="A550" t="s">
        <v>2265</v>
      </c>
      <c r="B550">
        <v>1</v>
      </c>
      <c r="C550" s="5">
        <v>42537</v>
      </c>
      <c r="D550" t="s">
        <v>2266</v>
      </c>
      <c r="E550" t="s">
        <v>2267</v>
      </c>
      <c r="F550" t="s">
        <v>2268</v>
      </c>
      <c r="G550" t="s">
        <v>102</v>
      </c>
      <c r="H550" t="s">
        <v>33</v>
      </c>
      <c r="K550" t="s">
        <v>34</v>
      </c>
      <c r="L550" t="s">
        <v>35</v>
      </c>
      <c r="M550" t="s">
        <v>36</v>
      </c>
      <c r="Q550" t="s">
        <v>37</v>
      </c>
      <c r="R550" t="s">
        <v>130</v>
      </c>
      <c r="S550" t="s">
        <v>84</v>
      </c>
      <c r="T550" t="s">
        <v>73</v>
      </c>
      <c r="U550" t="s">
        <v>41</v>
      </c>
      <c r="V550" s="9" t="str">
        <f>HYPERLINK("https://app.ntsb.gov/pdfgenerator/ReportGeneratorFile.ashx?EventID=20160621X22330&amp;AKey=1&amp;Rtype=Final&amp;IType=CA","PDF Report")</f>
        <v>PDF Report</v>
      </c>
    </row>
    <row r="551" spans="1:22" x14ac:dyDescent="0.25">
      <c r="A551" t="s">
        <v>2269</v>
      </c>
      <c r="B551">
        <v>1</v>
      </c>
      <c r="C551" s="5">
        <v>42537</v>
      </c>
      <c r="D551" t="s">
        <v>2270</v>
      </c>
      <c r="E551" t="s">
        <v>2271</v>
      </c>
      <c r="F551" t="s">
        <v>2272</v>
      </c>
      <c r="G551" t="s">
        <v>597</v>
      </c>
      <c r="H551" t="s">
        <v>2273</v>
      </c>
      <c r="I551">
        <v>1</v>
      </c>
      <c r="K551" t="s">
        <v>90</v>
      </c>
      <c r="L551" t="s">
        <v>110</v>
      </c>
      <c r="M551" t="s">
        <v>599</v>
      </c>
      <c r="Q551" t="s">
        <v>37</v>
      </c>
      <c r="S551" t="s">
        <v>48</v>
      </c>
      <c r="T551" t="s">
        <v>40</v>
      </c>
      <c r="U551" t="s">
        <v>41</v>
      </c>
      <c r="V551" s="9" t="str">
        <f>HYPERLINK("https://app.ntsb.gov/pdfgenerator/ReportGeneratorFile.ashx?EventID=20160621X42855&amp;AKey=1&amp;Rtype=Final&amp;IType=WA","PDF Report")</f>
        <v>PDF Report</v>
      </c>
    </row>
    <row r="552" spans="1:22" x14ac:dyDescent="0.25">
      <c r="A552" t="s">
        <v>2274</v>
      </c>
      <c r="B552">
        <v>1</v>
      </c>
      <c r="C552" s="5">
        <v>42537</v>
      </c>
      <c r="D552" t="s">
        <v>2275</v>
      </c>
      <c r="E552" t="s">
        <v>2276</v>
      </c>
      <c r="F552" t="s">
        <v>2277</v>
      </c>
      <c r="G552" t="s">
        <v>115</v>
      </c>
      <c r="H552" t="s">
        <v>33</v>
      </c>
      <c r="K552" t="s">
        <v>34</v>
      </c>
      <c r="L552" t="s">
        <v>35</v>
      </c>
      <c r="M552" t="s">
        <v>36</v>
      </c>
      <c r="Q552" t="s">
        <v>37</v>
      </c>
      <c r="R552" t="s">
        <v>130</v>
      </c>
      <c r="S552" t="s">
        <v>131</v>
      </c>
      <c r="T552" t="s">
        <v>49</v>
      </c>
      <c r="U552" t="s">
        <v>41</v>
      </c>
      <c r="V552" s="9" t="str">
        <f>HYPERLINK("https://app.ntsb.gov/pdfgenerator/ReportGeneratorFile.ashx?EventID=20160926X01754&amp;AKey=1&amp;Rtype=Final&amp;IType=CA","PDF Report")</f>
        <v>PDF Report</v>
      </c>
    </row>
    <row r="553" spans="1:22" x14ac:dyDescent="0.25">
      <c r="A553" t="s">
        <v>2278</v>
      </c>
      <c r="B553">
        <v>1</v>
      </c>
      <c r="C553" s="5">
        <v>42538</v>
      </c>
      <c r="D553" t="s">
        <v>2279</v>
      </c>
      <c r="E553" t="s">
        <v>2280</v>
      </c>
      <c r="F553" t="s">
        <v>2281</v>
      </c>
      <c r="G553" t="s">
        <v>636</v>
      </c>
      <c r="H553" t="s">
        <v>33</v>
      </c>
      <c r="J553">
        <v>2</v>
      </c>
      <c r="K553" t="s">
        <v>55</v>
      </c>
      <c r="L553" t="s">
        <v>35</v>
      </c>
      <c r="M553" t="s">
        <v>36</v>
      </c>
      <c r="Q553" t="s">
        <v>185</v>
      </c>
      <c r="R553" t="s">
        <v>170</v>
      </c>
      <c r="S553" t="s">
        <v>39</v>
      </c>
      <c r="T553" t="s">
        <v>40</v>
      </c>
      <c r="U553" t="s">
        <v>41</v>
      </c>
      <c r="V553" s="9" t="str">
        <f>HYPERLINK("https://app.ntsb.gov/pdfgenerator/ReportGeneratorFile.ashx?EventID=20160618X24627&amp;AKey=1&amp;Rtype=Final&amp;IType=LA","PDF Report")</f>
        <v>PDF Report</v>
      </c>
    </row>
    <row r="554" spans="1:22" x14ac:dyDescent="0.25">
      <c r="A554" t="s">
        <v>2282</v>
      </c>
      <c r="B554">
        <v>1</v>
      </c>
      <c r="C554" s="5">
        <v>42538</v>
      </c>
      <c r="D554" t="s">
        <v>2283</v>
      </c>
      <c r="E554" t="s">
        <v>2284</v>
      </c>
      <c r="F554" t="s">
        <v>2285</v>
      </c>
      <c r="G554" t="s">
        <v>54</v>
      </c>
      <c r="H554" t="s">
        <v>33</v>
      </c>
      <c r="J554">
        <v>1</v>
      </c>
      <c r="K554" t="s">
        <v>55</v>
      </c>
      <c r="L554" t="s">
        <v>35</v>
      </c>
      <c r="M554" t="s">
        <v>36</v>
      </c>
      <c r="Q554" t="s">
        <v>37</v>
      </c>
      <c r="R554" t="s">
        <v>137</v>
      </c>
      <c r="S554" t="s">
        <v>60</v>
      </c>
      <c r="T554" t="s">
        <v>61</v>
      </c>
      <c r="U554" t="s">
        <v>41</v>
      </c>
      <c r="V554" s="9" t="str">
        <f>HYPERLINK("https://app.ntsb.gov/pdfgenerator/ReportGeneratorFile.ashx?EventID=20160620X34145&amp;AKey=1&amp;Rtype=Final&amp;IType=LA","PDF Report")</f>
        <v>PDF Report</v>
      </c>
    </row>
    <row r="555" spans="1:22" x14ac:dyDescent="0.25">
      <c r="A555" t="s">
        <v>2286</v>
      </c>
      <c r="B555">
        <v>1</v>
      </c>
      <c r="C555" s="5">
        <v>42538</v>
      </c>
      <c r="D555" t="s">
        <v>2287</v>
      </c>
      <c r="E555" t="s">
        <v>2288</v>
      </c>
      <c r="F555" t="s">
        <v>1063</v>
      </c>
      <c r="G555" t="s">
        <v>115</v>
      </c>
      <c r="H555" t="s">
        <v>33</v>
      </c>
      <c r="K555" t="s">
        <v>34</v>
      </c>
      <c r="L555" t="s">
        <v>35</v>
      </c>
      <c r="M555" t="s">
        <v>36</v>
      </c>
      <c r="Q555" t="s">
        <v>37</v>
      </c>
      <c r="R555" t="s">
        <v>38</v>
      </c>
      <c r="S555" t="s">
        <v>131</v>
      </c>
      <c r="T555" t="s">
        <v>73</v>
      </c>
      <c r="U555" t="s">
        <v>41</v>
      </c>
      <c r="V555" s="9" t="str">
        <f>HYPERLINK("https://app.ntsb.gov/pdfgenerator/ReportGeneratorFile.ashx?EventID=20160621X34119&amp;AKey=1&amp;Rtype=Final&amp;IType=LA","PDF Report")</f>
        <v>PDF Report</v>
      </c>
    </row>
    <row r="556" spans="1:22" x14ac:dyDescent="0.25">
      <c r="A556" t="s">
        <v>2289</v>
      </c>
      <c r="B556">
        <v>1</v>
      </c>
      <c r="C556" s="5">
        <v>42538</v>
      </c>
      <c r="D556" t="s">
        <v>2290</v>
      </c>
      <c r="E556" t="s">
        <v>2291</v>
      </c>
      <c r="F556" t="s">
        <v>1082</v>
      </c>
      <c r="G556" t="s">
        <v>54</v>
      </c>
      <c r="H556" t="s">
        <v>33</v>
      </c>
      <c r="K556" t="s">
        <v>34</v>
      </c>
      <c r="L556" t="s">
        <v>35</v>
      </c>
      <c r="M556" t="s">
        <v>36</v>
      </c>
      <c r="Q556" t="s">
        <v>37</v>
      </c>
      <c r="R556" t="s">
        <v>38</v>
      </c>
      <c r="S556" t="s">
        <v>84</v>
      </c>
      <c r="T556" t="s">
        <v>49</v>
      </c>
      <c r="U556" t="s">
        <v>41</v>
      </c>
      <c r="V556" s="9" t="str">
        <f>HYPERLINK("https://app.ntsb.gov/pdfgenerator/ReportGeneratorFile.ashx?EventID=20160622X85638&amp;AKey=1&amp;Rtype=Final&amp;IType=CA","PDF Report")</f>
        <v>PDF Report</v>
      </c>
    </row>
    <row r="557" spans="1:22" x14ac:dyDescent="0.25">
      <c r="A557" t="s">
        <v>2292</v>
      </c>
      <c r="B557">
        <v>1</v>
      </c>
      <c r="C557" s="5">
        <v>42538</v>
      </c>
      <c r="D557" t="s">
        <v>2293</v>
      </c>
      <c r="E557" t="s">
        <v>2294</v>
      </c>
      <c r="F557" t="s">
        <v>2295</v>
      </c>
      <c r="G557" t="s">
        <v>395</v>
      </c>
      <c r="H557" t="s">
        <v>33</v>
      </c>
      <c r="K557" t="s">
        <v>47</v>
      </c>
      <c r="L557" t="s">
        <v>35</v>
      </c>
      <c r="M557" t="s">
        <v>36</v>
      </c>
      <c r="Q557" t="s">
        <v>37</v>
      </c>
      <c r="R557" t="s">
        <v>38</v>
      </c>
      <c r="S557" t="s">
        <v>72</v>
      </c>
      <c r="T557" t="s">
        <v>73</v>
      </c>
      <c r="U557" t="s">
        <v>41</v>
      </c>
      <c r="V557" s="9" t="str">
        <f>HYPERLINK("https://app.ntsb.gov/pdfgenerator/ReportGeneratorFile.ashx?EventID=20160622X93331&amp;AKey=1&amp;Rtype=Final&amp;IType=CA","PDF Report")</f>
        <v>PDF Report</v>
      </c>
    </row>
    <row r="558" spans="1:22" x14ac:dyDescent="0.25">
      <c r="A558" t="s">
        <v>2296</v>
      </c>
      <c r="B558">
        <v>1</v>
      </c>
      <c r="C558" s="5">
        <v>42538</v>
      </c>
      <c r="D558" t="s">
        <v>2297</v>
      </c>
      <c r="E558" t="s">
        <v>2298</v>
      </c>
      <c r="F558" t="s">
        <v>2299</v>
      </c>
      <c r="G558" t="s">
        <v>264</v>
      </c>
      <c r="H558" t="s">
        <v>33</v>
      </c>
      <c r="K558" t="s">
        <v>34</v>
      </c>
      <c r="L558" t="s">
        <v>35</v>
      </c>
      <c r="M558" t="s">
        <v>36</v>
      </c>
      <c r="Q558" t="s">
        <v>37</v>
      </c>
      <c r="R558" t="s">
        <v>38</v>
      </c>
      <c r="S558" t="s">
        <v>196</v>
      </c>
      <c r="T558" t="s">
        <v>79</v>
      </c>
      <c r="U558" t="s">
        <v>41</v>
      </c>
      <c r="V558" s="9" t="str">
        <f>HYPERLINK("https://app.ntsb.gov/pdfgenerator/ReportGeneratorFile.ashx?EventID=20160623X00413&amp;AKey=1&amp;Rtype=Final&amp;IType=LA","PDF Report")</f>
        <v>PDF Report</v>
      </c>
    </row>
    <row r="559" spans="1:22" x14ac:dyDescent="0.25">
      <c r="A559" t="s">
        <v>2300</v>
      </c>
      <c r="B559">
        <v>1</v>
      </c>
      <c r="C559" s="5">
        <v>42538</v>
      </c>
      <c r="D559" t="s">
        <v>2301</v>
      </c>
      <c r="E559" t="s">
        <v>2302</v>
      </c>
      <c r="F559" t="s">
        <v>2303</v>
      </c>
      <c r="G559" t="s">
        <v>538</v>
      </c>
      <c r="H559" t="s">
        <v>33</v>
      </c>
      <c r="K559" t="s">
        <v>34</v>
      </c>
      <c r="L559" t="s">
        <v>35</v>
      </c>
      <c r="M559" t="s">
        <v>473</v>
      </c>
      <c r="Q559" t="s">
        <v>185</v>
      </c>
      <c r="R559" t="s">
        <v>1219</v>
      </c>
      <c r="S559" t="s">
        <v>196</v>
      </c>
      <c r="T559" t="s">
        <v>61</v>
      </c>
      <c r="U559" t="s">
        <v>41</v>
      </c>
      <c r="V559" s="9" t="str">
        <f>HYPERLINK("https://app.ntsb.gov/pdfgenerator/ReportGeneratorFile.ashx?EventID=20160623X22855&amp;AKey=1&amp;Rtype=Final&amp;IType=LA","PDF Report")</f>
        <v>PDF Report</v>
      </c>
    </row>
    <row r="560" spans="1:22" x14ac:dyDescent="0.25">
      <c r="A560" t="s">
        <v>2304</v>
      </c>
      <c r="B560">
        <v>1</v>
      </c>
      <c r="C560" s="5">
        <v>42538</v>
      </c>
      <c r="D560" t="s">
        <v>2305</v>
      </c>
      <c r="E560" t="s">
        <v>2306</v>
      </c>
      <c r="F560" t="s">
        <v>2307</v>
      </c>
      <c r="G560" t="s">
        <v>148</v>
      </c>
      <c r="H560" t="s">
        <v>33</v>
      </c>
      <c r="K560" t="s">
        <v>34</v>
      </c>
      <c r="L560" t="s">
        <v>35</v>
      </c>
      <c r="M560" t="s">
        <v>767</v>
      </c>
      <c r="Q560" t="s">
        <v>37</v>
      </c>
      <c r="R560" t="s">
        <v>768</v>
      </c>
      <c r="S560" t="s">
        <v>455</v>
      </c>
      <c r="T560" t="s">
        <v>73</v>
      </c>
      <c r="U560" t="s">
        <v>41</v>
      </c>
      <c r="V560" s="9" t="str">
        <f>HYPERLINK("https://app.ntsb.gov/pdfgenerator/ReportGeneratorFile.ashx?EventID=20160623X65115&amp;AKey=1&amp;Rtype=Final&amp;IType=CA","PDF Report")</f>
        <v>PDF Report</v>
      </c>
    </row>
    <row r="561" spans="1:22" x14ac:dyDescent="0.25">
      <c r="A561" t="s">
        <v>2308</v>
      </c>
      <c r="B561">
        <v>1</v>
      </c>
      <c r="C561" s="5">
        <v>42538</v>
      </c>
      <c r="D561" t="s">
        <v>2309</v>
      </c>
      <c r="E561" t="s">
        <v>2310</v>
      </c>
      <c r="F561" t="s">
        <v>2311</v>
      </c>
      <c r="G561" t="s">
        <v>206</v>
      </c>
      <c r="H561" t="s">
        <v>33</v>
      </c>
      <c r="K561" t="s">
        <v>34</v>
      </c>
      <c r="L561" t="s">
        <v>35</v>
      </c>
      <c r="M561" t="s">
        <v>36</v>
      </c>
      <c r="Q561" t="s">
        <v>37</v>
      </c>
      <c r="R561" t="s">
        <v>38</v>
      </c>
      <c r="S561" t="s">
        <v>84</v>
      </c>
      <c r="T561" t="s">
        <v>73</v>
      </c>
      <c r="U561" t="s">
        <v>41</v>
      </c>
      <c r="V561" s="9" t="str">
        <f>HYPERLINK("https://app.ntsb.gov/pdfgenerator/ReportGeneratorFile.ashx?EventID=20160623X74849&amp;AKey=1&amp;Rtype=Final&amp;IType=CA","PDF Report")</f>
        <v>PDF Report</v>
      </c>
    </row>
    <row r="562" spans="1:22" x14ac:dyDescent="0.25">
      <c r="A562" t="s">
        <v>2312</v>
      </c>
      <c r="B562">
        <v>1</v>
      </c>
      <c r="C562" s="5">
        <v>42538</v>
      </c>
      <c r="D562" t="s">
        <v>2313</v>
      </c>
      <c r="E562" t="s">
        <v>2314</v>
      </c>
      <c r="F562" t="s">
        <v>2315</v>
      </c>
      <c r="G562" t="s">
        <v>96</v>
      </c>
      <c r="H562" t="s">
        <v>33</v>
      </c>
      <c r="K562" t="s">
        <v>34</v>
      </c>
      <c r="L562" t="s">
        <v>35</v>
      </c>
      <c r="M562" t="s">
        <v>473</v>
      </c>
      <c r="Q562" t="s">
        <v>185</v>
      </c>
      <c r="R562" t="s">
        <v>2230</v>
      </c>
      <c r="S562" t="s">
        <v>84</v>
      </c>
      <c r="T562" t="s">
        <v>49</v>
      </c>
      <c r="U562" t="s">
        <v>41</v>
      </c>
      <c r="V562" s="9" t="str">
        <f>HYPERLINK("https://app.ntsb.gov/pdfgenerator/ReportGeneratorFile.ashx?EventID=20160623X83406&amp;AKey=1&amp;Rtype=Final&amp;IType=CA","PDF Report")</f>
        <v>PDF Report</v>
      </c>
    </row>
    <row r="563" spans="1:22" x14ac:dyDescent="0.25">
      <c r="A563" t="s">
        <v>2316</v>
      </c>
      <c r="B563">
        <v>1</v>
      </c>
      <c r="C563" s="5">
        <v>42538</v>
      </c>
      <c r="D563" t="s">
        <v>2317</v>
      </c>
      <c r="E563" t="s">
        <v>2318</v>
      </c>
      <c r="F563" t="s">
        <v>2319</v>
      </c>
      <c r="G563" t="s">
        <v>264</v>
      </c>
      <c r="H563" t="s">
        <v>33</v>
      </c>
      <c r="K563" t="s">
        <v>34</v>
      </c>
      <c r="L563" t="s">
        <v>35</v>
      </c>
      <c r="M563" t="s">
        <v>36</v>
      </c>
      <c r="Q563" t="s">
        <v>37</v>
      </c>
      <c r="R563" t="s">
        <v>130</v>
      </c>
      <c r="S563" t="s">
        <v>48</v>
      </c>
      <c r="T563" t="s">
        <v>73</v>
      </c>
      <c r="U563" t="s">
        <v>41</v>
      </c>
      <c r="V563" s="9" t="str">
        <f>HYPERLINK("https://app.ntsb.gov/pdfgenerator/ReportGeneratorFile.ashx?EventID=20160627X93353&amp;AKey=1&amp;Rtype=Final&amp;IType=CA","PDF Report")</f>
        <v>PDF Report</v>
      </c>
    </row>
    <row r="564" spans="1:22" x14ac:dyDescent="0.25">
      <c r="A564" t="s">
        <v>2320</v>
      </c>
      <c r="B564">
        <v>1</v>
      </c>
      <c r="C564" s="5">
        <v>42538</v>
      </c>
      <c r="D564" t="s">
        <v>2321</v>
      </c>
      <c r="E564" t="s">
        <v>2322</v>
      </c>
      <c r="F564" t="s">
        <v>2323</v>
      </c>
      <c r="G564" t="s">
        <v>322</v>
      </c>
      <c r="H564" t="s">
        <v>33</v>
      </c>
      <c r="K564" t="s">
        <v>34</v>
      </c>
      <c r="L564" t="s">
        <v>35</v>
      </c>
      <c r="M564" t="s">
        <v>36</v>
      </c>
      <c r="Q564" t="s">
        <v>874</v>
      </c>
      <c r="R564" t="s">
        <v>38</v>
      </c>
      <c r="S564" t="s">
        <v>455</v>
      </c>
      <c r="T564" t="s">
        <v>73</v>
      </c>
      <c r="U564" t="s">
        <v>41</v>
      </c>
      <c r="V564" s="9" t="str">
        <f>HYPERLINK("https://app.ntsb.gov/pdfgenerator/ReportGeneratorFile.ashx?EventID=20160628X85237&amp;AKey=1&amp;Rtype=Final&amp;IType=CA","PDF Report")</f>
        <v>PDF Report</v>
      </c>
    </row>
    <row r="565" spans="1:22" x14ac:dyDescent="0.25">
      <c r="A565" t="s">
        <v>2324</v>
      </c>
      <c r="B565">
        <v>1</v>
      </c>
      <c r="C565" s="5">
        <v>42539</v>
      </c>
      <c r="D565" t="s">
        <v>2325</v>
      </c>
      <c r="E565" t="s">
        <v>2326</v>
      </c>
      <c r="F565" t="s">
        <v>2135</v>
      </c>
      <c r="G565" t="s">
        <v>395</v>
      </c>
      <c r="H565" t="s">
        <v>33</v>
      </c>
      <c r="J565">
        <v>1</v>
      </c>
      <c r="K565" t="s">
        <v>55</v>
      </c>
      <c r="L565" t="s">
        <v>35</v>
      </c>
      <c r="M565" t="s">
        <v>36</v>
      </c>
      <c r="Q565" t="s">
        <v>37</v>
      </c>
      <c r="R565" t="s">
        <v>38</v>
      </c>
      <c r="S565" t="s">
        <v>39</v>
      </c>
      <c r="T565" t="s">
        <v>49</v>
      </c>
      <c r="U565" t="s">
        <v>41</v>
      </c>
      <c r="V565" s="9" t="str">
        <f>HYPERLINK("https://app.ntsb.gov/pdfgenerator/ReportGeneratorFile.ashx?EventID=20160620X52838&amp;AKey=1&amp;Rtype=Final&amp;IType=CA","PDF Report")</f>
        <v>PDF Report</v>
      </c>
    </row>
    <row r="566" spans="1:22" x14ac:dyDescent="0.25">
      <c r="A566" t="s">
        <v>2327</v>
      </c>
      <c r="B566">
        <v>1</v>
      </c>
      <c r="C566" s="5">
        <v>42539</v>
      </c>
      <c r="D566" t="s">
        <v>2328</v>
      </c>
      <c r="E566" t="s">
        <v>2329</v>
      </c>
      <c r="F566" t="s">
        <v>2330</v>
      </c>
      <c r="G566" t="s">
        <v>428</v>
      </c>
      <c r="H566" t="s">
        <v>33</v>
      </c>
      <c r="K566" t="s">
        <v>47</v>
      </c>
      <c r="L566" t="s">
        <v>35</v>
      </c>
      <c r="M566" t="s">
        <v>36</v>
      </c>
      <c r="Q566" t="s">
        <v>37</v>
      </c>
      <c r="R566" t="s">
        <v>38</v>
      </c>
      <c r="S566" t="s">
        <v>39</v>
      </c>
      <c r="T566" t="s">
        <v>61</v>
      </c>
      <c r="U566" t="s">
        <v>41</v>
      </c>
      <c r="V566" s="9" t="str">
        <f>HYPERLINK("https://app.ntsb.gov/pdfgenerator/ReportGeneratorFile.ashx?EventID=20160620X73114&amp;AKey=1&amp;Rtype=Final&amp;IType=LA","PDF Report")</f>
        <v>PDF Report</v>
      </c>
    </row>
    <row r="567" spans="1:22" x14ac:dyDescent="0.25">
      <c r="A567" t="s">
        <v>2331</v>
      </c>
      <c r="B567">
        <v>1</v>
      </c>
      <c r="C567" s="5">
        <v>42539</v>
      </c>
      <c r="D567" t="s">
        <v>2332</v>
      </c>
      <c r="E567" t="s">
        <v>2333</v>
      </c>
      <c r="F567" t="s">
        <v>2334</v>
      </c>
      <c r="G567" t="s">
        <v>206</v>
      </c>
      <c r="H567" t="s">
        <v>33</v>
      </c>
      <c r="K567" t="s">
        <v>47</v>
      </c>
      <c r="L567" t="s">
        <v>35</v>
      </c>
      <c r="M567" t="s">
        <v>36</v>
      </c>
      <c r="Q567" t="s">
        <v>37</v>
      </c>
      <c r="R567" t="s">
        <v>130</v>
      </c>
      <c r="S567" t="s">
        <v>39</v>
      </c>
      <c r="T567" t="s">
        <v>61</v>
      </c>
      <c r="U567" t="s">
        <v>41</v>
      </c>
      <c r="V567" s="9" t="str">
        <f>HYPERLINK("https://app.ntsb.gov/pdfgenerator/ReportGeneratorFile.ashx?EventID=20160620X94648&amp;AKey=1&amp;Rtype=Final&amp;IType=LA","PDF Report")</f>
        <v>PDF Report</v>
      </c>
    </row>
    <row r="568" spans="1:22" x14ac:dyDescent="0.25">
      <c r="A568" t="s">
        <v>2335</v>
      </c>
      <c r="B568">
        <v>1</v>
      </c>
      <c r="C568" s="5">
        <v>42539</v>
      </c>
      <c r="D568" t="s">
        <v>2336</v>
      </c>
      <c r="E568" t="s">
        <v>2337</v>
      </c>
      <c r="F568" t="s">
        <v>286</v>
      </c>
      <c r="G568" t="s">
        <v>287</v>
      </c>
      <c r="H568" t="s">
        <v>33</v>
      </c>
      <c r="K568" t="s">
        <v>47</v>
      </c>
      <c r="L568" t="s">
        <v>35</v>
      </c>
      <c r="M568" t="s">
        <v>36</v>
      </c>
      <c r="Q568" t="s">
        <v>37</v>
      </c>
      <c r="R568" t="s">
        <v>38</v>
      </c>
      <c r="S568" t="s">
        <v>97</v>
      </c>
      <c r="T568" t="s">
        <v>61</v>
      </c>
      <c r="U568" t="s">
        <v>41</v>
      </c>
      <c r="V568" s="9" t="str">
        <f>HYPERLINK("https://app.ntsb.gov/pdfgenerator/ReportGeneratorFile.ashx?EventID=20160621X92619&amp;AKey=1&amp;Rtype=Final&amp;IType=LA","PDF Report")</f>
        <v>PDF Report</v>
      </c>
    </row>
    <row r="569" spans="1:22" x14ac:dyDescent="0.25">
      <c r="A569" t="s">
        <v>2338</v>
      </c>
      <c r="B569">
        <v>1</v>
      </c>
      <c r="C569" s="5">
        <v>42539</v>
      </c>
      <c r="D569" t="s">
        <v>2339</v>
      </c>
      <c r="E569" t="s">
        <v>2340</v>
      </c>
      <c r="F569" t="s">
        <v>2341</v>
      </c>
      <c r="G569" t="s">
        <v>142</v>
      </c>
      <c r="H569" t="s">
        <v>33</v>
      </c>
      <c r="K569" t="s">
        <v>34</v>
      </c>
      <c r="L569" t="s">
        <v>35</v>
      </c>
      <c r="M569" t="s">
        <v>36</v>
      </c>
      <c r="Q569" t="s">
        <v>37</v>
      </c>
      <c r="R569" t="s">
        <v>38</v>
      </c>
      <c r="S569" t="s">
        <v>48</v>
      </c>
      <c r="T569" t="s">
        <v>61</v>
      </c>
      <c r="U569" t="s">
        <v>41</v>
      </c>
      <c r="V569" s="9" t="str">
        <f>HYPERLINK("https://app.ntsb.gov/pdfgenerator/ReportGeneratorFile.ashx?EventID=20160708X95825&amp;AKey=1&amp;Rtype=Final&amp;IType=CA","PDF Report")</f>
        <v>PDF Report</v>
      </c>
    </row>
    <row r="570" spans="1:22" x14ac:dyDescent="0.25">
      <c r="A570" t="s">
        <v>2342</v>
      </c>
      <c r="B570">
        <v>1</v>
      </c>
      <c r="C570" s="5">
        <v>42540</v>
      </c>
      <c r="D570" t="s">
        <v>2343</v>
      </c>
      <c r="E570" t="s">
        <v>2344</v>
      </c>
      <c r="F570" t="s">
        <v>1380</v>
      </c>
      <c r="G570" t="s">
        <v>66</v>
      </c>
      <c r="H570" t="s">
        <v>33</v>
      </c>
      <c r="I570">
        <v>1</v>
      </c>
      <c r="K570" t="s">
        <v>90</v>
      </c>
      <c r="L570" t="s">
        <v>110</v>
      </c>
      <c r="M570" t="s">
        <v>36</v>
      </c>
      <c r="Q570" t="s">
        <v>37</v>
      </c>
      <c r="R570" t="s">
        <v>38</v>
      </c>
      <c r="S570" t="s">
        <v>48</v>
      </c>
      <c r="T570" t="s">
        <v>61</v>
      </c>
      <c r="U570" t="s">
        <v>41</v>
      </c>
      <c r="V570" s="9" t="str">
        <f>HYPERLINK("https://app.ntsb.gov/pdfgenerator/ReportGeneratorFile.ashx?EventID=20160619X60142&amp;AKey=1&amp;Rtype=Final&amp;IType=FA","PDF Report")</f>
        <v>PDF Report</v>
      </c>
    </row>
    <row r="571" spans="1:22" x14ac:dyDescent="0.25">
      <c r="A571" t="s">
        <v>2345</v>
      </c>
      <c r="B571">
        <v>1</v>
      </c>
      <c r="C571" s="5">
        <v>42540</v>
      </c>
      <c r="D571" t="s">
        <v>2346</v>
      </c>
      <c r="E571" t="s">
        <v>2347</v>
      </c>
      <c r="F571" t="s">
        <v>1353</v>
      </c>
      <c r="G571" t="s">
        <v>96</v>
      </c>
      <c r="H571" t="s">
        <v>33</v>
      </c>
      <c r="J571">
        <v>1</v>
      </c>
      <c r="K571" t="s">
        <v>55</v>
      </c>
      <c r="L571" t="s">
        <v>35</v>
      </c>
      <c r="M571" t="s">
        <v>36</v>
      </c>
      <c r="Q571" t="s">
        <v>37</v>
      </c>
      <c r="R571" t="s">
        <v>38</v>
      </c>
      <c r="S571" t="s">
        <v>97</v>
      </c>
      <c r="T571" t="s">
        <v>79</v>
      </c>
      <c r="U571" t="s">
        <v>41</v>
      </c>
      <c r="V571" s="9" t="str">
        <f>HYPERLINK("https://app.ntsb.gov/pdfgenerator/ReportGeneratorFile.ashx?EventID=20160620X22219&amp;AKey=1&amp;Rtype=Final&amp;IType=LA","PDF Report")</f>
        <v>PDF Report</v>
      </c>
    </row>
    <row r="572" spans="1:22" x14ac:dyDescent="0.25">
      <c r="A572" t="s">
        <v>2348</v>
      </c>
      <c r="B572">
        <v>1</v>
      </c>
      <c r="C572" s="5">
        <v>42540</v>
      </c>
      <c r="D572" t="s">
        <v>2349</v>
      </c>
      <c r="E572" t="s">
        <v>2350</v>
      </c>
      <c r="F572" t="s">
        <v>2351</v>
      </c>
      <c r="G572" t="s">
        <v>348</v>
      </c>
      <c r="H572" t="s">
        <v>33</v>
      </c>
      <c r="J572">
        <v>2</v>
      </c>
      <c r="K572" t="s">
        <v>55</v>
      </c>
      <c r="L572" t="s">
        <v>35</v>
      </c>
      <c r="M572" t="s">
        <v>36</v>
      </c>
      <c r="Q572" t="s">
        <v>37</v>
      </c>
      <c r="R572" t="s">
        <v>38</v>
      </c>
      <c r="S572" t="s">
        <v>201</v>
      </c>
      <c r="T572" t="s">
        <v>40</v>
      </c>
      <c r="U572" t="s">
        <v>41</v>
      </c>
      <c r="V572" s="9" t="str">
        <f>HYPERLINK("https://app.ntsb.gov/pdfgenerator/ReportGeneratorFile.ashx?EventID=20160620X85520&amp;AKey=1&amp;Rtype=Final&amp;IType=LA","PDF Report")</f>
        <v>PDF Report</v>
      </c>
    </row>
    <row r="573" spans="1:22" x14ac:dyDescent="0.25">
      <c r="A573" t="s">
        <v>2352</v>
      </c>
      <c r="B573">
        <v>1</v>
      </c>
      <c r="C573" s="5">
        <v>42540</v>
      </c>
      <c r="D573" t="s">
        <v>2353</v>
      </c>
      <c r="E573" t="s">
        <v>2354</v>
      </c>
      <c r="F573" t="s">
        <v>2355</v>
      </c>
      <c r="G573" t="s">
        <v>428</v>
      </c>
      <c r="H573" t="s">
        <v>33</v>
      </c>
      <c r="K573" t="s">
        <v>34</v>
      </c>
      <c r="L573" t="s">
        <v>35</v>
      </c>
      <c r="M573" t="s">
        <v>36</v>
      </c>
      <c r="Q573" t="s">
        <v>37</v>
      </c>
      <c r="R573" t="s">
        <v>38</v>
      </c>
      <c r="S573" t="s">
        <v>455</v>
      </c>
      <c r="T573" t="s">
        <v>73</v>
      </c>
      <c r="U573" t="s">
        <v>41</v>
      </c>
      <c r="V573" s="9" t="str">
        <f>HYPERLINK("https://app.ntsb.gov/pdfgenerator/ReportGeneratorFile.ashx?EventID=20160620X91456&amp;AKey=1&amp;Rtype=Final&amp;IType=CA","PDF Report")</f>
        <v>PDF Report</v>
      </c>
    </row>
    <row r="574" spans="1:22" x14ac:dyDescent="0.25">
      <c r="A574" t="s">
        <v>2356</v>
      </c>
      <c r="B574">
        <v>1</v>
      </c>
      <c r="C574" s="5">
        <v>42540</v>
      </c>
      <c r="D574" t="s">
        <v>2357</v>
      </c>
      <c r="E574" t="s">
        <v>2358</v>
      </c>
      <c r="F574" t="s">
        <v>2359</v>
      </c>
      <c r="G574" t="s">
        <v>597</v>
      </c>
      <c r="H574" t="s">
        <v>2360</v>
      </c>
      <c r="I574">
        <v>2</v>
      </c>
      <c r="K574" t="s">
        <v>90</v>
      </c>
      <c r="L574" t="s">
        <v>110</v>
      </c>
      <c r="M574" t="s">
        <v>599</v>
      </c>
      <c r="Q574" t="s">
        <v>37</v>
      </c>
      <c r="R574" t="s">
        <v>2361</v>
      </c>
      <c r="S574" t="s">
        <v>243</v>
      </c>
      <c r="T574" t="s">
        <v>73</v>
      </c>
      <c r="U574" t="s">
        <v>41</v>
      </c>
      <c r="V574" s="9" t="str">
        <f>HYPERLINK("https://app.ntsb.gov/pdfgenerator/ReportGeneratorFile.ashx?EventID=20160620X94756&amp;AKey=1&amp;Rtype=Final&amp;IType=WA","PDF Report")</f>
        <v>PDF Report</v>
      </c>
    </row>
    <row r="575" spans="1:22" x14ac:dyDescent="0.25">
      <c r="A575" t="s">
        <v>2362</v>
      </c>
      <c r="B575">
        <v>1</v>
      </c>
      <c r="C575" s="5">
        <v>42540</v>
      </c>
      <c r="D575" t="s">
        <v>2363</v>
      </c>
      <c r="E575" t="s">
        <v>1130</v>
      </c>
      <c r="F575" t="s">
        <v>2364</v>
      </c>
      <c r="G575" t="s">
        <v>96</v>
      </c>
      <c r="H575" t="s">
        <v>33</v>
      </c>
      <c r="K575" t="s">
        <v>34</v>
      </c>
      <c r="L575" t="s">
        <v>35</v>
      </c>
      <c r="M575" t="s">
        <v>36</v>
      </c>
      <c r="Q575" t="s">
        <v>37</v>
      </c>
      <c r="R575" t="s">
        <v>38</v>
      </c>
      <c r="S575" t="s">
        <v>39</v>
      </c>
      <c r="T575" t="s">
        <v>61</v>
      </c>
      <c r="U575" t="s">
        <v>41</v>
      </c>
      <c r="V575" s="9" t="str">
        <f>HYPERLINK("https://app.ntsb.gov/pdfgenerator/ReportGeneratorFile.ashx?EventID=20160621X64300&amp;AKey=1&amp;Rtype=Final&amp;IType=LA","PDF Report")</f>
        <v>PDF Report</v>
      </c>
    </row>
    <row r="576" spans="1:22" x14ac:dyDescent="0.25">
      <c r="A576" t="s">
        <v>2365</v>
      </c>
      <c r="B576">
        <v>1</v>
      </c>
      <c r="C576" s="5">
        <v>42540</v>
      </c>
      <c r="D576" t="s">
        <v>2366</v>
      </c>
      <c r="E576" t="s">
        <v>2367</v>
      </c>
      <c r="F576" t="s">
        <v>2368</v>
      </c>
      <c r="G576" t="s">
        <v>54</v>
      </c>
      <c r="H576" t="s">
        <v>33</v>
      </c>
      <c r="K576" t="s">
        <v>34</v>
      </c>
      <c r="L576" t="s">
        <v>35</v>
      </c>
      <c r="M576" t="s">
        <v>36</v>
      </c>
      <c r="Q576" t="s">
        <v>37</v>
      </c>
      <c r="R576" t="s">
        <v>130</v>
      </c>
      <c r="S576" t="s">
        <v>171</v>
      </c>
      <c r="T576" t="s">
        <v>61</v>
      </c>
      <c r="U576" t="s">
        <v>41</v>
      </c>
      <c r="V576" s="9" t="str">
        <f>HYPERLINK("https://app.ntsb.gov/pdfgenerator/ReportGeneratorFile.ashx?EventID=20160622X43524&amp;AKey=1&amp;Rtype=Final&amp;IType=LA","PDF Report")</f>
        <v>PDF Report</v>
      </c>
    </row>
    <row r="577" spans="1:22" x14ac:dyDescent="0.25">
      <c r="A577" t="s">
        <v>2369</v>
      </c>
      <c r="B577">
        <v>1</v>
      </c>
      <c r="C577" s="5">
        <v>42541</v>
      </c>
      <c r="D577" t="s">
        <v>2370</v>
      </c>
      <c r="E577" t="s">
        <v>2371</v>
      </c>
      <c r="F577" t="s">
        <v>2372</v>
      </c>
      <c r="G577" t="s">
        <v>468</v>
      </c>
      <c r="H577" t="s">
        <v>33</v>
      </c>
      <c r="K577" t="s">
        <v>34</v>
      </c>
      <c r="L577" t="s">
        <v>35</v>
      </c>
      <c r="M577" t="s">
        <v>36</v>
      </c>
      <c r="Q577" t="s">
        <v>37</v>
      </c>
      <c r="R577" t="s">
        <v>38</v>
      </c>
      <c r="S577" t="s">
        <v>48</v>
      </c>
      <c r="T577" t="s">
        <v>49</v>
      </c>
      <c r="U577" t="s">
        <v>41</v>
      </c>
      <c r="V577" s="9" t="str">
        <f>HYPERLINK("https://app.ntsb.gov/pdfgenerator/ReportGeneratorFile.ashx?EventID=20160621X31918&amp;AKey=1&amp;Rtype=Final&amp;IType=LA","PDF Report")</f>
        <v>PDF Report</v>
      </c>
    </row>
    <row r="578" spans="1:22" x14ac:dyDescent="0.25">
      <c r="A578" t="s">
        <v>2373</v>
      </c>
      <c r="B578">
        <v>1</v>
      </c>
      <c r="C578" s="5">
        <v>42541</v>
      </c>
      <c r="D578" t="s">
        <v>2374</v>
      </c>
      <c r="E578" t="s">
        <v>2375</v>
      </c>
      <c r="F578" t="s">
        <v>2376</v>
      </c>
      <c r="G578" t="s">
        <v>142</v>
      </c>
      <c r="H578" t="s">
        <v>33</v>
      </c>
      <c r="J578">
        <v>1</v>
      </c>
      <c r="K578" t="s">
        <v>55</v>
      </c>
      <c r="L578" t="s">
        <v>35</v>
      </c>
      <c r="M578" t="s">
        <v>36</v>
      </c>
      <c r="Q578" t="s">
        <v>37</v>
      </c>
      <c r="R578" t="s">
        <v>38</v>
      </c>
      <c r="S578" t="s">
        <v>396</v>
      </c>
      <c r="T578" t="s">
        <v>73</v>
      </c>
      <c r="U578" t="s">
        <v>41</v>
      </c>
      <c r="V578" s="9" t="str">
        <f>HYPERLINK("https://app.ntsb.gov/pdfgenerator/ReportGeneratorFile.ashx?EventID=20160622X00611&amp;AKey=1&amp;Rtype=Final&amp;IType=LA","PDF Report")</f>
        <v>PDF Report</v>
      </c>
    </row>
    <row r="579" spans="1:22" x14ac:dyDescent="0.25">
      <c r="A579" t="s">
        <v>2377</v>
      </c>
      <c r="B579">
        <v>1</v>
      </c>
      <c r="C579" s="5">
        <v>42541</v>
      </c>
      <c r="D579" t="s">
        <v>2378</v>
      </c>
      <c r="E579" t="s">
        <v>2379</v>
      </c>
      <c r="F579" t="s">
        <v>2380</v>
      </c>
      <c r="G579" t="s">
        <v>242</v>
      </c>
      <c r="H579" t="s">
        <v>33</v>
      </c>
      <c r="K579" t="s">
        <v>34</v>
      </c>
      <c r="L579" t="s">
        <v>35</v>
      </c>
      <c r="M579" t="s">
        <v>36</v>
      </c>
      <c r="Q579" t="s">
        <v>37</v>
      </c>
      <c r="R579" t="s">
        <v>130</v>
      </c>
      <c r="S579" t="s">
        <v>131</v>
      </c>
      <c r="T579" t="s">
        <v>73</v>
      </c>
      <c r="U579" t="s">
        <v>41</v>
      </c>
      <c r="V579" s="9" t="str">
        <f>HYPERLINK("https://app.ntsb.gov/pdfgenerator/ReportGeneratorFile.ashx?EventID=20160628X81445&amp;AKey=1&amp;Rtype=Final&amp;IType=CA","PDF Report")</f>
        <v>PDF Report</v>
      </c>
    </row>
    <row r="580" spans="1:22" x14ac:dyDescent="0.25">
      <c r="A580" t="s">
        <v>2381</v>
      </c>
      <c r="B580">
        <v>1</v>
      </c>
      <c r="C580" s="5">
        <v>42541</v>
      </c>
      <c r="D580" t="s">
        <v>2382</v>
      </c>
      <c r="E580" t="s">
        <v>2383</v>
      </c>
      <c r="F580" t="s">
        <v>2384</v>
      </c>
      <c r="G580" t="s">
        <v>322</v>
      </c>
      <c r="H580" t="s">
        <v>33</v>
      </c>
      <c r="K580" t="s">
        <v>34</v>
      </c>
      <c r="L580" t="s">
        <v>35</v>
      </c>
      <c r="M580" t="s">
        <v>36</v>
      </c>
      <c r="Q580" t="s">
        <v>37</v>
      </c>
      <c r="R580" t="s">
        <v>130</v>
      </c>
      <c r="S580" t="s">
        <v>84</v>
      </c>
      <c r="T580" t="s">
        <v>73</v>
      </c>
      <c r="U580" t="s">
        <v>41</v>
      </c>
      <c r="V580" s="9" t="str">
        <f>HYPERLINK("https://app.ntsb.gov/pdfgenerator/ReportGeneratorFile.ashx?EventID=20161115X51413&amp;AKey=1&amp;Rtype=Final&amp;IType=CA","PDF Report")</f>
        <v>PDF Report</v>
      </c>
    </row>
    <row r="581" spans="1:22" x14ac:dyDescent="0.25">
      <c r="A581" t="s">
        <v>2385</v>
      </c>
      <c r="B581">
        <v>1</v>
      </c>
      <c r="C581" s="5">
        <v>42542</v>
      </c>
      <c r="D581" t="s">
        <v>2386</v>
      </c>
      <c r="E581" t="s">
        <v>2387</v>
      </c>
      <c r="F581" t="s">
        <v>2388</v>
      </c>
      <c r="G581" t="s">
        <v>538</v>
      </c>
      <c r="H581" t="s">
        <v>33</v>
      </c>
      <c r="K581" t="s">
        <v>34</v>
      </c>
      <c r="L581" t="s">
        <v>35</v>
      </c>
      <c r="M581" t="s">
        <v>36</v>
      </c>
      <c r="Q581" t="s">
        <v>37</v>
      </c>
      <c r="R581" t="s">
        <v>38</v>
      </c>
      <c r="S581" t="s">
        <v>84</v>
      </c>
      <c r="T581" t="s">
        <v>73</v>
      </c>
      <c r="U581" t="s">
        <v>41</v>
      </c>
      <c r="V581" s="9" t="str">
        <f>HYPERLINK("https://app.ntsb.gov/pdfgenerator/ReportGeneratorFile.ashx?EventID=20160623X01153&amp;AKey=1&amp;Rtype=Final&amp;IType=LA","PDF Report")</f>
        <v>PDF Report</v>
      </c>
    </row>
    <row r="582" spans="1:22" x14ac:dyDescent="0.25">
      <c r="A582" t="s">
        <v>2389</v>
      </c>
      <c r="B582">
        <v>1</v>
      </c>
      <c r="C582" s="5">
        <v>42542</v>
      </c>
      <c r="D582" t="s">
        <v>2390</v>
      </c>
      <c r="E582" t="s">
        <v>2391</v>
      </c>
      <c r="F582" t="s">
        <v>2392</v>
      </c>
      <c r="G582" t="s">
        <v>66</v>
      </c>
      <c r="H582" t="s">
        <v>33</v>
      </c>
      <c r="K582" t="s">
        <v>47</v>
      </c>
      <c r="L582" t="s">
        <v>35</v>
      </c>
      <c r="M582" t="s">
        <v>36</v>
      </c>
      <c r="Q582" t="s">
        <v>37</v>
      </c>
      <c r="R582" t="s">
        <v>38</v>
      </c>
      <c r="S582" t="s">
        <v>97</v>
      </c>
      <c r="T582" t="s">
        <v>61</v>
      </c>
      <c r="U582" t="s">
        <v>41</v>
      </c>
      <c r="V582" s="9" t="str">
        <f>HYPERLINK("https://app.ntsb.gov/pdfgenerator/ReportGeneratorFile.ashx?EventID=20160624X73440&amp;AKey=1&amp;Rtype=Final&amp;IType=CA","PDF Report")</f>
        <v>PDF Report</v>
      </c>
    </row>
    <row r="583" spans="1:22" x14ac:dyDescent="0.25">
      <c r="A583" t="s">
        <v>2393</v>
      </c>
      <c r="B583">
        <v>1</v>
      </c>
      <c r="C583" s="5">
        <v>42542</v>
      </c>
      <c r="D583" t="s">
        <v>2394</v>
      </c>
      <c r="E583" t="s">
        <v>2395</v>
      </c>
      <c r="F583" t="s">
        <v>2396</v>
      </c>
      <c r="G583" t="s">
        <v>66</v>
      </c>
      <c r="H583" t="s">
        <v>33</v>
      </c>
      <c r="K583" t="s">
        <v>47</v>
      </c>
      <c r="L583" t="s">
        <v>35</v>
      </c>
      <c r="M583" t="s">
        <v>36</v>
      </c>
      <c r="Q583" t="s">
        <v>185</v>
      </c>
      <c r="R583" t="s">
        <v>137</v>
      </c>
      <c r="S583" t="s">
        <v>201</v>
      </c>
      <c r="T583" t="s">
        <v>40</v>
      </c>
      <c r="U583" t="s">
        <v>41</v>
      </c>
      <c r="V583" s="9" t="str">
        <f>HYPERLINK("https://app.ntsb.gov/pdfgenerator/ReportGeneratorFile.ashx?EventID=20160628X70613&amp;AKey=1&amp;Rtype=Final&amp;IType=CA","PDF Report")</f>
        <v>PDF Report</v>
      </c>
    </row>
    <row r="584" spans="1:22" x14ac:dyDescent="0.25">
      <c r="A584" t="s">
        <v>2397</v>
      </c>
      <c r="B584">
        <v>1</v>
      </c>
      <c r="C584" s="5">
        <v>42542</v>
      </c>
      <c r="D584" t="s">
        <v>2398</v>
      </c>
      <c r="E584" t="s">
        <v>2399</v>
      </c>
      <c r="F584" t="s">
        <v>2400</v>
      </c>
      <c r="G584" t="s">
        <v>312</v>
      </c>
      <c r="H584" t="s">
        <v>33</v>
      </c>
      <c r="K584" t="s">
        <v>34</v>
      </c>
      <c r="L584" t="s">
        <v>35</v>
      </c>
      <c r="M584" t="s">
        <v>36</v>
      </c>
      <c r="Q584" t="s">
        <v>37</v>
      </c>
      <c r="R584" t="s">
        <v>38</v>
      </c>
      <c r="S584" t="s">
        <v>84</v>
      </c>
      <c r="T584" t="s">
        <v>73</v>
      </c>
      <c r="U584" t="s">
        <v>41</v>
      </c>
      <c r="V584" s="9" t="str">
        <f>HYPERLINK("https://app.ntsb.gov/pdfgenerator/ReportGeneratorFile.ashx?EventID=20160705X85201&amp;AKey=1&amp;Rtype=Final&amp;IType=CA","PDF Report")</f>
        <v>PDF Report</v>
      </c>
    </row>
    <row r="585" spans="1:22" x14ac:dyDescent="0.25">
      <c r="A585" t="s">
        <v>2401</v>
      </c>
      <c r="B585">
        <v>1</v>
      </c>
      <c r="C585" s="5">
        <v>42543</v>
      </c>
      <c r="D585" t="s">
        <v>2402</v>
      </c>
      <c r="E585" t="s">
        <v>2403</v>
      </c>
      <c r="F585" t="s">
        <v>784</v>
      </c>
      <c r="G585" t="s">
        <v>242</v>
      </c>
      <c r="H585" t="s">
        <v>33</v>
      </c>
      <c r="K585" t="s">
        <v>34</v>
      </c>
      <c r="L585" t="s">
        <v>35</v>
      </c>
      <c r="M585" t="s">
        <v>36</v>
      </c>
      <c r="Q585" t="s">
        <v>37</v>
      </c>
      <c r="R585" t="s">
        <v>38</v>
      </c>
      <c r="S585" t="s">
        <v>39</v>
      </c>
      <c r="T585" t="s">
        <v>40</v>
      </c>
      <c r="U585" t="s">
        <v>41</v>
      </c>
      <c r="V585" s="9" t="str">
        <f>HYPERLINK("https://app.ntsb.gov/pdfgenerator/ReportGeneratorFile.ashx?EventID=20160622X30537&amp;AKey=1&amp;Rtype=Final&amp;IType=LA","PDF Report")</f>
        <v>PDF Report</v>
      </c>
    </row>
    <row r="586" spans="1:22" x14ac:dyDescent="0.25">
      <c r="A586" t="s">
        <v>2404</v>
      </c>
      <c r="B586">
        <v>1</v>
      </c>
      <c r="C586" s="5">
        <v>42543</v>
      </c>
      <c r="D586" t="s">
        <v>2405</v>
      </c>
      <c r="E586" t="s">
        <v>2406</v>
      </c>
      <c r="F586" t="s">
        <v>2407</v>
      </c>
      <c r="G586" t="s">
        <v>348</v>
      </c>
      <c r="H586" t="s">
        <v>33</v>
      </c>
      <c r="K586" t="s">
        <v>47</v>
      </c>
      <c r="L586" t="s">
        <v>35</v>
      </c>
      <c r="M586" t="s">
        <v>36</v>
      </c>
      <c r="Q586" t="s">
        <v>37</v>
      </c>
      <c r="R586" t="s">
        <v>1628</v>
      </c>
      <c r="S586" t="s">
        <v>39</v>
      </c>
      <c r="T586" t="s">
        <v>61</v>
      </c>
      <c r="U586" t="s">
        <v>41</v>
      </c>
      <c r="V586" s="9" t="str">
        <f>HYPERLINK("https://app.ntsb.gov/pdfgenerator/ReportGeneratorFile.ashx?EventID=20160623X91601&amp;AKey=1&amp;Rtype=Final&amp;IType=LA","PDF Report")</f>
        <v>PDF Report</v>
      </c>
    </row>
    <row r="587" spans="1:22" x14ac:dyDescent="0.25">
      <c r="A587" t="s">
        <v>2408</v>
      </c>
      <c r="B587">
        <v>1</v>
      </c>
      <c r="C587" s="5">
        <v>42543</v>
      </c>
      <c r="D587" t="s">
        <v>2409</v>
      </c>
      <c r="E587" t="s">
        <v>2410</v>
      </c>
      <c r="F587" t="s">
        <v>2411</v>
      </c>
      <c r="G587" t="s">
        <v>96</v>
      </c>
      <c r="H587" t="s">
        <v>33</v>
      </c>
      <c r="K587" t="s">
        <v>34</v>
      </c>
      <c r="L587" t="s">
        <v>35</v>
      </c>
      <c r="M587" t="s">
        <v>36</v>
      </c>
      <c r="Q587" t="s">
        <v>37</v>
      </c>
      <c r="R587" t="s">
        <v>130</v>
      </c>
      <c r="S587" t="s">
        <v>97</v>
      </c>
      <c r="T587" t="s">
        <v>79</v>
      </c>
      <c r="U587" t="s">
        <v>41</v>
      </c>
      <c r="V587" s="9" t="str">
        <f>HYPERLINK("https://app.ntsb.gov/pdfgenerator/ReportGeneratorFile.ashx?EventID=20160630X35038&amp;AKey=1&amp;Rtype=Final&amp;IType=CA","PDF Report")</f>
        <v>PDF Report</v>
      </c>
    </row>
    <row r="588" spans="1:22" x14ac:dyDescent="0.25">
      <c r="A588" t="s">
        <v>2412</v>
      </c>
      <c r="B588">
        <v>1</v>
      </c>
      <c r="C588" s="5">
        <v>42544</v>
      </c>
      <c r="D588" t="s">
        <v>2413</v>
      </c>
      <c r="E588" t="s">
        <v>2414</v>
      </c>
      <c r="F588" t="s">
        <v>2415</v>
      </c>
      <c r="G588" t="s">
        <v>142</v>
      </c>
      <c r="H588" t="s">
        <v>33</v>
      </c>
      <c r="J588">
        <v>1</v>
      </c>
      <c r="K588" t="s">
        <v>55</v>
      </c>
      <c r="L588" t="s">
        <v>35</v>
      </c>
      <c r="M588" t="s">
        <v>36</v>
      </c>
      <c r="Q588" t="s">
        <v>37</v>
      </c>
      <c r="R588" t="s">
        <v>38</v>
      </c>
      <c r="S588" t="s">
        <v>131</v>
      </c>
      <c r="T588" t="s">
        <v>73</v>
      </c>
      <c r="U588" t="s">
        <v>41</v>
      </c>
      <c r="V588" s="9" t="str">
        <f>HYPERLINK("https://app.ntsb.gov/pdfgenerator/ReportGeneratorFile.ashx?EventID=20160623X13843&amp;AKey=1&amp;Rtype=Final&amp;IType=LA","PDF Report")</f>
        <v>PDF Report</v>
      </c>
    </row>
    <row r="589" spans="1:22" x14ac:dyDescent="0.25">
      <c r="A589" t="s">
        <v>2416</v>
      </c>
      <c r="B589">
        <v>1</v>
      </c>
      <c r="C589" s="5">
        <v>42544</v>
      </c>
      <c r="D589" t="s">
        <v>2417</v>
      </c>
      <c r="E589" t="s">
        <v>2418</v>
      </c>
      <c r="F589" t="s">
        <v>1621</v>
      </c>
      <c r="G589" t="s">
        <v>115</v>
      </c>
      <c r="H589" t="s">
        <v>33</v>
      </c>
      <c r="K589" t="s">
        <v>34</v>
      </c>
      <c r="L589" t="s">
        <v>35</v>
      </c>
      <c r="M589" t="s">
        <v>36</v>
      </c>
      <c r="Q589" t="s">
        <v>37</v>
      </c>
      <c r="R589" t="s">
        <v>38</v>
      </c>
      <c r="S589" t="s">
        <v>84</v>
      </c>
      <c r="T589" t="s">
        <v>73</v>
      </c>
      <c r="U589" t="s">
        <v>41</v>
      </c>
      <c r="V589" s="9" t="str">
        <f>HYPERLINK("https://app.ntsb.gov/pdfgenerator/ReportGeneratorFile.ashx?EventID=20160623X44206&amp;AKey=1&amp;Rtype=Final&amp;IType=CA","PDF Report")</f>
        <v>PDF Report</v>
      </c>
    </row>
    <row r="590" spans="1:22" x14ac:dyDescent="0.25">
      <c r="A590" t="s">
        <v>2419</v>
      </c>
      <c r="B590">
        <v>1</v>
      </c>
      <c r="C590" s="5">
        <v>42544</v>
      </c>
      <c r="D590" t="s">
        <v>2420</v>
      </c>
      <c r="E590" t="s">
        <v>2421</v>
      </c>
      <c r="F590" t="s">
        <v>2422</v>
      </c>
      <c r="G590" t="s">
        <v>287</v>
      </c>
      <c r="H590" t="s">
        <v>33</v>
      </c>
      <c r="I590">
        <v>2</v>
      </c>
      <c r="K590" t="s">
        <v>90</v>
      </c>
      <c r="L590" t="s">
        <v>110</v>
      </c>
      <c r="M590" t="s">
        <v>36</v>
      </c>
      <c r="Q590" t="s">
        <v>185</v>
      </c>
      <c r="R590" t="s">
        <v>137</v>
      </c>
      <c r="S590" t="s">
        <v>48</v>
      </c>
      <c r="T590" t="s">
        <v>61</v>
      </c>
      <c r="U590" t="s">
        <v>41</v>
      </c>
      <c r="V590" s="9" t="str">
        <f>HYPERLINK("https://app.ntsb.gov/pdfgenerator/ReportGeneratorFile.ashx?EventID=20160624X83720&amp;AKey=1&amp;Rtype=Final&amp;IType=FA","PDF Report")</f>
        <v>PDF Report</v>
      </c>
    </row>
    <row r="591" spans="1:22" x14ac:dyDescent="0.25">
      <c r="A591" t="s">
        <v>2423</v>
      </c>
      <c r="B591">
        <v>1</v>
      </c>
      <c r="C591" s="5">
        <v>42544</v>
      </c>
      <c r="D591" t="s">
        <v>2424</v>
      </c>
      <c r="E591" t="s">
        <v>2425</v>
      </c>
      <c r="F591" t="s">
        <v>2426</v>
      </c>
      <c r="G591" t="s">
        <v>96</v>
      </c>
      <c r="H591" t="s">
        <v>33</v>
      </c>
      <c r="K591" t="s">
        <v>34</v>
      </c>
      <c r="L591" t="s">
        <v>35</v>
      </c>
      <c r="M591" t="s">
        <v>767</v>
      </c>
      <c r="Q591" t="s">
        <v>37</v>
      </c>
      <c r="R591" t="s">
        <v>768</v>
      </c>
      <c r="S591" t="s">
        <v>201</v>
      </c>
      <c r="T591" t="s">
        <v>40</v>
      </c>
      <c r="U591" t="s">
        <v>41</v>
      </c>
      <c r="V591" s="9" t="str">
        <f>HYPERLINK("https://app.ntsb.gov/pdfgenerator/ReportGeneratorFile.ashx?EventID=20160627X95450&amp;AKey=1&amp;Rtype=Final&amp;IType=CA","PDF Report")</f>
        <v>PDF Report</v>
      </c>
    </row>
    <row r="592" spans="1:22" x14ac:dyDescent="0.25">
      <c r="A592" t="s">
        <v>2427</v>
      </c>
      <c r="B592">
        <v>1</v>
      </c>
      <c r="C592" s="5">
        <v>42545</v>
      </c>
      <c r="D592" t="s">
        <v>2428</v>
      </c>
      <c r="E592" t="s">
        <v>2429</v>
      </c>
      <c r="F592" t="s">
        <v>2430</v>
      </c>
      <c r="G592" t="s">
        <v>666</v>
      </c>
      <c r="H592" t="s">
        <v>33</v>
      </c>
      <c r="K592" t="s">
        <v>34</v>
      </c>
      <c r="L592" t="s">
        <v>35</v>
      </c>
      <c r="M592" t="s">
        <v>36</v>
      </c>
      <c r="Q592" t="s">
        <v>37</v>
      </c>
      <c r="R592" t="s">
        <v>38</v>
      </c>
      <c r="S592" t="s">
        <v>39</v>
      </c>
      <c r="T592" t="s">
        <v>73</v>
      </c>
      <c r="U592" t="s">
        <v>41</v>
      </c>
      <c r="V592" s="9" t="str">
        <f>HYPERLINK("https://app.ntsb.gov/pdfgenerator/ReportGeneratorFile.ashx?EventID=20160627X50018&amp;AKey=1&amp;Rtype=Final&amp;IType=LA","PDF Report")</f>
        <v>PDF Report</v>
      </c>
    </row>
    <row r="593" spans="1:22" x14ac:dyDescent="0.25">
      <c r="A593" t="s">
        <v>2431</v>
      </c>
      <c r="B593">
        <v>1</v>
      </c>
      <c r="C593" s="5">
        <v>42545</v>
      </c>
      <c r="D593" t="s">
        <v>2432</v>
      </c>
      <c r="E593" t="s">
        <v>2433</v>
      </c>
      <c r="F593" t="s">
        <v>2434</v>
      </c>
      <c r="G593" t="s">
        <v>348</v>
      </c>
      <c r="H593" t="s">
        <v>33</v>
      </c>
      <c r="K593" t="s">
        <v>34</v>
      </c>
      <c r="L593" t="s">
        <v>35</v>
      </c>
      <c r="M593" t="s">
        <v>36</v>
      </c>
      <c r="Q593" t="s">
        <v>37</v>
      </c>
      <c r="R593" t="s">
        <v>38</v>
      </c>
      <c r="S593" t="s">
        <v>84</v>
      </c>
      <c r="T593" t="s">
        <v>73</v>
      </c>
      <c r="U593" t="s">
        <v>41</v>
      </c>
      <c r="V593" s="9" t="str">
        <f>HYPERLINK("https://app.ntsb.gov/pdfgenerator/ReportGeneratorFile.ashx?EventID=20160630X02802&amp;AKey=1&amp;Rtype=Final&amp;IType=CA","PDF Report")</f>
        <v>PDF Report</v>
      </c>
    </row>
    <row r="594" spans="1:22" x14ac:dyDescent="0.25">
      <c r="A594" t="s">
        <v>2435</v>
      </c>
      <c r="B594">
        <v>1</v>
      </c>
      <c r="C594" s="5">
        <v>42545</v>
      </c>
      <c r="D594" t="s">
        <v>2436</v>
      </c>
      <c r="E594" t="s">
        <v>2437</v>
      </c>
      <c r="F594" t="s">
        <v>2438</v>
      </c>
      <c r="G594" t="s">
        <v>322</v>
      </c>
      <c r="H594" t="s">
        <v>33</v>
      </c>
      <c r="K594" t="s">
        <v>34</v>
      </c>
      <c r="L594" t="s">
        <v>35</v>
      </c>
      <c r="M594" t="s">
        <v>36</v>
      </c>
      <c r="Q594" t="s">
        <v>37</v>
      </c>
      <c r="R594" t="s">
        <v>130</v>
      </c>
      <c r="S594" t="s">
        <v>84</v>
      </c>
      <c r="T594" t="s">
        <v>378</v>
      </c>
      <c r="U594" t="s">
        <v>41</v>
      </c>
      <c r="V594" s="9" t="str">
        <f>HYPERLINK("https://app.ntsb.gov/pdfgenerator/ReportGeneratorFile.ashx?EventID=20160630X24758&amp;AKey=1&amp;Rtype=Final&amp;IType=LA","PDF Report")</f>
        <v>PDF Report</v>
      </c>
    </row>
    <row r="595" spans="1:22" x14ac:dyDescent="0.25">
      <c r="A595" t="s">
        <v>2439</v>
      </c>
      <c r="B595">
        <v>1</v>
      </c>
      <c r="C595" s="5">
        <v>42546</v>
      </c>
      <c r="D595" t="s">
        <v>2440</v>
      </c>
      <c r="E595" t="s">
        <v>2441</v>
      </c>
      <c r="F595" t="s">
        <v>2442</v>
      </c>
      <c r="G595" t="s">
        <v>450</v>
      </c>
      <c r="H595" t="s">
        <v>33</v>
      </c>
      <c r="I595">
        <v>1</v>
      </c>
      <c r="K595" t="s">
        <v>90</v>
      </c>
      <c r="L595" t="s">
        <v>35</v>
      </c>
      <c r="M595" t="s">
        <v>36</v>
      </c>
      <c r="Q595" t="s">
        <v>37</v>
      </c>
      <c r="R595" t="s">
        <v>38</v>
      </c>
      <c r="S595" t="s">
        <v>60</v>
      </c>
      <c r="T595" t="s">
        <v>40</v>
      </c>
      <c r="U595" t="s">
        <v>41</v>
      </c>
      <c r="V595" s="9" t="str">
        <f>HYPERLINK("https://app.ntsb.gov/pdfgenerator/ReportGeneratorFile.ashx?EventID=20160625X01739&amp;AKey=1&amp;Rtype=Final&amp;IType=FA","PDF Report")</f>
        <v>PDF Report</v>
      </c>
    </row>
    <row r="596" spans="1:22" x14ac:dyDescent="0.25">
      <c r="A596" t="s">
        <v>2443</v>
      </c>
      <c r="B596">
        <v>1</v>
      </c>
      <c r="C596" s="5">
        <v>42546</v>
      </c>
      <c r="D596" t="s">
        <v>2444</v>
      </c>
      <c r="E596" t="s">
        <v>2445</v>
      </c>
      <c r="F596" t="s">
        <v>2446</v>
      </c>
      <c r="G596" t="s">
        <v>666</v>
      </c>
      <c r="H596" t="s">
        <v>33</v>
      </c>
      <c r="K596" t="s">
        <v>47</v>
      </c>
      <c r="L596" t="s">
        <v>35</v>
      </c>
      <c r="M596" t="s">
        <v>36</v>
      </c>
      <c r="Q596" t="s">
        <v>37</v>
      </c>
      <c r="R596" t="s">
        <v>38</v>
      </c>
      <c r="S596" t="s">
        <v>201</v>
      </c>
      <c r="T596" t="s">
        <v>61</v>
      </c>
      <c r="U596" t="s">
        <v>41</v>
      </c>
      <c r="V596" s="9" t="str">
        <f>HYPERLINK("https://app.ntsb.gov/pdfgenerator/ReportGeneratorFile.ashx?EventID=20160627X55550&amp;AKey=1&amp;Rtype=Final&amp;IType=CA","PDF Report")</f>
        <v>PDF Report</v>
      </c>
    </row>
    <row r="597" spans="1:22" x14ac:dyDescent="0.25">
      <c r="A597" t="s">
        <v>2447</v>
      </c>
      <c r="B597">
        <v>1</v>
      </c>
      <c r="C597" s="5">
        <v>42546</v>
      </c>
      <c r="D597" t="s">
        <v>2448</v>
      </c>
      <c r="E597" t="s">
        <v>2449</v>
      </c>
      <c r="F597" t="s">
        <v>2450</v>
      </c>
      <c r="G597" t="s">
        <v>645</v>
      </c>
      <c r="H597" t="s">
        <v>33</v>
      </c>
      <c r="K597" t="s">
        <v>34</v>
      </c>
      <c r="L597" t="s">
        <v>35</v>
      </c>
      <c r="M597" t="s">
        <v>36</v>
      </c>
      <c r="Q597" t="s">
        <v>37</v>
      </c>
      <c r="R597" t="s">
        <v>38</v>
      </c>
      <c r="S597" t="s">
        <v>131</v>
      </c>
      <c r="T597" t="s">
        <v>73</v>
      </c>
      <c r="U597" t="s">
        <v>41</v>
      </c>
      <c r="V597" s="9" t="str">
        <f>HYPERLINK("https://app.ntsb.gov/pdfgenerator/ReportGeneratorFile.ashx?EventID=20160627X61805&amp;AKey=1&amp;Rtype=Final&amp;IType=CA","PDF Report")</f>
        <v>PDF Report</v>
      </c>
    </row>
    <row r="598" spans="1:22" x14ac:dyDescent="0.25">
      <c r="A598" t="s">
        <v>2451</v>
      </c>
      <c r="B598">
        <v>1</v>
      </c>
      <c r="C598" s="5">
        <v>42546</v>
      </c>
      <c r="D598" t="s">
        <v>2452</v>
      </c>
      <c r="E598" t="s">
        <v>2453</v>
      </c>
      <c r="F598" t="s">
        <v>2454</v>
      </c>
      <c r="G598" t="s">
        <v>206</v>
      </c>
      <c r="H598" t="s">
        <v>33</v>
      </c>
      <c r="K598" t="s">
        <v>34</v>
      </c>
      <c r="L598" t="s">
        <v>35</v>
      </c>
      <c r="M598" t="s">
        <v>36</v>
      </c>
      <c r="Q598" t="s">
        <v>37</v>
      </c>
      <c r="R598" t="s">
        <v>38</v>
      </c>
      <c r="S598" t="s">
        <v>48</v>
      </c>
      <c r="T598" t="s">
        <v>143</v>
      </c>
      <c r="U598" t="s">
        <v>41</v>
      </c>
      <c r="V598" s="9" t="str">
        <f>HYPERLINK("https://app.ntsb.gov/pdfgenerator/ReportGeneratorFile.ashx?EventID=20160627X80236&amp;AKey=1&amp;Rtype=Final&amp;IType=CA","PDF Report")</f>
        <v>PDF Report</v>
      </c>
    </row>
    <row r="599" spans="1:22" x14ac:dyDescent="0.25">
      <c r="A599" t="s">
        <v>2455</v>
      </c>
      <c r="B599">
        <v>1</v>
      </c>
      <c r="C599" s="5">
        <v>42546</v>
      </c>
      <c r="D599" t="s">
        <v>2456</v>
      </c>
      <c r="E599" t="s">
        <v>2457</v>
      </c>
      <c r="F599" t="s">
        <v>2458</v>
      </c>
      <c r="G599" t="s">
        <v>115</v>
      </c>
      <c r="H599" t="s">
        <v>33</v>
      </c>
      <c r="K599" t="s">
        <v>47</v>
      </c>
      <c r="L599" t="s">
        <v>35</v>
      </c>
      <c r="M599" t="s">
        <v>36</v>
      </c>
      <c r="Q599" t="s">
        <v>37</v>
      </c>
      <c r="R599" t="s">
        <v>38</v>
      </c>
      <c r="S599" t="s">
        <v>39</v>
      </c>
      <c r="T599" t="s">
        <v>143</v>
      </c>
      <c r="U599" t="s">
        <v>41</v>
      </c>
      <c r="V599" s="9" t="str">
        <f>HYPERLINK("https://app.ntsb.gov/pdfgenerator/ReportGeneratorFile.ashx?EventID=20160627X91259&amp;AKey=1&amp;Rtype=Final&amp;IType=LA","PDF Report")</f>
        <v>PDF Report</v>
      </c>
    </row>
    <row r="600" spans="1:22" x14ac:dyDescent="0.25">
      <c r="A600" t="s">
        <v>2459</v>
      </c>
      <c r="B600">
        <v>1</v>
      </c>
      <c r="C600" s="5">
        <v>42546</v>
      </c>
      <c r="D600" t="s">
        <v>2460</v>
      </c>
      <c r="E600" t="s">
        <v>2461</v>
      </c>
      <c r="F600" t="s">
        <v>2462</v>
      </c>
      <c r="G600" t="s">
        <v>407</v>
      </c>
      <c r="H600" t="s">
        <v>33</v>
      </c>
      <c r="K600" t="s">
        <v>34</v>
      </c>
      <c r="L600" t="s">
        <v>35</v>
      </c>
      <c r="M600" t="s">
        <v>36</v>
      </c>
      <c r="Q600" t="s">
        <v>37</v>
      </c>
      <c r="R600" t="s">
        <v>38</v>
      </c>
      <c r="S600" t="s">
        <v>131</v>
      </c>
      <c r="T600" t="s">
        <v>73</v>
      </c>
      <c r="U600" t="s">
        <v>41</v>
      </c>
      <c r="V600" s="9" t="str">
        <f>HYPERLINK("https://app.ntsb.gov/pdfgenerator/ReportGeneratorFile.ashx?EventID=20160628X10951&amp;AKey=1&amp;Rtype=Final&amp;IType=CA","PDF Report")</f>
        <v>PDF Report</v>
      </c>
    </row>
    <row r="601" spans="1:22" x14ac:dyDescent="0.25">
      <c r="A601" t="s">
        <v>2463</v>
      </c>
      <c r="B601">
        <v>1</v>
      </c>
      <c r="C601" s="5">
        <v>42546</v>
      </c>
      <c r="D601" t="s">
        <v>2464</v>
      </c>
      <c r="E601" t="s">
        <v>2465</v>
      </c>
      <c r="F601" t="s">
        <v>2466</v>
      </c>
      <c r="G601" t="s">
        <v>54</v>
      </c>
      <c r="H601" t="s">
        <v>33</v>
      </c>
      <c r="K601" t="s">
        <v>47</v>
      </c>
      <c r="L601" t="s">
        <v>35</v>
      </c>
      <c r="M601" t="s">
        <v>36</v>
      </c>
      <c r="Q601" t="s">
        <v>37</v>
      </c>
      <c r="R601" t="s">
        <v>38</v>
      </c>
      <c r="S601" t="s">
        <v>39</v>
      </c>
      <c r="T601" t="s">
        <v>61</v>
      </c>
      <c r="U601" t="s">
        <v>41</v>
      </c>
      <c r="V601" s="9" t="str">
        <f>HYPERLINK("https://app.ntsb.gov/pdfgenerator/ReportGeneratorFile.ashx?EventID=20160628X25815&amp;AKey=1&amp;Rtype=Final&amp;IType=LA","PDF Report")</f>
        <v>PDF Report</v>
      </c>
    </row>
    <row r="602" spans="1:22" x14ac:dyDescent="0.25">
      <c r="A602" t="s">
        <v>2467</v>
      </c>
      <c r="B602">
        <v>1</v>
      </c>
      <c r="C602" s="5">
        <v>42546</v>
      </c>
      <c r="D602" t="s">
        <v>2468</v>
      </c>
      <c r="E602" t="s">
        <v>2469</v>
      </c>
      <c r="F602" t="s">
        <v>2470</v>
      </c>
      <c r="G602" t="s">
        <v>597</v>
      </c>
      <c r="H602" t="s">
        <v>2360</v>
      </c>
      <c r="K602" t="s">
        <v>34</v>
      </c>
      <c r="L602" t="s">
        <v>35</v>
      </c>
      <c r="M602" t="s">
        <v>599</v>
      </c>
      <c r="Q602" t="s">
        <v>37</v>
      </c>
      <c r="S602" t="s">
        <v>39</v>
      </c>
      <c r="T602" t="s">
        <v>143</v>
      </c>
      <c r="U602" t="s">
        <v>41</v>
      </c>
      <c r="V602" s="9" t="str">
        <f>HYPERLINK("https://app.ntsb.gov/pdfgenerator/ReportGeneratorFile.ashx?EventID=20160629X00022&amp;AKey=1&amp;Rtype=Final&amp;IType=WA","PDF Report")</f>
        <v>PDF Report</v>
      </c>
    </row>
    <row r="603" spans="1:22" x14ac:dyDescent="0.25">
      <c r="A603" t="s">
        <v>2471</v>
      </c>
      <c r="B603">
        <v>1</v>
      </c>
      <c r="C603" s="5">
        <v>42546</v>
      </c>
      <c r="D603" t="s">
        <v>2472</v>
      </c>
      <c r="E603" t="s">
        <v>2473</v>
      </c>
      <c r="F603" t="s">
        <v>2474</v>
      </c>
      <c r="G603" t="s">
        <v>636</v>
      </c>
      <c r="H603" t="s">
        <v>33</v>
      </c>
      <c r="K603" t="s">
        <v>34</v>
      </c>
      <c r="L603" t="s">
        <v>35</v>
      </c>
      <c r="M603" t="s">
        <v>36</v>
      </c>
      <c r="Q603" t="s">
        <v>37</v>
      </c>
      <c r="R603" t="s">
        <v>38</v>
      </c>
      <c r="S603" t="s">
        <v>131</v>
      </c>
      <c r="T603" t="s">
        <v>73</v>
      </c>
      <c r="U603" t="s">
        <v>41</v>
      </c>
      <c r="V603" s="9" t="str">
        <f>HYPERLINK("https://app.ntsb.gov/pdfgenerator/ReportGeneratorFile.ashx?EventID=20160629X64057&amp;AKey=1&amp;Rtype=Final&amp;IType=CA","PDF Report")</f>
        <v>PDF Report</v>
      </c>
    </row>
    <row r="604" spans="1:22" x14ac:dyDescent="0.25">
      <c r="A604" t="s">
        <v>2475</v>
      </c>
      <c r="B604">
        <v>1</v>
      </c>
      <c r="C604" s="5">
        <v>42546</v>
      </c>
      <c r="D604" t="s">
        <v>2476</v>
      </c>
      <c r="E604" t="s">
        <v>2477</v>
      </c>
      <c r="F604" t="s">
        <v>2478</v>
      </c>
      <c r="G604" t="s">
        <v>407</v>
      </c>
      <c r="H604" t="s">
        <v>33</v>
      </c>
      <c r="K604" t="s">
        <v>34</v>
      </c>
      <c r="L604" t="s">
        <v>35</v>
      </c>
      <c r="M604" t="s">
        <v>36</v>
      </c>
      <c r="Q604" t="s">
        <v>37</v>
      </c>
      <c r="R604" t="s">
        <v>38</v>
      </c>
      <c r="S604" t="s">
        <v>317</v>
      </c>
      <c r="T604" t="s">
        <v>73</v>
      </c>
      <c r="U604" t="s">
        <v>41</v>
      </c>
      <c r="V604" s="9" t="str">
        <f>HYPERLINK("https://app.ntsb.gov/pdfgenerator/ReportGeneratorFile.ashx?EventID=20160630X31045&amp;AKey=1&amp;Rtype=Final&amp;IType=CA","PDF Report")</f>
        <v>PDF Report</v>
      </c>
    </row>
    <row r="605" spans="1:22" x14ac:dyDescent="0.25">
      <c r="A605" t="s">
        <v>2479</v>
      </c>
      <c r="B605">
        <v>1</v>
      </c>
      <c r="C605" s="5">
        <v>42546</v>
      </c>
      <c r="D605" t="s">
        <v>2480</v>
      </c>
      <c r="E605" t="s">
        <v>2481</v>
      </c>
      <c r="F605" t="s">
        <v>2482</v>
      </c>
      <c r="G605" t="s">
        <v>66</v>
      </c>
      <c r="H605" t="s">
        <v>33</v>
      </c>
      <c r="K605" t="s">
        <v>34</v>
      </c>
      <c r="L605" t="s">
        <v>35</v>
      </c>
      <c r="M605" t="s">
        <v>36</v>
      </c>
      <c r="Q605" t="s">
        <v>37</v>
      </c>
      <c r="R605" t="s">
        <v>130</v>
      </c>
      <c r="S605" t="s">
        <v>84</v>
      </c>
      <c r="T605" t="s">
        <v>73</v>
      </c>
      <c r="U605" t="s">
        <v>41</v>
      </c>
      <c r="V605" s="9" t="str">
        <f>HYPERLINK("https://app.ntsb.gov/pdfgenerator/ReportGeneratorFile.ashx?EventID=20160719X74135&amp;AKey=1&amp;Rtype=Final&amp;IType=CA","PDF Report")</f>
        <v>PDF Report</v>
      </c>
    </row>
    <row r="606" spans="1:22" x14ac:dyDescent="0.25">
      <c r="A606" t="s">
        <v>2483</v>
      </c>
      <c r="B606">
        <v>1</v>
      </c>
      <c r="C606" s="5">
        <v>42547</v>
      </c>
      <c r="D606" t="s">
        <v>2456</v>
      </c>
      <c r="E606" t="s">
        <v>2457</v>
      </c>
      <c r="F606" t="s">
        <v>2458</v>
      </c>
      <c r="G606" t="s">
        <v>115</v>
      </c>
      <c r="H606" t="s">
        <v>33</v>
      </c>
      <c r="K606" t="s">
        <v>34</v>
      </c>
      <c r="L606" t="s">
        <v>35</v>
      </c>
      <c r="M606" t="s">
        <v>36</v>
      </c>
      <c r="Q606" t="s">
        <v>37</v>
      </c>
      <c r="R606" t="s">
        <v>38</v>
      </c>
      <c r="S606" t="s">
        <v>39</v>
      </c>
      <c r="T606" t="s">
        <v>143</v>
      </c>
      <c r="U606" t="s">
        <v>41</v>
      </c>
      <c r="V606" s="9" t="str">
        <f>HYPERLINK("https://app.ntsb.gov/pdfgenerator/ReportGeneratorFile.ashx?EventID=20160627X00256&amp;AKey=1&amp;Rtype=Final&amp;IType=LA","PDF Report")</f>
        <v>PDF Report</v>
      </c>
    </row>
    <row r="607" spans="1:22" x14ac:dyDescent="0.25">
      <c r="A607" t="s">
        <v>2484</v>
      </c>
      <c r="B607">
        <v>1</v>
      </c>
      <c r="C607" s="5">
        <v>42547</v>
      </c>
      <c r="F607" t="s">
        <v>2485</v>
      </c>
      <c r="G607" t="s">
        <v>169</v>
      </c>
      <c r="H607" t="s">
        <v>33</v>
      </c>
      <c r="J607">
        <v>1</v>
      </c>
      <c r="K607" t="s">
        <v>55</v>
      </c>
      <c r="L607" t="s">
        <v>34</v>
      </c>
      <c r="M607" t="s">
        <v>103</v>
      </c>
      <c r="N607" t="s">
        <v>57</v>
      </c>
      <c r="O607" t="s">
        <v>58</v>
      </c>
      <c r="P607" t="s">
        <v>59</v>
      </c>
      <c r="Q607" t="s">
        <v>37</v>
      </c>
      <c r="S607" t="s">
        <v>2486</v>
      </c>
      <c r="T607" t="s">
        <v>61</v>
      </c>
      <c r="U607" t="s">
        <v>41</v>
      </c>
      <c r="V607" s="9" t="str">
        <f>HYPERLINK("https://app.ntsb.gov/pdfgenerator/ReportGeneratorFile.ashx?EventID=20160627X21034&amp;AKey=1&amp;Rtype=Final&amp;IType=CA","PDF Report")</f>
        <v>PDF Report</v>
      </c>
    </row>
    <row r="608" spans="1:22" x14ac:dyDescent="0.25">
      <c r="A608" t="s">
        <v>2487</v>
      </c>
      <c r="B608">
        <v>1</v>
      </c>
      <c r="C608" s="5">
        <v>42547</v>
      </c>
      <c r="D608" t="s">
        <v>2488</v>
      </c>
      <c r="E608" t="s">
        <v>2489</v>
      </c>
      <c r="F608" t="s">
        <v>2490</v>
      </c>
      <c r="G608" t="s">
        <v>312</v>
      </c>
      <c r="H608" t="s">
        <v>33</v>
      </c>
      <c r="K608" t="s">
        <v>47</v>
      </c>
      <c r="L608" t="s">
        <v>35</v>
      </c>
      <c r="M608" t="s">
        <v>36</v>
      </c>
      <c r="Q608" t="s">
        <v>37</v>
      </c>
      <c r="R608" t="s">
        <v>38</v>
      </c>
      <c r="S608" t="s">
        <v>48</v>
      </c>
      <c r="T608" t="s">
        <v>143</v>
      </c>
      <c r="U608" t="s">
        <v>41</v>
      </c>
      <c r="V608" s="9" t="str">
        <f>HYPERLINK("https://app.ntsb.gov/pdfgenerator/ReportGeneratorFile.ashx?EventID=20160627X65310&amp;AKey=1&amp;Rtype=Final&amp;IType=CA","PDF Report")</f>
        <v>PDF Report</v>
      </c>
    </row>
    <row r="609" spans="1:22" x14ac:dyDescent="0.25">
      <c r="A609" t="s">
        <v>2491</v>
      </c>
      <c r="B609">
        <v>1</v>
      </c>
      <c r="C609" s="5">
        <v>42547</v>
      </c>
      <c r="D609" t="s">
        <v>2492</v>
      </c>
      <c r="E609" t="s">
        <v>2493</v>
      </c>
      <c r="F609" t="s">
        <v>2494</v>
      </c>
      <c r="G609" t="s">
        <v>401</v>
      </c>
      <c r="H609" t="s">
        <v>33</v>
      </c>
      <c r="K609" t="s">
        <v>34</v>
      </c>
      <c r="L609" t="s">
        <v>35</v>
      </c>
      <c r="M609" t="s">
        <v>36</v>
      </c>
      <c r="Q609" t="s">
        <v>37</v>
      </c>
      <c r="R609" t="s">
        <v>1132</v>
      </c>
      <c r="S609" t="s">
        <v>97</v>
      </c>
      <c r="T609" t="s">
        <v>143</v>
      </c>
      <c r="U609" t="s">
        <v>41</v>
      </c>
      <c r="V609" s="9" t="str">
        <f>HYPERLINK("https://app.ntsb.gov/pdfgenerator/ReportGeneratorFile.ashx?EventID=20160629X12550&amp;AKey=1&amp;Rtype=Final&amp;IType=LA","PDF Report")</f>
        <v>PDF Report</v>
      </c>
    </row>
    <row r="610" spans="1:22" x14ac:dyDescent="0.25">
      <c r="A610" t="s">
        <v>2495</v>
      </c>
      <c r="B610">
        <v>1</v>
      </c>
      <c r="C610" s="5">
        <v>42547</v>
      </c>
      <c r="D610" t="s">
        <v>2496</v>
      </c>
      <c r="E610" t="s">
        <v>2497</v>
      </c>
      <c r="F610" t="s">
        <v>1830</v>
      </c>
      <c r="G610" t="s">
        <v>120</v>
      </c>
      <c r="H610" t="s">
        <v>33</v>
      </c>
      <c r="K610" t="s">
        <v>34</v>
      </c>
      <c r="L610" t="s">
        <v>35</v>
      </c>
      <c r="M610" t="s">
        <v>36</v>
      </c>
      <c r="Q610" t="s">
        <v>37</v>
      </c>
      <c r="R610" t="s">
        <v>38</v>
      </c>
      <c r="S610" t="s">
        <v>131</v>
      </c>
      <c r="T610" t="s">
        <v>73</v>
      </c>
      <c r="U610" t="s">
        <v>41</v>
      </c>
      <c r="V610" s="9" t="str">
        <f>HYPERLINK("https://app.ntsb.gov/pdfgenerator/ReportGeneratorFile.ashx?EventID=20160630X00834&amp;AKey=1&amp;Rtype=Final&amp;IType=CA","PDF Report")</f>
        <v>PDF Report</v>
      </c>
    </row>
    <row r="611" spans="1:22" x14ac:dyDescent="0.25">
      <c r="A611" t="s">
        <v>2498</v>
      </c>
      <c r="B611">
        <v>1</v>
      </c>
      <c r="C611" s="5">
        <v>42547</v>
      </c>
      <c r="D611" t="s">
        <v>2499</v>
      </c>
      <c r="E611" t="s">
        <v>2500</v>
      </c>
      <c r="F611" t="s">
        <v>2501</v>
      </c>
      <c r="G611" t="s">
        <v>206</v>
      </c>
      <c r="H611" t="s">
        <v>33</v>
      </c>
      <c r="K611" t="s">
        <v>47</v>
      </c>
      <c r="L611" t="s">
        <v>35</v>
      </c>
      <c r="M611" t="s">
        <v>36</v>
      </c>
      <c r="Q611" t="s">
        <v>37</v>
      </c>
      <c r="R611" t="s">
        <v>38</v>
      </c>
      <c r="S611" t="s">
        <v>39</v>
      </c>
      <c r="T611" t="s">
        <v>143</v>
      </c>
      <c r="U611" t="s">
        <v>41</v>
      </c>
      <c r="V611" s="9" t="str">
        <f>HYPERLINK("https://app.ntsb.gov/pdfgenerator/ReportGeneratorFile.ashx?EventID=20160630X72423&amp;AKey=1&amp;Rtype=Final&amp;IType=LA","PDF Report")</f>
        <v>PDF Report</v>
      </c>
    </row>
    <row r="612" spans="1:22" x14ac:dyDescent="0.25">
      <c r="A612" t="s">
        <v>2502</v>
      </c>
      <c r="B612">
        <v>1</v>
      </c>
      <c r="C612" s="5">
        <v>42547</v>
      </c>
      <c r="D612" t="s">
        <v>2503</v>
      </c>
      <c r="E612" t="s">
        <v>2504</v>
      </c>
      <c r="F612" t="s">
        <v>2505</v>
      </c>
      <c r="G612" t="s">
        <v>206</v>
      </c>
      <c r="H612" t="s">
        <v>33</v>
      </c>
      <c r="J612">
        <v>1</v>
      </c>
      <c r="K612" t="s">
        <v>55</v>
      </c>
      <c r="L612" t="s">
        <v>35</v>
      </c>
      <c r="M612" t="s">
        <v>36</v>
      </c>
      <c r="Q612" t="s">
        <v>37</v>
      </c>
      <c r="R612" t="s">
        <v>1132</v>
      </c>
      <c r="S612" t="s">
        <v>191</v>
      </c>
      <c r="T612" t="s">
        <v>40</v>
      </c>
      <c r="U612" t="s">
        <v>41</v>
      </c>
      <c r="V612" s="9" t="str">
        <f>HYPERLINK("https://app.ntsb.gov/pdfgenerator/ReportGeneratorFile.ashx?EventID=20160706X14221&amp;AKey=1&amp;Rtype=Final&amp;IType=LA","PDF Report")</f>
        <v>PDF Report</v>
      </c>
    </row>
    <row r="613" spans="1:22" x14ac:dyDescent="0.25">
      <c r="A613" t="s">
        <v>2506</v>
      </c>
      <c r="B613">
        <v>1</v>
      </c>
      <c r="C613" s="5">
        <v>42547</v>
      </c>
      <c r="D613" t="s">
        <v>2507</v>
      </c>
      <c r="E613" t="s">
        <v>2508</v>
      </c>
      <c r="F613" t="s">
        <v>2509</v>
      </c>
      <c r="G613" t="s">
        <v>450</v>
      </c>
      <c r="H613" t="s">
        <v>33</v>
      </c>
      <c r="K613" t="s">
        <v>34</v>
      </c>
      <c r="L613" t="s">
        <v>35</v>
      </c>
      <c r="M613" t="s">
        <v>36</v>
      </c>
      <c r="Q613" t="s">
        <v>37</v>
      </c>
      <c r="R613" t="s">
        <v>38</v>
      </c>
      <c r="S613" t="s">
        <v>84</v>
      </c>
      <c r="T613" t="s">
        <v>73</v>
      </c>
      <c r="U613" t="s">
        <v>41</v>
      </c>
      <c r="V613" s="9" t="str">
        <f>HYPERLINK("https://app.ntsb.gov/pdfgenerator/ReportGeneratorFile.ashx?EventID=20160714X44234&amp;AKey=1&amp;Rtype=Final&amp;IType=CA","PDF Report")</f>
        <v>PDF Report</v>
      </c>
    </row>
    <row r="614" spans="1:22" x14ac:dyDescent="0.25">
      <c r="A614" t="s">
        <v>2510</v>
      </c>
      <c r="B614">
        <v>1</v>
      </c>
      <c r="C614" s="5">
        <v>42547</v>
      </c>
      <c r="D614" t="s">
        <v>2511</v>
      </c>
      <c r="E614" t="s">
        <v>2512</v>
      </c>
      <c r="F614" t="s">
        <v>2513</v>
      </c>
      <c r="G614" t="s">
        <v>125</v>
      </c>
      <c r="H614" t="s">
        <v>33</v>
      </c>
      <c r="K614" t="s">
        <v>34</v>
      </c>
      <c r="L614" t="s">
        <v>35</v>
      </c>
      <c r="M614" t="s">
        <v>36</v>
      </c>
      <c r="Q614" t="s">
        <v>37</v>
      </c>
      <c r="R614" t="s">
        <v>38</v>
      </c>
      <c r="S614" t="s">
        <v>84</v>
      </c>
      <c r="T614" t="s">
        <v>73</v>
      </c>
      <c r="U614" t="s">
        <v>41</v>
      </c>
      <c r="V614" s="9" t="str">
        <f>HYPERLINK("https://app.ntsb.gov/pdfgenerator/ReportGeneratorFile.ashx?EventID=20160830X61654&amp;AKey=1&amp;Rtype=Final&amp;IType=LA","PDF Report")</f>
        <v>PDF Report</v>
      </c>
    </row>
    <row r="615" spans="1:22" x14ac:dyDescent="0.25">
      <c r="A615" t="s">
        <v>2514</v>
      </c>
      <c r="B615">
        <v>1</v>
      </c>
      <c r="C615" s="5">
        <v>42548</v>
      </c>
      <c r="D615" t="s">
        <v>2515</v>
      </c>
      <c r="E615" t="s">
        <v>2516</v>
      </c>
      <c r="F615" t="s">
        <v>2517</v>
      </c>
      <c r="G615" t="s">
        <v>66</v>
      </c>
      <c r="H615" t="s">
        <v>33</v>
      </c>
      <c r="K615" t="s">
        <v>34</v>
      </c>
      <c r="L615" t="s">
        <v>35</v>
      </c>
      <c r="M615" t="s">
        <v>767</v>
      </c>
      <c r="Q615" t="s">
        <v>185</v>
      </c>
      <c r="R615" t="s">
        <v>768</v>
      </c>
      <c r="S615" t="s">
        <v>39</v>
      </c>
      <c r="T615" t="s">
        <v>61</v>
      </c>
      <c r="U615" t="s">
        <v>41</v>
      </c>
      <c r="V615" s="9" t="str">
        <f>HYPERLINK("https://app.ntsb.gov/pdfgenerator/ReportGeneratorFile.ashx?EventID=20160628X23537&amp;AKey=1&amp;Rtype=Final&amp;IType=LA","PDF Report")</f>
        <v>PDF Report</v>
      </c>
    </row>
    <row r="616" spans="1:22" x14ac:dyDescent="0.25">
      <c r="A616" t="s">
        <v>2518</v>
      </c>
      <c r="B616">
        <v>1</v>
      </c>
      <c r="C616" s="5">
        <v>42548</v>
      </c>
      <c r="D616" t="s">
        <v>2519</v>
      </c>
      <c r="E616" t="s">
        <v>2520</v>
      </c>
      <c r="F616" t="s">
        <v>559</v>
      </c>
      <c r="G616" t="s">
        <v>407</v>
      </c>
      <c r="H616" t="s">
        <v>33</v>
      </c>
      <c r="I616">
        <v>1</v>
      </c>
      <c r="K616" t="s">
        <v>90</v>
      </c>
      <c r="L616" t="s">
        <v>35</v>
      </c>
      <c r="M616" t="s">
        <v>36</v>
      </c>
      <c r="Q616" t="s">
        <v>37</v>
      </c>
      <c r="R616" t="s">
        <v>2521</v>
      </c>
      <c r="S616" t="s">
        <v>97</v>
      </c>
      <c r="T616" t="s">
        <v>79</v>
      </c>
      <c r="U616" t="s">
        <v>41</v>
      </c>
      <c r="V616" s="9" t="str">
        <f>HYPERLINK("https://app.ntsb.gov/pdfgenerator/ReportGeneratorFile.ashx?EventID=20160629X35606&amp;AKey=1&amp;Rtype=Final&amp;IType=LA","PDF Report")</f>
        <v>PDF Report</v>
      </c>
    </row>
    <row r="617" spans="1:22" x14ac:dyDescent="0.25">
      <c r="A617" t="s">
        <v>2522</v>
      </c>
      <c r="B617">
        <v>1</v>
      </c>
      <c r="C617" s="5">
        <v>42548</v>
      </c>
      <c r="D617" t="s">
        <v>2523</v>
      </c>
      <c r="E617" t="s">
        <v>2524</v>
      </c>
      <c r="F617" t="s">
        <v>1082</v>
      </c>
      <c r="G617" t="s">
        <v>54</v>
      </c>
      <c r="H617" t="s">
        <v>33</v>
      </c>
      <c r="K617" t="s">
        <v>34</v>
      </c>
      <c r="L617" t="s">
        <v>35</v>
      </c>
      <c r="M617" t="s">
        <v>36</v>
      </c>
      <c r="Q617" t="s">
        <v>37</v>
      </c>
      <c r="R617" t="s">
        <v>38</v>
      </c>
      <c r="S617" t="s">
        <v>131</v>
      </c>
      <c r="T617" t="s">
        <v>73</v>
      </c>
      <c r="U617" t="s">
        <v>41</v>
      </c>
      <c r="V617" s="9" t="str">
        <f>HYPERLINK("https://app.ntsb.gov/pdfgenerator/ReportGeneratorFile.ashx?EventID=20160712X52459&amp;AKey=1&amp;Rtype=Final&amp;IType=CA","PDF Report")</f>
        <v>PDF Report</v>
      </c>
    </row>
    <row r="618" spans="1:22" x14ac:dyDescent="0.25">
      <c r="A618" t="s">
        <v>2525</v>
      </c>
      <c r="B618">
        <v>1</v>
      </c>
      <c r="C618" s="5">
        <v>42549</v>
      </c>
      <c r="D618" t="s">
        <v>2526</v>
      </c>
      <c r="E618" t="s">
        <v>2527</v>
      </c>
      <c r="F618" t="s">
        <v>2528</v>
      </c>
      <c r="G618" t="s">
        <v>32</v>
      </c>
      <c r="H618" t="s">
        <v>33</v>
      </c>
      <c r="K618" t="s">
        <v>34</v>
      </c>
      <c r="L618" t="s">
        <v>35</v>
      </c>
      <c r="M618" t="s">
        <v>36</v>
      </c>
      <c r="Q618" t="s">
        <v>37</v>
      </c>
      <c r="R618" t="s">
        <v>130</v>
      </c>
      <c r="S618" t="s">
        <v>131</v>
      </c>
      <c r="T618" t="s">
        <v>73</v>
      </c>
      <c r="U618" t="s">
        <v>41</v>
      </c>
      <c r="V618" s="9" t="str">
        <f>HYPERLINK("https://app.ntsb.gov/pdfgenerator/ReportGeneratorFile.ashx?EventID=20160629X72937&amp;AKey=1&amp;Rtype=Final&amp;IType=CA","PDF Report")</f>
        <v>PDF Report</v>
      </c>
    </row>
    <row r="619" spans="1:22" x14ac:dyDescent="0.25">
      <c r="A619" t="s">
        <v>2529</v>
      </c>
      <c r="B619">
        <v>1</v>
      </c>
      <c r="C619" s="5">
        <v>42549</v>
      </c>
      <c r="D619" t="s">
        <v>2530</v>
      </c>
      <c r="E619" t="s">
        <v>2531</v>
      </c>
      <c r="F619" t="s">
        <v>2532</v>
      </c>
      <c r="G619" t="s">
        <v>287</v>
      </c>
      <c r="H619" t="s">
        <v>33</v>
      </c>
      <c r="L619" t="s">
        <v>35</v>
      </c>
      <c r="M619" t="s">
        <v>36</v>
      </c>
      <c r="Q619" t="s">
        <v>37</v>
      </c>
      <c r="R619" t="s">
        <v>505</v>
      </c>
      <c r="S619" t="s">
        <v>196</v>
      </c>
      <c r="T619" t="s">
        <v>79</v>
      </c>
      <c r="U619" t="s">
        <v>41</v>
      </c>
      <c r="V619" s="9" t="str">
        <f>HYPERLINK("https://app.ntsb.gov/pdfgenerator/ReportGeneratorFile.ashx?EventID=20160701X62525&amp;AKey=1&amp;Rtype=Final&amp;IType=CA","PDF Report")</f>
        <v>PDF Report</v>
      </c>
    </row>
    <row r="620" spans="1:22" x14ac:dyDescent="0.25">
      <c r="A620" t="s">
        <v>2533</v>
      </c>
      <c r="B620">
        <v>1</v>
      </c>
      <c r="C620" s="5">
        <v>42549</v>
      </c>
      <c r="D620" t="s">
        <v>2534</v>
      </c>
      <c r="E620" t="s">
        <v>2535</v>
      </c>
      <c r="F620" t="s">
        <v>2536</v>
      </c>
      <c r="G620" t="s">
        <v>66</v>
      </c>
      <c r="H620" t="s">
        <v>33</v>
      </c>
      <c r="K620" t="s">
        <v>34</v>
      </c>
      <c r="L620" t="s">
        <v>35</v>
      </c>
      <c r="M620" t="s">
        <v>767</v>
      </c>
      <c r="Q620" t="s">
        <v>37</v>
      </c>
      <c r="R620" t="s">
        <v>768</v>
      </c>
      <c r="S620" t="s">
        <v>48</v>
      </c>
      <c r="T620" t="s">
        <v>143</v>
      </c>
      <c r="U620" t="s">
        <v>41</v>
      </c>
      <c r="V620" s="9" t="str">
        <f>HYPERLINK("https://app.ntsb.gov/pdfgenerator/ReportGeneratorFile.ashx?EventID=20160706X31825&amp;AKey=1&amp;Rtype=Final&amp;IType=LA","PDF Report")</f>
        <v>PDF Report</v>
      </c>
    </row>
    <row r="621" spans="1:22" x14ac:dyDescent="0.25">
      <c r="A621" t="s">
        <v>2537</v>
      </c>
      <c r="B621">
        <v>1</v>
      </c>
      <c r="C621" s="5">
        <v>42550</v>
      </c>
      <c r="D621" t="s">
        <v>2538</v>
      </c>
      <c r="E621" t="s">
        <v>2539</v>
      </c>
      <c r="F621" t="s">
        <v>882</v>
      </c>
      <c r="G621" t="s">
        <v>883</v>
      </c>
      <c r="H621" t="s">
        <v>33</v>
      </c>
      <c r="K621" t="s">
        <v>34</v>
      </c>
      <c r="L621" t="s">
        <v>35</v>
      </c>
      <c r="M621" t="s">
        <v>36</v>
      </c>
      <c r="Q621" t="s">
        <v>37</v>
      </c>
      <c r="R621" t="s">
        <v>130</v>
      </c>
      <c r="S621" t="s">
        <v>84</v>
      </c>
      <c r="T621" t="s">
        <v>73</v>
      </c>
      <c r="U621" t="s">
        <v>41</v>
      </c>
      <c r="V621" s="9" t="str">
        <f>HYPERLINK("https://app.ntsb.gov/pdfgenerator/ReportGeneratorFile.ashx?EventID=20160629X34426&amp;AKey=1&amp;Rtype=Final&amp;IType=CA","PDF Report")</f>
        <v>PDF Report</v>
      </c>
    </row>
    <row r="622" spans="1:22" x14ac:dyDescent="0.25">
      <c r="A622" t="s">
        <v>2540</v>
      </c>
      <c r="B622">
        <v>1</v>
      </c>
      <c r="C622" s="5">
        <v>42550</v>
      </c>
      <c r="D622" t="s">
        <v>2541</v>
      </c>
      <c r="E622" t="s">
        <v>2542</v>
      </c>
      <c r="F622" t="s">
        <v>2543</v>
      </c>
      <c r="G622" t="s">
        <v>54</v>
      </c>
      <c r="H622" t="s">
        <v>33</v>
      </c>
      <c r="K622" t="s">
        <v>34</v>
      </c>
      <c r="L622" t="s">
        <v>35</v>
      </c>
      <c r="M622" t="s">
        <v>36</v>
      </c>
      <c r="Q622" t="s">
        <v>37</v>
      </c>
      <c r="R622" t="s">
        <v>170</v>
      </c>
      <c r="S622" t="s">
        <v>84</v>
      </c>
      <c r="T622" t="s">
        <v>73</v>
      </c>
      <c r="U622" t="s">
        <v>41</v>
      </c>
      <c r="V622" s="9" t="str">
        <f>HYPERLINK("https://app.ntsb.gov/pdfgenerator/ReportGeneratorFile.ashx?EventID=20160630X25142&amp;AKey=1&amp;Rtype=Final&amp;IType=CA","PDF Report")</f>
        <v>PDF Report</v>
      </c>
    </row>
    <row r="623" spans="1:22" x14ac:dyDescent="0.25">
      <c r="A623" t="s">
        <v>2544</v>
      </c>
      <c r="B623">
        <v>1</v>
      </c>
      <c r="C623" s="5">
        <v>42550</v>
      </c>
      <c r="D623" t="s">
        <v>2545</v>
      </c>
      <c r="E623" t="s">
        <v>2546</v>
      </c>
      <c r="F623" t="s">
        <v>2547</v>
      </c>
      <c r="G623" t="s">
        <v>136</v>
      </c>
      <c r="H623" t="s">
        <v>33</v>
      </c>
      <c r="K623" t="s">
        <v>34</v>
      </c>
      <c r="L623" t="s">
        <v>35</v>
      </c>
      <c r="M623" t="s">
        <v>36</v>
      </c>
      <c r="Q623" t="s">
        <v>37</v>
      </c>
      <c r="R623" t="s">
        <v>130</v>
      </c>
      <c r="S623" t="s">
        <v>39</v>
      </c>
      <c r="T623" t="s">
        <v>143</v>
      </c>
      <c r="U623" t="s">
        <v>41</v>
      </c>
      <c r="V623" s="9" t="str">
        <f>HYPERLINK("https://app.ntsb.gov/pdfgenerator/ReportGeneratorFile.ashx?EventID=20160630X31108&amp;AKey=1&amp;Rtype=Final&amp;IType=LA","PDF Report")</f>
        <v>PDF Report</v>
      </c>
    </row>
    <row r="624" spans="1:22" x14ac:dyDescent="0.25">
      <c r="A624" t="s">
        <v>2548</v>
      </c>
      <c r="B624">
        <v>1</v>
      </c>
      <c r="C624" s="5">
        <v>42550</v>
      </c>
      <c r="D624" t="s">
        <v>2549</v>
      </c>
      <c r="E624" t="s">
        <v>2550</v>
      </c>
      <c r="F624" t="s">
        <v>2372</v>
      </c>
      <c r="G624" t="s">
        <v>468</v>
      </c>
      <c r="H624" t="s">
        <v>33</v>
      </c>
      <c r="K624" t="s">
        <v>34</v>
      </c>
      <c r="L624" t="s">
        <v>35</v>
      </c>
      <c r="M624" t="s">
        <v>36</v>
      </c>
      <c r="Q624" t="s">
        <v>37</v>
      </c>
      <c r="R624" t="s">
        <v>38</v>
      </c>
      <c r="S624" t="s">
        <v>72</v>
      </c>
      <c r="T624" t="s">
        <v>49</v>
      </c>
      <c r="U624" t="s">
        <v>41</v>
      </c>
      <c r="V624" s="9" t="str">
        <f>HYPERLINK("https://app.ntsb.gov/pdfgenerator/ReportGeneratorFile.ashx?EventID=20160630X52348&amp;AKey=1&amp;Rtype=Final&amp;IType=CA","PDF Report")</f>
        <v>PDF Report</v>
      </c>
    </row>
    <row r="625" spans="1:22" x14ac:dyDescent="0.25">
      <c r="A625" t="s">
        <v>2551</v>
      </c>
      <c r="B625">
        <v>1</v>
      </c>
      <c r="C625" s="5">
        <v>42550</v>
      </c>
      <c r="D625" t="s">
        <v>2552</v>
      </c>
      <c r="E625" t="s">
        <v>2553</v>
      </c>
      <c r="F625" t="s">
        <v>368</v>
      </c>
      <c r="G625" t="s">
        <v>115</v>
      </c>
      <c r="H625" t="s">
        <v>33</v>
      </c>
      <c r="K625" t="s">
        <v>34</v>
      </c>
      <c r="L625" t="s">
        <v>35</v>
      </c>
      <c r="M625" t="s">
        <v>36</v>
      </c>
      <c r="Q625" t="s">
        <v>37</v>
      </c>
      <c r="R625" t="s">
        <v>130</v>
      </c>
      <c r="S625" t="s">
        <v>39</v>
      </c>
      <c r="T625" t="s">
        <v>73</v>
      </c>
      <c r="U625" t="s">
        <v>41</v>
      </c>
      <c r="V625" s="9" t="str">
        <f>HYPERLINK("https://app.ntsb.gov/pdfgenerator/ReportGeneratorFile.ashx?EventID=20160702X11441&amp;AKey=1&amp;Rtype=Final&amp;IType=LA","PDF Report")</f>
        <v>PDF Report</v>
      </c>
    </row>
    <row r="626" spans="1:22" x14ac:dyDescent="0.25">
      <c r="A626" t="s">
        <v>2554</v>
      </c>
      <c r="B626">
        <v>1</v>
      </c>
      <c r="C626" s="5">
        <v>42550</v>
      </c>
      <c r="D626" t="s">
        <v>2555</v>
      </c>
      <c r="E626" t="s">
        <v>2556</v>
      </c>
      <c r="F626" t="s">
        <v>2557</v>
      </c>
      <c r="G626" t="s">
        <v>407</v>
      </c>
      <c r="H626" t="s">
        <v>33</v>
      </c>
      <c r="J626">
        <v>1</v>
      </c>
      <c r="K626" t="s">
        <v>55</v>
      </c>
      <c r="L626" t="s">
        <v>35</v>
      </c>
      <c r="M626" t="s">
        <v>36</v>
      </c>
      <c r="Q626" t="s">
        <v>547</v>
      </c>
      <c r="R626" t="s">
        <v>130</v>
      </c>
      <c r="S626" t="s">
        <v>48</v>
      </c>
      <c r="T626" t="s">
        <v>73</v>
      </c>
      <c r="U626" t="s">
        <v>41</v>
      </c>
      <c r="V626" s="9" t="str">
        <f>HYPERLINK("https://app.ntsb.gov/pdfgenerator/ReportGeneratorFile.ashx?EventID=20160706X04332&amp;AKey=1&amp;Rtype=Final&amp;IType=LA","PDF Report")</f>
        <v>PDF Report</v>
      </c>
    </row>
    <row r="627" spans="1:22" x14ac:dyDescent="0.25">
      <c r="A627" t="s">
        <v>2558</v>
      </c>
      <c r="B627">
        <v>1</v>
      </c>
      <c r="C627" s="5">
        <v>42550</v>
      </c>
      <c r="D627" t="s">
        <v>2559</v>
      </c>
      <c r="E627" t="s">
        <v>2560</v>
      </c>
      <c r="F627" t="s">
        <v>2561</v>
      </c>
      <c r="G627" t="s">
        <v>136</v>
      </c>
      <c r="H627" t="s">
        <v>33</v>
      </c>
      <c r="K627" t="s">
        <v>47</v>
      </c>
      <c r="L627" t="s">
        <v>35</v>
      </c>
      <c r="M627" t="s">
        <v>36</v>
      </c>
      <c r="Q627" t="s">
        <v>37</v>
      </c>
      <c r="R627" t="s">
        <v>38</v>
      </c>
      <c r="S627" t="s">
        <v>39</v>
      </c>
      <c r="T627" t="s">
        <v>61</v>
      </c>
      <c r="U627" t="s">
        <v>41</v>
      </c>
      <c r="V627" s="9" t="str">
        <f>HYPERLINK("https://app.ntsb.gov/pdfgenerator/ReportGeneratorFile.ashx?EventID=20160801X62810&amp;AKey=1&amp;Rtype=Final&amp;IType=CA","PDF Report")</f>
        <v>PDF Report</v>
      </c>
    </row>
    <row r="628" spans="1:22" x14ac:dyDescent="0.25">
      <c r="A628" t="s">
        <v>2562</v>
      </c>
      <c r="B628">
        <v>1</v>
      </c>
      <c r="C628" s="5">
        <v>42551</v>
      </c>
      <c r="D628" t="s">
        <v>2563</v>
      </c>
      <c r="E628" t="s">
        <v>2564</v>
      </c>
      <c r="F628" t="s">
        <v>2565</v>
      </c>
      <c r="G628" t="s">
        <v>789</v>
      </c>
      <c r="H628" t="s">
        <v>33</v>
      </c>
      <c r="K628" t="s">
        <v>34</v>
      </c>
      <c r="L628" t="s">
        <v>35</v>
      </c>
      <c r="M628" t="s">
        <v>36</v>
      </c>
      <c r="Q628" t="s">
        <v>37</v>
      </c>
      <c r="R628" t="s">
        <v>130</v>
      </c>
      <c r="S628" t="s">
        <v>48</v>
      </c>
      <c r="T628" t="s">
        <v>73</v>
      </c>
      <c r="U628" t="s">
        <v>41</v>
      </c>
      <c r="V628" s="9" t="str">
        <f>HYPERLINK("https://app.ntsb.gov/pdfgenerator/ReportGeneratorFile.ashx?EventID=20160630X33949&amp;AKey=1&amp;Rtype=Final&amp;IType=LA","PDF Report")</f>
        <v>PDF Report</v>
      </c>
    </row>
    <row r="629" spans="1:22" x14ac:dyDescent="0.25">
      <c r="A629" t="s">
        <v>2566</v>
      </c>
      <c r="B629">
        <v>1</v>
      </c>
      <c r="C629" s="5">
        <v>42551</v>
      </c>
      <c r="D629" t="s">
        <v>2567</v>
      </c>
      <c r="E629" t="s">
        <v>2568</v>
      </c>
      <c r="F629" t="s">
        <v>2569</v>
      </c>
      <c r="G629" t="s">
        <v>109</v>
      </c>
      <c r="H629" t="s">
        <v>33</v>
      </c>
      <c r="K629" t="s">
        <v>34</v>
      </c>
      <c r="L629" t="s">
        <v>35</v>
      </c>
      <c r="M629" t="s">
        <v>767</v>
      </c>
      <c r="Q629" t="s">
        <v>37</v>
      </c>
      <c r="R629" t="s">
        <v>768</v>
      </c>
      <c r="S629" t="s">
        <v>72</v>
      </c>
      <c r="T629" t="s">
        <v>73</v>
      </c>
      <c r="U629" t="s">
        <v>41</v>
      </c>
      <c r="V629" s="9" t="str">
        <f>HYPERLINK("https://app.ntsb.gov/pdfgenerator/ReportGeneratorFile.ashx?EventID=20160705X21318&amp;AKey=1&amp;Rtype=Final&amp;IType=CA","PDF Report")</f>
        <v>PDF Report</v>
      </c>
    </row>
    <row r="630" spans="1:22" x14ac:dyDescent="0.25">
      <c r="A630" t="s">
        <v>2570</v>
      </c>
      <c r="B630">
        <v>1</v>
      </c>
      <c r="C630" s="5">
        <v>42551</v>
      </c>
      <c r="D630" t="s">
        <v>2571</v>
      </c>
      <c r="E630" t="s">
        <v>2572</v>
      </c>
      <c r="F630" t="s">
        <v>2573</v>
      </c>
      <c r="G630" t="s">
        <v>312</v>
      </c>
      <c r="H630" t="s">
        <v>33</v>
      </c>
      <c r="K630" t="s">
        <v>34</v>
      </c>
      <c r="L630" t="s">
        <v>35</v>
      </c>
      <c r="M630" t="s">
        <v>36</v>
      </c>
      <c r="Q630" t="s">
        <v>37</v>
      </c>
      <c r="R630" t="s">
        <v>38</v>
      </c>
      <c r="S630" t="s">
        <v>39</v>
      </c>
      <c r="T630" t="s">
        <v>143</v>
      </c>
      <c r="U630" t="s">
        <v>41</v>
      </c>
      <c r="V630" s="9" t="str">
        <f>HYPERLINK("https://app.ntsb.gov/pdfgenerator/ReportGeneratorFile.ashx?EventID=20160705X24326&amp;AKey=1&amp;Rtype=Final&amp;IType=LA","PDF Report")</f>
        <v>PDF Report</v>
      </c>
    </row>
    <row r="631" spans="1:22" x14ac:dyDescent="0.25">
      <c r="A631" t="s">
        <v>2574</v>
      </c>
      <c r="B631">
        <v>1</v>
      </c>
      <c r="C631" s="5">
        <v>42551</v>
      </c>
      <c r="D631" t="s">
        <v>2575</v>
      </c>
      <c r="E631" t="s">
        <v>2576</v>
      </c>
      <c r="F631" t="s">
        <v>2577</v>
      </c>
      <c r="G631" t="s">
        <v>96</v>
      </c>
      <c r="H631" t="s">
        <v>33</v>
      </c>
      <c r="K631" t="s">
        <v>34</v>
      </c>
      <c r="L631" t="s">
        <v>35</v>
      </c>
      <c r="M631" t="s">
        <v>36</v>
      </c>
      <c r="Q631" t="s">
        <v>37</v>
      </c>
      <c r="R631" t="s">
        <v>38</v>
      </c>
      <c r="S631" t="s">
        <v>1330</v>
      </c>
      <c r="T631" t="s">
        <v>143</v>
      </c>
      <c r="U631" t="s">
        <v>41</v>
      </c>
      <c r="V631" s="9" t="str">
        <f>HYPERLINK("https://app.ntsb.gov/pdfgenerator/ReportGeneratorFile.ashx?EventID=20160705X80153&amp;AKey=1&amp;Rtype=Final&amp;IType=CA","PDF Report")</f>
        <v>PDF Report</v>
      </c>
    </row>
    <row r="632" spans="1:22" x14ac:dyDescent="0.25">
      <c r="A632" t="s">
        <v>2578</v>
      </c>
      <c r="B632">
        <v>1</v>
      </c>
      <c r="C632" s="5">
        <v>42551</v>
      </c>
      <c r="D632" t="s">
        <v>2579</v>
      </c>
      <c r="E632" t="s">
        <v>2580</v>
      </c>
      <c r="F632" t="s">
        <v>2581</v>
      </c>
      <c r="G632" t="s">
        <v>120</v>
      </c>
      <c r="H632" t="s">
        <v>33</v>
      </c>
      <c r="K632" t="s">
        <v>34</v>
      </c>
      <c r="L632" t="s">
        <v>35</v>
      </c>
      <c r="M632" t="s">
        <v>473</v>
      </c>
      <c r="Q632" t="s">
        <v>37</v>
      </c>
      <c r="R632" t="s">
        <v>2230</v>
      </c>
      <c r="S632" t="s">
        <v>84</v>
      </c>
      <c r="T632" t="s">
        <v>73</v>
      </c>
      <c r="U632" t="s">
        <v>41</v>
      </c>
      <c r="V632" s="9" t="str">
        <f>HYPERLINK("https://app.ntsb.gov/pdfgenerator/ReportGeneratorFile.ashx?EventID=20160706X01743&amp;AKey=1&amp;Rtype=Final&amp;IType=CA","PDF Report")</f>
        <v>PDF Report</v>
      </c>
    </row>
    <row r="633" spans="1:22" x14ac:dyDescent="0.25">
      <c r="A633" t="s">
        <v>2582</v>
      </c>
      <c r="B633">
        <v>1</v>
      </c>
      <c r="C633" s="5">
        <v>42551</v>
      </c>
      <c r="D633" t="s">
        <v>2583</v>
      </c>
      <c r="E633" t="s">
        <v>2584</v>
      </c>
      <c r="F633" t="s">
        <v>2585</v>
      </c>
      <c r="G633" t="s">
        <v>96</v>
      </c>
      <c r="H633" t="s">
        <v>33</v>
      </c>
      <c r="K633" t="s">
        <v>34</v>
      </c>
      <c r="L633" t="s">
        <v>35</v>
      </c>
      <c r="M633" t="s">
        <v>36</v>
      </c>
      <c r="Q633" t="s">
        <v>37</v>
      </c>
      <c r="R633" t="s">
        <v>38</v>
      </c>
      <c r="S633" t="s">
        <v>163</v>
      </c>
      <c r="T633" t="s">
        <v>378</v>
      </c>
      <c r="U633" t="s">
        <v>41</v>
      </c>
      <c r="V633" s="9" t="str">
        <f>HYPERLINK("https://app.ntsb.gov/pdfgenerator/ReportGeneratorFile.ashx?EventID=20160711X32559&amp;AKey=1&amp;Rtype=Final&amp;IType=CA","PDF Report")</f>
        <v>PDF Report</v>
      </c>
    </row>
    <row r="634" spans="1:22" x14ac:dyDescent="0.25">
      <c r="A634" t="s">
        <v>2586</v>
      </c>
      <c r="B634">
        <v>1</v>
      </c>
      <c r="C634" s="5">
        <v>42552</v>
      </c>
      <c r="D634" t="s">
        <v>2587</v>
      </c>
      <c r="E634" t="s">
        <v>2588</v>
      </c>
      <c r="F634" t="s">
        <v>2589</v>
      </c>
      <c r="G634" t="s">
        <v>66</v>
      </c>
      <c r="H634" t="s">
        <v>33</v>
      </c>
      <c r="J634">
        <v>1</v>
      </c>
      <c r="K634" t="s">
        <v>55</v>
      </c>
      <c r="L634" t="s">
        <v>35</v>
      </c>
      <c r="M634" t="s">
        <v>36</v>
      </c>
      <c r="Q634" t="s">
        <v>1299</v>
      </c>
      <c r="R634" t="s">
        <v>38</v>
      </c>
      <c r="S634" t="s">
        <v>48</v>
      </c>
      <c r="T634" t="s">
        <v>40</v>
      </c>
      <c r="U634" t="s">
        <v>41</v>
      </c>
      <c r="V634" s="9" t="str">
        <f>HYPERLINK("https://app.ntsb.gov/pdfgenerator/ReportGeneratorFile.ashx?EventID=20160705X45456&amp;AKey=1&amp;Rtype=Final&amp;IType=LA","PDF Report")</f>
        <v>PDF Report</v>
      </c>
    </row>
    <row r="635" spans="1:22" x14ac:dyDescent="0.25">
      <c r="A635" t="s">
        <v>2590</v>
      </c>
      <c r="B635">
        <v>1</v>
      </c>
      <c r="C635" s="5">
        <v>42552</v>
      </c>
      <c r="D635" t="s">
        <v>2591</v>
      </c>
      <c r="E635" t="s">
        <v>2592</v>
      </c>
      <c r="F635" t="s">
        <v>1357</v>
      </c>
      <c r="G635" t="s">
        <v>348</v>
      </c>
      <c r="H635" t="s">
        <v>33</v>
      </c>
      <c r="K635" t="s">
        <v>47</v>
      </c>
      <c r="L635" t="s">
        <v>35</v>
      </c>
      <c r="M635" t="s">
        <v>36</v>
      </c>
      <c r="Q635" t="s">
        <v>37</v>
      </c>
      <c r="R635" t="s">
        <v>38</v>
      </c>
      <c r="S635" t="s">
        <v>60</v>
      </c>
      <c r="T635" t="s">
        <v>79</v>
      </c>
      <c r="U635" t="s">
        <v>41</v>
      </c>
      <c r="V635" s="9" t="str">
        <f>HYPERLINK("https://app.ntsb.gov/pdfgenerator/ReportGeneratorFile.ashx?EventID=20160705X52117&amp;AKey=1&amp;Rtype=Final&amp;IType=CA","PDF Report")</f>
        <v>PDF Report</v>
      </c>
    </row>
    <row r="636" spans="1:22" x14ac:dyDescent="0.25">
      <c r="A636" t="s">
        <v>2593</v>
      </c>
      <c r="B636">
        <v>1</v>
      </c>
      <c r="C636" s="5">
        <v>42552</v>
      </c>
      <c r="D636" t="s">
        <v>1247</v>
      </c>
      <c r="E636" t="s">
        <v>2594</v>
      </c>
      <c r="F636" t="s">
        <v>2595</v>
      </c>
      <c r="G636" t="s">
        <v>242</v>
      </c>
      <c r="H636" t="s">
        <v>33</v>
      </c>
      <c r="K636" t="s">
        <v>34</v>
      </c>
      <c r="L636" t="s">
        <v>35</v>
      </c>
      <c r="M636" t="s">
        <v>36</v>
      </c>
      <c r="Q636" t="s">
        <v>37</v>
      </c>
      <c r="R636" t="s">
        <v>130</v>
      </c>
      <c r="S636" t="s">
        <v>201</v>
      </c>
      <c r="T636" t="s">
        <v>40</v>
      </c>
      <c r="U636" t="s">
        <v>41</v>
      </c>
      <c r="V636" s="9" t="str">
        <f>HYPERLINK("https://app.ntsb.gov/pdfgenerator/ReportGeneratorFile.ashx?EventID=20160705X75553&amp;AKey=1&amp;Rtype=Final&amp;IType=CA","PDF Report")</f>
        <v>PDF Report</v>
      </c>
    </row>
    <row r="637" spans="1:22" x14ac:dyDescent="0.25">
      <c r="A637" t="s">
        <v>2596</v>
      </c>
      <c r="B637">
        <v>1</v>
      </c>
      <c r="C637" s="5">
        <v>42552</v>
      </c>
      <c r="D637" t="s">
        <v>2597</v>
      </c>
      <c r="E637" t="s">
        <v>2598</v>
      </c>
      <c r="F637" t="s">
        <v>2599</v>
      </c>
      <c r="G637" t="s">
        <v>538</v>
      </c>
      <c r="H637" t="s">
        <v>33</v>
      </c>
      <c r="K637" t="s">
        <v>47</v>
      </c>
      <c r="L637" t="s">
        <v>35</v>
      </c>
      <c r="M637" t="s">
        <v>36</v>
      </c>
      <c r="Q637" t="s">
        <v>37</v>
      </c>
      <c r="R637" t="s">
        <v>38</v>
      </c>
      <c r="S637" t="s">
        <v>84</v>
      </c>
      <c r="T637" t="s">
        <v>73</v>
      </c>
      <c r="U637" t="s">
        <v>41</v>
      </c>
      <c r="V637" s="9" t="str">
        <f>HYPERLINK("https://app.ntsb.gov/pdfgenerator/ReportGeneratorFile.ashx?EventID=20160705X81940&amp;AKey=1&amp;Rtype=Final&amp;IType=LA","PDF Report")</f>
        <v>PDF Report</v>
      </c>
    </row>
    <row r="638" spans="1:22" x14ac:dyDescent="0.25">
      <c r="A638" t="s">
        <v>2600</v>
      </c>
      <c r="B638">
        <v>1</v>
      </c>
      <c r="C638" s="5">
        <v>42552</v>
      </c>
      <c r="D638" t="s">
        <v>2601</v>
      </c>
      <c r="E638" t="s">
        <v>2602</v>
      </c>
      <c r="F638" t="s">
        <v>2603</v>
      </c>
      <c r="G638" t="s">
        <v>180</v>
      </c>
      <c r="H638" t="s">
        <v>33</v>
      </c>
      <c r="K638" t="s">
        <v>34</v>
      </c>
      <c r="L638" t="s">
        <v>35</v>
      </c>
      <c r="M638" t="s">
        <v>36</v>
      </c>
      <c r="Q638" t="s">
        <v>185</v>
      </c>
      <c r="R638" t="s">
        <v>130</v>
      </c>
      <c r="S638" t="s">
        <v>84</v>
      </c>
      <c r="T638" t="s">
        <v>73</v>
      </c>
      <c r="U638" t="s">
        <v>41</v>
      </c>
      <c r="V638" s="9" t="str">
        <f>HYPERLINK("https://app.ntsb.gov/pdfgenerator/ReportGeneratorFile.ashx?EventID=20160706X41619&amp;AKey=1&amp;Rtype=Final&amp;IType=CA","PDF Report")</f>
        <v>PDF Report</v>
      </c>
    </row>
    <row r="639" spans="1:22" x14ac:dyDescent="0.25">
      <c r="A639" t="s">
        <v>2604</v>
      </c>
      <c r="B639">
        <v>1</v>
      </c>
      <c r="C639" s="5">
        <v>42552</v>
      </c>
      <c r="D639" t="s">
        <v>2605</v>
      </c>
      <c r="E639" t="s">
        <v>2606</v>
      </c>
      <c r="F639" t="s">
        <v>2607</v>
      </c>
      <c r="G639" t="s">
        <v>264</v>
      </c>
      <c r="H639" t="s">
        <v>33</v>
      </c>
      <c r="K639" t="s">
        <v>34</v>
      </c>
      <c r="L639" t="s">
        <v>35</v>
      </c>
      <c r="M639" t="s">
        <v>36</v>
      </c>
      <c r="Q639" t="s">
        <v>37</v>
      </c>
      <c r="R639" t="s">
        <v>130</v>
      </c>
      <c r="S639" t="s">
        <v>84</v>
      </c>
      <c r="T639" t="s">
        <v>73</v>
      </c>
      <c r="U639" t="s">
        <v>41</v>
      </c>
      <c r="V639" s="9" t="str">
        <f>HYPERLINK("https://app.ntsb.gov/pdfgenerator/ReportGeneratorFile.ashx?EventID=20160708X44826&amp;AKey=1&amp;Rtype=Final&amp;IType=CA","PDF Report")</f>
        <v>PDF Report</v>
      </c>
    </row>
    <row r="640" spans="1:22" x14ac:dyDescent="0.25">
      <c r="A640" t="s">
        <v>2608</v>
      </c>
      <c r="B640">
        <v>1</v>
      </c>
      <c r="C640" s="5">
        <v>42552</v>
      </c>
      <c r="D640" t="s">
        <v>2609</v>
      </c>
      <c r="E640" t="s">
        <v>2610</v>
      </c>
      <c r="F640" t="s">
        <v>2611</v>
      </c>
      <c r="G640" t="s">
        <v>712</v>
      </c>
      <c r="H640" t="s">
        <v>33</v>
      </c>
      <c r="K640" t="s">
        <v>34</v>
      </c>
      <c r="L640" t="s">
        <v>35</v>
      </c>
      <c r="M640" t="s">
        <v>36</v>
      </c>
      <c r="Q640" t="s">
        <v>37</v>
      </c>
      <c r="R640" t="s">
        <v>130</v>
      </c>
      <c r="S640" t="s">
        <v>84</v>
      </c>
      <c r="T640" t="s">
        <v>79</v>
      </c>
      <c r="U640" t="s">
        <v>41</v>
      </c>
      <c r="V640" s="9" t="str">
        <f>HYPERLINK("https://app.ntsb.gov/pdfgenerator/ReportGeneratorFile.ashx?EventID=20160829X13020&amp;AKey=1&amp;Rtype=Final&amp;IType=CA","PDF Report")</f>
        <v>PDF Report</v>
      </c>
    </row>
    <row r="641" spans="1:22" x14ac:dyDescent="0.25">
      <c r="A641" t="s">
        <v>2612</v>
      </c>
      <c r="B641">
        <v>1</v>
      </c>
      <c r="C641" s="5">
        <v>42553</v>
      </c>
      <c r="D641" t="s">
        <v>2613</v>
      </c>
      <c r="E641" t="s">
        <v>2614</v>
      </c>
      <c r="F641" t="s">
        <v>2615</v>
      </c>
      <c r="G641" t="s">
        <v>450</v>
      </c>
      <c r="H641" t="s">
        <v>33</v>
      </c>
      <c r="K641" t="s">
        <v>34</v>
      </c>
      <c r="L641" t="s">
        <v>35</v>
      </c>
      <c r="M641" t="s">
        <v>36</v>
      </c>
      <c r="Q641" t="s">
        <v>37</v>
      </c>
      <c r="R641" t="s">
        <v>130</v>
      </c>
      <c r="S641" t="s">
        <v>39</v>
      </c>
      <c r="T641" t="s">
        <v>40</v>
      </c>
      <c r="U641" t="s">
        <v>41</v>
      </c>
      <c r="V641" s="9" t="str">
        <f>HYPERLINK("https://app.ntsb.gov/pdfgenerator/ReportGeneratorFile.ashx?EventID=20160628X11736&amp;AKey=1&amp;Rtype=Final&amp;IType=LA","PDF Report")</f>
        <v>PDF Report</v>
      </c>
    </row>
    <row r="642" spans="1:22" x14ac:dyDescent="0.25">
      <c r="A642" t="s">
        <v>2616</v>
      </c>
      <c r="B642">
        <v>1</v>
      </c>
      <c r="C642" s="5">
        <v>42553</v>
      </c>
      <c r="D642" t="s">
        <v>2617</v>
      </c>
      <c r="E642" t="s">
        <v>2618</v>
      </c>
      <c r="F642" t="s">
        <v>2536</v>
      </c>
      <c r="G642" t="s">
        <v>66</v>
      </c>
      <c r="H642" t="s">
        <v>33</v>
      </c>
      <c r="K642" t="s">
        <v>34</v>
      </c>
      <c r="L642" t="s">
        <v>35</v>
      </c>
      <c r="M642" t="s">
        <v>767</v>
      </c>
      <c r="Q642" t="s">
        <v>185</v>
      </c>
      <c r="R642" t="s">
        <v>768</v>
      </c>
      <c r="S642" t="s">
        <v>39</v>
      </c>
      <c r="T642" t="s">
        <v>40</v>
      </c>
      <c r="U642" t="s">
        <v>41</v>
      </c>
      <c r="V642" s="9" t="str">
        <f>HYPERLINK("https://app.ntsb.gov/pdfgenerator/ReportGeneratorFile.ashx?EventID=20160702X94036&amp;AKey=1&amp;Rtype=Final&amp;IType=LA","PDF Report")</f>
        <v>PDF Report</v>
      </c>
    </row>
    <row r="643" spans="1:22" x14ac:dyDescent="0.25">
      <c r="A643" t="s">
        <v>2619</v>
      </c>
      <c r="B643">
        <v>1</v>
      </c>
      <c r="C643" s="5">
        <v>42553</v>
      </c>
      <c r="D643" t="s">
        <v>2620</v>
      </c>
      <c r="E643" t="s">
        <v>2621</v>
      </c>
      <c r="F643" t="s">
        <v>2622</v>
      </c>
      <c r="G643" t="s">
        <v>125</v>
      </c>
      <c r="H643" t="s">
        <v>33</v>
      </c>
      <c r="K643" t="s">
        <v>47</v>
      </c>
      <c r="L643" t="s">
        <v>35</v>
      </c>
      <c r="M643" t="s">
        <v>36</v>
      </c>
      <c r="Q643" t="s">
        <v>37</v>
      </c>
      <c r="R643" t="s">
        <v>38</v>
      </c>
      <c r="S643" t="s">
        <v>72</v>
      </c>
      <c r="T643" t="s">
        <v>73</v>
      </c>
      <c r="U643" t="s">
        <v>41</v>
      </c>
      <c r="V643" s="9" t="str">
        <f>HYPERLINK("https://app.ntsb.gov/pdfgenerator/ReportGeneratorFile.ashx?EventID=20160703X64604&amp;AKey=1&amp;Rtype=Final&amp;IType=CA","PDF Report")</f>
        <v>PDF Report</v>
      </c>
    </row>
    <row r="644" spans="1:22" x14ac:dyDescent="0.25">
      <c r="A644" t="s">
        <v>2623</v>
      </c>
      <c r="B644">
        <v>1</v>
      </c>
      <c r="C644" s="5">
        <v>42553</v>
      </c>
      <c r="D644" t="s">
        <v>2624</v>
      </c>
      <c r="E644" t="s">
        <v>2625</v>
      </c>
      <c r="F644" t="s">
        <v>2626</v>
      </c>
      <c r="G644" t="s">
        <v>46</v>
      </c>
      <c r="H644" t="s">
        <v>33</v>
      </c>
      <c r="J644">
        <v>1</v>
      </c>
      <c r="K644" t="s">
        <v>55</v>
      </c>
      <c r="L644" t="s">
        <v>35</v>
      </c>
      <c r="M644" t="s">
        <v>36</v>
      </c>
      <c r="Q644" t="s">
        <v>37</v>
      </c>
      <c r="R644" t="s">
        <v>38</v>
      </c>
      <c r="S644" t="s">
        <v>48</v>
      </c>
      <c r="T644" t="s">
        <v>49</v>
      </c>
      <c r="U644" t="s">
        <v>41</v>
      </c>
      <c r="V644" s="9" t="str">
        <f>HYPERLINK("https://app.ntsb.gov/pdfgenerator/ReportGeneratorFile.ashx?EventID=20160705X00857&amp;AKey=1&amp;Rtype=Final&amp;IType=CA","PDF Report")</f>
        <v>PDF Report</v>
      </c>
    </row>
    <row r="645" spans="1:22" x14ac:dyDescent="0.25">
      <c r="A645" t="s">
        <v>2627</v>
      </c>
      <c r="B645">
        <v>1</v>
      </c>
      <c r="C645" s="5">
        <v>42553</v>
      </c>
      <c r="D645" t="s">
        <v>2060</v>
      </c>
      <c r="E645" t="s">
        <v>2628</v>
      </c>
      <c r="F645" t="s">
        <v>1908</v>
      </c>
      <c r="G645" t="s">
        <v>2629</v>
      </c>
      <c r="H645" t="s">
        <v>33</v>
      </c>
      <c r="K645" t="s">
        <v>34</v>
      </c>
      <c r="L645" t="s">
        <v>35</v>
      </c>
      <c r="M645" t="s">
        <v>767</v>
      </c>
      <c r="Q645" t="s">
        <v>37</v>
      </c>
      <c r="R645" t="s">
        <v>768</v>
      </c>
      <c r="S645" t="s">
        <v>39</v>
      </c>
      <c r="T645" t="s">
        <v>40</v>
      </c>
      <c r="U645" t="s">
        <v>41</v>
      </c>
      <c r="V645" s="9" t="str">
        <f>HYPERLINK("https://app.ntsb.gov/pdfgenerator/ReportGeneratorFile.ashx?EventID=20160705X45958&amp;AKey=1&amp;Rtype=Final&amp;IType=LA","PDF Report")</f>
        <v>PDF Report</v>
      </c>
    </row>
    <row r="646" spans="1:22" x14ac:dyDescent="0.25">
      <c r="A646" t="s">
        <v>2630</v>
      </c>
      <c r="B646">
        <v>1</v>
      </c>
      <c r="C646" s="5">
        <v>42553</v>
      </c>
      <c r="D646" t="s">
        <v>2631</v>
      </c>
      <c r="E646" t="s">
        <v>2632</v>
      </c>
      <c r="F646" t="s">
        <v>2633</v>
      </c>
      <c r="G646" t="s">
        <v>96</v>
      </c>
      <c r="H646" t="s">
        <v>33</v>
      </c>
      <c r="K646" t="s">
        <v>34</v>
      </c>
      <c r="L646" t="s">
        <v>35</v>
      </c>
      <c r="M646" t="s">
        <v>36</v>
      </c>
      <c r="Q646" t="s">
        <v>37</v>
      </c>
      <c r="R646" t="s">
        <v>38</v>
      </c>
      <c r="S646" t="s">
        <v>196</v>
      </c>
      <c r="T646" t="s">
        <v>49</v>
      </c>
      <c r="U646" t="s">
        <v>41</v>
      </c>
      <c r="V646" s="9" t="str">
        <f>HYPERLINK("https://app.ntsb.gov/pdfgenerator/ReportGeneratorFile.ashx?EventID=20160705X81953&amp;AKey=1&amp;Rtype=Final&amp;IType=LA","PDF Report")</f>
        <v>PDF Report</v>
      </c>
    </row>
    <row r="647" spans="1:22" x14ac:dyDescent="0.25">
      <c r="A647" t="s">
        <v>2634</v>
      </c>
      <c r="B647">
        <v>1</v>
      </c>
      <c r="C647" s="5">
        <v>42553</v>
      </c>
      <c r="D647" t="s">
        <v>2635</v>
      </c>
      <c r="E647" t="s">
        <v>2636</v>
      </c>
      <c r="F647" t="s">
        <v>623</v>
      </c>
      <c r="G647" t="s">
        <v>115</v>
      </c>
      <c r="H647" t="s">
        <v>33</v>
      </c>
      <c r="K647" t="s">
        <v>34</v>
      </c>
      <c r="L647" t="s">
        <v>35</v>
      </c>
      <c r="M647" t="s">
        <v>36</v>
      </c>
      <c r="Q647" t="s">
        <v>37</v>
      </c>
      <c r="R647" t="s">
        <v>130</v>
      </c>
      <c r="S647" t="s">
        <v>131</v>
      </c>
      <c r="T647" t="s">
        <v>73</v>
      </c>
      <c r="U647" t="s">
        <v>41</v>
      </c>
      <c r="V647" s="9" t="str">
        <f>HYPERLINK("https://app.ntsb.gov/pdfgenerator/ReportGeneratorFile.ashx?EventID=20160705X84715&amp;AKey=1&amp;Rtype=Final&amp;IType=CA","PDF Report")</f>
        <v>PDF Report</v>
      </c>
    </row>
    <row r="648" spans="1:22" x14ac:dyDescent="0.25">
      <c r="A648" t="s">
        <v>2637</v>
      </c>
      <c r="B648">
        <v>1</v>
      </c>
      <c r="C648" s="5">
        <v>42553</v>
      </c>
      <c r="D648" t="s">
        <v>2638</v>
      </c>
      <c r="E648" t="s">
        <v>2639</v>
      </c>
      <c r="F648" t="s">
        <v>2640</v>
      </c>
      <c r="G648" t="s">
        <v>407</v>
      </c>
      <c r="H648" t="s">
        <v>33</v>
      </c>
      <c r="K648" t="s">
        <v>47</v>
      </c>
      <c r="L648" t="s">
        <v>35</v>
      </c>
      <c r="M648" t="s">
        <v>36</v>
      </c>
      <c r="Q648" t="s">
        <v>37</v>
      </c>
      <c r="R648" t="s">
        <v>38</v>
      </c>
      <c r="S648" t="s">
        <v>396</v>
      </c>
      <c r="T648" t="s">
        <v>79</v>
      </c>
      <c r="U648" t="s">
        <v>41</v>
      </c>
      <c r="V648" s="9" t="str">
        <f>HYPERLINK("https://app.ntsb.gov/pdfgenerator/ReportGeneratorFile.ashx?EventID=20160707X02810&amp;AKey=1&amp;Rtype=Final&amp;IType=LA","PDF Report")</f>
        <v>PDF Report</v>
      </c>
    </row>
    <row r="649" spans="1:22" x14ac:dyDescent="0.25">
      <c r="A649" t="s">
        <v>2641</v>
      </c>
      <c r="B649">
        <v>1</v>
      </c>
      <c r="C649" s="5">
        <v>42553</v>
      </c>
      <c r="D649" t="s">
        <v>2642</v>
      </c>
      <c r="E649" t="s">
        <v>2643</v>
      </c>
      <c r="F649" t="s">
        <v>2644</v>
      </c>
      <c r="G649" t="s">
        <v>96</v>
      </c>
      <c r="H649" t="s">
        <v>33</v>
      </c>
      <c r="K649" t="s">
        <v>47</v>
      </c>
      <c r="L649" t="s">
        <v>35</v>
      </c>
      <c r="M649" t="s">
        <v>36</v>
      </c>
      <c r="Q649" t="s">
        <v>37</v>
      </c>
      <c r="R649" t="s">
        <v>170</v>
      </c>
      <c r="S649" t="s">
        <v>97</v>
      </c>
      <c r="T649" t="s">
        <v>61</v>
      </c>
      <c r="U649" t="s">
        <v>41</v>
      </c>
      <c r="V649" s="9" t="str">
        <f>HYPERLINK("https://app.ntsb.gov/pdfgenerator/ReportGeneratorFile.ashx?EventID=20160707X31638&amp;AKey=1&amp;Rtype=Final&amp;IType=LA","PDF Report")</f>
        <v>PDF Report</v>
      </c>
    </row>
    <row r="650" spans="1:22" x14ac:dyDescent="0.25">
      <c r="A650" t="s">
        <v>2645</v>
      </c>
      <c r="B650">
        <v>1</v>
      </c>
      <c r="C650" s="5">
        <v>42553</v>
      </c>
      <c r="D650" t="s">
        <v>2646</v>
      </c>
      <c r="E650" t="s">
        <v>2647</v>
      </c>
      <c r="F650" t="s">
        <v>2648</v>
      </c>
      <c r="G650" t="s">
        <v>322</v>
      </c>
      <c r="H650" t="s">
        <v>33</v>
      </c>
      <c r="K650" t="s">
        <v>34</v>
      </c>
      <c r="L650" t="s">
        <v>35</v>
      </c>
      <c r="M650" t="s">
        <v>36</v>
      </c>
      <c r="Q650" t="s">
        <v>37</v>
      </c>
      <c r="R650" t="s">
        <v>38</v>
      </c>
      <c r="S650" t="s">
        <v>84</v>
      </c>
      <c r="T650" t="s">
        <v>73</v>
      </c>
      <c r="U650" t="s">
        <v>41</v>
      </c>
      <c r="V650" s="9" t="str">
        <f>HYPERLINK("https://app.ntsb.gov/pdfgenerator/ReportGeneratorFile.ashx?EventID=20160712X25544&amp;AKey=1&amp;Rtype=Final&amp;IType=LA","PDF Report")</f>
        <v>PDF Report</v>
      </c>
    </row>
    <row r="651" spans="1:22" x14ac:dyDescent="0.25">
      <c r="A651" t="s">
        <v>2649</v>
      </c>
      <c r="B651">
        <v>1</v>
      </c>
      <c r="C651" s="5">
        <v>42554</v>
      </c>
      <c r="D651" t="s">
        <v>2650</v>
      </c>
      <c r="E651" t="s">
        <v>2651</v>
      </c>
      <c r="F651" t="s">
        <v>2652</v>
      </c>
      <c r="G651" t="s">
        <v>66</v>
      </c>
      <c r="H651" t="s">
        <v>33</v>
      </c>
      <c r="K651" t="s">
        <v>47</v>
      </c>
      <c r="L651" t="s">
        <v>110</v>
      </c>
      <c r="M651" t="s">
        <v>36</v>
      </c>
      <c r="Q651" t="s">
        <v>37</v>
      </c>
      <c r="R651" t="s">
        <v>38</v>
      </c>
      <c r="S651" t="s">
        <v>48</v>
      </c>
      <c r="T651" t="s">
        <v>49</v>
      </c>
      <c r="U651" t="s">
        <v>41</v>
      </c>
      <c r="V651" s="9" t="str">
        <f>HYPERLINK("https://app.ntsb.gov/pdfgenerator/ReportGeneratorFile.ashx?EventID=20160703X92040&amp;AKey=1&amp;Rtype=Final&amp;IType=CA","PDF Report")</f>
        <v>PDF Report</v>
      </c>
    </row>
    <row r="652" spans="1:22" x14ac:dyDescent="0.25">
      <c r="A652" t="s">
        <v>2653</v>
      </c>
      <c r="B652">
        <v>1</v>
      </c>
      <c r="C652" s="5">
        <v>42554</v>
      </c>
      <c r="D652" t="s">
        <v>2654</v>
      </c>
      <c r="E652" t="s">
        <v>2655</v>
      </c>
      <c r="F652" t="s">
        <v>2656</v>
      </c>
      <c r="G652" t="s">
        <v>407</v>
      </c>
      <c r="H652" t="s">
        <v>33</v>
      </c>
      <c r="I652">
        <v>2</v>
      </c>
      <c r="K652" t="s">
        <v>90</v>
      </c>
      <c r="L652" t="s">
        <v>110</v>
      </c>
      <c r="M652" t="s">
        <v>36</v>
      </c>
      <c r="Q652" t="s">
        <v>37</v>
      </c>
      <c r="R652" t="s">
        <v>38</v>
      </c>
      <c r="S652" t="s">
        <v>48</v>
      </c>
      <c r="T652" t="s">
        <v>40</v>
      </c>
      <c r="U652" t="s">
        <v>41</v>
      </c>
      <c r="V652" s="9" t="str">
        <f>HYPERLINK("https://app.ntsb.gov/pdfgenerator/ReportGeneratorFile.ashx?EventID=20160704X55622&amp;AKey=1&amp;Rtype=Final&amp;IType=FA","PDF Report")</f>
        <v>PDF Report</v>
      </c>
    </row>
    <row r="653" spans="1:22" x14ac:dyDescent="0.25">
      <c r="A653" t="s">
        <v>2657</v>
      </c>
      <c r="B653">
        <v>1</v>
      </c>
      <c r="C653" s="5">
        <v>42554</v>
      </c>
      <c r="D653" t="s">
        <v>2658</v>
      </c>
      <c r="E653" t="s">
        <v>2659</v>
      </c>
      <c r="F653" t="s">
        <v>2660</v>
      </c>
      <c r="G653" t="s">
        <v>115</v>
      </c>
      <c r="H653" t="s">
        <v>33</v>
      </c>
      <c r="I653">
        <v>1</v>
      </c>
      <c r="K653" t="s">
        <v>90</v>
      </c>
      <c r="L653" t="s">
        <v>110</v>
      </c>
      <c r="M653" t="s">
        <v>36</v>
      </c>
      <c r="Q653" t="s">
        <v>37</v>
      </c>
      <c r="R653" t="s">
        <v>38</v>
      </c>
      <c r="S653" t="s">
        <v>48</v>
      </c>
      <c r="T653" t="s">
        <v>61</v>
      </c>
      <c r="U653" t="s">
        <v>41</v>
      </c>
      <c r="V653" s="9" t="str">
        <f>HYPERLINK("https://app.ntsb.gov/pdfgenerator/ReportGeneratorFile.ashx?EventID=20160704X85554&amp;AKey=1&amp;Rtype=Final&amp;IType=FA","PDF Report")</f>
        <v>PDF Report</v>
      </c>
    </row>
    <row r="654" spans="1:22" x14ac:dyDescent="0.25">
      <c r="A654" t="s">
        <v>2661</v>
      </c>
      <c r="B654">
        <v>1</v>
      </c>
      <c r="C654" s="5">
        <v>42554</v>
      </c>
      <c r="D654" t="s">
        <v>2662</v>
      </c>
      <c r="E654" t="s">
        <v>2663</v>
      </c>
      <c r="F654" t="s">
        <v>2664</v>
      </c>
      <c r="G654" t="s">
        <v>54</v>
      </c>
      <c r="H654" t="s">
        <v>33</v>
      </c>
      <c r="K654" t="s">
        <v>34</v>
      </c>
      <c r="L654" t="s">
        <v>35</v>
      </c>
      <c r="M654" t="s">
        <v>36</v>
      </c>
      <c r="Q654" t="s">
        <v>37</v>
      </c>
      <c r="R654" t="s">
        <v>38</v>
      </c>
      <c r="S654" t="s">
        <v>396</v>
      </c>
      <c r="T654" t="s">
        <v>73</v>
      </c>
      <c r="U654" t="s">
        <v>41</v>
      </c>
      <c r="V654" s="9" t="str">
        <f>HYPERLINK("https://app.ntsb.gov/pdfgenerator/ReportGeneratorFile.ashx?EventID=20160705X13929&amp;AKey=1&amp;Rtype=Final&amp;IType=LA","PDF Report")</f>
        <v>PDF Report</v>
      </c>
    </row>
    <row r="655" spans="1:22" x14ac:dyDescent="0.25">
      <c r="A655" t="s">
        <v>2665</v>
      </c>
      <c r="B655">
        <v>1</v>
      </c>
      <c r="C655" s="5">
        <v>42554</v>
      </c>
      <c r="D655" t="s">
        <v>2666</v>
      </c>
      <c r="E655" t="s">
        <v>2667</v>
      </c>
      <c r="F655" t="s">
        <v>2194</v>
      </c>
      <c r="G655" t="s">
        <v>89</v>
      </c>
      <c r="H655" t="s">
        <v>33</v>
      </c>
      <c r="K655" t="s">
        <v>34</v>
      </c>
      <c r="L655" t="s">
        <v>35</v>
      </c>
      <c r="M655" t="s">
        <v>36</v>
      </c>
      <c r="Q655" t="s">
        <v>37</v>
      </c>
      <c r="R655" t="s">
        <v>130</v>
      </c>
      <c r="S655" t="s">
        <v>84</v>
      </c>
      <c r="T655" t="s">
        <v>73</v>
      </c>
      <c r="U655" t="s">
        <v>41</v>
      </c>
      <c r="V655" s="9" t="str">
        <f>HYPERLINK("https://app.ntsb.gov/pdfgenerator/ReportGeneratorFile.ashx?EventID=20160705X22325&amp;AKey=1&amp;Rtype=Final&amp;IType=CA","PDF Report")</f>
        <v>PDF Report</v>
      </c>
    </row>
    <row r="656" spans="1:22" x14ac:dyDescent="0.25">
      <c r="A656" t="s">
        <v>2668</v>
      </c>
      <c r="B656">
        <v>1</v>
      </c>
      <c r="C656" s="5">
        <v>42554</v>
      </c>
      <c r="D656" t="s">
        <v>2669</v>
      </c>
      <c r="E656" t="s">
        <v>2670</v>
      </c>
      <c r="F656" t="s">
        <v>486</v>
      </c>
      <c r="G656" t="s">
        <v>322</v>
      </c>
      <c r="H656" t="s">
        <v>33</v>
      </c>
      <c r="K656" t="s">
        <v>34</v>
      </c>
      <c r="L656" t="s">
        <v>35</v>
      </c>
      <c r="M656" t="s">
        <v>36</v>
      </c>
      <c r="Q656" t="s">
        <v>37</v>
      </c>
      <c r="R656" t="s">
        <v>2521</v>
      </c>
      <c r="S656" t="s">
        <v>131</v>
      </c>
      <c r="T656" t="s">
        <v>73</v>
      </c>
      <c r="U656" t="s">
        <v>41</v>
      </c>
      <c r="V656" s="9" t="str">
        <f>HYPERLINK("https://app.ntsb.gov/pdfgenerator/ReportGeneratorFile.ashx?EventID=20160705X42046&amp;AKey=1&amp;Rtype=Final&amp;IType=CA","PDF Report")</f>
        <v>PDF Report</v>
      </c>
    </row>
    <row r="657" spans="1:22" x14ac:dyDescent="0.25">
      <c r="A657" t="s">
        <v>2671</v>
      </c>
      <c r="B657">
        <v>1</v>
      </c>
      <c r="C657" s="5">
        <v>42554</v>
      </c>
      <c r="D657" t="s">
        <v>2672</v>
      </c>
      <c r="E657" t="s">
        <v>2673</v>
      </c>
      <c r="F657" t="s">
        <v>1460</v>
      </c>
      <c r="G657" t="s">
        <v>395</v>
      </c>
      <c r="H657" t="s">
        <v>33</v>
      </c>
      <c r="K657" t="s">
        <v>47</v>
      </c>
      <c r="L657" t="s">
        <v>35</v>
      </c>
      <c r="M657" t="s">
        <v>767</v>
      </c>
      <c r="Q657" t="s">
        <v>37</v>
      </c>
      <c r="R657" t="s">
        <v>768</v>
      </c>
      <c r="S657" t="s">
        <v>48</v>
      </c>
      <c r="T657" t="s">
        <v>49</v>
      </c>
      <c r="U657" t="s">
        <v>41</v>
      </c>
      <c r="V657" s="9" t="str">
        <f>HYPERLINK("https://app.ntsb.gov/pdfgenerator/ReportGeneratorFile.ashx?EventID=20160707X41205&amp;AKey=1&amp;Rtype=Final&amp;IType=LA","PDF Report")</f>
        <v>PDF Report</v>
      </c>
    </row>
    <row r="658" spans="1:22" x14ac:dyDescent="0.25">
      <c r="A658" t="s">
        <v>2674</v>
      </c>
      <c r="B658">
        <v>1</v>
      </c>
      <c r="C658" s="5">
        <v>42554</v>
      </c>
      <c r="D658" t="s">
        <v>2675</v>
      </c>
      <c r="E658" t="s">
        <v>2676</v>
      </c>
      <c r="F658" t="s">
        <v>2677</v>
      </c>
      <c r="G658" t="s">
        <v>54</v>
      </c>
      <c r="H658" t="s">
        <v>33</v>
      </c>
      <c r="K658" t="s">
        <v>34</v>
      </c>
      <c r="L658" t="s">
        <v>35</v>
      </c>
      <c r="M658" t="s">
        <v>36</v>
      </c>
      <c r="Q658" t="s">
        <v>37</v>
      </c>
      <c r="R658" t="s">
        <v>38</v>
      </c>
      <c r="S658" t="s">
        <v>455</v>
      </c>
      <c r="T658" t="s">
        <v>73</v>
      </c>
      <c r="U658" t="s">
        <v>41</v>
      </c>
      <c r="V658" s="9" t="str">
        <f>HYPERLINK("https://app.ntsb.gov/pdfgenerator/ReportGeneratorFile.ashx?EventID=20160711X65339&amp;AKey=1&amp;Rtype=Final&amp;IType=CA","PDF Report")</f>
        <v>PDF Report</v>
      </c>
    </row>
    <row r="659" spans="1:22" x14ac:dyDescent="0.25">
      <c r="A659" t="s">
        <v>2678</v>
      </c>
      <c r="B659">
        <v>1</v>
      </c>
      <c r="C659" s="5">
        <v>42555</v>
      </c>
      <c r="D659" t="s">
        <v>2679</v>
      </c>
      <c r="E659" t="s">
        <v>2680</v>
      </c>
      <c r="F659" t="s">
        <v>2124</v>
      </c>
      <c r="G659" t="s">
        <v>206</v>
      </c>
      <c r="H659" t="s">
        <v>33</v>
      </c>
      <c r="I659">
        <v>1</v>
      </c>
      <c r="K659" t="s">
        <v>90</v>
      </c>
      <c r="L659" t="s">
        <v>110</v>
      </c>
      <c r="M659" t="s">
        <v>36</v>
      </c>
      <c r="Q659" t="s">
        <v>37</v>
      </c>
      <c r="R659" t="s">
        <v>38</v>
      </c>
      <c r="S659" t="s">
        <v>39</v>
      </c>
      <c r="T659" t="s">
        <v>61</v>
      </c>
      <c r="U659" t="s">
        <v>41</v>
      </c>
      <c r="V659" s="9" t="str">
        <f>HYPERLINK("https://app.ntsb.gov/pdfgenerator/ReportGeneratorFile.ashx?EventID=20160704X70314&amp;AKey=1&amp;Rtype=Final&amp;IType=FA","PDF Report")</f>
        <v>PDF Report</v>
      </c>
    </row>
    <row r="660" spans="1:22" x14ac:dyDescent="0.25">
      <c r="A660" t="s">
        <v>2681</v>
      </c>
      <c r="B660">
        <v>1</v>
      </c>
      <c r="C660" s="5">
        <v>42555</v>
      </c>
      <c r="D660" t="s">
        <v>2682</v>
      </c>
      <c r="E660" t="s">
        <v>2683</v>
      </c>
      <c r="F660" t="s">
        <v>2684</v>
      </c>
      <c r="G660" t="s">
        <v>450</v>
      </c>
      <c r="H660" t="s">
        <v>33</v>
      </c>
      <c r="K660" t="s">
        <v>34</v>
      </c>
      <c r="L660" t="s">
        <v>35</v>
      </c>
      <c r="M660" t="s">
        <v>36</v>
      </c>
      <c r="Q660" t="s">
        <v>37</v>
      </c>
      <c r="R660" t="s">
        <v>38</v>
      </c>
      <c r="S660" t="s">
        <v>97</v>
      </c>
      <c r="T660" t="s">
        <v>79</v>
      </c>
      <c r="U660" t="s">
        <v>41</v>
      </c>
      <c r="V660" s="9" t="str">
        <f>HYPERLINK("https://app.ntsb.gov/pdfgenerator/ReportGeneratorFile.ashx?EventID=20160704X85526&amp;AKey=1&amp;Rtype=Final&amp;IType=LA","PDF Report")</f>
        <v>PDF Report</v>
      </c>
    </row>
    <row r="661" spans="1:22" x14ac:dyDescent="0.25">
      <c r="A661" t="s">
        <v>2685</v>
      </c>
      <c r="B661">
        <v>1</v>
      </c>
      <c r="C661" s="5">
        <v>42555</v>
      </c>
      <c r="D661" t="s">
        <v>2686</v>
      </c>
      <c r="E661" t="s">
        <v>2687</v>
      </c>
      <c r="F661" t="s">
        <v>2688</v>
      </c>
      <c r="G661" t="s">
        <v>169</v>
      </c>
      <c r="H661" t="s">
        <v>33</v>
      </c>
      <c r="K661" t="s">
        <v>34</v>
      </c>
      <c r="L661" t="s">
        <v>35</v>
      </c>
      <c r="M661" t="s">
        <v>36</v>
      </c>
      <c r="Q661" t="s">
        <v>37</v>
      </c>
      <c r="R661" t="s">
        <v>130</v>
      </c>
      <c r="S661" t="s">
        <v>84</v>
      </c>
      <c r="T661" t="s">
        <v>49</v>
      </c>
      <c r="U661" t="s">
        <v>41</v>
      </c>
      <c r="V661" s="9" t="str">
        <f>HYPERLINK("https://app.ntsb.gov/pdfgenerator/ReportGeneratorFile.ashx?EventID=20160705X24026&amp;AKey=1&amp;Rtype=Final&amp;IType=LA","PDF Report")</f>
        <v>PDF Report</v>
      </c>
    </row>
    <row r="662" spans="1:22" x14ac:dyDescent="0.25">
      <c r="A662" t="s">
        <v>2689</v>
      </c>
      <c r="B662">
        <v>1</v>
      </c>
      <c r="C662" s="5">
        <v>42555</v>
      </c>
      <c r="D662" t="s">
        <v>2690</v>
      </c>
      <c r="E662" t="s">
        <v>2691</v>
      </c>
      <c r="F662" t="s">
        <v>1841</v>
      </c>
      <c r="G662" t="s">
        <v>78</v>
      </c>
      <c r="H662" t="s">
        <v>33</v>
      </c>
      <c r="I662">
        <v>3</v>
      </c>
      <c r="K662" t="s">
        <v>90</v>
      </c>
      <c r="L662" t="s">
        <v>110</v>
      </c>
      <c r="M662" t="s">
        <v>36</v>
      </c>
      <c r="Q662" t="s">
        <v>37</v>
      </c>
      <c r="R662" t="s">
        <v>38</v>
      </c>
      <c r="S662" t="s">
        <v>396</v>
      </c>
      <c r="T662" t="s">
        <v>143</v>
      </c>
      <c r="U662" t="s">
        <v>41</v>
      </c>
      <c r="V662" s="9" t="str">
        <f>HYPERLINK("https://app.ntsb.gov/pdfgenerator/ReportGeneratorFile.ashx?EventID=20160706X32644&amp;AKey=1&amp;Rtype=Final&amp;IType=LA","PDF Report")</f>
        <v>PDF Report</v>
      </c>
    </row>
    <row r="663" spans="1:22" x14ac:dyDescent="0.25">
      <c r="A663" t="s">
        <v>2692</v>
      </c>
      <c r="B663">
        <v>1</v>
      </c>
      <c r="C663" s="5">
        <v>42555</v>
      </c>
      <c r="D663" t="s">
        <v>2693</v>
      </c>
      <c r="E663" t="s">
        <v>2694</v>
      </c>
      <c r="F663" t="s">
        <v>2695</v>
      </c>
      <c r="G663" t="s">
        <v>428</v>
      </c>
      <c r="H663" t="s">
        <v>33</v>
      </c>
      <c r="K663" t="s">
        <v>34</v>
      </c>
      <c r="L663" t="s">
        <v>35</v>
      </c>
      <c r="M663" t="s">
        <v>36</v>
      </c>
      <c r="Q663" t="s">
        <v>37</v>
      </c>
      <c r="R663" t="s">
        <v>2521</v>
      </c>
      <c r="S663" t="s">
        <v>39</v>
      </c>
      <c r="T663" t="s">
        <v>40</v>
      </c>
      <c r="U663" t="s">
        <v>41</v>
      </c>
      <c r="V663" s="9" t="str">
        <f>HYPERLINK("https://app.ntsb.gov/pdfgenerator/ReportGeneratorFile.ashx?EventID=20160707X03517&amp;AKey=1&amp;Rtype=Final&amp;IType=LA","PDF Report")</f>
        <v>PDF Report</v>
      </c>
    </row>
    <row r="664" spans="1:22" x14ac:dyDescent="0.25">
      <c r="A664" t="s">
        <v>2696</v>
      </c>
      <c r="B664">
        <v>1</v>
      </c>
      <c r="C664" s="5">
        <v>42556</v>
      </c>
      <c r="D664" t="s">
        <v>2697</v>
      </c>
      <c r="E664" t="s">
        <v>2698</v>
      </c>
      <c r="F664" t="s">
        <v>2699</v>
      </c>
      <c r="G664" t="s">
        <v>401</v>
      </c>
      <c r="H664" t="s">
        <v>33</v>
      </c>
      <c r="K664" t="s">
        <v>34</v>
      </c>
      <c r="L664" t="s">
        <v>35</v>
      </c>
      <c r="M664" t="s">
        <v>36</v>
      </c>
      <c r="Q664" t="s">
        <v>37</v>
      </c>
      <c r="R664" t="s">
        <v>130</v>
      </c>
      <c r="S664" t="s">
        <v>455</v>
      </c>
      <c r="T664" t="s">
        <v>73</v>
      </c>
      <c r="U664" t="s">
        <v>41</v>
      </c>
      <c r="V664" s="9" t="str">
        <f>HYPERLINK("https://app.ntsb.gov/pdfgenerator/ReportGeneratorFile.ashx?EventID=20160706X05254&amp;AKey=1&amp;Rtype=Final&amp;IType=LA","PDF Report")</f>
        <v>PDF Report</v>
      </c>
    </row>
    <row r="665" spans="1:22" x14ac:dyDescent="0.25">
      <c r="A665" t="s">
        <v>2700</v>
      </c>
      <c r="B665">
        <v>1</v>
      </c>
      <c r="C665" s="5">
        <v>42556</v>
      </c>
      <c r="D665" t="s">
        <v>2701</v>
      </c>
      <c r="E665" t="s">
        <v>2702</v>
      </c>
      <c r="F665" t="s">
        <v>1877</v>
      </c>
      <c r="G665" t="s">
        <v>96</v>
      </c>
      <c r="H665" t="s">
        <v>33</v>
      </c>
      <c r="K665" t="s">
        <v>34</v>
      </c>
      <c r="L665" t="s">
        <v>35</v>
      </c>
      <c r="M665" t="s">
        <v>36</v>
      </c>
      <c r="Q665" t="s">
        <v>37</v>
      </c>
      <c r="R665" t="s">
        <v>130</v>
      </c>
      <c r="S665" t="s">
        <v>131</v>
      </c>
      <c r="T665" t="s">
        <v>73</v>
      </c>
      <c r="U665" t="s">
        <v>41</v>
      </c>
      <c r="V665" s="9" t="str">
        <f>HYPERLINK("https://app.ntsb.gov/pdfgenerator/ReportGeneratorFile.ashx?EventID=20160711X35718&amp;AKey=1&amp;Rtype=Final&amp;IType=CA","PDF Report")</f>
        <v>PDF Report</v>
      </c>
    </row>
    <row r="666" spans="1:22" x14ac:dyDescent="0.25">
      <c r="A666" t="s">
        <v>2703</v>
      </c>
      <c r="B666">
        <v>1</v>
      </c>
      <c r="C666" s="5">
        <v>42557</v>
      </c>
      <c r="D666" t="s">
        <v>2704</v>
      </c>
      <c r="E666" t="s">
        <v>2705</v>
      </c>
      <c r="F666" t="s">
        <v>2706</v>
      </c>
      <c r="G666" t="s">
        <v>96</v>
      </c>
      <c r="H666" t="s">
        <v>33</v>
      </c>
      <c r="I666">
        <v>2</v>
      </c>
      <c r="K666" t="s">
        <v>90</v>
      </c>
      <c r="L666" t="s">
        <v>110</v>
      </c>
      <c r="M666" t="s">
        <v>36</v>
      </c>
      <c r="Q666" t="s">
        <v>185</v>
      </c>
      <c r="R666" t="s">
        <v>505</v>
      </c>
      <c r="S666" t="s">
        <v>196</v>
      </c>
      <c r="T666" t="s">
        <v>40</v>
      </c>
      <c r="U666" t="s">
        <v>41</v>
      </c>
      <c r="V666" s="9" t="str">
        <f>HYPERLINK("https://app.ntsb.gov/pdfgenerator/ReportGeneratorFile.ashx?EventID=20160706X42741&amp;AKey=1&amp;Rtype=Final&amp;IType=FA","PDF Report")</f>
        <v>PDF Report</v>
      </c>
    </row>
    <row r="667" spans="1:22" x14ac:dyDescent="0.25">
      <c r="A667" t="s">
        <v>2707</v>
      </c>
      <c r="B667">
        <v>1</v>
      </c>
      <c r="C667" s="5">
        <v>42557</v>
      </c>
      <c r="D667" t="s">
        <v>2708</v>
      </c>
      <c r="E667" t="s">
        <v>2709</v>
      </c>
      <c r="F667" t="s">
        <v>2710</v>
      </c>
      <c r="G667" t="s">
        <v>96</v>
      </c>
      <c r="H667" t="s">
        <v>33</v>
      </c>
      <c r="K667" t="s">
        <v>34</v>
      </c>
      <c r="L667" t="s">
        <v>35</v>
      </c>
      <c r="M667" t="s">
        <v>36</v>
      </c>
      <c r="Q667" t="s">
        <v>37</v>
      </c>
      <c r="R667" t="s">
        <v>38</v>
      </c>
      <c r="S667" t="s">
        <v>97</v>
      </c>
      <c r="T667" t="s">
        <v>61</v>
      </c>
      <c r="U667" t="s">
        <v>41</v>
      </c>
      <c r="V667" s="9" t="str">
        <f>HYPERLINK("https://app.ntsb.gov/pdfgenerator/ReportGeneratorFile.ashx?EventID=20160706X84658&amp;AKey=1&amp;Rtype=Final&amp;IType=LA","PDF Report")</f>
        <v>PDF Report</v>
      </c>
    </row>
    <row r="668" spans="1:22" x14ac:dyDescent="0.25">
      <c r="A668" t="s">
        <v>2711</v>
      </c>
      <c r="B668">
        <v>1</v>
      </c>
      <c r="C668" s="5">
        <v>42557</v>
      </c>
      <c r="D668" t="s">
        <v>2712</v>
      </c>
      <c r="E668" t="s">
        <v>2713</v>
      </c>
      <c r="F668" t="s">
        <v>2714</v>
      </c>
      <c r="G668" t="s">
        <v>395</v>
      </c>
      <c r="H668" t="s">
        <v>33</v>
      </c>
      <c r="K668" t="s">
        <v>34</v>
      </c>
      <c r="L668" t="s">
        <v>35</v>
      </c>
      <c r="M668" t="s">
        <v>36</v>
      </c>
      <c r="Q668" t="s">
        <v>37</v>
      </c>
      <c r="R668" t="s">
        <v>38</v>
      </c>
      <c r="S668" t="s">
        <v>84</v>
      </c>
      <c r="T668" t="s">
        <v>73</v>
      </c>
      <c r="U668" t="s">
        <v>41</v>
      </c>
      <c r="V668" s="9" t="str">
        <f>HYPERLINK("https://app.ntsb.gov/pdfgenerator/ReportGeneratorFile.ashx?EventID=20160707X22951&amp;AKey=1&amp;Rtype=Final&amp;IType=CA","PDF Report")</f>
        <v>PDF Report</v>
      </c>
    </row>
    <row r="669" spans="1:22" x14ac:dyDescent="0.25">
      <c r="A669" t="s">
        <v>2715</v>
      </c>
      <c r="B669">
        <v>1</v>
      </c>
      <c r="C669" s="5">
        <v>42557</v>
      </c>
      <c r="D669" t="s">
        <v>2716</v>
      </c>
      <c r="E669" t="s">
        <v>2717</v>
      </c>
      <c r="F669" t="s">
        <v>2718</v>
      </c>
      <c r="G669" t="s">
        <v>1416</v>
      </c>
      <c r="H669" t="s">
        <v>33</v>
      </c>
      <c r="K669" t="s">
        <v>34</v>
      </c>
      <c r="L669" t="s">
        <v>35</v>
      </c>
      <c r="M669" t="s">
        <v>36</v>
      </c>
      <c r="Q669" t="s">
        <v>37</v>
      </c>
      <c r="R669" t="s">
        <v>38</v>
      </c>
      <c r="S669" t="s">
        <v>131</v>
      </c>
      <c r="T669" t="s">
        <v>73</v>
      </c>
      <c r="U669" t="s">
        <v>41</v>
      </c>
      <c r="V669" s="9" t="str">
        <f>HYPERLINK("https://app.ntsb.gov/pdfgenerator/ReportGeneratorFile.ashx?EventID=20160711X64900&amp;AKey=1&amp;Rtype=Final&amp;IType=CA","PDF Report")</f>
        <v>PDF Report</v>
      </c>
    </row>
    <row r="670" spans="1:22" x14ac:dyDescent="0.25">
      <c r="A670" t="s">
        <v>2719</v>
      </c>
      <c r="B670">
        <v>1</v>
      </c>
      <c r="C670" s="5">
        <v>42557</v>
      </c>
      <c r="D670" t="s">
        <v>2720</v>
      </c>
      <c r="E670" t="s">
        <v>2721</v>
      </c>
      <c r="F670" t="s">
        <v>2722</v>
      </c>
      <c r="G670" t="s">
        <v>142</v>
      </c>
      <c r="H670" t="s">
        <v>33</v>
      </c>
      <c r="K670" t="s">
        <v>34</v>
      </c>
      <c r="L670" t="s">
        <v>35</v>
      </c>
      <c r="M670" t="s">
        <v>36</v>
      </c>
      <c r="Q670" t="s">
        <v>37</v>
      </c>
      <c r="R670" t="s">
        <v>38</v>
      </c>
      <c r="S670" t="s">
        <v>39</v>
      </c>
      <c r="T670" t="s">
        <v>61</v>
      </c>
      <c r="U670" t="s">
        <v>41</v>
      </c>
      <c r="V670" s="9" t="str">
        <f>HYPERLINK("https://app.ntsb.gov/pdfgenerator/ReportGeneratorFile.ashx?EventID=20160726X52234&amp;AKey=1&amp;Rtype=Final&amp;IType=LA","PDF Report")</f>
        <v>PDF Report</v>
      </c>
    </row>
    <row r="671" spans="1:22" x14ac:dyDescent="0.25">
      <c r="A671" t="s">
        <v>2723</v>
      </c>
      <c r="B671">
        <v>1</v>
      </c>
      <c r="C671" s="5">
        <v>42558</v>
      </c>
      <c r="D671" t="s">
        <v>2724</v>
      </c>
      <c r="E671" t="s">
        <v>2725</v>
      </c>
      <c r="F671" t="s">
        <v>2726</v>
      </c>
      <c r="G671" t="s">
        <v>109</v>
      </c>
      <c r="H671" t="s">
        <v>33</v>
      </c>
      <c r="K671" t="s">
        <v>34</v>
      </c>
      <c r="L671" t="s">
        <v>35</v>
      </c>
      <c r="M671" t="s">
        <v>36</v>
      </c>
      <c r="Q671" t="s">
        <v>37</v>
      </c>
      <c r="R671" t="s">
        <v>130</v>
      </c>
      <c r="S671" t="s">
        <v>1278</v>
      </c>
      <c r="T671" t="s">
        <v>143</v>
      </c>
      <c r="U671" t="s">
        <v>41</v>
      </c>
      <c r="V671" s="9" t="str">
        <f>HYPERLINK("https://app.ntsb.gov/pdfgenerator/ReportGeneratorFile.ashx?EventID=20160707X61008&amp;AKey=1&amp;Rtype=Final&amp;IType=LA","PDF Report")</f>
        <v>PDF Report</v>
      </c>
    </row>
    <row r="672" spans="1:22" x14ac:dyDescent="0.25">
      <c r="A672" t="s">
        <v>2727</v>
      </c>
      <c r="B672">
        <v>1</v>
      </c>
      <c r="C672" s="5">
        <v>42558</v>
      </c>
      <c r="D672" t="s">
        <v>2728</v>
      </c>
      <c r="E672" t="s">
        <v>2729</v>
      </c>
      <c r="F672" t="s">
        <v>2589</v>
      </c>
      <c r="G672" t="s">
        <v>96</v>
      </c>
      <c r="H672" t="s">
        <v>33</v>
      </c>
      <c r="K672" t="s">
        <v>34</v>
      </c>
      <c r="L672" t="s">
        <v>35</v>
      </c>
      <c r="M672" t="s">
        <v>36</v>
      </c>
      <c r="Q672" t="s">
        <v>37</v>
      </c>
      <c r="R672" t="s">
        <v>38</v>
      </c>
      <c r="S672" t="s">
        <v>131</v>
      </c>
      <c r="T672" t="s">
        <v>73</v>
      </c>
      <c r="U672" t="s">
        <v>41</v>
      </c>
      <c r="V672" s="9" t="str">
        <f>HYPERLINK("https://app.ntsb.gov/pdfgenerator/ReportGeneratorFile.ashx?EventID=20160708X91232&amp;AKey=1&amp;Rtype=Final&amp;IType=LA","PDF Report")</f>
        <v>PDF Report</v>
      </c>
    </row>
    <row r="673" spans="1:22" x14ac:dyDescent="0.25">
      <c r="A673" t="s">
        <v>2730</v>
      </c>
      <c r="B673">
        <v>1</v>
      </c>
      <c r="C673" s="5">
        <v>42558</v>
      </c>
      <c r="D673" t="s">
        <v>2731</v>
      </c>
      <c r="E673" t="s">
        <v>2732</v>
      </c>
      <c r="F673" t="s">
        <v>2733</v>
      </c>
      <c r="G673" t="s">
        <v>348</v>
      </c>
      <c r="H673" t="s">
        <v>33</v>
      </c>
      <c r="I673">
        <v>1</v>
      </c>
      <c r="K673" t="s">
        <v>90</v>
      </c>
      <c r="L673" t="s">
        <v>110</v>
      </c>
      <c r="M673" t="s">
        <v>767</v>
      </c>
      <c r="Q673" t="s">
        <v>37</v>
      </c>
      <c r="R673" t="s">
        <v>768</v>
      </c>
      <c r="S673" t="s">
        <v>48</v>
      </c>
      <c r="T673" t="s">
        <v>40</v>
      </c>
      <c r="U673" t="s">
        <v>41</v>
      </c>
      <c r="V673" s="9" t="str">
        <f>HYPERLINK("https://app.ntsb.gov/pdfgenerator/ReportGeneratorFile.ashx?EventID=20160708X93955&amp;AKey=1&amp;Rtype=Final&amp;IType=LA","PDF Report")</f>
        <v>PDF Report</v>
      </c>
    </row>
    <row r="674" spans="1:22" x14ac:dyDescent="0.25">
      <c r="A674" t="s">
        <v>2734</v>
      </c>
      <c r="B674">
        <v>1</v>
      </c>
      <c r="C674" s="5">
        <v>42558</v>
      </c>
      <c r="D674" t="s">
        <v>2735</v>
      </c>
      <c r="E674" t="s">
        <v>2736</v>
      </c>
      <c r="F674" t="s">
        <v>2737</v>
      </c>
      <c r="G674" t="s">
        <v>491</v>
      </c>
      <c r="H674" t="s">
        <v>33</v>
      </c>
      <c r="K674" t="s">
        <v>34</v>
      </c>
      <c r="L674" t="s">
        <v>35</v>
      </c>
      <c r="M674" t="s">
        <v>36</v>
      </c>
      <c r="Q674" t="s">
        <v>37</v>
      </c>
      <c r="R674" t="s">
        <v>38</v>
      </c>
      <c r="S674" t="s">
        <v>72</v>
      </c>
      <c r="T674" t="s">
        <v>73</v>
      </c>
      <c r="U674" t="s">
        <v>41</v>
      </c>
      <c r="V674" s="9" t="str">
        <f>HYPERLINK("https://app.ntsb.gov/pdfgenerator/ReportGeneratorFile.ashx?EventID=20160711X34632&amp;AKey=1&amp;Rtype=Final&amp;IType=CA","PDF Report")</f>
        <v>PDF Report</v>
      </c>
    </row>
    <row r="675" spans="1:22" x14ac:dyDescent="0.25">
      <c r="A675" t="s">
        <v>2738</v>
      </c>
      <c r="B675">
        <v>1</v>
      </c>
      <c r="C675" s="5">
        <v>42558</v>
      </c>
      <c r="D675" t="s">
        <v>1413</v>
      </c>
      <c r="E675" t="s">
        <v>1414</v>
      </c>
      <c r="F675" t="s">
        <v>1415</v>
      </c>
      <c r="G675" t="s">
        <v>1416</v>
      </c>
      <c r="H675" t="s">
        <v>33</v>
      </c>
      <c r="K675" t="s">
        <v>34</v>
      </c>
      <c r="L675" t="s">
        <v>35</v>
      </c>
      <c r="M675" t="s">
        <v>36</v>
      </c>
      <c r="Q675" t="s">
        <v>37</v>
      </c>
      <c r="R675" t="s">
        <v>130</v>
      </c>
      <c r="S675" t="s">
        <v>455</v>
      </c>
      <c r="T675" t="s">
        <v>958</v>
      </c>
      <c r="U675" t="s">
        <v>41</v>
      </c>
      <c r="V675" s="9" t="str">
        <f>HYPERLINK("https://app.ntsb.gov/pdfgenerator/ReportGeneratorFile.ashx?EventID=20160718X25034&amp;AKey=1&amp;Rtype=Final&amp;IType=CA","PDF Report")</f>
        <v>PDF Report</v>
      </c>
    </row>
    <row r="676" spans="1:22" x14ac:dyDescent="0.25">
      <c r="A676" t="s">
        <v>2739</v>
      </c>
      <c r="B676">
        <v>1</v>
      </c>
      <c r="C676" s="5">
        <v>42559</v>
      </c>
      <c r="D676" t="s">
        <v>2740</v>
      </c>
      <c r="E676" t="s">
        <v>2741</v>
      </c>
      <c r="F676" t="s">
        <v>1353</v>
      </c>
      <c r="G676" t="s">
        <v>96</v>
      </c>
      <c r="H676" t="s">
        <v>33</v>
      </c>
      <c r="I676">
        <v>4</v>
      </c>
      <c r="K676" t="s">
        <v>90</v>
      </c>
      <c r="L676" t="s">
        <v>110</v>
      </c>
      <c r="M676" t="s">
        <v>36</v>
      </c>
      <c r="Q676" t="s">
        <v>37</v>
      </c>
      <c r="R676" t="s">
        <v>38</v>
      </c>
      <c r="S676" t="s">
        <v>191</v>
      </c>
      <c r="T676" t="s">
        <v>49</v>
      </c>
      <c r="U676" t="s">
        <v>41</v>
      </c>
      <c r="V676" s="9" t="str">
        <f>HYPERLINK("https://app.ntsb.gov/pdfgenerator/ReportGeneratorFile.ashx?EventID=20160708X85810&amp;AKey=1&amp;Rtype=Final&amp;IType=FA","PDF Report")</f>
        <v>PDF Report</v>
      </c>
    </row>
    <row r="677" spans="1:22" x14ac:dyDescent="0.25">
      <c r="A677" t="s">
        <v>2742</v>
      </c>
      <c r="B677">
        <v>1</v>
      </c>
      <c r="C677" s="5">
        <v>42559</v>
      </c>
      <c r="D677" t="s">
        <v>2743</v>
      </c>
      <c r="E677" t="s">
        <v>2744</v>
      </c>
      <c r="F677" t="s">
        <v>2745</v>
      </c>
      <c r="G677" t="s">
        <v>125</v>
      </c>
      <c r="H677" t="s">
        <v>33</v>
      </c>
      <c r="K677" t="s">
        <v>34</v>
      </c>
      <c r="L677" t="s">
        <v>35</v>
      </c>
      <c r="M677" t="s">
        <v>36</v>
      </c>
      <c r="Q677" t="s">
        <v>37</v>
      </c>
      <c r="R677" t="s">
        <v>38</v>
      </c>
      <c r="S677" t="s">
        <v>317</v>
      </c>
      <c r="T677" t="s">
        <v>49</v>
      </c>
      <c r="U677" t="s">
        <v>41</v>
      </c>
      <c r="V677" s="9" t="str">
        <f>HYPERLINK("https://app.ntsb.gov/pdfgenerator/ReportGeneratorFile.ashx?EventID=20160711X51106&amp;AKey=1&amp;Rtype=Final&amp;IType=CA","PDF Report")</f>
        <v>PDF Report</v>
      </c>
    </row>
    <row r="678" spans="1:22" x14ac:dyDescent="0.25">
      <c r="A678" t="s">
        <v>2746</v>
      </c>
      <c r="B678">
        <v>1</v>
      </c>
      <c r="C678" s="5">
        <v>42559</v>
      </c>
      <c r="D678" t="s">
        <v>2747</v>
      </c>
      <c r="E678" t="s">
        <v>2748</v>
      </c>
      <c r="F678" t="s">
        <v>2749</v>
      </c>
      <c r="G678" t="s">
        <v>115</v>
      </c>
      <c r="H678" t="s">
        <v>33</v>
      </c>
      <c r="J678">
        <v>2</v>
      </c>
      <c r="K678" t="s">
        <v>55</v>
      </c>
      <c r="L678" t="s">
        <v>35</v>
      </c>
      <c r="M678" t="s">
        <v>36</v>
      </c>
      <c r="Q678" t="s">
        <v>37</v>
      </c>
      <c r="R678" t="s">
        <v>38</v>
      </c>
      <c r="S678" t="s">
        <v>39</v>
      </c>
      <c r="T678" t="s">
        <v>61</v>
      </c>
      <c r="U678" t="s">
        <v>41</v>
      </c>
      <c r="V678" s="9" t="str">
        <f>HYPERLINK("https://app.ntsb.gov/pdfgenerator/ReportGeneratorFile.ashx?EventID=20160711X54618&amp;AKey=1&amp;Rtype=Final&amp;IType=LA","PDF Report")</f>
        <v>PDF Report</v>
      </c>
    </row>
    <row r="679" spans="1:22" x14ac:dyDescent="0.25">
      <c r="A679" t="s">
        <v>2750</v>
      </c>
      <c r="B679">
        <v>1</v>
      </c>
      <c r="C679" s="5">
        <v>42559</v>
      </c>
      <c r="D679" t="s">
        <v>2751</v>
      </c>
      <c r="E679" t="s">
        <v>2752</v>
      </c>
      <c r="F679" t="s">
        <v>419</v>
      </c>
      <c r="G679" t="s">
        <v>66</v>
      </c>
      <c r="H679" t="s">
        <v>33</v>
      </c>
      <c r="K679" t="s">
        <v>34</v>
      </c>
      <c r="L679" t="s">
        <v>35</v>
      </c>
      <c r="M679" t="s">
        <v>36</v>
      </c>
      <c r="Q679" t="s">
        <v>37</v>
      </c>
      <c r="R679" t="s">
        <v>38</v>
      </c>
      <c r="S679" t="s">
        <v>163</v>
      </c>
      <c r="T679" t="s">
        <v>378</v>
      </c>
      <c r="U679" t="s">
        <v>41</v>
      </c>
      <c r="V679" s="9" t="str">
        <f>HYPERLINK("https://app.ntsb.gov/pdfgenerator/ReportGeneratorFile.ashx?EventID=20160711X80213&amp;AKey=1&amp;Rtype=Final&amp;IType=CA","PDF Report")</f>
        <v>PDF Report</v>
      </c>
    </row>
    <row r="680" spans="1:22" x14ac:dyDescent="0.25">
      <c r="A680" t="s">
        <v>2753</v>
      </c>
      <c r="B680">
        <v>1</v>
      </c>
      <c r="C680" s="5">
        <v>42559</v>
      </c>
      <c r="D680" t="s">
        <v>2754</v>
      </c>
      <c r="E680" t="s">
        <v>2755</v>
      </c>
      <c r="F680" t="s">
        <v>2756</v>
      </c>
      <c r="G680" t="s">
        <v>66</v>
      </c>
      <c r="H680" t="s">
        <v>33</v>
      </c>
      <c r="K680" t="s">
        <v>34</v>
      </c>
      <c r="L680" t="s">
        <v>35</v>
      </c>
      <c r="M680" t="s">
        <v>36</v>
      </c>
      <c r="Q680" t="s">
        <v>37</v>
      </c>
      <c r="R680" t="s">
        <v>38</v>
      </c>
      <c r="S680" t="s">
        <v>84</v>
      </c>
      <c r="T680" t="s">
        <v>73</v>
      </c>
      <c r="U680" t="s">
        <v>41</v>
      </c>
      <c r="V680" s="9" t="str">
        <f>HYPERLINK("https://app.ntsb.gov/pdfgenerator/ReportGeneratorFile.ashx?EventID=20160715X03849&amp;AKey=1&amp;Rtype=Final&amp;IType=LA","PDF Report")</f>
        <v>PDF Report</v>
      </c>
    </row>
    <row r="681" spans="1:22" x14ac:dyDescent="0.25">
      <c r="A681" t="s">
        <v>2757</v>
      </c>
      <c r="B681">
        <v>1</v>
      </c>
      <c r="C681" s="5">
        <v>42560</v>
      </c>
      <c r="D681" t="s">
        <v>2758</v>
      </c>
      <c r="E681" t="s">
        <v>2759</v>
      </c>
      <c r="F681" t="s">
        <v>295</v>
      </c>
      <c r="G681" t="s">
        <v>401</v>
      </c>
      <c r="H681" t="s">
        <v>33</v>
      </c>
      <c r="I681">
        <v>1</v>
      </c>
      <c r="K681" t="s">
        <v>90</v>
      </c>
      <c r="L681" t="s">
        <v>35</v>
      </c>
      <c r="M681" t="s">
        <v>36</v>
      </c>
      <c r="Q681" t="s">
        <v>547</v>
      </c>
      <c r="R681" t="s">
        <v>38</v>
      </c>
      <c r="S681" t="s">
        <v>131</v>
      </c>
      <c r="T681" t="s">
        <v>73</v>
      </c>
      <c r="U681" t="s">
        <v>41</v>
      </c>
      <c r="V681" s="9" t="str">
        <f>HYPERLINK("https://app.ntsb.gov/pdfgenerator/ReportGeneratorFile.ashx?EventID=20160711X00156&amp;AKey=1&amp;Rtype=Final&amp;IType=LA","PDF Report")</f>
        <v>PDF Report</v>
      </c>
    </row>
    <row r="682" spans="1:22" x14ac:dyDescent="0.25">
      <c r="A682" t="s">
        <v>2760</v>
      </c>
      <c r="B682">
        <v>1</v>
      </c>
      <c r="C682" s="5">
        <v>42560</v>
      </c>
      <c r="D682" t="s">
        <v>2761</v>
      </c>
      <c r="E682" t="s">
        <v>2762</v>
      </c>
      <c r="F682" t="s">
        <v>2763</v>
      </c>
      <c r="G682" t="s">
        <v>712</v>
      </c>
      <c r="H682" t="s">
        <v>33</v>
      </c>
      <c r="K682" t="s">
        <v>47</v>
      </c>
      <c r="L682" t="s">
        <v>35</v>
      </c>
      <c r="M682" t="s">
        <v>36</v>
      </c>
      <c r="Q682" t="s">
        <v>37</v>
      </c>
      <c r="R682" t="s">
        <v>38</v>
      </c>
      <c r="S682" t="s">
        <v>39</v>
      </c>
      <c r="T682" t="s">
        <v>79</v>
      </c>
      <c r="U682" t="s">
        <v>41</v>
      </c>
      <c r="V682" s="9" t="str">
        <f>HYPERLINK("https://app.ntsb.gov/pdfgenerator/ReportGeneratorFile.ashx?EventID=20160711X00335&amp;AKey=1&amp;Rtype=Final&amp;IType=LA","PDF Report")</f>
        <v>PDF Report</v>
      </c>
    </row>
    <row r="683" spans="1:22" x14ac:dyDescent="0.25">
      <c r="A683" t="s">
        <v>2764</v>
      </c>
      <c r="B683">
        <v>1</v>
      </c>
      <c r="C683" s="5">
        <v>42561</v>
      </c>
      <c r="D683" t="s">
        <v>2765</v>
      </c>
      <c r="E683" t="s">
        <v>2766</v>
      </c>
      <c r="F683" t="s">
        <v>2767</v>
      </c>
      <c r="G683" t="s">
        <v>78</v>
      </c>
      <c r="H683" t="s">
        <v>33</v>
      </c>
      <c r="K683" t="s">
        <v>34</v>
      </c>
      <c r="L683" t="s">
        <v>35</v>
      </c>
      <c r="M683" t="s">
        <v>36</v>
      </c>
      <c r="Q683" t="s">
        <v>37</v>
      </c>
      <c r="R683" t="s">
        <v>38</v>
      </c>
      <c r="S683" t="s">
        <v>131</v>
      </c>
      <c r="T683" t="s">
        <v>73</v>
      </c>
      <c r="U683" t="s">
        <v>41</v>
      </c>
      <c r="V683" s="9" t="str">
        <f>HYPERLINK("https://app.ntsb.gov/pdfgenerator/ReportGeneratorFile.ashx?EventID=20160711X33249&amp;AKey=1&amp;Rtype=Final&amp;IType=CA","PDF Report")</f>
        <v>PDF Report</v>
      </c>
    </row>
    <row r="684" spans="1:22" x14ac:dyDescent="0.25">
      <c r="A684" t="s">
        <v>2768</v>
      </c>
      <c r="B684">
        <v>1</v>
      </c>
      <c r="C684" s="5">
        <v>42561</v>
      </c>
      <c r="D684" t="s">
        <v>2769</v>
      </c>
      <c r="E684" t="s">
        <v>2770</v>
      </c>
      <c r="F684" t="s">
        <v>1562</v>
      </c>
      <c r="G684" t="s">
        <v>407</v>
      </c>
      <c r="H684" t="s">
        <v>33</v>
      </c>
      <c r="K684" t="s">
        <v>34</v>
      </c>
      <c r="L684" t="s">
        <v>35</v>
      </c>
      <c r="M684" t="s">
        <v>36</v>
      </c>
      <c r="Q684" t="s">
        <v>37</v>
      </c>
      <c r="R684" t="s">
        <v>38</v>
      </c>
      <c r="S684" t="s">
        <v>39</v>
      </c>
      <c r="T684" t="s">
        <v>61</v>
      </c>
      <c r="U684" t="s">
        <v>41</v>
      </c>
      <c r="V684" s="9" t="str">
        <f>HYPERLINK("https://app.ntsb.gov/pdfgenerator/ReportGeneratorFile.ashx?EventID=20160711X51450&amp;AKey=1&amp;Rtype=Final&amp;IType=LA","PDF Report")</f>
        <v>PDF Report</v>
      </c>
    </row>
    <row r="685" spans="1:22" x14ac:dyDescent="0.25">
      <c r="A685" t="s">
        <v>2771</v>
      </c>
      <c r="B685">
        <v>1</v>
      </c>
      <c r="C685" s="5">
        <v>42561</v>
      </c>
      <c r="D685" t="s">
        <v>2772</v>
      </c>
      <c r="E685" t="s">
        <v>2773</v>
      </c>
      <c r="F685" t="s">
        <v>2774</v>
      </c>
      <c r="G685" t="s">
        <v>1508</v>
      </c>
      <c r="H685" t="s">
        <v>33</v>
      </c>
      <c r="J685">
        <v>1</v>
      </c>
      <c r="K685" t="s">
        <v>55</v>
      </c>
      <c r="L685" t="s">
        <v>47</v>
      </c>
      <c r="M685" t="s">
        <v>36</v>
      </c>
      <c r="Q685" t="s">
        <v>2775</v>
      </c>
      <c r="R685" t="s">
        <v>38</v>
      </c>
      <c r="S685" t="s">
        <v>131</v>
      </c>
      <c r="T685" t="s">
        <v>49</v>
      </c>
      <c r="U685" t="s">
        <v>41</v>
      </c>
      <c r="V685" s="9" t="str">
        <f>HYPERLINK("https://app.ntsb.gov/pdfgenerator/ReportGeneratorFile.ashx?EventID=20160712X24831&amp;AKey=1&amp;Rtype=Final&amp;IType=LA","PDF Report")</f>
        <v>PDF Report</v>
      </c>
    </row>
    <row r="686" spans="1:22" x14ac:dyDescent="0.25">
      <c r="A686" t="s">
        <v>2776</v>
      </c>
      <c r="B686">
        <v>1</v>
      </c>
      <c r="C686" s="5">
        <v>42561</v>
      </c>
      <c r="D686" t="s">
        <v>2777</v>
      </c>
      <c r="E686" t="s">
        <v>2778</v>
      </c>
      <c r="F686" t="s">
        <v>1527</v>
      </c>
      <c r="G686" t="s">
        <v>287</v>
      </c>
      <c r="H686" t="s">
        <v>33</v>
      </c>
      <c r="K686" t="s">
        <v>47</v>
      </c>
      <c r="L686" t="s">
        <v>35</v>
      </c>
      <c r="M686" t="s">
        <v>767</v>
      </c>
      <c r="Q686" t="s">
        <v>185</v>
      </c>
      <c r="R686" t="s">
        <v>768</v>
      </c>
      <c r="S686" t="s">
        <v>48</v>
      </c>
      <c r="T686" t="s">
        <v>40</v>
      </c>
      <c r="U686" t="s">
        <v>41</v>
      </c>
      <c r="V686" s="9" t="str">
        <f>HYPERLINK("https://app.ntsb.gov/pdfgenerator/ReportGeneratorFile.ashx?EventID=20160712X32830&amp;AKey=1&amp;Rtype=Final&amp;IType=CA","PDF Report")</f>
        <v>PDF Report</v>
      </c>
    </row>
    <row r="687" spans="1:22" x14ac:dyDescent="0.25">
      <c r="A687" t="s">
        <v>2779</v>
      </c>
      <c r="B687">
        <v>1</v>
      </c>
      <c r="C687" s="5">
        <v>42561</v>
      </c>
      <c r="D687" t="s">
        <v>2780</v>
      </c>
      <c r="E687" t="s">
        <v>2781</v>
      </c>
      <c r="F687" t="s">
        <v>2782</v>
      </c>
      <c r="G687" t="s">
        <v>232</v>
      </c>
      <c r="H687" t="s">
        <v>33</v>
      </c>
      <c r="K687" t="s">
        <v>34</v>
      </c>
      <c r="L687" t="s">
        <v>35</v>
      </c>
      <c r="M687" t="s">
        <v>36</v>
      </c>
      <c r="Q687" t="s">
        <v>37</v>
      </c>
      <c r="R687" t="s">
        <v>38</v>
      </c>
      <c r="S687" t="s">
        <v>84</v>
      </c>
      <c r="T687" t="s">
        <v>73</v>
      </c>
      <c r="U687" t="s">
        <v>41</v>
      </c>
      <c r="V687" s="9" t="str">
        <f>HYPERLINK("https://app.ntsb.gov/pdfgenerator/ReportGeneratorFile.ashx?EventID=20160908X52011&amp;AKey=1&amp;Rtype=Final&amp;IType=CA","PDF Report")</f>
        <v>PDF Report</v>
      </c>
    </row>
    <row r="688" spans="1:22" x14ac:dyDescent="0.25">
      <c r="A688" t="s">
        <v>2783</v>
      </c>
      <c r="B688">
        <v>1</v>
      </c>
      <c r="C688" s="5">
        <v>42562</v>
      </c>
      <c r="D688" t="s">
        <v>2784</v>
      </c>
      <c r="E688" t="s">
        <v>2785</v>
      </c>
      <c r="F688" t="s">
        <v>2786</v>
      </c>
      <c r="G688" t="s">
        <v>2629</v>
      </c>
      <c r="H688" t="s">
        <v>33</v>
      </c>
      <c r="I688">
        <v>1</v>
      </c>
      <c r="K688" t="s">
        <v>90</v>
      </c>
      <c r="L688" t="s">
        <v>34</v>
      </c>
      <c r="M688" t="s">
        <v>473</v>
      </c>
      <c r="Q688" t="s">
        <v>185</v>
      </c>
      <c r="R688" t="s">
        <v>1219</v>
      </c>
      <c r="S688" t="s">
        <v>1074</v>
      </c>
      <c r="T688" t="s">
        <v>40</v>
      </c>
      <c r="U688" t="s">
        <v>41</v>
      </c>
      <c r="V688" s="9" t="str">
        <f>HYPERLINK("https://app.ntsb.gov/pdfgenerator/ReportGeneratorFile.ashx?EventID=20160711X20144&amp;AKey=1&amp;Rtype=Final&amp;IType=LA","PDF Report")</f>
        <v>PDF Report</v>
      </c>
    </row>
    <row r="689" spans="1:22" x14ac:dyDescent="0.25">
      <c r="A689" t="s">
        <v>2787</v>
      </c>
      <c r="B689">
        <v>1</v>
      </c>
      <c r="C689" s="5">
        <v>42562</v>
      </c>
      <c r="D689" t="s">
        <v>2788</v>
      </c>
      <c r="E689" t="s">
        <v>2789</v>
      </c>
      <c r="F689" t="s">
        <v>2790</v>
      </c>
      <c r="G689" t="s">
        <v>1508</v>
      </c>
      <c r="H689" t="s">
        <v>33</v>
      </c>
      <c r="I689">
        <v>1</v>
      </c>
      <c r="K689" t="s">
        <v>90</v>
      </c>
      <c r="L689" t="s">
        <v>35</v>
      </c>
      <c r="M689" t="s">
        <v>36</v>
      </c>
      <c r="Q689" t="s">
        <v>185</v>
      </c>
      <c r="R689" t="s">
        <v>274</v>
      </c>
      <c r="S689" t="s">
        <v>196</v>
      </c>
      <c r="T689" t="s">
        <v>79</v>
      </c>
      <c r="U689" t="s">
        <v>41</v>
      </c>
      <c r="V689" s="9" t="str">
        <f>HYPERLINK("https://app.ntsb.gov/pdfgenerator/ReportGeneratorFile.ashx?EventID=20160711X32921&amp;AKey=1&amp;Rtype=Final&amp;IType=FA","PDF Report")</f>
        <v>PDF Report</v>
      </c>
    </row>
    <row r="690" spans="1:22" x14ac:dyDescent="0.25">
      <c r="A690" t="s">
        <v>2791</v>
      </c>
      <c r="B690">
        <v>1</v>
      </c>
      <c r="C690" s="5">
        <v>42562</v>
      </c>
      <c r="D690" t="s">
        <v>2792</v>
      </c>
      <c r="E690" t="s">
        <v>2793</v>
      </c>
      <c r="F690" t="s">
        <v>2794</v>
      </c>
      <c r="G690" t="s">
        <v>115</v>
      </c>
      <c r="H690" t="s">
        <v>33</v>
      </c>
      <c r="J690">
        <v>1</v>
      </c>
      <c r="K690" t="s">
        <v>55</v>
      </c>
      <c r="L690" t="s">
        <v>110</v>
      </c>
      <c r="M690" t="s">
        <v>36</v>
      </c>
      <c r="Q690" t="s">
        <v>37</v>
      </c>
      <c r="R690" t="s">
        <v>38</v>
      </c>
      <c r="S690" t="s">
        <v>39</v>
      </c>
      <c r="T690" t="s">
        <v>73</v>
      </c>
      <c r="U690" t="s">
        <v>41</v>
      </c>
      <c r="V690" s="9" t="str">
        <f>HYPERLINK("https://app.ntsb.gov/pdfgenerator/ReportGeneratorFile.ashx?EventID=20160711X61125&amp;AKey=1&amp;Rtype=Final&amp;IType=LA","PDF Report")</f>
        <v>PDF Report</v>
      </c>
    </row>
    <row r="691" spans="1:22" x14ac:dyDescent="0.25">
      <c r="A691" t="s">
        <v>2795</v>
      </c>
      <c r="B691">
        <v>1</v>
      </c>
      <c r="C691" s="5">
        <v>42562</v>
      </c>
      <c r="D691" t="s">
        <v>2796</v>
      </c>
      <c r="E691" t="s">
        <v>2797</v>
      </c>
      <c r="F691" t="s">
        <v>2798</v>
      </c>
      <c r="G691" t="s">
        <v>115</v>
      </c>
      <c r="H691" t="s">
        <v>33</v>
      </c>
      <c r="K691" t="s">
        <v>47</v>
      </c>
      <c r="L691" t="s">
        <v>35</v>
      </c>
      <c r="M691" t="s">
        <v>36</v>
      </c>
      <c r="Q691" t="s">
        <v>37</v>
      </c>
      <c r="R691" t="s">
        <v>170</v>
      </c>
      <c r="S691" t="s">
        <v>97</v>
      </c>
      <c r="T691" t="s">
        <v>79</v>
      </c>
      <c r="U691" t="s">
        <v>41</v>
      </c>
      <c r="V691" s="9" t="str">
        <f>HYPERLINK("https://app.ntsb.gov/pdfgenerator/ReportGeneratorFile.ashx?EventID=20160711X65900&amp;AKey=1&amp;Rtype=Final&amp;IType=LA","PDF Report")</f>
        <v>PDF Report</v>
      </c>
    </row>
    <row r="692" spans="1:22" x14ac:dyDescent="0.25">
      <c r="A692" t="s">
        <v>2799</v>
      </c>
      <c r="B692">
        <v>1</v>
      </c>
      <c r="C692" s="5">
        <v>42562</v>
      </c>
      <c r="D692" t="s">
        <v>2800</v>
      </c>
      <c r="E692" t="s">
        <v>2801</v>
      </c>
      <c r="F692" t="s">
        <v>2802</v>
      </c>
      <c r="G692" t="s">
        <v>1508</v>
      </c>
      <c r="H692" t="s">
        <v>33</v>
      </c>
      <c r="K692" t="s">
        <v>34</v>
      </c>
      <c r="L692" t="s">
        <v>35</v>
      </c>
      <c r="M692" t="s">
        <v>36</v>
      </c>
      <c r="Q692" t="s">
        <v>37</v>
      </c>
      <c r="R692" t="s">
        <v>38</v>
      </c>
      <c r="S692" t="s">
        <v>131</v>
      </c>
      <c r="T692" t="s">
        <v>73</v>
      </c>
      <c r="U692" t="s">
        <v>41</v>
      </c>
      <c r="V692" s="9" t="str">
        <f>HYPERLINK("https://app.ntsb.gov/pdfgenerator/ReportGeneratorFile.ashx?EventID=20160712X34248&amp;AKey=1&amp;Rtype=Final&amp;IType=CA","PDF Report")</f>
        <v>PDF Report</v>
      </c>
    </row>
    <row r="693" spans="1:22" x14ac:dyDescent="0.25">
      <c r="A693" t="s">
        <v>2803</v>
      </c>
      <c r="B693">
        <v>1</v>
      </c>
      <c r="C693" s="5">
        <v>42562</v>
      </c>
      <c r="D693" t="s">
        <v>2804</v>
      </c>
      <c r="E693" t="s">
        <v>2805</v>
      </c>
      <c r="F693" t="s">
        <v>2806</v>
      </c>
      <c r="G693" t="s">
        <v>136</v>
      </c>
      <c r="H693" t="s">
        <v>33</v>
      </c>
      <c r="K693" t="s">
        <v>47</v>
      </c>
      <c r="L693" t="s">
        <v>35</v>
      </c>
      <c r="M693" t="s">
        <v>36</v>
      </c>
      <c r="Q693" t="s">
        <v>37</v>
      </c>
      <c r="R693" t="s">
        <v>38</v>
      </c>
      <c r="S693" t="s">
        <v>196</v>
      </c>
      <c r="T693" t="s">
        <v>73</v>
      </c>
      <c r="U693" t="s">
        <v>41</v>
      </c>
      <c r="V693" s="9" t="str">
        <f>HYPERLINK("https://app.ntsb.gov/pdfgenerator/ReportGeneratorFile.ashx?EventID=20160712X72348&amp;AKey=1&amp;Rtype=Final&amp;IType=CA","PDF Report")</f>
        <v>PDF Report</v>
      </c>
    </row>
    <row r="694" spans="1:22" x14ac:dyDescent="0.25">
      <c r="A694" t="s">
        <v>2807</v>
      </c>
      <c r="B694">
        <v>1</v>
      </c>
      <c r="C694" s="5">
        <v>42565</v>
      </c>
      <c r="D694" t="s">
        <v>2808</v>
      </c>
      <c r="E694" t="s">
        <v>2809</v>
      </c>
      <c r="F694" t="s">
        <v>2810</v>
      </c>
      <c r="G694" t="s">
        <v>232</v>
      </c>
      <c r="H694" t="s">
        <v>33</v>
      </c>
      <c r="K694" t="s">
        <v>47</v>
      </c>
      <c r="L694" t="s">
        <v>110</v>
      </c>
      <c r="M694" t="s">
        <v>36</v>
      </c>
      <c r="Q694" t="s">
        <v>37</v>
      </c>
      <c r="R694" t="s">
        <v>38</v>
      </c>
      <c r="S694" t="s">
        <v>39</v>
      </c>
      <c r="T694" t="s">
        <v>61</v>
      </c>
      <c r="U694" t="s">
        <v>41</v>
      </c>
      <c r="V694" s="9" t="str">
        <f>HYPERLINK("https://app.ntsb.gov/pdfgenerator/ReportGeneratorFile.ashx?EventID=20160715X90316&amp;AKey=1&amp;Rtype=Final&amp;IType=LA","PDF Report")</f>
        <v>PDF Report</v>
      </c>
    </row>
    <row r="695" spans="1:22" x14ac:dyDescent="0.25">
      <c r="A695" t="s">
        <v>2811</v>
      </c>
      <c r="B695">
        <v>1</v>
      </c>
      <c r="C695" s="5">
        <v>42565</v>
      </c>
      <c r="D695" t="s">
        <v>2812</v>
      </c>
      <c r="E695" t="s">
        <v>2813</v>
      </c>
      <c r="F695" t="s">
        <v>2814</v>
      </c>
      <c r="G695" t="s">
        <v>597</v>
      </c>
      <c r="H695" t="s">
        <v>2815</v>
      </c>
      <c r="I695">
        <v>4</v>
      </c>
      <c r="K695" t="s">
        <v>90</v>
      </c>
      <c r="L695" t="s">
        <v>110</v>
      </c>
      <c r="M695" t="s">
        <v>599</v>
      </c>
      <c r="Q695" t="s">
        <v>37</v>
      </c>
      <c r="S695" t="s">
        <v>243</v>
      </c>
      <c r="T695" t="s">
        <v>243</v>
      </c>
      <c r="U695" t="s">
        <v>41</v>
      </c>
      <c r="V695" s="9" t="str">
        <f>HYPERLINK("https://app.ntsb.gov/pdfgenerator/ReportGeneratorFile.ashx?EventID=20160718X32752&amp;AKey=1&amp;Rtype=Final&amp;IType=WA","PDF Report")</f>
        <v>PDF Report</v>
      </c>
    </row>
    <row r="696" spans="1:22" x14ac:dyDescent="0.25">
      <c r="A696" t="s">
        <v>2816</v>
      </c>
      <c r="B696">
        <v>1</v>
      </c>
      <c r="C696" s="5">
        <v>42565</v>
      </c>
      <c r="D696" t="s">
        <v>1284</v>
      </c>
      <c r="E696" t="s">
        <v>1285</v>
      </c>
      <c r="F696" t="s">
        <v>1286</v>
      </c>
      <c r="G696" t="s">
        <v>206</v>
      </c>
      <c r="H696" t="s">
        <v>33</v>
      </c>
      <c r="K696" t="s">
        <v>34</v>
      </c>
      <c r="L696" t="s">
        <v>35</v>
      </c>
      <c r="M696" t="s">
        <v>36</v>
      </c>
      <c r="Q696" t="s">
        <v>37</v>
      </c>
      <c r="R696" t="s">
        <v>38</v>
      </c>
      <c r="S696" t="s">
        <v>84</v>
      </c>
      <c r="T696" t="s">
        <v>73</v>
      </c>
      <c r="U696" t="s">
        <v>41</v>
      </c>
      <c r="V696" s="9" t="str">
        <f>HYPERLINK("https://app.ntsb.gov/pdfgenerator/ReportGeneratorFile.ashx?EventID=20160718X35521&amp;AKey=1&amp;Rtype=Final&amp;IType=CA","PDF Report")</f>
        <v>PDF Report</v>
      </c>
    </row>
    <row r="697" spans="1:22" x14ac:dyDescent="0.25">
      <c r="A697" t="s">
        <v>2817</v>
      </c>
      <c r="B697">
        <v>1</v>
      </c>
      <c r="C697" s="5">
        <v>42565</v>
      </c>
      <c r="D697" t="s">
        <v>2818</v>
      </c>
      <c r="E697" t="s">
        <v>2819</v>
      </c>
      <c r="F697" t="s">
        <v>2820</v>
      </c>
      <c r="G697" t="s">
        <v>142</v>
      </c>
      <c r="H697" t="s">
        <v>33</v>
      </c>
      <c r="K697" t="s">
        <v>34</v>
      </c>
      <c r="L697" t="s">
        <v>35</v>
      </c>
      <c r="M697" t="s">
        <v>36</v>
      </c>
      <c r="Q697" t="s">
        <v>37</v>
      </c>
      <c r="R697" t="s">
        <v>38</v>
      </c>
      <c r="S697" t="s">
        <v>84</v>
      </c>
      <c r="T697" t="s">
        <v>73</v>
      </c>
      <c r="U697" t="s">
        <v>41</v>
      </c>
      <c r="V697" s="9" t="str">
        <f>HYPERLINK("https://app.ntsb.gov/pdfgenerator/ReportGeneratorFile.ashx?EventID=20160718X60414&amp;AKey=1&amp;Rtype=Final&amp;IType=LA","PDF Report")</f>
        <v>PDF Report</v>
      </c>
    </row>
    <row r="698" spans="1:22" x14ac:dyDescent="0.25">
      <c r="A698" t="s">
        <v>2821</v>
      </c>
      <c r="B698">
        <v>1</v>
      </c>
      <c r="C698" s="5">
        <v>42566</v>
      </c>
      <c r="D698" t="s">
        <v>2822</v>
      </c>
      <c r="E698" t="s">
        <v>2823</v>
      </c>
      <c r="F698" t="s">
        <v>1237</v>
      </c>
      <c r="G698" t="s">
        <v>125</v>
      </c>
      <c r="H698" t="s">
        <v>33</v>
      </c>
      <c r="K698" t="s">
        <v>34</v>
      </c>
      <c r="L698" t="s">
        <v>35</v>
      </c>
      <c r="M698" t="s">
        <v>36</v>
      </c>
      <c r="Q698" t="s">
        <v>37</v>
      </c>
      <c r="R698" t="s">
        <v>38</v>
      </c>
      <c r="S698" t="s">
        <v>131</v>
      </c>
      <c r="T698" t="s">
        <v>49</v>
      </c>
      <c r="U698" t="s">
        <v>41</v>
      </c>
      <c r="V698" s="9" t="str">
        <f>HYPERLINK("https://app.ntsb.gov/pdfgenerator/ReportGeneratorFile.ashx?EventID=20160715X31642&amp;AKey=1&amp;Rtype=Final&amp;IType=CA","PDF Report")</f>
        <v>PDF Report</v>
      </c>
    </row>
    <row r="699" spans="1:22" x14ac:dyDescent="0.25">
      <c r="A699" t="s">
        <v>2824</v>
      </c>
      <c r="B699">
        <v>1</v>
      </c>
      <c r="C699" s="5">
        <v>42566</v>
      </c>
      <c r="D699" t="s">
        <v>2825</v>
      </c>
      <c r="E699" t="s">
        <v>2826</v>
      </c>
      <c r="F699" t="s">
        <v>2827</v>
      </c>
      <c r="G699" t="s">
        <v>264</v>
      </c>
      <c r="H699" t="s">
        <v>33</v>
      </c>
      <c r="I699">
        <v>1</v>
      </c>
      <c r="K699" t="s">
        <v>90</v>
      </c>
      <c r="L699" t="s">
        <v>110</v>
      </c>
      <c r="M699" t="s">
        <v>36</v>
      </c>
      <c r="Q699" t="s">
        <v>402</v>
      </c>
      <c r="R699" t="s">
        <v>38</v>
      </c>
      <c r="S699" t="s">
        <v>48</v>
      </c>
      <c r="T699" t="s">
        <v>40</v>
      </c>
      <c r="U699" t="s">
        <v>41</v>
      </c>
      <c r="V699" s="9" t="str">
        <f>HYPERLINK("https://app.ntsb.gov/pdfgenerator/ReportGeneratorFile.ashx?EventID=20160716X01657&amp;AKey=1&amp;Rtype=Final&amp;IType=LA","PDF Report")</f>
        <v>PDF Report</v>
      </c>
    </row>
    <row r="700" spans="1:22" x14ac:dyDescent="0.25">
      <c r="A700" t="s">
        <v>2828</v>
      </c>
      <c r="B700">
        <v>1</v>
      </c>
      <c r="C700" s="5">
        <v>42567</v>
      </c>
      <c r="D700" t="s">
        <v>2829</v>
      </c>
      <c r="E700" t="s">
        <v>2830</v>
      </c>
      <c r="F700" t="s">
        <v>2831</v>
      </c>
      <c r="G700" t="s">
        <v>322</v>
      </c>
      <c r="H700" t="s">
        <v>33</v>
      </c>
      <c r="I700">
        <v>3</v>
      </c>
      <c r="J700">
        <v>1</v>
      </c>
      <c r="K700" t="s">
        <v>90</v>
      </c>
      <c r="L700" t="s">
        <v>110</v>
      </c>
      <c r="M700" t="s">
        <v>36</v>
      </c>
      <c r="Q700" t="s">
        <v>37</v>
      </c>
      <c r="R700" t="s">
        <v>38</v>
      </c>
      <c r="S700" t="s">
        <v>396</v>
      </c>
      <c r="T700" t="s">
        <v>143</v>
      </c>
      <c r="U700" t="s">
        <v>41</v>
      </c>
      <c r="V700" s="9" t="str">
        <f>HYPERLINK("https://app.ntsb.gov/pdfgenerator/ReportGeneratorFile.ashx?EventID=20160716X21535&amp;AKey=1&amp;Rtype=Final&amp;IType=FA","PDF Report")</f>
        <v>PDF Report</v>
      </c>
    </row>
    <row r="701" spans="1:22" x14ac:dyDescent="0.25">
      <c r="A701" t="s">
        <v>2832</v>
      </c>
      <c r="B701">
        <v>1</v>
      </c>
      <c r="C701" s="5">
        <v>42567</v>
      </c>
      <c r="D701" t="s">
        <v>2833</v>
      </c>
      <c r="E701" t="s">
        <v>2504</v>
      </c>
      <c r="F701" t="s">
        <v>2505</v>
      </c>
      <c r="G701" t="s">
        <v>206</v>
      </c>
      <c r="H701" t="s">
        <v>33</v>
      </c>
      <c r="K701" t="s">
        <v>47</v>
      </c>
      <c r="L701" t="s">
        <v>35</v>
      </c>
      <c r="M701" t="s">
        <v>36</v>
      </c>
      <c r="Q701" t="s">
        <v>37</v>
      </c>
      <c r="R701" t="s">
        <v>38</v>
      </c>
      <c r="S701" t="s">
        <v>39</v>
      </c>
      <c r="T701" t="s">
        <v>49</v>
      </c>
      <c r="U701" t="s">
        <v>41</v>
      </c>
      <c r="V701" s="9" t="str">
        <f>HYPERLINK("https://app.ntsb.gov/pdfgenerator/ReportGeneratorFile.ashx?EventID=20160718X03838&amp;AKey=1&amp;Rtype=Final&amp;IType=LA","PDF Report")</f>
        <v>PDF Report</v>
      </c>
    </row>
    <row r="702" spans="1:22" x14ac:dyDescent="0.25">
      <c r="A702" t="s">
        <v>2834</v>
      </c>
      <c r="B702">
        <v>1</v>
      </c>
      <c r="C702" s="5">
        <v>42567</v>
      </c>
      <c r="D702" t="s">
        <v>2835</v>
      </c>
      <c r="E702" t="s">
        <v>2836</v>
      </c>
      <c r="F702" t="s">
        <v>356</v>
      </c>
      <c r="G702" t="s">
        <v>264</v>
      </c>
      <c r="H702" t="s">
        <v>33</v>
      </c>
      <c r="K702" t="s">
        <v>47</v>
      </c>
      <c r="L702" t="s">
        <v>35</v>
      </c>
      <c r="M702" t="s">
        <v>36</v>
      </c>
      <c r="Q702" t="s">
        <v>37</v>
      </c>
      <c r="R702" t="s">
        <v>38</v>
      </c>
      <c r="S702" t="s">
        <v>84</v>
      </c>
      <c r="T702" t="s">
        <v>73</v>
      </c>
      <c r="U702" t="s">
        <v>41</v>
      </c>
      <c r="V702" s="9" t="str">
        <f>HYPERLINK("https://app.ntsb.gov/pdfgenerator/ReportGeneratorFile.ashx?EventID=20160718X62900&amp;AKey=1&amp;Rtype=Final&amp;IType=CA","PDF Report")</f>
        <v>PDF Report</v>
      </c>
    </row>
    <row r="703" spans="1:22" x14ac:dyDescent="0.25">
      <c r="A703" t="s">
        <v>2837</v>
      </c>
      <c r="B703">
        <v>1</v>
      </c>
      <c r="C703" s="5">
        <v>42567</v>
      </c>
      <c r="D703" t="s">
        <v>2838</v>
      </c>
      <c r="E703" t="s">
        <v>2839</v>
      </c>
      <c r="F703" t="s">
        <v>2840</v>
      </c>
      <c r="G703" t="s">
        <v>636</v>
      </c>
      <c r="H703" t="s">
        <v>33</v>
      </c>
      <c r="I703">
        <v>1</v>
      </c>
      <c r="J703">
        <v>1</v>
      </c>
      <c r="K703" t="s">
        <v>90</v>
      </c>
      <c r="L703" t="s">
        <v>35</v>
      </c>
      <c r="M703" t="s">
        <v>36</v>
      </c>
      <c r="Q703" t="s">
        <v>37</v>
      </c>
      <c r="R703" t="s">
        <v>38</v>
      </c>
      <c r="S703" t="s">
        <v>97</v>
      </c>
      <c r="T703" t="s">
        <v>79</v>
      </c>
      <c r="U703" t="s">
        <v>41</v>
      </c>
      <c r="V703" s="9" t="str">
        <f>HYPERLINK("https://app.ntsb.gov/pdfgenerator/ReportGeneratorFile.ashx?EventID=20160718X90610&amp;AKey=1&amp;Rtype=Final&amp;IType=LA","PDF Report")</f>
        <v>PDF Report</v>
      </c>
    </row>
    <row r="704" spans="1:22" x14ac:dyDescent="0.25">
      <c r="A704" t="s">
        <v>2841</v>
      </c>
      <c r="B704">
        <v>1</v>
      </c>
      <c r="C704" s="5">
        <v>42567</v>
      </c>
      <c r="D704" t="s">
        <v>2842</v>
      </c>
      <c r="E704" t="s">
        <v>2843</v>
      </c>
      <c r="F704" t="s">
        <v>2844</v>
      </c>
      <c r="G704" t="s">
        <v>32</v>
      </c>
      <c r="H704" t="s">
        <v>33</v>
      </c>
      <c r="K704" t="s">
        <v>47</v>
      </c>
      <c r="L704" t="s">
        <v>35</v>
      </c>
      <c r="M704" t="s">
        <v>36</v>
      </c>
      <c r="Q704" t="s">
        <v>37</v>
      </c>
      <c r="R704" t="s">
        <v>38</v>
      </c>
      <c r="S704" t="s">
        <v>72</v>
      </c>
      <c r="T704" t="s">
        <v>73</v>
      </c>
      <c r="U704" t="s">
        <v>41</v>
      </c>
      <c r="V704" s="9" t="str">
        <f>HYPERLINK("https://app.ntsb.gov/pdfgenerator/ReportGeneratorFile.ashx?EventID=20160719X92516&amp;AKey=1&amp;Rtype=Final&amp;IType=CA","PDF Report")</f>
        <v>PDF Report</v>
      </c>
    </row>
    <row r="705" spans="1:22" x14ac:dyDescent="0.25">
      <c r="A705" t="s">
        <v>2845</v>
      </c>
      <c r="B705">
        <v>1</v>
      </c>
      <c r="C705" s="5">
        <v>42567</v>
      </c>
      <c r="D705" t="s">
        <v>2846</v>
      </c>
      <c r="E705" t="s">
        <v>2847</v>
      </c>
      <c r="F705" t="s">
        <v>2848</v>
      </c>
      <c r="G705" t="s">
        <v>136</v>
      </c>
      <c r="H705" t="s">
        <v>33</v>
      </c>
      <c r="K705" t="s">
        <v>34</v>
      </c>
      <c r="L705" t="s">
        <v>35</v>
      </c>
      <c r="M705" t="s">
        <v>36</v>
      </c>
      <c r="Q705" t="s">
        <v>185</v>
      </c>
      <c r="R705" t="s">
        <v>38</v>
      </c>
      <c r="S705" t="s">
        <v>131</v>
      </c>
      <c r="T705" t="s">
        <v>164</v>
      </c>
      <c r="U705" t="s">
        <v>41</v>
      </c>
      <c r="V705" s="9" t="str">
        <f>HYPERLINK("https://app.ntsb.gov/pdfgenerator/ReportGeneratorFile.ashx?EventID=20160719X94831&amp;AKey=1&amp;Rtype=Final&amp;IType=LA","PDF Report")</f>
        <v>PDF Report</v>
      </c>
    </row>
    <row r="706" spans="1:22" x14ac:dyDescent="0.25">
      <c r="A706" t="s">
        <v>2849</v>
      </c>
      <c r="B706">
        <v>1</v>
      </c>
      <c r="C706" s="5">
        <v>42567</v>
      </c>
      <c r="D706" t="s">
        <v>2850</v>
      </c>
      <c r="E706" t="s">
        <v>2851</v>
      </c>
      <c r="F706" t="s">
        <v>2852</v>
      </c>
      <c r="G706" t="s">
        <v>401</v>
      </c>
      <c r="H706" t="s">
        <v>33</v>
      </c>
      <c r="K706" t="s">
        <v>34</v>
      </c>
      <c r="L706" t="s">
        <v>35</v>
      </c>
      <c r="M706" t="s">
        <v>36</v>
      </c>
      <c r="Q706" t="s">
        <v>37</v>
      </c>
      <c r="R706" t="s">
        <v>38</v>
      </c>
      <c r="S706" t="s">
        <v>84</v>
      </c>
      <c r="T706" t="s">
        <v>73</v>
      </c>
      <c r="U706" t="s">
        <v>41</v>
      </c>
      <c r="V706" s="9" t="str">
        <f>HYPERLINK("https://app.ntsb.gov/pdfgenerator/ReportGeneratorFile.ashx?EventID=20160802X52258&amp;AKey=1&amp;Rtype=Final&amp;IType=LA","PDF Report")</f>
        <v>PDF Report</v>
      </c>
    </row>
    <row r="707" spans="1:22" x14ac:dyDescent="0.25">
      <c r="A707" t="s">
        <v>2853</v>
      </c>
      <c r="B707">
        <v>1</v>
      </c>
      <c r="C707" s="5">
        <v>42568</v>
      </c>
      <c r="D707" t="s">
        <v>2854</v>
      </c>
      <c r="E707" t="s">
        <v>2855</v>
      </c>
      <c r="F707" t="s">
        <v>1845</v>
      </c>
      <c r="G707" t="s">
        <v>120</v>
      </c>
      <c r="H707" t="s">
        <v>33</v>
      </c>
      <c r="K707" t="s">
        <v>47</v>
      </c>
      <c r="L707" t="s">
        <v>35</v>
      </c>
      <c r="M707" t="s">
        <v>36</v>
      </c>
      <c r="Q707" t="s">
        <v>37</v>
      </c>
      <c r="R707" t="s">
        <v>38</v>
      </c>
      <c r="S707" t="s">
        <v>196</v>
      </c>
      <c r="T707" t="s">
        <v>49</v>
      </c>
      <c r="U707" t="s">
        <v>41</v>
      </c>
      <c r="V707" s="9" t="str">
        <f>HYPERLINK("https://app.ntsb.gov/pdfgenerator/ReportGeneratorFile.ashx?EventID=20160717X15309&amp;AKey=1&amp;Rtype=Final&amp;IType=LA","PDF Report")</f>
        <v>PDF Report</v>
      </c>
    </row>
    <row r="708" spans="1:22" x14ac:dyDescent="0.25">
      <c r="A708" t="s">
        <v>2856</v>
      </c>
      <c r="B708">
        <v>1</v>
      </c>
      <c r="C708" s="5">
        <v>42568</v>
      </c>
      <c r="D708" t="s">
        <v>2857</v>
      </c>
      <c r="E708" t="s">
        <v>2858</v>
      </c>
      <c r="F708" t="s">
        <v>2859</v>
      </c>
      <c r="G708" t="s">
        <v>32</v>
      </c>
      <c r="H708" t="s">
        <v>33</v>
      </c>
      <c r="K708" t="s">
        <v>34</v>
      </c>
      <c r="L708" t="s">
        <v>35</v>
      </c>
      <c r="M708" t="s">
        <v>473</v>
      </c>
      <c r="Q708" t="s">
        <v>185</v>
      </c>
      <c r="R708" t="s">
        <v>474</v>
      </c>
      <c r="S708" t="s">
        <v>48</v>
      </c>
      <c r="T708" t="s">
        <v>73</v>
      </c>
      <c r="U708" t="s">
        <v>41</v>
      </c>
      <c r="V708" s="9" t="str">
        <f>HYPERLINK("https://app.ntsb.gov/pdfgenerator/ReportGeneratorFile.ashx?EventID=20160718X32942&amp;AKey=1&amp;Rtype=Final&amp;IType=LA","PDF Report")</f>
        <v>PDF Report</v>
      </c>
    </row>
    <row r="709" spans="1:22" x14ac:dyDescent="0.25">
      <c r="A709" t="s">
        <v>2860</v>
      </c>
      <c r="B709">
        <v>1</v>
      </c>
      <c r="C709" s="5">
        <v>42568</v>
      </c>
      <c r="D709" t="s">
        <v>1630</v>
      </c>
      <c r="E709" t="s">
        <v>1631</v>
      </c>
      <c r="F709" t="s">
        <v>1632</v>
      </c>
      <c r="G709" t="s">
        <v>339</v>
      </c>
      <c r="H709" t="s">
        <v>33</v>
      </c>
      <c r="K709" t="s">
        <v>47</v>
      </c>
      <c r="L709" t="s">
        <v>35</v>
      </c>
      <c r="M709" t="s">
        <v>36</v>
      </c>
      <c r="Q709" t="s">
        <v>37</v>
      </c>
      <c r="R709" t="s">
        <v>38</v>
      </c>
      <c r="S709" t="s">
        <v>48</v>
      </c>
      <c r="T709" t="s">
        <v>49</v>
      </c>
      <c r="U709" t="s">
        <v>41</v>
      </c>
      <c r="V709" s="9" t="str">
        <f>HYPERLINK("https://app.ntsb.gov/pdfgenerator/ReportGeneratorFile.ashx?EventID=20160718X40715&amp;AKey=1&amp;Rtype=Final&amp;IType=CA","PDF Report")</f>
        <v>PDF Report</v>
      </c>
    </row>
    <row r="710" spans="1:22" x14ac:dyDescent="0.25">
      <c r="A710" t="s">
        <v>2861</v>
      </c>
      <c r="B710">
        <v>1</v>
      </c>
      <c r="C710" s="5">
        <v>42568</v>
      </c>
      <c r="D710" t="s">
        <v>2862</v>
      </c>
      <c r="E710" t="s">
        <v>2863</v>
      </c>
      <c r="F710" t="s">
        <v>2864</v>
      </c>
      <c r="G710" t="s">
        <v>450</v>
      </c>
      <c r="H710" t="s">
        <v>33</v>
      </c>
      <c r="K710" t="s">
        <v>34</v>
      </c>
      <c r="L710" t="s">
        <v>35</v>
      </c>
      <c r="M710" t="s">
        <v>36</v>
      </c>
      <c r="Q710" t="s">
        <v>37</v>
      </c>
      <c r="R710" t="s">
        <v>38</v>
      </c>
      <c r="S710" t="s">
        <v>433</v>
      </c>
      <c r="T710" t="s">
        <v>61</v>
      </c>
      <c r="U710" t="s">
        <v>41</v>
      </c>
      <c r="V710" s="9" t="str">
        <f>HYPERLINK("https://app.ntsb.gov/pdfgenerator/ReportGeneratorFile.ashx?EventID=20160718X62313&amp;AKey=1&amp;Rtype=Final&amp;IType=LA","PDF Report")</f>
        <v>PDF Report</v>
      </c>
    </row>
    <row r="711" spans="1:22" x14ac:dyDescent="0.25">
      <c r="A711" t="s">
        <v>2865</v>
      </c>
      <c r="B711">
        <v>1</v>
      </c>
      <c r="C711" s="5">
        <v>42568</v>
      </c>
      <c r="D711" t="s">
        <v>2866</v>
      </c>
      <c r="E711" t="s">
        <v>2867</v>
      </c>
      <c r="F711" t="s">
        <v>2868</v>
      </c>
      <c r="G711" t="s">
        <v>348</v>
      </c>
      <c r="H711" t="s">
        <v>33</v>
      </c>
      <c r="K711" t="s">
        <v>47</v>
      </c>
      <c r="L711" t="s">
        <v>35</v>
      </c>
      <c r="M711" t="s">
        <v>36</v>
      </c>
      <c r="Q711" t="s">
        <v>37</v>
      </c>
      <c r="R711" t="s">
        <v>38</v>
      </c>
      <c r="S711" t="s">
        <v>48</v>
      </c>
      <c r="T711" t="s">
        <v>40</v>
      </c>
      <c r="U711" t="s">
        <v>41</v>
      </c>
      <c r="V711" s="9" t="str">
        <f>HYPERLINK("https://app.ntsb.gov/pdfgenerator/ReportGeneratorFile.ashx?EventID=20160721X52728&amp;AKey=1&amp;Rtype=Final&amp;IType=CA","PDF Report")</f>
        <v>PDF Report</v>
      </c>
    </row>
    <row r="712" spans="1:22" x14ac:dyDescent="0.25">
      <c r="A712" t="s">
        <v>2869</v>
      </c>
      <c r="B712">
        <v>1</v>
      </c>
      <c r="C712" s="5">
        <v>42569</v>
      </c>
      <c r="D712" t="s">
        <v>2870</v>
      </c>
      <c r="E712" t="s">
        <v>2871</v>
      </c>
      <c r="F712" t="s">
        <v>2872</v>
      </c>
      <c r="G712" t="s">
        <v>407</v>
      </c>
      <c r="H712" t="s">
        <v>33</v>
      </c>
      <c r="I712">
        <v>2</v>
      </c>
      <c r="K712" t="s">
        <v>90</v>
      </c>
      <c r="L712" t="s">
        <v>35</v>
      </c>
      <c r="M712" t="s">
        <v>36</v>
      </c>
      <c r="Q712" t="s">
        <v>37</v>
      </c>
      <c r="R712" t="s">
        <v>38</v>
      </c>
      <c r="S712" t="s">
        <v>48</v>
      </c>
      <c r="T712" t="s">
        <v>79</v>
      </c>
      <c r="U712" t="s">
        <v>41</v>
      </c>
      <c r="V712" s="9" t="str">
        <f>HYPERLINK("https://app.ntsb.gov/pdfgenerator/ReportGeneratorFile.ashx?EventID=20160718X25334&amp;AKey=1&amp;Rtype=Final&amp;IType=FA","PDF Report")</f>
        <v>PDF Report</v>
      </c>
    </row>
    <row r="713" spans="1:22" x14ac:dyDescent="0.25">
      <c r="A713" t="s">
        <v>2873</v>
      </c>
      <c r="B713">
        <v>1</v>
      </c>
      <c r="C713" s="5">
        <v>42569</v>
      </c>
      <c r="D713" t="s">
        <v>2874</v>
      </c>
      <c r="E713" t="s">
        <v>2875</v>
      </c>
      <c r="F713" t="s">
        <v>2876</v>
      </c>
      <c r="G713" t="s">
        <v>242</v>
      </c>
      <c r="H713" t="s">
        <v>33</v>
      </c>
      <c r="I713">
        <v>1</v>
      </c>
      <c r="K713" t="s">
        <v>90</v>
      </c>
      <c r="L713" t="s">
        <v>110</v>
      </c>
      <c r="M713" t="s">
        <v>36</v>
      </c>
      <c r="Q713" t="s">
        <v>37</v>
      </c>
      <c r="R713" t="s">
        <v>38</v>
      </c>
      <c r="S713" t="s">
        <v>48</v>
      </c>
      <c r="T713" t="s">
        <v>40</v>
      </c>
      <c r="U713" t="s">
        <v>41</v>
      </c>
      <c r="V713" s="9" t="str">
        <f>HYPERLINK("https://app.ntsb.gov/pdfgenerator/ReportGeneratorFile.ashx?EventID=20160718X60527&amp;AKey=1&amp;Rtype=Final&amp;IType=FA","PDF Report")</f>
        <v>PDF Report</v>
      </c>
    </row>
    <row r="714" spans="1:22" x14ac:dyDescent="0.25">
      <c r="A714" t="s">
        <v>2877</v>
      </c>
      <c r="B714">
        <v>1</v>
      </c>
      <c r="C714" s="5">
        <v>42569</v>
      </c>
      <c r="D714" t="s">
        <v>2878</v>
      </c>
      <c r="E714" t="s">
        <v>2879</v>
      </c>
      <c r="F714" t="s">
        <v>2880</v>
      </c>
      <c r="G714" t="s">
        <v>125</v>
      </c>
      <c r="H714" t="s">
        <v>33</v>
      </c>
      <c r="K714" t="s">
        <v>47</v>
      </c>
      <c r="L714" t="s">
        <v>35</v>
      </c>
      <c r="M714" t="s">
        <v>36</v>
      </c>
      <c r="Q714" t="s">
        <v>37</v>
      </c>
      <c r="R714" t="s">
        <v>38</v>
      </c>
      <c r="S714" t="s">
        <v>97</v>
      </c>
      <c r="T714" t="s">
        <v>49</v>
      </c>
      <c r="U714" t="s">
        <v>41</v>
      </c>
      <c r="V714" s="9" t="str">
        <f>HYPERLINK("https://app.ntsb.gov/pdfgenerator/ReportGeneratorFile.ashx?EventID=20160718X61154&amp;AKey=1&amp;Rtype=Final&amp;IType=CA","PDF Report")</f>
        <v>PDF Report</v>
      </c>
    </row>
    <row r="715" spans="1:22" x14ac:dyDescent="0.25">
      <c r="A715" t="s">
        <v>2881</v>
      </c>
      <c r="B715">
        <v>1</v>
      </c>
      <c r="C715" s="5">
        <v>42569</v>
      </c>
      <c r="D715" t="s">
        <v>2882</v>
      </c>
      <c r="E715" t="s">
        <v>2883</v>
      </c>
      <c r="F715" t="s">
        <v>2884</v>
      </c>
      <c r="G715" t="s">
        <v>491</v>
      </c>
      <c r="H715" t="s">
        <v>33</v>
      </c>
      <c r="J715">
        <v>1</v>
      </c>
      <c r="K715" t="s">
        <v>55</v>
      </c>
      <c r="L715" t="s">
        <v>35</v>
      </c>
      <c r="M715" t="s">
        <v>36</v>
      </c>
      <c r="Q715" t="s">
        <v>37</v>
      </c>
      <c r="R715" t="s">
        <v>38</v>
      </c>
      <c r="S715" t="s">
        <v>131</v>
      </c>
      <c r="T715" t="s">
        <v>73</v>
      </c>
      <c r="U715" t="s">
        <v>41</v>
      </c>
      <c r="V715" s="9" t="str">
        <f>HYPERLINK("https://app.ntsb.gov/pdfgenerator/ReportGeneratorFile.ashx?EventID=20160719X34936&amp;AKey=1&amp;Rtype=Final&amp;IType=LA","PDF Report")</f>
        <v>PDF Report</v>
      </c>
    </row>
    <row r="716" spans="1:22" x14ac:dyDescent="0.25">
      <c r="A716" t="s">
        <v>2885</v>
      </c>
      <c r="B716">
        <v>1</v>
      </c>
      <c r="C716" s="5">
        <v>42569</v>
      </c>
      <c r="D716" t="s">
        <v>2672</v>
      </c>
      <c r="E716" t="s">
        <v>2673</v>
      </c>
      <c r="F716" t="s">
        <v>307</v>
      </c>
      <c r="G716" t="s">
        <v>395</v>
      </c>
      <c r="H716" t="s">
        <v>33</v>
      </c>
      <c r="K716" t="s">
        <v>34</v>
      </c>
      <c r="L716" t="s">
        <v>35</v>
      </c>
      <c r="M716" t="s">
        <v>36</v>
      </c>
      <c r="Q716" t="s">
        <v>37</v>
      </c>
      <c r="R716" t="s">
        <v>38</v>
      </c>
      <c r="S716" t="s">
        <v>39</v>
      </c>
      <c r="T716" t="s">
        <v>61</v>
      </c>
      <c r="U716" t="s">
        <v>41</v>
      </c>
      <c r="V716" s="9" t="str">
        <f>HYPERLINK("https://app.ntsb.gov/pdfgenerator/ReportGeneratorFile.ashx?EventID=20160720X01138&amp;AKey=1&amp;Rtype=Final&amp;IType=LA","PDF Report")</f>
        <v>PDF Report</v>
      </c>
    </row>
    <row r="717" spans="1:22" x14ac:dyDescent="0.25">
      <c r="A717" t="s">
        <v>2886</v>
      </c>
      <c r="B717">
        <v>1</v>
      </c>
      <c r="C717" s="5">
        <v>42569</v>
      </c>
      <c r="D717" t="s">
        <v>2887</v>
      </c>
      <c r="E717" t="s">
        <v>2888</v>
      </c>
      <c r="F717" t="s">
        <v>2889</v>
      </c>
      <c r="G717" t="s">
        <v>54</v>
      </c>
      <c r="H717" t="s">
        <v>33</v>
      </c>
      <c r="K717" t="s">
        <v>34</v>
      </c>
      <c r="L717" t="s">
        <v>35</v>
      </c>
      <c r="M717" t="s">
        <v>36</v>
      </c>
      <c r="Q717" t="s">
        <v>37</v>
      </c>
      <c r="R717" t="s">
        <v>38</v>
      </c>
      <c r="S717" t="s">
        <v>131</v>
      </c>
      <c r="T717" t="s">
        <v>73</v>
      </c>
      <c r="U717" t="s">
        <v>41</v>
      </c>
      <c r="V717" s="9" t="str">
        <f>HYPERLINK("https://app.ntsb.gov/pdfgenerator/ReportGeneratorFile.ashx?EventID=20160721X31540&amp;AKey=1&amp;Rtype=Final&amp;IType=LA","PDF Report")</f>
        <v>PDF Report</v>
      </c>
    </row>
    <row r="718" spans="1:22" x14ac:dyDescent="0.25">
      <c r="A718" t="s">
        <v>2890</v>
      </c>
      <c r="B718">
        <v>1</v>
      </c>
      <c r="C718" s="5">
        <v>42569</v>
      </c>
      <c r="D718" t="s">
        <v>2891</v>
      </c>
      <c r="E718" t="s">
        <v>2892</v>
      </c>
      <c r="F718" t="s">
        <v>2268</v>
      </c>
      <c r="G718" t="s">
        <v>102</v>
      </c>
      <c r="H718" t="s">
        <v>33</v>
      </c>
      <c r="K718" t="s">
        <v>34</v>
      </c>
      <c r="L718" t="s">
        <v>35</v>
      </c>
      <c r="M718" t="s">
        <v>36</v>
      </c>
      <c r="Q718" t="s">
        <v>37</v>
      </c>
      <c r="R718" t="s">
        <v>38</v>
      </c>
      <c r="S718" t="s">
        <v>91</v>
      </c>
      <c r="T718" t="s">
        <v>61</v>
      </c>
      <c r="U718" t="s">
        <v>41</v>
      </c>
      <c r="V718" s="9" t="str">
        <f>HYPERLINK("https://app.ntsb.gov/pdfgenerator/ReportGeneratorFile.ashx?EventID=20160721X51753&amp;AKey=1&amp;Rtype=Final&amp;IType=CA","PDF Report")</f>
        <v>PDF Report</v>
      </c>
    </row>
    <row r="719" spans="1:22" x14ac:dyDescent="0.25">
      <c r="A719" t="s">
        <v>2893</v>
      </c>
      <c r="B719">
        <v>1</v>
      </c>
      <c r="C719" s="5">
        <v>42569</v>
      </c>
      <c r="D719" t="s">
        <v>2894</v>
      </c>
      <c r="E719" t="s">
        <v>2895</v>
      </c>
      <c r="F719" t="s">
        <v>1136</v>
      </c>
      <c r="G719" t="s">
        <v>348</v>
      </c>
      <c r="H719" t="s">
        <v>33</v>
      </c>
      <c r="K719" t="s">
        <v>34</v>
      </c>
      <c r="L719" t="s">
        <v>35</v>
      </c>
      <c r="M719" t="s">
        <v>36</v>
      </c>
      <c r="Q719" t="s">
        <v>37</v>
      </c>
      <c r="R719" t="s">
        <v>130</v>
      </c>
      <c r="S719" t="s">
        <v>84</v>
      </c>
      <c r="T719" t="s">
        <v>73</v>
      </c>
      <c r="U719" t="s">
        <v>41</v>
      </c>
      <c r="V719" s="9" t="str">
        <f>HYPERLINK("https://app.ntsb.gov/pdfgenerator/ReportGeneratorFile.ashx?EventID=20160725X60857&amp;AKey=1&amp;Rtype=Final&amp;IType=CA","PDF Report")</f>
        <v>PDF Report</v>
      </c>
    </row>
    <row r="720" spans="1:22" x14ac:dyDescent="0.25">
      <c r="A720" t="s">
        <v>2896</v>
      </c>
      <c r="B720">
        <v>1</v>
      </c>
      <c r="C720" s="5">
        <v>42570</v>
      </c>
      <c r="D720" t="s">
        <v>2897</v>
      </c>
      <c r="E720" t="s">
        <v>2898</v>
      </c>
      <c r="F720" t="s">
        <v>1111</v>
      </c>
      <c r="G720" t="s">
        <v>96</v>
      </c>
      <c r="H720" t="s">
        <v>33</v>
      </c>
      <c r="J720">
        <v>1</v>
      </c>
      <c r="K720" t="s">
        <v>55</v>
      </c>
      <c r="L720" t="s">
        <v>35</v>
      </c>
      <c r="M720" t="s">
        <v>36</v>
      </c>
      <c r="Q720" t="s">
        <v>37</v>
      </c>
      <c r="R720" t="s">
        <v>38</v>
      </c>
      <c r="S720" t="s">
        <v>39</v>
      </c>
      <c r="T720" t="s">
        <v>143</v>
      </c>
      <c r="U720" t="s">
        <v>41</v>
      </c>
      <c r="V720" s="9" t="str">
        <f>HYPERLINK("https://app.ntsb.gov/pdfgenerator/ReportGeneratorFile.ashx?EventID=20160719X34755&amp;AKey=1&amp;Rtype=Final&amp;IType=LA","PDF Report")</f>
        <v>PDF Report</v>
      </c>
    </row>
    <row r="721" spans="1:22" x14ac:dyDescent="0.25">
      <c r="A721" t="s">
        <v>2899</v>
      </c>
      <c r="B721">
        <v>1</v>
      </c>
      <c r="C721" s="5">
        <v>42570</v>
      </c>
      <c r="D721" t="s">
        <v>2900</v>
      </c>
      <c r="E721" t="s">
        <v>2901</v>
      </c>
      <c r="F721" t="s">
        <v>2902</v>
      </c>
      <c r="G721" t="s">
        <v>46</v>
      </c>
      <c r="H721" t="s">
        <v>33</v>
      </c>
      <c r="K721" t="s">
        <v>34</v>
      </c>
      <c r="L721" t="s">
        <v>35</v>
      </c>
      <c r="M721" t="s">
        <v>36</v>
      </c>
      <c r="Q721" t="s">
        <v>37</v>
      </c>
      <c r="R721" t="s">
        <v>38</v>
      </c>
      <c r="S721" t="s">
        <v>72</v>
      </c>
      <c r="T721" t="s">
        <v>49</v>
      </c>
      <c r="U721" t="s">
        <v>41</v>
      </c>
      <c r="V721" s="9" t="str">
        <f>HYPERLINK("https://app.ntsb.gov/pdfgenerator/ReportGeneratorFile.ashx?EventID=20160720X04524&amp;AKey=1&amp;Rtype=Final&amp;IType=LA","PDF Report")</f>
        <v>PDF Report</v>
      </c>
    </row>
    <row r="722" spans="1:22" x14ac:dyDescent="0.25">
      <c r="A722" t="s">
        <v>2903</v>
      </c>
      <c r="B722">
        <v>1</v>
      </c>
      <c r="C722" s="5">
        <v>42570</v>
      </c>
      <c r="D722" t="s">
        <v>2904</v>
      </c>
      <c r="E722" t="s">
        <v>2905</v>
      </c>
      <c r="F722" t="s">
        <v>2906</v>
      </c>
      <c r="G722" t="s">
        <v>395</v>
      </c>
      <c r="H722" t="s">
        <v>33</v>
      </c>
      <c r="K722" t="s">
        <v>34</v>
      </c>
      <c r="L722" t="s">
        <v>35</v>
      </c>
      <c r="M722" t="s">
        <v>36</v>
      </c>
      <c r="Q722" t="s">
        <v>37</v>
      </c>
      <c r="R722" t="s">
        <v>38</v>
      </c>
      <c r="S722" t="s">
        <v>131</v>
      </c>
      <c r="T722" t="s">
        <v>73</v>
      </c>
      <c r="U722" t="s">
        <v>41</v>
      </c>
      <c r="V722" s="9" t="str">
        <f>HYPERLINK("https://app.ntsb.gov/pdfgenerator/ReportGeneratorFile.ashx?EventID=20160720X32920&amp;AKey=1&amp;Rtype=Final&amp;IType=LA","PDF Report")</f>
        <v>PDF Report</v>
      </c>
    </row>
    <row r="723" spans="1:22" x14ac:dyDescent="0.25">
      <c r="A723" t="s">
        <v>2907</v>
      </c>
      <c r="B723">
        <v>1</v>
      </c>
      <c r="C723" s="5">
        <v>42570</v>
      </c>
      <c r="D723" t="s">
        <v>2908</v>
      </c>
      <c r="E723" t="s">
        <v>2909</v>
      </c>
      <c r="F723" t="s">
        <v>2910</v>
      </c>
      <c r="G723" t="s">
        <v>54</v>
      </c>
      <c r="H723" t="s">
        <v>33</v>
      </c>
      <c r="K723" t="s">
        <v>34</v>
      </c>
      <c r="L723" t="s">
        <v>35</v>
      </c>
      <c r="M723" t="s">
        <v>36</v>
      </c>
      <c r="Q723" t="s">
        <v>37</v>
      </c>
      <c r="R723" t="s">
        <v>274</v>
      </c>
      <c r="S723" t="s">
        <v>196</v>
      </c>
      <c r="T723" t="s">
        <v>73</v>
      </c>
      <c r="U723" t="s">
        <v>41</v>
      </c>
      <c r="V723" s="9" t="str">
        <f>HYPERLINK("https://app.ntsb.gov/pdfgenerator/ReportGeneratorFile.ashx?EventID=20160720X55139&amp;AKey=1&amp;Rtype=Final&amp;IType=LA","PDF Report")</f>
        <v>PDF Report</v>
      </c>
    </row>
    <row r="724" spans="1:22" x14ac:dyDescent="0.25">
      <c r="A724" t="s">
        <v>2911</v>
      </c>
      <c r="B724">
        <v>1</v>
      </c>
      <c r="C724" s="5">
        <v>42570</v>
      </c>
      <c r="D724" t="s">
        <v>2912</v>
      </c>
      <c r="E724" t="s">
        <v>2913</v>
      </c>
      <c r="F724" t="s">
        <v>2914</v>
      </c>
      <c r="G724" t="s">
        <v>500</v>
      </c>
      <c r="H724" t="s">
        <v>33</v>
      </c>
      <c r="K724" t="s">
        <v>47</v>
      </c>
      <c r="L724" t="s">
        <v>35</v>
      </c>
      <c r="M724" t="s">
        <v>36</v>
      </c>
      <c r="Q724" t="s">
        <v>37</v>
      </c>
      <c r="R724" t="s">
        <v>38</v>
      </c>
      <c r="S724" t="s">
        <v>39</v>
      </c>
      <c r="T724" t="s">
        <v>61</v>
      </c>
      <c r="U724" t="s">
        <v>41</v>
      </c>
      <c r="V724" s="9" t="str">
        <f>HYPERLINK("https://app.ntsb.gov/pdfgenerator/ReportGeneratorFile.ashx?EventID=20160721X10019&amp;AKey=1&amp;Rtype=Final&amp;IType=LA","PDF Report")</f>
        <v>PDF Report</v>
      </c>
    </row>
    <row r="725" spans="1:22" x14ac:dyDescent="0.25">
      <c r="A725" t="s">
        <v>2915</v>
      </c>
      <c r="B725">
        <v>1</v>
      </c>
      <c r="C725" s="5">
        <v>42570</v>
      </c>
      <c r="D725" t="s">
        <v>2916</v>
      </c>
      <c r="E725" t="s">
        <v>2917</v>
      </c>
      <c r="F725" t="s">
        <v>1495</v>
      </c>
      <c r="G725" t="s">
        <v>54</v>
      </c>
      <c r="H725" t="s">
        <v>33</v>
      </c>
      <c r="K725" t="s">
        <v>34</v>
      </c>
      <c r="L725" t="s">
        <v>35</v>
      </c>
      <c r="M725" t="s">
        <v>36</v>
      </c>
      <c r="Q725" t="s">
        <v>37</v>
      </c>
      <c r="R725" t="s">
        <v>38</v>
      </c>
      <c r="S725" t="s">
        <v>39</v>
      </c>
      <c r="T725" t="s">
        <v>49</v>
      </c>
      <c r="U725" t="s">
        <v>41</v>
      </c>
      <c r="V725" s="9" t="str">
        <f>HYPERLINK("https://app.ntsb.gov/pdfgenerator/ReportGeneratorFile.ashx?EventID=20160721X15056&amp;AKey=1&amp;Rtype=Final&amp;IType=LA","PDF Report")</f>
        <v>PDF Report</v>
      </c>
    </row>
    <row r="726" spans="1:22" x14ac:dyDescent="0.25">
      <c r="A726" t="s">
        <v>2918</v>
      </c>
      <c r="B726">
        <v>1</v>
      </c>
      <c r="C726" s="5">
        <v>42570</v>
      </c>
      <c r="D726" t="s">
        <v>2919</v>
      </c>
      <c r="E726" t="s">
        <v>2920</v>
      </c>
      <c r="F726" t="s">
        <v>2921</v>
      </c>
      <c r="G726" t="s">
        <v>54</v>
      </c>
      <c r="H726" t="s">
        <v>33</v>
      </c>
      <c r="K726" t="s">
        <v>34</v>
      </c>
      <c r="L726" t="s">
        <v>35</v>
      </c>
      <c r="M726" t="s">
        <v>36</v>
      </c>
      <c r="Q726" t="s">
        <v>37</v>
      </c>
      <c r="R726" t="s">
        <v>38</v>
      </c>
      <c r="S726" t="s">
        <v>455</v>
      </c>
      <c r="T726" t="s">
        <v>73</v>
      </c>
      <c r="U726" t="s">
        <v>41</v>
      </c>
      <c r="V726" s="9" t="str">
        <f>HYPERLINK("https://app.ntsb.gov/pdfgenerator/ReportGeneratorFile.ashx?EventID=20160809X64640&amp;AKey=1&amp;Rtype=Final&amp;IType=CA","PDF Report")</f>
        <v>PDF Report</v>
      </c>
    </row>
    <row r="727" spans="1:22" x14ac:dyDescent="0.25">
      <c r="A727" t="s">
        <v>2922</v>
      </c>
      <c r="B727">
        <v>1</v>
      </c>
      <c r="C727" s="5">
        <v>42571</v>
      </c>
      <c r="D727" t="s">
        <v>2923</v>
      </c>
      <c r="E727" t="s">
        <v>2924</v>
      </c>
      <c r="F727" t="s">
        <v>2925</v>
      </c>
      <c r="G727" t="s">
        <v>468</v>
      </c>
      <c r="H727" t="s">
        <v>33</v>
      </c>
      <c r="J727">
        <v>1</v>
      </c>
      <c r="K727" t="s">
        <v>55</v>
      </c>
      <c r="L727" t="s">
        <v>35</v>
      </c>
      <c r="M727" t="s">
        <v>36</v>
      </c>
      <c r="Q727" t="s">
        <v>37</v>
      </c>
      <c r="R727" t="s">
        <v>38</v>
      </c>
      <c r="S727" t="s">
        <v>932</v>
      </c>
      <c r="T727" t="s">
        <v>164</v>
      </c>
      <c r="U727" t="s">
        <v>41</v>
      </c>
      <c r="V727" s="9" t="str">
        <f>HYPERLINK("https://app.ntsb.gov/pdfgenerator/ReportGeneratorFile.ashx?EventID=20160721X24536&amp;AKey=1&amp;Rtype=Final&amp;IType=CA","PDF Report")</f>
        <v>PDF Report</v>
      </c>
    </row>
    <row r="728" spans="1:22" x14ac:dyDescent="0.25">
      <c r="A728" t="s">
        <v>2926</v>
      </c>
      <c r="B728">
        <v>1</v>
      </c>
      <c r="C728" s="5">
        <v>42571</v>
      </c>
      <c r="D728" t="s">
        <v>2927</v>
      </c>
      <c r="E728" t="s">
        <v>2928</v>
      </c>
      <c r="F728" t="s">
        <v>2929</v>
      </c>
      <c r="G728" t="s">
        <v>54</v>
      </c>
      <c r="H728" t="s">
        <v>33</v>
      </c>
      <c r="K728" t="s">
        <v>34</v>
      </c>
      <c r="L728" t="s">
        <v>35</v>
      </c>
      <c r="M728" t="s">
        <v>36</v>
      </c>
      <c r="Q728" t="s">
        <v>37</v>
      </c>
      <c r="R728" t="s">
        <v>38</v>
      </c>
      <c r="S728" t="s">
        <v>84</v>
      </c>
      <c r="T728" t="s">
        <v>73</v>
      </c>
      <c r="U728" t="s">
        <v>41</v>
      </c>
      <c r="V728" s="9" t="str">
        <f>HYPERLINK("https://app.ntsb.gov/pdfgenerator/ReportGeneratorFile.ashx?EventID=20160721X51844&amp;AKey=1&amp;Rtype=Final&amp;IType=CA","PDF Report")</f>
        <v>PDF Report</v>
      </c>
    </row>
    <row r="729" spans="1:22" x14ac:dyDescent="0.25">
      <c r="A729" t="s">
        <v>2930</v>
      </c>
      <c r="B729">
        <v>1</v>
      </c>
      <c r="C729" s="5">
        <v>42571</v>
      </c>
      <c r="D729" t="s">
        <v>2931</v>
      </c>
      <c r="E729" t="s">
        <v>2932</v>
      </c>
      <c r="F729" t="s">
        <v>2933</v>
      </c>
      <c r="G729" t="s">
        <v>312</v>
      </c>
      <c r="H729" t="s">
        <v>33</v>
      </c>
      <c r="K729" t="s">
        <v>34</v>
      </c>
      <c r="L729" t="s">
        <v>35</v>
      </c>
      <c r="M729" t="s">
        <v>36</v>
      </c>
      <c r="Q729" t="s">
        <v>874</v>
      </c>
      <c r="R729" t="s">
        <v>38</v>
      </c>
      <c r="S729" t="s">
        <v>131</v>
      </c>
      <c r="T729" t="s">
        <v>73</v>
      </c>
      <c r="U729" t="s">
        <v>41</v>
      </c>
      <c r="V729" s="9" t="str">
        <f>HYPERLINK("https://app.ntsb.gov/pdfgenerator/ReportGeneratorFile.ashx?EventID=20160726X70542&amp;AKey=1&amp;Rtype=Final&amp;IType=CA","PDF Report")</f>
        <v>PDF Report</v>
      </c>
    </row>
    <row r="730" spans="1:22" x14ac:dyDescent="0.25">
      <c r="A730" t="s">
        <v>2934</v>
      </c>
      <c r="B730">
        <v>1</v>
      </c>
      <c r="C730" s="5">
        <v>42571</v>
      </c>
      <c r="D730" t="s">
        <v>2935</v>
      </c>
      <c r="E730" t="s">
        <v>2936</v>
      </c>
      <c r="F730" t="s">
        <v>2937</v>
      </c>
      <c r="G730" t="s">
        <v>102</v>
      </c>
      <c r="H730" t="s">
        <v>33</v>
      </c>
      <c r="K730" t="s">
        <v>34</v>
      </c>
      <c r="L730" t="s">
        <v>35</v>
      </c>
      <c r="M730" t="s">
        <v>36</v>
      </c>
      <c r="Q730" t="s">
        <v>37</v>
      </c>
      <c r="R730" t="s">
        <v>38</v>
      </c>
      <c r="S730" t="s">
        <v>377</v>
      </c>
      <c r="T730" t="s">
        <v>73</v>
      </c>
      <c r="U730" t="s">
        <v>41</v>
      </c>
      <c r="V730" s="9" t="str">
        <f>HYPERLINK("https://app.ntsb.gov/pdfgenerator/ReportGeneratorFile.ashx?EventID=20160829X00908&amp;AKey=1&amp;Rtype=Final&amp;IType=CA","PDF Report")</f>
        <v>PDF Report</v>
      </c>
    </row>
    <row r="731" spans="1:22" x14ac:dyDescent="0.25">
      <c r="A731" t="s">
        <v>2938</v>
      </c>
      <c r="B731">
        <v>1</v>
      </c>
      <c r="C731" s="5">
        <v>42572</v>
      </c>
      <c r="D731" t="s">
        <v>2939</v>
      </c>
      <c r="E731" t="s">
        <v>2318</v>
      </c>
      <c r="F731" t="s">
        <v>2940</v>
      </c>
      <c r="G731" t="s">
        <v>237</v>
      </c>
      <c r="H731" t="s">
        <v>33</v>
      </c>
      <c r="I731">
        <v>2</v>
      </c>
      <c r="K731" t="s">
        <v>90</v>
      </c>
      <c r="L731" t="s">
        <v>35</v>
      </c>
      <c r="M731" t="s">
        <v>36</v>
      </c>
      <c r="Q731" t="s">
        <v>37</v>
      </c>
      <c r="R731" t="s">
        <v>38</v>
      </c>
      <c r="S731" t="s">
        <v>48</v>
      </c>
      <c r="T731" t="s">
        <v>40</v>
      </c>
      <c r="U731" t="s">
        <v>41</v>
      </c>
      <c r="V731" s="9" t="str">
        <f>HYPERLINK("https://app.ntsb.gov/pdfgenerator/ReportGeneratorFile.ashx?EventID=20160721X13557&amp;AKey=1&amp;Rtype=Final&amp;IType=FA","PDF Report")</f>
        <v>PDF Report</v>
      </c>
    </row>
    <row r="732" spans="1:22" x14ac:dyDescent="0.25">
      <c r="A732" t="s">
        <v>2941</v>
      </c>
      <c r="B732">
        <v>1</v>
      </c>
      <c r="C732" s="5">
        <v>42572</v>
      </c>
      <c r="D732" t="s">
        <v>782</v>
      </c>
      <c r="E732" t="s">
        <v>2942</v>
      </c>
      <c r="F732" t="s">
        <v>2943</v>
      </c>
      <c r="G732" t="s">
        <v>401</v>
      </c>
      <c r="H732" t="s">
        <v>33</v>
      </c>
      <c r="I732">
        <v>1</v>
      </c>
      <c r="K732" t="s">
        <v>90</v>
      </c>
      <c r="L732" t="s">
        <v>110</v>
      </c>
      <c r="M732" t="s">
        <v>36</v>
      </c>
      <c r="Q732" t="s">
        <v>37</v>
      </c>
      <c r="R732" t="s">
        <v>38</v>
      </c>
      <c r="S732" t="s">
        <v>48</v>
      </c>
      <c r="T732" t="s">
        <v>61</v>
      </c>
      <c r="U732" t="s">
        <v>41</v>
      </c>
      <c r="V732" s="9" t="str">
        <f>HYPERLINK("https://app.ntsb.gov/pdfgenerator/ReportGeneratorFile.ashx?EventID=20160721X74604&amp;AKey=1&amp;Rtype=Final&amp;IType=FA","PDF Report")</f>
        <v>PDF Report</v>
      </c>
    </row>
    <row r="733" spans="1:22" x14ac:dyDescent="0.25">
      <c r="A733" t="s">
        <v>2944</v>
      </c>
      <c r="B733">
        <v>1</v>
      </c>
      <c r="C733" s="5">
        <v>42572</v>
      </c>
      <c r="D733" t="s">
        <v>2945</v>
      </c>
      <c r="E733" t="s">
        <v>2946</v>
      </c>
      <c r="F733" t="s">
        <v>2947</v>
      </c>
      <c r="G733" t="s">
        <v>264</v>
      </c>
      <c r="H733" t="s">
        <v>33</v>
      </c>
      <c r="K733" t="s">
        <v>34</v>
      </c>
      <c r="L733" t="s">
        <v>35</v>
      </c>
      <c r="M733" t="s">
        <v>767</v>
      </c>
      <c r="Q733" t="s">
        <v>37</v>
      </c>
      <c r="R733" t="s">
        <v>768</v>
      </c>
      <c r="S733" t="s">
        <v>201</v>
      </c>
      <c r="T733" t="s">
        <v>40</v>
      </c>
      <c r="U733" t="s">
        <v>41</v>
      </c>
      <c r="V733" s="9" t="str">
        <f>HYPERLINK("https://app.ntsb.gov/pdfgenerator/ReportGeneratorFile.ashx?EventID=20160721X90029&amp;AKey=1&amp;Rtype=Final&amp;IType=CA","PDF Report")</f>
        <v>PDF Report</v>
      </c>
    </row>
    <row r="734" spans="1:22" x14ac:dyDescent="0.25">
      <c r="A734" t="s">
        <v>2948</v>
      </c>
      <c r="B734">
        <v>1</v>
      </c>
      <c r="C734" s="5">
        <v>42572</v>
      </c>
      <c r="D734" t="s">
        <v>2949</v>
      </c>
      <c r="E734" t="s">
        <v>2950</v>
      </c>
      <c r="F734" t="s">
        <v>2951</v>
      </c>
      <c r="G734" t="s">
        <v>395</v>
      </c>
      <c r="H734" t="s">
        <v>33</v>
      </c>
      <c r="K734" t="s">
        <v>34</v>
      </c>
      <c r="L734" t="s">
        <v>35</v>
      </c>
      <c r="M734" t="s">
        <v>36</v>
      </c>
      <c r="Q734" t="s">
        <v>37</v>
      </c>
      <c r="R734" t="s">
        <v>1132</v>
      </c>
      <c r="S734" t="s">
        <v>72</v>
      </c>
      <c r="T734" t="s">
        <v>73</v>
      </c>
      <c r="U734" t="s">
        <v>41</v>
      </c>
      <c r="V734" s="9" t="str">
        <f>HYPERLINK("https://app.ntsb.gov/pdfgenerator/ReportGeneratorFile.ashx?EventID=20160727X44252&amp;AKey=1&amp;Rtype=Final&amp;IType=LA","PDF Report")</f>
        <v>PDF Report</v>
      </c>
    </row>
    <row r="735" spans="1:22" x14ac:dyDescent="0.25">
      <c r="A735" t="s">
        <v>2952</v>
      </c>
      <c r="B735">
        <v>1</v>
      </c>
      <c r="C735" s="5">
        <v>42573</v>
      </c>
      <c r="D735" t="s">
        <v>2953</v>
      </c>
      <c r="E735" t="s">
        <v>2954</v>
      </c>
      <c r="F735" t="s">
        <v>2434</v>
      </c>
      <c r="G735" t="s">
        <v>312</v>
      </c>
      <c r="H735" t="s">
        <v>33</v>
      </c>
      <c r="I735">
        <v>2</v>
      </c>
      <c r="K735" t="s">
        <v>90</v>
      </c>
      <c r="L735" t="s">
        <v>110</v>
      </c>
      <c r="M735" t="s">
        <v>36</v>
      </c>
      <c r="Q735" t="s">
        <v>37</v>
      </c>
      <c r="R735" t="s">
        <v>38</v>
      </c>
      <c r="S735" t="s">
        <v>834</v>
      </c>
      <c r="T735" t="s">
        <v>61</v>
      </c>
      <c r="U735" t="s">
        <v>41</v>
      </c>
      <c r="V735" s="9" t="str">
        <f>HYPERLINK("https://app.ntsb.gov/pdfgenerator/ReportGeneratorFile.ashx?EventID=20160722X63338&amp;AKey=1&amp;Rtype=Final&amp;IType=LA","PDF Report")</f>
        <v>PDF Report</v>
      </c>
    </row>
    <row r="736" spans="1:22" x14ac:dyDescent="0.25">
      <c r="A736" t="s">
        <v>2955</v>
      </c>
      <c r="B736">
        <v>1</v>
      </c>
      <c r="C736" s="5">
        <v>42573</v>
      </c>
      <c r="D736" t="s">
        <v>2956</v>
      </c>
      <c r="E736" t="s">
        <v>2957</v>
      </c>
      <c r="F736" t="s">
        <v>2958</v>
      </c>
      <c r="G736" t="s">
        <v>115</v>
      </c>
      <c r="H736" t="s">
        <v>33</v>
      </c>
      <c r="I736">
        <v>1</v>
      </c>
      <c r="J736">
        <v>1</v>
      </c>
      <c r="K736" t="s">
        <v>90</v>
      </c>
      <c r="L736" t="s">
        <v>35</v>
      </c>
      <c r="M736" t="s">
        <v>36</v>
      </c>
      <c r="Q736" t="s">
        <v>37</v>
      </c>
      <c r="R736" t="s">
        <v>38</v>
      </c>
      <c r="S736" t="s">
        <v>196</v>
      </c>
      <c r="T736" t="s">
        <v>143</v>
      </c>
      <c r="U736" t="s">
        <v>41</v>
      </c>
      <c r="V736" s="9" t="str">
        <f>HYPERLINK("https://app.ntsb.gov/pdfgenerator/ReportGeneratorFile.ashx?EventID=20160724X20723&amp;AKey=1&amp;Rtype=Final&amp;IType=LA","PDF Report")</f>
        <v>PDF Report</v>
      </c>
    </row>
    <row r="737" spans="1:22" x14ac:dyDescent="0.25">
      <c r="A737" t="s">
        <v>2959</v>
      </c>
      <c r="B737">
        <v>1</v>
      </c>
      <c r="C737" s="5">
        <v>42573</v>
      </c>
      <c r="D737" t="s">
        <v>2960</v>
      </c>
      <c r="E737" t="s">
        <v>2961</v>
      </c>
      <c r="F737" t="s">
        <v>2962</v>
      </c>
      <c r="G737" t="s">
        <v>136</v>
      </c>
      <c r="H737" t="s">
        <v>33</v>
      </c>
      <c r="K737" t="s">
        <v>47</v>
      </c>
      <c r="L737" t="s">
        <v>35</v>
      </c>
      <c r="M737" t="s">
        <v>36</v>
      </c>
      <c r="Q737" t="s">
        <v>37</v>
      </c>
      <c r="R737" t="s">
        <v>38</v>
      </c>
      <c r="S737" t="s">
        <v>97</v>
      </c>
      <c r="T737" t="s">
        <v>61</v>
      </c>
      <c r="U737" t="s">
        <v>41</v>
      </c>
      <c r="V737" s="9" t="str">
        <f>HYPERLINK("https://app.ntsb.gov/pdfgenerator/ReportGeneratorFile.ashx?EventID=20160725X61204&amp;AKey=1&amp;Rtype=Final&amp;IType=CA","PDF Report")</f>
        <v>PDF Report</v>
      </c>
    </row>
    <row r="738" spans="1:22" x14ac:dyDescent="0.25">
      <c r="A738" t="s">
        <v>2963</v>
      </c>
      <c r="B738">
        <v>1</v>
      </c>
      <c r="C738" s="5">
        <v>42573</v>
      </c>
      <c r="D738" t="s">
        <v>2964</v>
      </c>
      <c r="E738" t="s">
        <v>2965</v>
      </c>
      <c r="F738" t="s">
        <v>2966</v>
      </c>
      <c r="G738" t="s">
        <v>237</v>
      </c>
      <c r="H738" t="s">
        <v>33</v>
      </c>
      <c r="K738" t="s">
        <v>34</v>
      </c>
      <c r="L738" t="s">
        <v>35</v>
      </c>
      <c r="M738" t="s">
        <v>36</v>
      </c>
      <c r="Q738" t="s">
        <v>37</v>
      </c>
      <c r="R738" t="s">
        <v>38</v>
      </c>
      <c r="S738" t="s">
        <v>131</v>
      </c>
      <c r="T738" t="s">
        <v>49</v>
      </c>
      <c r="U738" t="s">
        <v>41</v>
      </c>
      <c r="V738" s="9" t="str">
        <f>HYPERLINK("https://app.ntsb.gov/pdfgenerator/ReportGeneratorFile.ashx?EventID=20160726X63300&amp;AKey=1&amp;Rtype=Final&amp;IType=CA","PDF Report")</f>
        <v>PDF Report</v>
      </c>
    </row>
    <row r="739" spans="1:22" x14ac:dyDescent="0.25">
      <c r="A739" t="s">
        <v>2967</v>
      </c>
      <c r="B739">
        <v>1</v>
      </c>
      <c r="C739" s="5">
        <v>42573</v>
      </c>
      <c r="D739" t="s">
        <v>2968</v>
      </c>
      <c r="E739" t="s">
        <v>2969</v>
      </c>
      <c r="F739" t="s">
        <v>2970</v>
      </c>
      <c r="G739" t="s">
        <v>538</v>
      </c>
      <c r="H739" t="s">
        <v>33</v>
      </c>
      <c r="K739" t="s">
        <v>47</v>
      </c>
      <c r="L739" t="s">
        <v>35</v>
      </c>
      <c r="M739" t="s">
        <v>36</v>
      </c>
      <c r="Q739" t="s">
        <v>37</v>
      </c>
      <c r="R739" t="s">
        <v>38</v>
      </c>
      <c r="S739" t="s">
        <v>39</v>
      </c>
      <c r="T739" t="s">
        <v>61</v>
      </c>
      <c r="U739" t="s">
        <v>41</v>
      </c>
      <c r="V739" s="9" t="str">
        <f>HYPERLINK("https://app.ntsb.gov/pdfgenerator/ReportGeneratorFile.ashx?EventID=20160727X34119&amp;AKey=1&amp;Rtype=Final&amp;IType=LA","PDF Report")</f>
        <v>PDF Report</v>
      </c>
    </row>
    <row r="740" spans="1:22" x14ac:dyDescent="0.25">
      <c r="A740" t="s">
        <v>2971</v>
      </c>
      <c r="B740">
        <v>1</v>
      </c>
      <c r="C740" s="5">
        <v>42573</v>
      </c>
      <c r="D740" t="s">
        <v>2972</v>
      </c>
      <c r="E740" t="s">
        <v>2973</v>
      </c>
      <c r="F740" t="s">
        <v>2974</v>
      </c>
      <c r="G740" t="s">
        <v>71</v>
      </c>
      <c r="H740" t="s">
        <v>33</v>
      </c>
      <c r="K740" t="s">
        <v>47</v>
      </c>
      <c r="L740" t="s">
        <v>35</v>
      </c>
      <c r="M740" t="s">
        <v>767</v>
      </c>
      <c r="Q740" t="s">
        <v>185</v>
      </c>
      <c r="R740" t="s">
        <v>768</v>
      </c>
      <c r="S740" t="s">
        <v>60</v>
      </c>
      <c r="T740" t="s">
        <v>40</v>
      </c>
      <c r="U740" t="s">
        <v>41</v>
      </c>
      <c r="V740" s="9" t="str">
        <f>HYPERLINK("https://app.ntsb.gov/pdfgenerator/ReportGeneratorFile.ashx?EventID=20160728X04833&amp;AKey=1&amp;Rtype=Final&amp;IType=LA","PDF Report")</f>
        <v>PDF Report</v>
      </c>
    </row>
    <row r="741" spans="1:22" x14ac:dyDescent="0.25">
      <c r="A741" t="s">
        <v>2975</v>
      </c>
      <c r="B741">
        <v>1</v>
      </c>
      <c r="C741" s="5">
        <v>42574</v>
      </c>
      <c r="D741" t="s">
        <v>2976</v>
      </c>
      <c r="E741" t="s">
        <v>2977</v>
      </c>
      <c r="F741" t="s">
        <v>2978</v>
      </c>
      <c r="G741" t="s">
        <v>66</v>
      </c>
      <c r="H741" t="s">
        <v>33</v>
      </c>
      <c r="I741">
        <v>1</v>
      </c>
      <c r="K741" t="s">
        <v>90</v>
      </c>
      <c r="L741" t="s">
        <v>35</v>
      </c>
      <c r="M741" t="s">
        <v>767</v>
      </c>
      <c r="Q741" t="s">
        <v>37</v>
      </c>
      <c r="R741" t="s">
        <v>768</v>
      </c>
      <c r="S741" t="s">
        <v>433</v>
      </c>
      <c r="T741" t="s">
        <v>61</v>
      </c>
      <c r="U741" t="s">
        <v>41</v>
      </c>
      <c r="V741" s="9" t="str">
        <f>HYPERLINK("https://app.ntsb.gov/pdfgenerator/ReportGeneratorFile.ashx?EventID=20160723X20253&amp;AKey=1&amp;Rtype=Final&amp;IType=FA","PDF Report")</f>
        <v>PDF Report</v>
      </c>
    </row>
    <row r="742" spans="1:22" x14ac:dyDescent="0.25">
      <c r="A742" t="s">
        <v>2975</v>
      </c>
      <c r="B742">
        <v>2</v>
      </c>
      <c r="C742" s="5">
        <v>42574</v>
      </c>
      <c r="D742" t="s">
        <v>2976</v>
      </c>
      <c r="E742" t="s">
        <v>2977</v>
      </c>
      <c r="F742" t="s">
        <v>2978</v>
      </c>
      <c r="G742" t="s">
        <v>66</v>
      </c>
      <c r="H742" t="s">
        <v>33</v>
      </c>
      <c r="I742">
        <v>1</v>
      </c>
      <c r="K742" t="s">
        <v>90</v>
      </c>
      <c r="L742" t="s">
        <v>35</v>
      </c>
      <c r="M742" t="s">
        <v>767</v>
      </c>
      <c r="Q742" t="s">
        <v>37</v>
      </c>
      <c r="R742" t="s">
        <v>768</v>
      </c>
      <c r="S742" t="s">
        <v>433</v>
      </c>
      <c r="T742" t="s">
        <v>61</v>
      </c>
      <c r="U742" t="s">
        <v>41</v>
      </c>
      <c r="V742" s="9" t="str">
        <f>HYPERLINK("https://app.ntsb.gov/pdfgenerator/ReportGeneratorFile.ashx?EventID=20160723X20253&amp;AKey=2&amp;Rtype=Final&amp;IType=FA","PDF Report")</f>
        <v>PDF Report</v>
      </c>
    </row>
    <row r="743" spans="1:22" x14ac:dyDescent="0.25">
      <c r="A743" t="s">
        <v>2979</v>
      </c>
      <c r="B743">
        <v>1</v>
      </c>
      <c r="C743" s="5">
        <v>42574</v>
      </c>
      <c r="D743" t="s">
        <v>2980</v>
      </c>
      <c r="E743" t="s">
        <v>2981</v>
      </c>
      <c r="F743" t="s">
        <v>2400</v>
      </c>
      <c r="G743" t="s">
        <v>66</v>
      </c>
      <c r="H743" t="s">
        <v>33</v>
      </c>
      <c r="K743" t="s">
        <v>34</v>
      </c>
      <c r="L743" t="s">
        <v>35</v>
      </c>
      <c r="M743" t="s">
        <v>36</v>
      </c>
      <c r="Q743" t="s">
        <v>37</v>
      </c>
      <c r="R743" t="s">
        <v>38</v>
      </c>
      <c r="S743" t="s">
        <v>39</v>
      </c>
      <c r="T743" t="s">
        <v>79</v>
      </c>
      <c r="U743" t="s">
        <v>41</v>
      </c>
      <c r="V743" s="9" t="str">
        <f>HYPERLINK("https://app.ntsb.gov/pdfgenerator/ReportGeneratorFile.ashx?EventID=20160723X83911&amp;AKey=1&amp;Rtype=Final&amp;IType=LA","PDF Report")</f>
        <v>PDF Report</v>
      </c>
    </row>
    <row r="744" spans="1:22" x14ac:dyDescent="0.25">
      <c r="A744" t="s">
        <v>2982</v>
      </c>
      <c r="B744">
        <v>1</v>
      </c>
      <c r="C744" s="5">
        <v>42574</v>
      </c>
      <c r="D744" t="s">
        <v>2983</v>
      </c>
      <c r="E744" t="s">
        <v>2984</v>
      </c>
      <c r="F744" t="s">
        <v>2985</v>
      </c>
      <c r="G744" t="s">
        <v>66</v>
      </c>
      <c r="H744" t="s">
        <v>33</v>
      </c>
      <c r="K744" t="s">
        <v>34</v>
      </c>
      <c r="L744" t="s">
        <v>35</v>
      </c>
      <c r="M744" t="s">
        <v>36</v>
      </c>
      <c r="Q744" t="s">
        <v>37</v>
      </c>
      <c r="R744" t="s">
        <v>1132</v>
      </c>
      <c r="S744" t="s">
        <v>196</v>
      </c>
      <c r="T744" t="s">
        <v>61</v>
      </c>
      <c r="U744" t="s">
        <v>41</v>
      </c>
      <c r="V744" s="9" t="str">
        <f>HYPERLINK("https://app.ntsb.gov/pdfgenerator/ReportGeneratorFile.ashx?EventID=20160724X01920&amp;AKey=1&amp;Rtype=Final&amp;IType=LA","PDF Report")</f>
        <v>PDF Report</v>
      </c>
    </row>
    <row r="745" spans="1:22" x14ac:dyDescent="0.25">
      <c r="A745" t="s">
        <v>2986</v>
      </c>
      <c r="B745">
        <v>1</v>
      </c>
      <c r="C745" s="5">
        <v>42574</v>
      </c>
      <c r="D745" t="s">
        <v>2987</v>
      </c>
      <c r="E745" t="s">
        <v>2988</v>
      </c>
      <c r="F745" t="s">
        <v>2989</v>
      </c>
      <c r="G745" t="s">
        <v>683</v>
      </c>
      <c r="H745" t="s">
        <v>33</v>
      </c>
      <c r="J745">
        <v>1</v>
      </c>
      <c r="K745" t="s">
        <v>55</v>
      </c>
      <c r="L745" t="s">
        <v>35</v>
      </c>
      <c r="M745" t="s">
        <v>36</v>
      </c>
      <c r="Q745" t="s">
        <v>37</v>
      </c>
      <c r="R745" t="s">
        <v>38</v>
      </c>
      <c r="S745" t="s">
        <v>48</v>
      </c>
      <c r="T745" t="s">
        <v>143</v>
      </c>
      <c r="U745" t="s">
        <v>41</v>
      </c>
      <c r="V745" s="9" t="str">
        <f>HYPERLINK("https://app.ntsb.gov/pdfgenerator/ReportGeneratorFile.ashx?EventID=20160724X22649&amp;AKey=1&amp;Rtype=Final&amp;IType=LA","PDF Report")</f>
        <v>PDF Report</v>
      </c>
    </row>
    <row r="746" spans="1:22" x14ac:dyDescent="0.25">
      <c r="A746" t="s">
        <v>2990</v>
      </c>
      <c r="B746">
        <v>1</v>
      </c>
      <c r="C746" s="5">
        <v>42574</v>
      </c>
      <c r="D746" t="s">
        <v>2991</v>
      </c>
      <c r="E746" t="s">
        <v>2992</v>
      </c>
      <c r="F746" t="s">
        <v>2993</v>
      </c>
      <c r="G746" t="s">
        <v>115</v>
      </c>
      <c r="H746" t="s">
        <v>33</v>
      </c>
      <c r="K746" t="s">
        <v>34</v>
      </c>
      <c r="L746" t="s">
        <v>35</v>
      </c>
      <c r="M746" t="s">
        <v>36</v>
      </c>
      <c r="Q746" t="s">
        <v>37</v>
      </c>
      <c r="R746" t="s">
        <v>38</v>
      </c>
      <c r="S746" t="s">
        <v>39</v>
      </c>
      <c r="T746" t="s">
        <v>143</v>
      </c>
      <c r="U746" t="s">
        <v>41</v>
      </c>
      <c r="V746" s="9" t="str">
        <f>HYPERLINK("https://app.ntsb.gov/pdfgenerator/ReportGeneratorFile.ashx?EventID=20160724X24036&amp;AKey=1&amp;Rtype=Final&amp;IType=LA","PDF Report")</f>
        <v>PDF Report</v>
      </c>
    </row>
    <row r="747" spans="1:22" x14ac:dyDescent="0.25">
      <c r="A747" t="s">
        <v>2994</v>
      </c>
      <c r="B747">
        <v>1</v>
      </c>
      <c r="C747" s="5">
        <v>42574</v>
      </c>
      <c r="D747" t="s">
        <v>2995</v>
      </c>
      <c r="E747" t="s">
        <v>2996</v>
      </c>
      <c r="F747" t="s">
        <v>445</v>
      </c>
      <c r="G747" t="s">
        <v>211</v>
      </c>
      <c r="H747" t="s">
        <v>33</v>
      </c>
      <c r="K747" t="s">
        <v>34</v>
      </c>
      <c r="L747" t="s">
        <v>35</v>
      </c>
      <c r="M747" t="s">
        <v>36</v>
      </c>
      <c r="Q747" t="s">
        <v>37</v>
      </c>
      <c r="R747" t="s">
        <v>38</v>
      </c>
      <c r="S747" t="s">
        <v>84</v>
      </c>
      <c r="T747" t="s">
        <v>73</v>
      </c>
      <c r="U747" t="s">
        <v>41</v>
      </c>
      <c r="V747" s="9" t="str">
        <f>HYPERLINK("https://app.ntsb.gov/pdfgenerator/ReportGeneratorFile.ashx?EventID=20160726X45359&amp;AKey=1&amp;Rtype=Final&amp;IType=LA","PDF Report")</f>
        <v>PDF Report</v>
      </c>
    </row>
    <row r="748" spans="1:22" x14ac:dyDescent="0.25">
      <c r="A748" t="s">
        <v>2997</v>
      </c>
      <c r="B748">
        <v>1</v>
      </c>
      <c r="C748" s="5">
        <v>42574</v>
      </c>
      <c r="D748" t="s">
        <v>2998</v>
      </c>
      <c r="E748" t="s">
        <v>2999</v>
      </c>
      <c r="F748" t="s">
        <v>3000</v>
      </c>
      <c r="G748" t="s">
        <v>237</v>
      </c>
      <c r="H748" t="s">
        <v>33</v>
      </c>
      <c r="K748" t="s">
        <v>34</v>
      </c>
      <c r="L748" t="s">
        <v>35</v>
      </c>
      <c r="M748" t="s">
        <v>36</v>
      </c>
      <c r="Q748" t="s">
        <v>37</v>
      </c>
      <c r="R748" t="s">
        <v>38</v>
      </c>
      <c r="S748" t="s">
        <v>131</v>
      </c>
      <c r="T748" t="s">
        <v>49</v>
      </c>
      <c r="U748" t="s">
        <v>41</v>
      </c>
      <c r="V748" s="9" t="str">
        <f>HYPERLINK("https://app.ntsb.gov/pdfgenerator/ReportGeneratorFile.ashx?EventID=20160727X81857&amp;AKey=1&amp;Rtype=Final&amp;IType=CA","PDF Report")</f>
        <v>PDF Report</v>
      </c>
    </row>
    <row r="749" spans="1:22" x14ac:dyDescent="0.25">
      <c r="A749" t="s">
        <v>3001</v>
      </c>
      <c r="B749">
        <v>1</v>
      </c>
      <c r="C749" s="5">
        <v>42575</v>
      </c>
      <c r="D749" t="s">
        <v>3002</v>
      </c>
      <c r="E749" t="s">
        <v>3003</v>
      </c>
      <c r="F749" t="s">
        <v>3004</v>
      </c>
      <c r="G749" t="s">
        <v>395</v>
      </c>
      <c r="H749" t="s">
        <v>33</v>
      </c>
      <c r="J749">
        <v>1</v>
      </c>
      <c r="K749" t="s">
        <v>55</v>
      </c>
      <c r="L749" t="s">
        <v>35</v>
      </c>
      <c r="M749" t="s">
        <v>36</v>
      </c>
      <c r="Q749" t="s">
        <v>37</v>
      </c>
      <c r="R749" t="s">
        <v>274</v>
      </c>
      <c r="S749" t="s">
        <v>48</v>
      </c>
      <c r="T749" t="s">
        <v>79</v>
      </c>
      <c r="U749" t="s">
        <v>41</v>
      </c>
      <c r="V749" s="9" t="str">
        <f>HYPERLINK("https://app.ntsb.gov/pdfgenerator/ReportGeneratorFile.ashx?EventID=20160724X14531&amp;AKey=1&amp;Rtype=Final&amp;IType=LA","PDF Report")</f>
        <v>PDF Report</v>
      </c>
    </row>
    <row r="750" spans="1:22" x14ac:dyDescent="0.25">
      <c r="A750" t="s">
        <v>3005</v>
      </c>
      <c r="B750">
        <v>1</v>
      </c>
      <c r="C750" s="5">
        <v>42575</v>
      </c>
      <c r="D750" t="s">
        <v>3006</v>
      </c>
      <c r="E750" t="s">
        <v>3007</v>
      </c>
      <c r="F750" t="s">
        <v>3008</v>
      </c>
      <c r="G750" t="s">
        <v>89</v>
      </c>
      <c r="H750" t="s">
        <v>33</v>
      </c>
      <c r="I750">
        <v>2</v>
      </c>
      <c r="K750" t="s">
        <v>90</v>
      </c>
      <c r="L750" t="s">
        <v>35</v>
      </c>
      <c r="M750" t="s">
        <v>36</v>
      </c>
      <c r="Q750" t="s">
        <v>37</v>
      </c>
      <c r="R750" t="s">
        <v>38</v>
      </c>
      <c r="S750" t="s">
        <v>48</v>
      </c>
      <c r="T750" t="s">
        <v>40</v>
      </c>
      <c r="U750" t="s">
        <v>41</v>
      </c>
      <c r="V750" s="9" t="str">
        <f>HYPERLINK("https://app.ntsb.gov/pdfgenerator/ReportGeneratorFile.ashx?EventID=20160724X73215&amp;AKey=1&amp;Rtype=Final&amp;IType=FA","PDF Report")</f>
        <v>PDF Report</v>
      </c>
    </row>
    <row r="751" spans="1:22" x14ac:dyDescent="0.25">
      <c r="A751" t="s">
        <v>3009</v>
      </c>
      <c r="B751">
        <v>1</v>
      </c>
      <c r="C751" s="5">
        <v>42575</v>
      </c>
      <c r="D751" t="s">
        <v>3010</v>
      </c>
      <c r="E751" t="s">
        <v>3011</v>
      </c>
      <c r="F751" t="s">
        <v>3012</v>
      </c>
      <c r="G751" t="s">
        <v>468</v>
      </c>
      <c r="H751" t="s">
        <v>33</v>
      </c>
      <c r="K751" t="s">
        <v>34</v>
      </c>
      <c r="L751" t="s">
        <v>35</v>
      </c>
      <c r="M751" t="s">
        <v>36</v>
      </c>
      <c r="Q751" t="s">
        <v>37</v>
      </c>
      <c r="R751" t="s">
        <v>130</v>
      </c>
      <c r="S751" t="s">
        <v>97</v>
      </c>
      <c r="T751" t="s">
        <v>143</v>
      </c>
      <c r="U751" t="s">
        <v>41</v>
      </c>
      <c r="V751" s="9" t="str">
        <f>HYPERLINK("https://app.ntsb.gov/pdfgenerator/ReportGeneratorFile.ashx?EventID=20160725X71121&amp;AKey=1&amp;Rtype=Final&amp;IType=LA","PDF Report")</f>
        <v>PDF Report</v>
      </c>
    </row>
    <row r="752" spans="1:22" x14ac:dyDescent="0.25">
      <c r="A752" t="s">
        <v>3013</v>
      </c>
      <c r="B752">
        <v>1</v>
      </c>
      <c r="C752" s="5">
        <v>42575</v>
      </c>
      <c r="D752" t="s">
        <v>3014</v>
      </c>
      <c r="E752" t="s">
        <v>3015</v>
      </c>
      <c r="F752" t="s">
        <v>3016</v>
      </c>
      <c r="G752" t="s">
        <v>636</v>
      </c>
      <c r="H752" t="s">
        <v>33</v>
      </c>
      <c r="K752" t="s">
        <v>47</v>
      </c>
      <c r="L752" t="s">
        <v>35</v>
      </c>
      <c r="M752" t="s">
        <v>36</v>
      </c>
      <c r="Q752" t="s">
        <v>37</v>
      </c>
      <c r="R752" t="s">
        <v>38</v>
      </c>
      <c r="S752" t="s">
        <v>84</v>
      </c>
      <c r="T752" t="s">
        <v>73</v>
      </c>
      <c r="U752" t="s">
        <v>41</v>
      </c>
      <c r="V752" s="9" t="str">
        <f>HYPERLINK("https://app.ntsb.gov/pdfgenerator/ReportGeneratorFile.ashx?EventID=20160726X22534&amp;AKey=1&amp;Rtype=Final&amp;IType=CA","PDF Report")</f>
        <v>PDF Report</v>
      </c>
    </row>
    <row r="753" spans="1:22" x14ac:dyDescent="0.25">
      <c r="A753" t="s">
        <v>3017</v>
      </c>
      <c r="B753">
        <v>1</v>
      </c>
      <c r="C753" s="5">
        <v>42575</v>
      </c>
      <c r="D753" t="s">
        <v>3018</v>
      </c>
      <c r="E753" t="s">
        <v>3019</v>
      </c>
      <c r="F753" t="s">
        <v>3020</v>
      </c>
      <c r="G753" t="s">
        <v>1508</v>
      </c>
      <c r="H753" t="s">
        <v>33</v>
      </c>
      <c r="K753" t="s">
        <v>47</v>
      </c>
      <c r="L753" t="s">
        <v>35</v>
      </c>
      <c r="M753" t="s">
        <v>36</v>
      </c>
      <c r="Q753" t="s">
        <v>874</v>
      </c>
      <c r="R753" t="s">
        <v>38</v>
      </c>
      <c r="S753" t="s">
        <v>191</v>
      </c>
      <c r="T753" t="s">
        <v>79</v>
      </c>
      <c r="U753" t="s">
        <v>41</v>
      </c>
      <c r="V753" s="9" t="str">
        <f>HYPERLINK("https://app.ntsb.gov/pdfgenerator/ReportGeneratorFile.ashx?EventID=20160727X42258&amp;AKey=1&amp;Rtype=Final&amp;IType=LA","PDF Report")</f>
        <v>PDF Report</v>
      </c>
    </row>
    <row r="754" spans="1:22" x14ac:dyDescent="0.25">
      <c r="A754" t="s">
        <v>3021</v>
      </c>
      <c r="B754">
        <v>1</v>
      </c>
      <c r="C754" s="5">
        <v>42575</v>
      </c>
      <c r="D754" t="s">
        <v>3022</v>
      </c>
      <c r="E754" t="s">
        <v>3023</v>
      </c>
      <c r="F754" t="s">
        <v>2929</v>
      </c>
      <c r="G754" t="s">
        <v>789</v>
      </c>
      <c r="H754" t="s">
        <v>33</v>
      </c>
      <c r="K754" t="s">
        <v>34</v>
      </c>
      <c r="L754" t="s">
        <v>35</v>
      </c>
      <c r="M754" t="s">
        <v>36</v>
      </c>
      <c r="Q754" t="s">
        <v>37</v>
      </c>
      <c r="R754" t="s">
        <v>38</v>
      </c>
      <c r="S754" t="s">
        <v>72</v>
      </c>
      <c r="T754" t="s">
        <v>73</v>
      </c>
      <c r="U754" t="s">
        <v>41</v>
      </c>
      <c r="V754" s="9" t="str">
        <f>HYPERLINK("https://app.ntsb.gov/pdfgenerator/ReportGeneratorFile.ashx?EventID=20160811X14723&amp;AKey=1&amp;Rtype=Final&amp;IType=CA","PDF Report")</f>
        <v>PDF Report</v>
      </c>
    </row>
    <row r="755" spans="1:22" x14ac:dyDescent="0.25">
      <c r="A755" t="s">
        <v>3024</v>
      </c>
      <c r="B755">
        <v>1</v>
      </c>
      <c r="C755" s="5">
        <v>42576</v>
      </c>
      <c r="D755" t="s">
        <v>3025</v>
      </c>
      <c r="E755" t="s">
        <v>3026</v>
      </c>
      <c r="F755" t="s">
        <v>986</v>
      </c>
      <c r="G755" t="s">
        <v>468</v>
      </c>
      <c r="H755" t="s">
        <v>33</v>
      </c>
      <c r="I755">
        <v>1</v>
      </c>
      <c r="K755" t="s">
        <v>90</v>
      </c>
      <c r="L755" t="s">
        <v>35</v>
      </c>
      <c r="M755" t="s">
        <v>36</v>
      </c>
      <c r="Q755" t="s">
        <v>37</v>
      </c>
      <c r="R755" t="s">
        <v>38</v>
      </c>
      <c r="S755" t="s">
        <v>196</v>
      </c>
      <c r="T755" t="s">
        <v>73</v>
      </c>
      <c r="U755" t="s">
        <v>41</v>
      </c>
      <c r="V755" s="9" t="str">
        <f>HYPERLINK("https://app.ntsb.gov/pdfgenerator/ReportGeneratorFile.ashx?EventID=20160725X60430&amp;AKey=1&amp;Rtype=Final&amp;IType=FA","PDF Report")</f>
        <v>PDF Report</v>
      </c>
    </row>
    <row r="756" spans="1:22" x14ac:dyDescent="0.25">
      <c r="A756" t="s">
        <v>3027</v>
      </c>
      <c r="B756">
        <v>1</v>
      </c>
      <c r="C756" s="5">
        <v>42576</v>
      </c>
      <c r="D756" t="s">
        <v>3028</v>
      </c>
      <c r="E756" t="s">
        <v>3029</v>
      </c>
      <c r="F756" t="s">
        <v>3030</v>
      </c>
      <c r="G756" t="s">
        <v>401</v>
      </c>
      <c r="H756" t="s">
        <v>33</v>
      </c>
      <c r="K756" t="s">
        <v>34</v>
      </c>
      <c r="L756" t="s">
        <v>35</v>
      </c>
      <c r="M756" t="s">
        <v>767</v>
      </c>
      <c r="Q756" t="s">
        <v>185</v>
      </c>
      <c r="R756" t="s">
        <v>768</v>
      </c>
      <c r="S756" t="s">
        <v>163</v>
      </c>
      <c r="T756" t="s">
        <v>164</v>
      </c>
      <c r="U756" t="s">
        <v>41</v>
      </c>
      <c r="V756" s="9" t="str">
        <f>HYPERLINK("https://app.ntsb.gov/pdfgenerator/ReportGeneratorFile.ashx?EventID=20160726X85117&amp;AKey=1&amp;Rtype=Final&amp;IType=LA","PDF Report")</f>
        <v>PDF Report</v>
      </c>
    </row>
    <row r="757" spans="1:22" x14ac:dyDescent="0.25">
      <c r="A757" t="s">
        <v>3031</v>
      </c>
      <c r="B757">
        <v>1</v>
      </c>
      <c r="C757" s="5">
        <v>42576</v>
      </c>
      <c r="D757" t="s">
        <v>3032</v>
      </c>
      <c r="E757" t="s">
        <v>3033</v>
      </c>
      <c r="F757" t="s">
        <v>3034</v>
      </c>
      <c r="G757" t="s">
        <v>71</v>
      </c>
      <c r="H757" t="s">
        <v>33</v>
      </c>
      <c r="K757" t="s">
        <v>34</v>
      </c>
      <c r="L757" t="s">
        <v>35</v>
      </c>
      <c r="M757" t="s">
        <v>36</v>
      </c>
      <c r="Q757" t="s">
        <v>37</v>
      </c>
      <c r="R757" t="s">
        <v>38</v>
      </c>
      <c r="S757" t="s">
        <v>39</v>
      </c>
      <c r="T757" t="s">
        <v>40</v>
      </c>
      <c r="U757" t="s">
        <v>41</v>
      </c>
      <c r="V757" s="9" t="str">
        <f>HYPERLINK("https://app.ntsb.gov/pdfgenerator/ReportGeneratorFile.ashx?EventID=20160727X41817&amp;AKey=1&amp;Rtype=Final&amp;IType=CA","PDF Report")</f>
        <v>PDF Report</v>
      </c>
    </row>
    <row r="758" spans="1:22" x14ac:dyDescent="0.25">
      <c r="A758" t="s">
        <v>3035</v>
      </c>
      <c r="B758">
        <v>1</v>
      </c>
      <c r="C758" s="5">
        <v>42577</v>
      </c>
      <c r="D758" t="s">
        <v>3036</v>
      </c>
      <c r="E758" t="s">
        <v>3037</v>
      </c>
      <c r="F758" t="s">
        <v>3038</v>
      </c>
      <c r="G758" t="s">
        <v>96</v>
      </c>
      <c r="H758" t="s">
        <v>33</v>
      </c>
      <c r="K758" t="s">
        <v>47</v>
      </c>
      <c r="L758" t="s">
        <v>35</v>
      </c>
      <c r="M758" t="s">
        <v>56</v>
      </c>
      <c r="N758" t="s">
        <v>57</v>
      </c>
      <c r="O758" t="s">
        <v>58</v>
      </c>
      <c r="P758" t="s">
        <v>162</v>
      </c>
      <c r="Q758" t="s">
        <v>37</v>
      </c>
      <c r="S758" t="s">
        <v>131</v>
      </c>
      <c r="T758" t="s">
        <v>73</v>
      </c>
      <c r="U758" t="s">
        <v>41</v>
      </c>
      <c r="V758" s="9" t="str">
        <f>HYPERLINK("https://app.ntsb.gov/pdfgenerator/ReportGeneratorFile.ashx?EventID=20160726X02205&amp;AKey=1&amp;Rtype=Final&amp;IType=FA","PDF Report")</f>
        <v>PDF Report</v>
      </c>
    </row>
    <row r="759" spans="1:22" x14ac:dyDescent="0.25">
      <c r="A759" t="s">
        <v>3039</v>
      </c>
      <c r="B759">
        <v>1</v>
      </c>
      <c r="C759" s="5">
        <v>42577</v>
      </c>
      <c r="D759" t="s">
        <v>3040</v>
      </c>
      <c r="E759" t="s">
        <v>3041</v>
      </c>
      <c r="F759" t="s">
        <v>3042</v>
      </c>
      <c r="G759" t="s">
        <v>32</v>
      </c>
      <c r="H759" t="s">
        <v>33</v>
      </c>
      <c r="K759" t="s">
        <v>34</v>
      </c>
      <c r="L759" t="s">
        <v>35</v>
      </c>
      <c r="M759" t="s">
        <v>36</v>
      </c>
      <c r="Q759" t="s">
        <v>37</v>
      </c>
      <c r="R759" t="s">
        <v>130</v>
      </c>
      <c r="S759" t="s">
        <v>131</v>
      </c>
      <c r="T759" t="s">
        <v>73</v>
      </c>
      <c r="U759" t="s">
        <v>41</v>
      </c>
      <c r="V759" s="9" t="str">
        <f>HYPERLINK("https://app.ntsb.gov/pdfgenerator/ReportGeneratorFile.ashx?EventID=20160802X83354&amp;AKey=1&amp;Rtype=Final&amp;IType=CA","PDF Report")</f>
        <v>PDF Report</v>
      </c>
    </row>
    <row r="760" spans="1:22" x14ac:dyDescent="0.25">
      <c r="A760" t="s">
        <v>3043</v>
      </c>
      <c r="B760">
        <v>1</v>
      </c>
      <c r="C760" s="5">
        <v>42577</v>
      </c>
      <c r="D760" t="s">
        <v>3044</v>
      </c>
      <c r="E760" t="s">
        <v>3045</v>
      </c>
      <c r="F760" t="s">
        <v>2806</v>
      </c>
      <c r="G760" t="s">
        <v>312</v>
      </c>
      <c r="H760" t="s">
        <v>33</v>
      </c>
      <c r="J760">
        <v>1</v>
      </c>
      <c r="K760" t="s">
        <v>55</v>
      </c>
      <c r="L760" t="s">
        <v>34</v>
      </c>
      <c r="M760" t="s">
        <v>103</v>
      </c>
      <c r="N760" t="s">
        <v>57</v>
      </c>
      <c r="O760" t="s">
        <v>58</v>
      </c>
      <c r="P760" t="s">
        <v>59</v>
      </c>
      <c r="Q760" t="s">
        <v>37</v>
      </c>
      <c r="S760" t="s">
        <v>104</v>
      </c>
      <c r="T760" t="s">
        <v>61</v>
      </c>
      <c r="U760" t="s">
        <v>41</v>
      </c>
      <c r="V760" s="9" t="str">
        <f>HYPERLINK("https://app.ntsb.gov/pdfgenerator/ReportGeneratorFile.ashx?EventID=20160805X50153&amp;AKey=1&amp;Rtype=Final&amp;IType=CA","PDF Report")</f>
        <v>PDF Report</v>
      </c>
    </row>
    <row r="761" spans="1:22" x14ac:dyDescent="0.25">
      <c r="A761" t="s">
        <v>3046</v>
      </c>
      <c r="B761">
        <v>1</v>
      </c>
      <c r="C761" s="5">
        <v>42578</v>
      </c>
      <c r="D761" t="s">
        <v>3047</v>
      </c>
      <c r="E761" t="s">
        <v>3048</v>
      </c>
      <c r="F761" t="s">
        <v>3049</v>
      </c>
      <c r="G761" t="s">
        <v>66</v>
      </c>
      <c r="H761" t="s">
        <v>33</v>
      </c>
      <c r="I761">
        <v>4</v>
      </c>
      <c r="K761" t="s">
        <v>90</v>
      </c>
      <c r="L761" t="s">
        <v>35</v>
      </c>
      <c r="M761" t="s">
        <v>36</v>
      </c>
      <c r="Q761" t="s">
        <v>37</v>
      </c>
      <c r="R761" t="s">
        <v>38</v>
      </c>
      <c r="S761" t="s">
        <v>48</v>
      </c>
      <c r="T761" t="s">
        <v>143</v>
      </c>
      <c r="U761" t="s">
        <v>41</v>
      </c>
      <c r="V761" s="9" t="str">
        <f>HYPERLINK("https://app.ntsb.gov/pdfgenerator/ReportGeneratorFile.ashx?EventID=20160727X20105&amp;AKey=1&amp;Rtype=Final&amp;IType=FA","PDF Report")</f>
        <v>PDF Report</v>
      </c>
    </row>
    <row r="762" spans="1:22" x14ac:dyDescent="0.25">
      <c r="A762" t="s">
        <v>3050</v>
      </c>
      <c r="B762">
        <v>1</v>
      </c>
      <c r="C762" s="5">
        <v>42578</v>
      </c>
      <c r="D762" t="s">
        <v>3051</v>
      </c>
      <c r="E762" t="s">
        <v>3052</v>
      </c>
      <c r="F762" t="s">
        <v>3053</v>
      </c>
      <c r="G762" t="s">
        <v>206</v>
      </c>
      <c r="H762" t="s">
        <v>33</v>
      </c>
      <c r="K762" t="s">
        <v>34</v>
      </c>
      <c r="L762" t="s">
        <v>35</v>
      </c>
      <c r="M762" t="s">
        <v>36</v>
      </c>
      <c r="Q762" t="s">
        <v>37</v>
      </c>
      <c r="R762" t="s">
        <v>38</v>
      </c>
      <c r="S762" t="s">
        <v>84</v>
      </c>
      <c r="T762" t="s">
        <v>49</v>
      </c>
      <c r="U762" t="s">
        <v>41</v>
      </c>
      <c r="V762" s="9" t="str">
        <f>HYPERLINK("https://app.ntsb.gov/pdfgenerator/ReportGeneratorFile.ashx?EventID=20160727X42744&amp;AKey=1&amp;Rtype=Final&amp;IType=CA","PDF Report")</f>
        <v>PDF Report</v>
      </c>
    </row>
    <row r="763" spans="1:22" x14ac:dyDescent="0.25">
      <c r="A763" t="s">
        <v>3054</v>
      </c>
      <c r="B763">
        <v>1</v>
      </c>
      <c r="C763" s="5">
        <v>42578</v>
      </c>
      <c r="D763" t="s">
        <v>3055</v>
      </c>
      <c r="E763" t="s">
        <v>3056</v>
      </c>
      <c r="F763" t="s">
        <v>3057</v>
      </c>
      <c r="G763" t="s">
        <v>401</v>
      </c>
      <c r="H763" t="s">
        <v>33</v>
      </c>
      <c r="K763" t="s">
        <v>34</v>
      </c>
      <c r="L763" t="s">
        <v>35</v>
      </c>
      <c r="M763" t="s">
        <v>36</v>
      </c>
      <c r="Q763" t="s">
        <v>37</v>
      </c>
      <c r="R763" t="s">
        <v>38</v>
      </c>
      <c r="S763" t="s">
        <v>84</v>
      </c>
      <c r="T763" t="s">
        <v>73</v>
      </c>
      <c r="U763" t="s">
        <v>41</v>
      </c>
      <c r="V763" s="9" t="str">
        <f>HYPERLINK("https://app.ntsb.gov/pdfgenerator/ReportGeneratorFile.ashx?EventID=20160728X25108&amp;AKey=1&amp;Rtype=Final&amp;IType=CA","PDF Report")</f>
        <v>PDF Report</v>
      </c>
    </row>
    <row r="764" spans="1:22" x14ac:dyDescent="0.25">
      <c r="A764" t="s">
        <v>3058</v>
      </c>
      <c r="B764">
        <v>1</v>
      </c>
      <c r="C764" s="5">
        <v>42578</v>
      </c>
      <c r="D764" t="s">
        <v>3059</v>
      </c>
      <c r="E764" t="s">
        <v>3060</v>
      </c>
      <c r="F764" t="s">
        <v>282</v>
      </c>
      <c r="G764" t="s">
        <v>96</v>
      </c>
      <c r="H764" t="s">
        <v>33</v>
      </c>
      <c r="K764" t="s">
        <v>34</v>
      </c>
      <c r="L764" t="s">
        <v>35</v>
      </c>
      <c r="M764" t="s">
        <v>36</v>
      </c>
      <c r="Q764" t="s">
        <v>37</v>
      </c>
      <c r="R764" t="s">
        <v>38</v>
      </c>
      <c r="S764" t="s">
        <v>84</v>
      </c>
      <c r="T764" t="s">
        <v>73</v>
      </c>
      <c r="U764" t="s">
        <v>41</v>
      </c>
      <c r="V764" s="9" t="str">
        <f>HYPERLINK("https://app.ntsb.gov/pdfgenerator/ReportGeneratorFile.ashx?EventID=20160728X74105&amp;AKey=1&amp;Rtype=Final&amp;IType=CA","PDF Report")</f>
        <v>PDF Report</v>
      </c>
    </row>
    <row r="765" spans="1:22" x14ac:dyDescent="0.25">
      <c r="A765" t="s">
        <v>3061</v>
      </c>
      <c r="B765">
        <v>1</v>
      </c>
      <c r="C765" s="5">
        <v>42578</v>
      </c>
      <c r="D765" t="s">
        <v>3062</v>
      </c>
      <c r="E765" t="s">
        <v>3063</v>
      </c>
      <c r="F765" t="s">
        <v>3064</v>
      </c>
      <c r="G765" t="s">
        <v>538</v>
      </c>
      <c r="H765" t="s">
        <v>33</v>
      </c>
      <c r="K765" t="s">
        <v>34</v>
      </c>
      <c r="L765" t="s">
        <v>35</v>
      </c>
      <c r="M765" t="s">
        <v>767</v>
      </c>
      <c r="Q765" t="s">
        <v>37</v>
      </c>
      <c r="R765" t="s">
        <v>768</v>
      </c>
      <c r="S765" t="s">
        <v>201</v>
      </c>
      <c r="T765" t="s">
        <v>40</v>
      </c>
      <c r="U765" t="s">
        <v>41</v>
      </c>
      <c r="V765" s="9" t="str">
        <f>HYPERLINK("https://app.ntsb.gov/pdfgenerator/ReportGeneratorFile.ashx?EventID=20160728X82503&amp;AKey=1&amp;Rtype=Final&amp;IType=CA","PDF Report")</f>
        <v>PDF Report</v>
      </c>
    </row>
    <row r="766" spans="1:22" x14ac:dyDescent="0.25">
      <c r="A766" t="s">
        <v>3065</v>
      </c>
      <c r="B766">
        <v>1</v>
      </c>
      <c r="C766" s="5">
        <v>42578</v>
      </c>
      <c r="D766" t="s">
        <v>3066</v>
      </c>
      <c r="E766" t="s">
        <v>3067</v>
      </c>
      <c r="F766" t="s">
        <v>1642</v>
      </c>
      <c r="G766" t="s">
        <v>46</v>
      </c>
      <c r="H766" t="s">
        <v>33</v>
      </c>
      <c r="K766" t="s">
        <v>47</v>
      </c>
      <c r="L766" t="s">
        <v>35</v>
      </c>
      <c r="M766" t="s">
        <v>36</v>
      </c>
      <c r="Q766" t="s">
        <v>37</v>
      </c>
      <c r="R766" t="s">
        <v>130</v>
      </c>
      <c r="S766" t="s">
        <v>317</v>
      </c>
      <c r="T766" t="s">
        <v>73</v>
      </c>
      <c r="U766" t="s">
        <v>41</v>
      </c>
      <c r="V766" s="9" t="str">
        <f>HYPERLINK("https://app.ntsb.gov/pdfgenerator/ReportGeneratorFile.ashx?EventID=20160728X85058&amp;AKey=1&amp;Rtype=Final&amp;IType=CA","PDF Report")</f>
        <v>PDF Report</v>
      </c>
    </row>
    <row r="767" spans="1:22" x14ac:dyDescent="0.25">
      <c r="A767" t="s">
        <v>3068</v>
      </c>
      <c r="B767">
        <v>1</v>
      </c>
      <c r="C767" s="5">
        <v>42579</v>
      </c>
      <c r="D767" t="s">
        <v>3069</v>
      </c>
      <c r="E767" t="s">
        <v>3070</v>
      </c>
      <c r="F767" t="s">
        <v>3071</v>
      </c>
      <c r="G767" t="s">
        <v>89</v>
      </c>
      <c r="H767" t="s">
        <v>33</v>
      </c>
      <c r="I767">
        <v>1</v>
      </c>
      <c r="K767" t="s">
        <v>90</v>
      </c>
      <c r="L767" t="s">
        <v>35</v>
      </c>
      <c r="M767" t="s">
        <v>767</v>
      </c>
      <c r="Q767" t="s">
        <v>37</v>
      </c>
      <c r="R767" t="s">
        <v>768</v>
      </c>
      <c r="S767" t="s">
        <v>48</v>
      </c>
      <c r="T767" t="s">
        <v>40</v>
      </c>
      <c r="U767" t="s">
        <v>41</v>
      </c>
      <c r="V767" s="9" t="str">
        <f>HYPERLINK("https://app.ntsb.gov/pdfgenerator/ReportGeneratorFile.ashx?EventID=20160728X22738&amp;AKey=1&amp;Rtype=Final&amp;IType=LA","PDF Report")</f>
        <v>PDF Report</v>
      </c>
    </row>
    <row r="768" spans="1:22" x14ac:dyDescent="0.25">
      <c r="A768" t="s">
        <v>3072</v>
      </c>
      <c r="B768">
        <v>1</v>
      </c>
      <c r="C768" s="5">
        <v>42579</v>
      </c>
      <c r="D768" t="s">
        <v>3073</v>
      </c>
      <c r="E768" t="s">
        <v>3074</v>
      </c>
      <c r="F768" t="s">
        <v>3075</v>
      </c>
      <c r="G768" t="s">
        <v>395</v>
      </c>
      <c r="H768" t="s">
        <v>33</v>
      </c>
      <c r="I768">
        <v>1</v>
      </c>
      <c r="J768">
        <v>1</v>
      </c>
      <c r="K768" t="s">
        <v>90</v>
      </c>
      <c r="L768" t="s">
        <v>35</v>
      </c>
      <c r="M768" t="s">
        <v>36</v>
      </c>
      <c r="Q768" t="s">
        <v>37</v>
      </c>
      <c r="R768" t="s">
        <v>38</v>
      </c>
      <c r="S768" t="s">
        <v>97</v>
      </c>
      <c r="T768" t="s">
        <v>164</v>
      </c>
      <c r="U768" t="s">
        <v>41</v>
      </c>
      <c r="V768" s="9" t="str">
        <f>HYPERLINK("https://app.ntsb.gov/pdfgenerator/ReportGeneratorFile.ashx?EventID=20160728X63145&amp;AKey=1&amp;Rtype=Final&amp;IType=FA","PDF Report")</f>
        <v>PDF Report</v>
      </c>
    </row>
    <row r="769" spans="1:22" x14ac:dyDescent="0.25">
      <c r="A769" t="s">
        <v>3076</v>
      </c>
      <c r="B769">
        <v>1</v>
      </c>
      <c r="C769" s="5">
        <v>42579</v>
      </c>
      <c r="D769" t="s">
        <v>3077</v>
      </c>
      <c r="E769" t="s">
        <v>3078</v>
      </c>
      <c r="F769" t="s">
        <v>3079</v>
      </c>
      <c r="G769" t="s">
        <v>115</v>
      </c>
      <c r="H769" t="s">
        <v>33</v>
      </c>
      <c r="K769" t="s">
        <v>47</v>
      </c>
      <c r="L769" t="s">
        <v>35</v>
      </c>
      <c r="M769" t="s">
        <v>36</v>
      </c>
      <c r="Q769" t="s">
        <v>37</v>
      </c>
      <c r="R769" t="s">
        <v>130</v>
      </c>
      <c r="S769" t="s">
        <v>39</v>
      </c>
      <c r="T769" t="s">
        <v>79</v>
      </c>
      <c r="U769" t="s">
        <v>41</v>
      </c>
      <c r="V769" s="9" t="str">
        <f>HYPERLINK("https://app.ntsb.gov/pdfgenerator/ReportGeneratorFile.ashx?EventID=20160729X30645&amp;AKey=1&amp;Rtype=Final&amp;IType=LA","PDF Report")</f>
        <v>PDF Report</v>
      </c>
    </row>
    <row r="770" spans="1:22" x14ac:dyDescent="0.25">
      <c r="A770" t="s">
        <v>3080</v>
      </c>
      <c r="B770">
        <v>1</v>
      </c>
      <c r="C770" s="5">
        <v>42579</v>
      </c>
      <c r="D770" t="s">
        <v>3081</v>
      </c>
      <c r="E770" t="s">
        <v>3082</v>
      </c>
      <c r="F770" t="s">
        <v>3083</v>
      </c>
      <c r="G770" t="s">
        <v>395</v>
      </c>
      <c r="H770" t="s">
        <v>33</v>
      </c>
      <c r="I770">
        <v>1</v>
      </c>
      <c r="K770" t="s">
        <v>90</v>
      </c>
      <c r="L770" t="s">
        <v>110</v>
      </c>
      <c r="M770" t="s">
        <v>36</v>
      </c>
      <c r="Q770" t="s">
        <v>37</v>
      </c>
      <c r="R770" t="s">
        <v>38</v>
      </c>
      <c r="S770" t="s">
        <v>48</v>
      </c>
      <c r="T770" t="s">
        <v>79</v>
      </c>
      <c r="U770" t="s">
        <v>41</v>
      </c>
      <c r="V770" s="9" t="str">
        <f>HYPERLINK("https://app.ntsb.gov/pdfgenerator/ReportGeneratorFile.ashx?EventID=20160801X04321&amp;AKey=1&amp;Rtype=Final&amp;IType=FA","PDF Report")</f>
        <v>PDF Report</v>
      </c>
    </row>
    <row r="771" spans="1:22" x14ac:dyDescent="0.25">
      <c r="A771" t="s">
        <v>3084</v>
      </c>
      <c r="B771">
        <v>1</v>
      </c>
      <c r="C771" s="5">
        <v>42579</v>
      </c>
      <c r="D771" t="s">
        <v>3085</v>
      </c>
      <c r="E771" t="s">
        <v>118</v>
      </c>
      <c r="F771" t="s">
        <v>119</v>
      </c>
      <c r="G771" t="s">
        <v>120</v>
      </c>
      <c r="H771" t="s">
        <v>33</v>
      </c>
      <c r="K771" t="s">
        <v>34</v>
      </c>
      <c r="L771" t="s">
        <v>35</v>
      </c>
      <c r="M771" t="s">
        <v>36</v>
      </c>
      <c r="Q771" t="s">
        <v>37</v>
      </c>
      <c r="R771" t="s">
        <v>38</v>
      </c>
      <c r="S771" t="s">
        <v>131</v>
      </c>
      <c r="T771" t="s">
        <v>73</v>
      </c>
      <c r="U771" t="s">
        <v>41</v>
      </c>
      <c r="V771" s="9" t="str">
        <f>HYPERLINK("https://app.ntsb.gov/pdfgenerator/ReportGeneratorFile.ashx?EventID=20160801X32530&amp;AKey=1&amp;Rtype=Final&amp;IType=CA","PDF Report")</f>
        <v>PDF Report</v>
      </c>
    </row>
    <row r="772" spans="1:22" x14ac:dyDescent="0.25">
      <c r="A772" t="s">
        <v>3086</v>
      </c>
      <c r="B772">
        <v>1</v>
      </c>
      <c r="C772" s="5">
        <v>42579</v>
      </c>
      <c r="D772" t="s">
        <v>3087</v>
      </c>
      <c r="E772" t="s">
        <v>3088</v>
      </c>
      <c r="F772" t="s">
        <v>3089</v>
      </c>
      <c r="G772" t="s">
        <v>450</v>
      </c>
      <c r="H772" t="s">
        <v>33</v>
      </c>
      <c r="K772" t="s">
        <v>34</v>
      </c>
      <c r="L772" t="s">
        <v>35</v>
      </c>
      <c r="M772" t="s">
        <v>36</v>
      </c>
      <c r="Q772" t="s">
        <v>37</v>
      </c>
      <c r="R772" t="s">
        <v>130</v>
      </c>
      <c r="S772" t="s">
        <v>396</v>
      </c>
      <c r="T772" t="s">
        <v>49</v>
      </c>
      <c r="U772" t="s">
        <v>41</v>
      </c>
      <c r="V772" s="9" t="str">
        <f>HYPERLINK("https://app.ntsb.gov/pdfgenerator/ReportGeneratorFile.ashx?EventID=20160801X33224&amp;AKey=1&amp;Rtype=Final&amp;IType=CA","PDF Report")</f>
        <v>PDF Report</v>
      </c>
    </row>
    <row r="773" spans="1:22" x14ac:dyDescent="0.25">
      <c r="A773" t="s">
        <v>3090</v>
      </c>
      <c r="B773">
        <v>1</v>
      </c>
      <c r="C773" s="5">
        <v>42579</v>
      </c>
      <c r="D773" t="s">
        <v>3091</v>
      </c>
      <c r="E773" t="s">
        <v>3092</v>
      </c>
      <c r="F773" t="s">
        <v>3093</v>
      </c>
      <c r="G773" t="s">
        <v>597</v>
      </c>
      <c r="H773" t="s">
        <v>3094</v>
      </c>
      <c r="J773">
        <v>1</v>
      </c>
      <c r="K773" t="s">
        <v>55</v>
      </c>
      <c r="L773" t="s">
        <v>34</v>
      </c>
      <c r="M773" t="s">
        <v>103</v>
      </c>
      <c r="N773" t="s">
        <v>57</v>
      </c>
      <c r="O773" t="s">
        <v>2019</v>
      </c>
      <c r="P773" t="s">
        <v>59</v>
      </c>
      <c r="Q773" t="s">
        <v>37</v>
      </c>
      <c r="S773" t="s">
        <v>104</v>
      </c>
      <c r="T773" t="s">
        <v>61</v>
      </c>
      <c r="U773" t="s">
        <v>41</v>
      </c>
      <c r="V773" s="9" t="str">
        <f>HYPERLINK("https://app.ntsb.gov/pdfgenerator/ReportGeneratorFile.ashx?EventID=20160803X71952&amp;AKey=1&amp;Rtype=Final&amp;IType=CA","PDF Report")</f>
        <v>PDF Report</v>
      </c>
    </row>
    <row r="774" spans="1:22" x14ac:dyDescent="0.25">
      <c r="A774" t="s">
        <v>3095</v>
      </c>
      <c r="B774">
        <v>1</v>
      </c>
      <c r="C774" s="5">
        <v>42580</v>
      </c>
      <c r="D774" t="s">
        <v>3096</v>
      </c>
      <c r="E774" t="s">
        <v>3097</v>
      </c>
      <c r="F774" t="s">
        <v>3098</v>
      </c>
      <c r="G774" t="s">
        <v>801</v>
      </c>
      <c r="H774" t="s">
        <v>33</v>
      </c>
      <c r="K774" t="s">
        <v>34</v>
      </c>
      <c r="L774" t="s">
        <v>35</v>
      </c>
      <c r="M774" t="s">
        <v>36</v>
      </c>
      <c r="Q774" t="s">
        <v>37</v>
      </c>
      <c r="R774" t="s">
        <v>38</v>
      </c>
      <c r="S774" t="s">
        <v>48</v>
      </c>
      <c r="T774" t="s">
        <v>73</v>
      </c>
      <c r="U774" t="s">
        <v>41</v>
      </c>
      <c r="V774" s="9" t="str">
        <f>HYPERLINK("https://app.ntsb.gov/pdfgenerator/ReportGeneratorFile.ashx?EventID=20160725X62814&amp;AKey=1&amp;Rtype=Final&amp;IType=CA","PDF Report")</f>
        <v>PDF Report</v>
      </c>
    </row>
    <row r="775" spans="1:22" x14ac:dyDescent="0.25">
      <c r="A775" t="s">
        <v>3099</v>
      </c>
      <c r="B775">
        <v>1</v>
      </c>
      <c r="C775" s="5">
        <v>42580</v>
      </c>
      <c r="D775" t="s">
        <v>3100</v>
      </c>
      <c r="E775" t="s">
        <v>3101</v>
      </c>
      <c r="F775" t="s">
        <v>3102</v>
      </c>
      <c r="G775" t="s">
        <v>66</v>
      </c>
      <c r="H775" t="s">
        <v>33</v>
      </c>
      <c r="I775">
        <v>4</v>
      </c>
      <c r="K775" t="s">
        <v>90</v>
      </c>
      <c r="L775" t="s">
        <v>110</v>
      </c>
      <c r="M775" t="s">
        <v>56</v>
      </c>
      <c r="N775" t="s">
        <v>57</v>
      </c>
      <c r="O775" t="s">
        <v>58</v>
      </c>
      <c r="P775" t="s">
        <v>162</v>
      </c>
      <c r="Q775" t="s">
        <v>37</v>
      </c>
      <c r="S775" t="s">
        <v>584</v>
      </c>
      <c r="T775" t="s">
        <v>61</v>
      </c>
      <c r="U775" t="s">
        <v>41</v>
      </c>
      <c r="V775" s="9" t="str">
        <f>HYPERLINK("https://app.ntsb.gov/pdfgenerator/ReportGeneratorFile.ashx?EventID=20160729X31455&amp;AKey=1&amp;Rtype=Final&amp;IType=FA","PDF Report")</f>
        <v>PDF Report</v>
      </c>
    </row>
    <row r="776" spans="1:22" x14ac:dyDescent="0.25">
      <c r="A776" t="s">
        <v>3103</v>
      </c>
      <c r="B776">
        <v>1</v>
      </c>
      <c r="C776" s="5">
        <v>42580</v>
      </c>
      <c r="D776" t="s">
        <v>3104</v>
      </c>
      <c r="E776" t="s">
        <v>3105</v>
      </c>
      <c r="F776" t="s">
        <v>3106</v>
      </c>
      <c r="G776" t="s">
        <v>71</v>
      </c>
      <c r="H776" t="s">
        <v>33</v>
      </c>
      <c r="I776">
        <v>1</v>
      </c>
      <c r="K776" t="s">
        <v>90</v>
      </c>
      <c r="L776" t="s">
        <v>110</v>
      </c>
      <c r="M776" t="s">
        <v>767</v>
      </c>
      <c r="Q776" t="s">
        <v>37</v>
      </c>
      <c r="R776" t="s">
        <v>768</v>
      </c>
      <c r="S776" t="s">
        <v>60</v>
      </c>
      <c r="T776" t="s">
        <v>40</v>
      </c>
      <c r="U776" t="s">
        <v>41</v>
      </c>
      <c r="V776" s="9" t="str">
        <f>HYPERLINK("https://app.ntsb.gov/pdfgenerator/ReportGeneratorFile.ashx?EventID=20160729X45721&amp;AKey=1&amp;Rtype=Final&amp;IType=LA","PDF Report")</f>
        <v>PDF Report</v>
      </c>
    </row>
    <row r="777" spans="1:22" x14ac:dyDescent="0.25">
      <c r="A777" t="s">
        <v>3107</v>
      </c>
      <c r="B777">
        <v>1</v>
      </c>
      <c r="C777" s="5">
        <v>42580</v>
      </c>
      <c r="D777" t="s">
        <v>3108</v>
      </c>
      <c r="E777" t="s">
        <v>3109</v>
      </c>
      <c r="F777" t="s">
        <v>3110</v>
      </c>
      <c r="G777" t="s">
        <v>211</v>
      </c>
      <c r="H777" t="s">
        <v>33</v>
      </c>
      <c r="K777" t="s">
        <v>34</v>
      </c>
      <c r="L777" t="s">
        <v>35</v>
      </c>
      <c r="M777" t="s">
        <v>36</v>
      </c>
      <c r="Q777" t="s">
        <v>37</v>
      </c>
      <c r="R777" t="s">
        <v>38</v>
      </c>
      <c r="S777" t="s">
        <v>932</v>
      </c>
      <c r="T777" t="s">
        <v>378</v>
      </c>
      <c r="U777" t="s">
        <v>41</v>
      </c>
      <c r="V777" s="9" t="str">
        <f>HYPERLINK("https://app.ntsb.gov/pdfgenerator/ReportGeneratorFile.ashx?EventID=20160801X11947&amp;AKey=1&amp;Rtype=Final&amp;IType=CA","PDF Report")</f>
        <v>PDF Report</v>
      </c>
    </row>
    <row r="778" spans="1:22" x14ac:dyDescent="0.25">
      <c r="A778" t="s">
        <v>3111</v>
      </c>
      <c r="B778">
        <v>1</v>
      </c>
      <c r="C778" s="5">
        <v>42580</v>
      </c>
      <c r="D778" t="s">
        <v>1584</v>
      </c>
      <c r="E778" t="s">
        <v>1585</v>
      </c>
      <c r="F778" t="s">
        <v>1586</v>
      </c>
      <c r="G778" t="s">
        <v>287</v>
      </c>
      <c r="H778" t="s">
        <v>33</v>
      </c>
      <c r="K778" t="s">
        <v>34</v>
      </c>
      <c r="L778" t="s">
        <v>35</v>
      </c>
      <c r="M778" t="s">
        <v>36</v>
      </c>
      <c r="Q778" t="s">
        <v>37</v>
      </c>
      <c r="R778" t="s">
        <v>38</v>
      </c>
      <c r="S778" t="s">
        <v>191</v>
      </c>
      <c r="T778" t="s">
        <v>73</v>
      </c>
      <c r="U778" t="s">
        <v>41</v>
      </c>
      <c r="V778" s="9" t="str">
        <f>HYPERLINK("https://app.ntsb.gov/pdfgenerator/ReportGeneratorFile.ashx?EventID=20160801X43359&amp;AKey=1&amp;Rtype=Final&amp;IType=CA","PDF Report")</f>
        <v>PDF Report</v>
      </c>
    </row>
    <row r="779" spans="1:22" x14ac:dyDescent="0.25">
      <c r="A779" t="s">
        <v>3112</v>
      </c>
      <c r="B779">
        <v>1</v>
      </c>
      <c r="C779" s="5">
        <v>42580</v>
      </c>
      <c r="D779" t="s">
        <v>3113</v>
      </c>
      <c r="E779" t="s">
        <v>3114</v>
      </c>
      <c r="F779" t="s">
        <v>3115</v>
      </c>
      <c r="G779" t="s">
        <v>32</v>
      </c>
      <c r="H779" t="s">
        <v>33</v>
      </c>
      <c r="K779" t="s">
        <v>47</v>
      </c>
      <c r="L779" t="s">
        <v>110</v>
      </c>
      <c r="M779" t="s">
        <v>767</v>
      </c>
      <c r="Q779" t="s">
        <v>185</v>
      </c>
      <c r="R779" t="s">
        <v>768</v>
      </c>
      <c r="S779" t="s">
        <v>932</v>
      </c>
      <c r="T779" t="s">
        <v>164</v>
      </c>
      <c r="U779" t="s">
        <v>41</v>
      </c>
      <c r="V779" s="9" t="str">
        <f>HYPERLINK("https://app.ntsb.gov/pdfgenerator/ReportGeneratorFile.ashx?EventID=20160801X45009&amp;AKey=1&amp;Rtype=Final&amp;IType=CA","PDF Report")</f>
        <v>PDF Report</v>
      </c>
    </row>
    <row r="780" spans="1:22" x14ac:dyDescent="0.25">
      <c r="A780" t="s">
        <v>3116</v>
      </c>
      <c r="B780">
        <v>1</v>
      </c>
      <c r="C780" s="5">
        <v>42580</v>
      </c>
      <c r="D780" t="s">
        <v>3117</v>
      </c>
      <c r="E780" t="s">
        <v>3118</v>
      </c>
      <c r="F780" t="s">
        <v>3119</v>
      </c>
      <c r="G780" t="s">
        <v>538</v>
      </c>
      <c r="H780" t="s">
        <v>33</v>
      </c>
      <c r="K780" t="s">
        <v>34</v>
      </c>
      <c r="L780" t="s">
        <v>35</v>
      </c>
      <c r="M780" t="s">
        <v>767</v>
      </c>
      <c r="Q780" t="s">
        <v>185</v>
      </c>
      <c r="R780" t="s">
        <v>768</v>
      </c>
      <c r="S780" t="s">
        <v>60</v>
      </c>
      <c r="T780" t="s">
        <v>40</v>
      </c>
      <c r="U780" t="s">
        <v>41</v>
      </c>
      <c r="V780" s="9" t="str">
        <f>HYPERLINK("https://app.ntsb.gov/pdfgenerator/ReportGeneratorFile.ashx?EventID=20160804X83405&amp;AKey=1&amp;Rtype=Final&amp;IType=LA","PDF Report")</f>
        <v>PDF Report</v>
      </c>
    </row>
    <row r="781" spans="1:22" x14ac:dyDescent="0.25">
      <c r="A781" t="s">
        <v>3120</v>
      </c>
      <c r="B781">
        <v>1</v>
      </c>
      <c r="C781" s="5">
        <v>42581</v>
      </c>
      <c r="D781" t="s">
        <v>3121</v>
      </c>
      <c r="E781" t="s">
        <v>3122</v>
      </c>
      <c r="F781" t="s">
        <v>3004</v>
      </c>
      <c r="G781" t="s">
        <v>395</v>
      </c>
      <c r="H781" t="s">
        <v>33</v>
      </c>
      <c r="K781" t="s">
        <v>34</v>
      </c>
      <c r="L781" t="s">
        <v>35</v>
      </c>
      <c r="M781" t="s">
        <v>36</v>
      </c>
      <c r="Q781" t="s">
        <v>37</v>
      </c>
      <c r="R781" t="s">
        <v>38</v>
      </c>
      <c r="S781" t="s">
        <v>72</v>
      </c>
      <c r="T781" t="s">
        <v>49</v>
      </c>
      <c r="U781" t="s">
        <v>41</v>
      </c>
      <c r="V781" s="9" t="str">
        <f>HYPERLINK("https://app.ntsb.gov/pdfgenerator/ReportGeneratorFile.ashx?EventID=20160730X20734&amp;AKey=1&amp;Rtype=Final&amp;IType=LA","PDF Report")</f>
        <v>PDF Report</v>
      </c>
    </row>
    <row r="782" spans="1:22" x14ac:dyDescent="0.25">
      <c r="A782" t="s">
        <v>3123</v>
      </c>
      <c r="B782">
        <v>1</v>
      </c>
      <c r="C782" s="5">
        <v>42581</v>
      </c>
      <c r="D782" t="s">
        <v>3124</v>
      </c>
      <c r="E782" t="s">
        <v>3125</v>
      </c>
      <c r="F782" t="s">
        <v>3004</v>
      </c>
      <c r="G782" t="s">
        <v>395</v>
      </c>
      <c r="H782" t="s">
        <v>33</v>
      </c>
      <c r="K782" t="s">
        <v>34</v>
      </c>
      <c r="L782" t="s">
        <v>35</v>
      </c>
      <c r="M782" t="s">
        <v>36</v>
      </c>
      <c r="Q782" t="s">
        <v>185</v>
      </c>
      <c r="R782" t="s">
        <v>274</v>
      </c>
      <c r="S782" t="s">
        <v>39</v>
      </c>
      <c r="T782" t="s">
        <v>79</v>
      </c>
      <c r="U782" t="s">
        <v>41</v>
      </c>
      <c r="V782" s="9" t="str">
        <f>HYPERLINK("https://app.ntsb.gov/pdfgenerator/ReportGeneratorFile.ashx?EventID=20160730X21955&amp;AKey=1&amp;Rtype=Final&amp;IType=LA","PDF Report")</f>
        <v>PDF Report</v>
      </c>
    </row>
    <row r="783" spans="1:22" x14ac:dyDescent="0.25">
      <c r="A783" t="s">
        <v>3126</v>
      </c>
      <c r="B783">
        <v>1</v>
      </c>
      <c r="C783" s="5">
        <v>42581</v>
      </c>
      <c r="D783" t="s">
        <v>3127</v>
      </c>
      <c r="E783" t="s">
        <v>3128</v>
      </c>
      <c r="F783" t="s">
        <v>3129</v>
      </c>
      <c r="G783" t="s">
        <v>96</v>
      </c>
      <c r="H783" t="s">
        <v>33</v>
      </c>
      <c r="I783">
        <v>16</v>
      </c>
      <c r="K783" t="s">
        <v>90</v>
      </c>
      <c r="L783" t="s">
        <v>110</v>
      </c>
      <c r="M783" t="s">
        <v>36</v>
      </c>
      <c r="Q783" t="s">
        <v>523</v>
      </c>
      <c r="R783" t="s">
        <v>274</v>
      </c>
      <c r="S783" t="s">
        <v>60</v>
      </c>
      <c r="T783" t="s">
        <v>79</v>
      </c>
      <c r="U783" t="s">
        <v>41</v>
      </c>
      <c r="V783" s="9" t="str">
        <f>HYPERLINK("https://app.ntsb.gov/pdfgenerator/ReportGeneratorFile.ashx?EventID=20160730X25341&amp;AKey=1&amp;Rtype=Final&amp;IType=MA","PDF Report")</f>
        <v>PDF Report</v>
      </c>
    </row>
    <row r="784" spans="1:22" x14ac:dyDescent="0.25">
      <c r="A784" t="s">
        <v>3130</v>
      </c>
      <c r="B784">
        <v>1</v>
      </c>
      <c r="C784" s="5">
        <v>42581</v>
      </c>
      <c r="D784" t="s">
        <v>3131</v>
      </c>
      <c r="E784" t="s">
        <v>3132</v>
      </c>
      <c r="F784" t="s">
        <v>3133</v>
      </c>
      <c r="G784" t="s">
        <v>407</v>
      </c>
      <c r="H784" t="s">
        <v>33</v>
      </c>
      <c r="K784" t="s">
        <v>47</v>
      </c>
      <c r="L784" t="s">
        <v>35</v>
      </c>
      <c r="M784" t="s">
        <v>36</v>
      </c>
      <c r="Q784" t="s">
        <v>37</v>
      </c>
      <c r="R784" t="s">
        <v>38</v>
      </c>
      <c r="S784" t="s">
        <v>131</v>
      </c>
      <c r="T784" t="s">
        <v>73</v>
      </c>
      <c r="U784" t="s">
        <v>41</v>
      </c>
      <c r="V784" s="9" t="str">
        <f>HYPERLINK("https://app.ntsb.gov/pdfgenerator/ReportGeneratorFile.ashx?EventID=20160801X25209&amp;AKey=1&amp;Rtype=Final&amp;IType=CA","PDF Report")</f>
        <v>PDF Report</v>
      </c>
    </row>
    <row r="785" spans="1:22" x14ac:dyDescent="0.25">
      <c r="A785" t="s">
        <v>3134</v>
      </c>
      <c r="B785">
        <v>1</v>
      </c>
      <c r="C785" s="5">
        <v>42581</v>
      </c>
      <c r="D785" t="s">
        <v>3135</v>
      </c>
      <c r="E785" t="s">
        <v>3136</v>
      </c>
      <c r="F785" t="s">
        <v>3137</v>
      </c>
      <c r="G785" t="s">
        <v>66</v>
      </c>
      <c r="H785" t="s">
        <v>33</v>
      </c>
      <c r="K785" t="s">
        <v>34</v>
      </c>
      <c r="L785" t="s">
        <v>35</v>
      </c>
      <c r="M785" t="s">
        <v>473</v>
      </c>
      <c r="Q785" t="s">
        <v>185</v>
      </c>
      <c r="R785" t="s">
        <v>474</v>
      </c>
      <c r="S785" t="s">
        <v>191</v>
      </c>
      <c r="T785" t="s">
        <v>958</v>
      </c>
      <c r="U785" t="s">
        <v>41</v>
      </c>
      <c r="V785" s="9" t="str">
        <f>HYPERLINK("https://app.ntsb.gov/pdfgenerator/ReportGeneratorFile.ashx?EventID=20160802X53901&amp;AKey=1&amp;Rtype=Final&amp;IType=CA","PDF Report")</f>
        <v>PDF Report</v>
      </c>
    </row>
    <row r="786" spans="1:22" x14ac:dyDescent="0.25">
      <c r="A786" t="s">
        <v>3138</v>
      </c>
      <c r="B786">
        <v>1</v>
      </c>
      <c r="C786" s="5">
        <v>42581</v>
      </c>
      <c r="D786" t="s">
        <v>3139</v>
      </c>
      <c r="E786" t="s">
        <v>3140</v>
      </c>
      <c r="F786" t="s">
        <v>3141</v>
      </c>
      <c r="G786" t="s">
        <v>395</v>
      </c>
      <c r="H786" t="s">
        <v>33</v>
      </c>
      <c r="K786" t="s">
        <v>47</v>
      </c>
      <c r="L786" t="s">
        <v>35</v>
      </c>
      <c r="M786" t="s">
        <v>36</v>
      </c>
      <c r="Q786" t="s">
        <v>37</v>
      </c>
      <c r="R786" t="s">
        <v>38</v>
      </c>
      <c r="S786" t="s">
        <v>39</v>
      </c>
      <c r="T786" t="s">
        <v>143</v>
      </c>
      <c r="U786" t="s">
        <v>41</v>
      </c>
      <c r="V786" s="9" t="str">
        <f>HYPERLINK("https://app.ntsb.gov/pdfgenerator/ReportGeneratorFile.ashx?EventID=20160802X94830&amp;AKey=1&amp;Rtype=Final&amp;IType=LA","PDF Report")</f>
        <v>PDF Report</v>
      </c>
    </row>
    <row r="787" spans="1:22" x14ac:dyDescent="0.25">
      <c r="A787" t="s">
        <v>3142</v>
      </c>
      <c r="B787">
        <v>1</v>
      </c>
      <c r="C787" s="5">
        <v>42581</v>
      </c>
      <c r="D787" t="s">
        <v>3143</v>
      </c>
      <c r="E787" t="s">
        <v>3144</v>
      </c>
      <c r="F787" t="s">
        <v>3145</v>
      </c>
      <c r="G787" t="s">
        <v>115</v>
      </c>
      <c r="H787" t="s">
        <v>33</v>
      </c>
      <c r="K787" t="s">
        <v>34</v>
      </c>
      <c r="L787" t="s">
        <v>35</v>
      </c>
      <c r="M787" t="s">
        <v>36</v>
      </c>
      <c r="Q787" t="s">
        <v>37</v>
      </c>
      <c r="R787" t="s">
        <v>130</v>
      </c>
      <c r="S787" t="s">
        <v>131</v>
      </c>
      <c r="T787" t="s">
        <v>49</v>
      </c>
      <c r="U787" t="s">
        <v>41</v>
      </c>
      <c r="V787" s="9" t="str">
        <f>HYPERLINK("https://app.ntsb.gov/pdfgenerator/ReportGeneratorFile.ashx?EventID=20160804X30952&amp;AKey=1&amp;Rtype=Final&amp;IType=CA","PDF Report")</f>
        <v>PDF Report</v>
      </c>
    </row>
    <row r="788" spans="1:22" x14ac:dyDescent="0.25">
      <c r="A788" t="s">
        <v>3146</v>
      </c>
      <c r="B788">
        <v>1</v>
      </c>
      <c r="C788" s="5">
        <v>42582</v>
      </c>
      <c r="D788" t="s">
        <v>3147</v>
      </c>
      <c r="E788" t="s">
        <v>3148</v>
      </c>
      <c r="F788" t="s">
        <v>3149</v>
      </c>
      <c r="G788" t="s">
        <v>115</v>
      </c>
      <c r="H788" t="s">
        <v>33</v>
      </c>
      <c r="K788" t="s">
        <v>47</v>
      </c>
      <c r="L788" t="s">
        <v>35</v>
      </c>
      <c r="M788" t="s">
        <v>36</v>
      </c>
      <c r="Q788" t="s">
        <v>547</v>
      </c>
      <c r="R788" t="s">
        <v>38</v>
      </c>
      <c r="S788" t="s">
        <v>48</v>
      </c>
      <c r="T788" t="s">
        <v>49</v>
      </c>
      <c r="U788" t="s">
        <v>41</v>
      </c>
      <c r="V788" s="9" t="str">
        <f>HYPERLINK("https://app.ntsb.gov/pdfgenerator/ReportGeneratorFile.ashx?EventID=20160801X65217&amp;AKey=1&amp;Rtype=Final&amp;IType=CA","PDF Report")</f>
        <v>PDF Report</v>
      </c>
    </row>
    <row r="789" spans="1:22" x14ac:dyDescent="0.25">
      <c r="A789" t="s">
        <v>3150</v>
      </c>
      <c r="B789">
        <v>1</v>
      </c>
      <c r="C789" s="5">
        <v>42582</v>
      </c>
      <c r="D789" t="s">
        <v>3151</v>
      </c>
      <c r="E789" t="s">
        <v>3152</v>
      </c>
      <c r="F789" t="s">
        <v>295</v>
      </c>
      <c r="G789" t="s">
        <v>401</v>
      </c>
      <c r="H789" t="s">
        <v>33</v>
      </c>
      <c r="K789" t="s">
        <v>34</v>
      </c>
      <c r="L789" t="s">
        <v>35</v>
      </c>
      <c r="M789" t="s">
        <v>36</v>
      </c>
      <c r="Q789" t="s">
        <v>37</v>
      </c>
      <c r="R789" t="s">
        <v>38</v>
      </c>
      <c r="S789" t="s">
        <v>39</v>
      </c>
      <c r="T789" t="s">
        <v>61</v>
      </c>
      <c r="U789" t="s">
        <v>41</v>
      </c>
      <c r="V789" s="9" t="str">
        <f>HYPERLINK("https://app.ntsb.gov/pdfgenerator/ReportGeneratorFile.ashx?EventID=20160802X20737&amp;AKey=1&amp;Rtype=Final&amp;IType=LA","PDF Report")</f>
        <v>PDF Report</v>
      </c>
    </row>
    <row r="790" spans="1:22" x14ac:dyDescent="0.25">
      <c r="A790" t="s">
        <v>3153</v>
      </c>
      <c r="B790">
        <v>1</v>
      </c>
      <c r="C790" s="5">
        <v>42582</v>
      </c>
      <c r="D790" t="s">
        <v>2620</v>
      </c>
      <c r="E790" t="s">
        <v>3154</v>
      </c>
      <c r="F790" t="s">
        <v>3155</v>
      </c>
      <c r="G790" t="s">
        <v>125</v>
      </c>
      <c r="H790" t="s">
        <v>33</v>
      </c>
      <c r="K790" t="s">
        <v>34</v>
      </c>
      <c r="L790" t="s">
        <v>35</v>
      </c>
      <c r="M790" t="s">
        <v>36</v>
      </c>
      <c r="Q790" t="s">
        <v>37</v>
      </c>
      <c r="R790" t="s">
        <v>38</v>
      </c>
      <c r="S790" t="s">
        <v>48</v>
      </c>
      <c r="T790" t="s">
        <v>143</v>
      </c>
      <c r="U790" t="s">
        <v>41</v>
      </c>
      <c r="V790" s="9" t="str">
        <f>HYPERLINK("https://app.ntsb.gov/pdfgenerator/ReportGeneratorFile.ashx?EventID=20160802X45159&amp;AKey=1&amp;Rtype=Final&amp;IType=CA","PDF Report")</f>
        <v>PDF Report</v>
      </c>
    </row>
    <row r="791" spans="1:22" x14ac:dyDescent="0.25">
      <c r="A791" t="s">
        <v>3156</v>
      </c>
      <c r="B791">
        <v>1</v>
      </c>
      <c r="C791" s="5">
        <v>42582</v>
      </c>
      <c r="D791" t="s">
        <v>3157</v>
      </c>
      <c r="E791" t="s">
        <v>3158</v>
      </c>
      <c r="F791" t="s">
        <v>535</v>
      </c>
      <c r="G791" t="s">
        <v>54</v>
      </c>
      <c r="H791" t="s">
        <v>33</v>
      </c>
      <c r="K791" t="s">
        <v>34</v>
      </c>
      <c r="L791" t="s">
        <v>35</v>
      </c>
      <c r="M791" t="s">
        <v>36</v>
      </c>
      <c r="Q791" t="s">
        <v>37</v>
      </c>
      <c r="R791" t="s">
        <v>274</v>
      </c>
      <c r="S791" t="s">
        <v>48</v>
      </c>
      <c r="T791" t="s">
        <v>49</v>
      </c>
      <c r="U791" t="s">
        <v>41</v>
      </c>
      <c r="V791" s="9" t="str">
        <f>HYPERLINK("https://app.ntsb.gov/pdfgenerator/ReportGeneratorFile.ashx?EventID=20160808X21820&amp;AKey=1&amp;Rtype=Final&amp;IType=CA","PDF Report")</f>
        <v>PDF Report</v>
      </c>
    </row>
    <row r="792" spans="1:22" x14ac:dyDescent="0.25">
      <c r="A792" t="s">
        <v>3159</v>
      </c>
      <c r="B792">
        <v>1</v>
      </c>
      <c r="C792" s="5">
        <v>42583</v>
      </c>
      <c r="D792" t="s">
        <v>3160</v>
      </c>
      <c r="E792" t="s">
        <v>3161</v>
      </c>
      <c r="F792" t="s">
        <v>3162</v>
      </c>
      <c r="G792" t="s">
        <v>78</v>
      </c>
      <c r="H792" t="s">
        <v>33</v>
      </c>
      <c r="I792">
        <v>1</v>
      </c>
      <c r="K792" t="s">
        <v>90</v>
      </c>
      <c r="L792" t="s">
        <v>110</v>
      </c>
      <c r="M792" t="s">
        <v>36</v>
      </c>
      <c r="Q792" t="s">
        <v>37</v>
      </c>
      <c r="R792" t="s">
        <v>38</v>
      </c>
      <c r="S792" t="s">
        <v>48</v>
      </c>
      <c r="T792" t="s">
        <v>79</v>
      </c>
      <c r="U792" t="s">
        <v>41</v>
      </c>
      <c r="V792" s="9" t="str">
        <f>HYPERLINK("https://app.ntsb.gov/pdfgenerator/ReportGeneratorFile.ashx?EventID=20160801X93405&amp;AKey=1&amp;Rtype=Final&amp;IType=FA","PDF Report")</f>
        <v>PDF Report</v>
      </c>
    </row>
    <row r="793" spans="1:22" x14ac:dyDescent="0.25">
      <c r="A793" t="s">
        <v>3163</v>
      </c>
      <c r="B793">
        <v>1</v>
      </c>
      <c r="C793" s="5">
        <v>42583</v>
      </c>
      <c r="D793" t="s">
        <v>3164</v>
      </c>
      <c r="E793" t="s">
        <v>3165</v>
      </c>
      <c r="F793" t="s">
        <v>3166</v>
      </c>
      <c r="G793" t="s">
        <v>242</v>
      </c>
      <c r="H793" t="s">
        <v>33</v>
      </c>
      <c r="K793" t="s">
        <v>34</v>
      </c>
      <c r="L793" t="s">
        <v>35</v>
      </c>
      <c r="M793" t="s">
        <v>56</v>
      </c>
      <c r="N793" t="s">
        <v>510</v>
      </c>
      <c r="O793" t="s">
        <v>58</v>
      </c>
      <c r="P793" t="s">
        <v>162</v>
      </c>
      <c r="Q793" t="s">
        <v>37</v>
      </c>
      <c r="S793" t="s">
        <v>191</v>
      </c>
      <c r="T793" t="s">
        <v>61</v>
      </c>
      <c r="U793" t="s">
        <v>41</v>
      </c>
      <c r="V793" s="9" t="str">
        <f>HYPERLINK("https://app.ntsb.gov/pdfgenerator/ReportGeneratorFile.ashx?EventID=20160802X22428&amp;AKey=1&amp;Rtype=Final&amp;IType=LA","PDF Report")</f>
        <v>PDF Report</v>
      </c>
    </row>
    <row r="794" spans="1:22" x14ac:dyDescent="0.25">
      <c r="A794" t="s">
        <v>3167</v>
      </c>
      <c r="B794">
        <v>1</v>
      </c>
      <c r="C794" s="5">
        <v>42583</v>
      </c>
      <c r="D794" t="s">
        <v>3168</v>
      </c>
      <c r="E794" t="s">
        <v>3169</v>
      </c>
      <c r="F794" t="s">
        <v>3170</v>
      </c>
      <c r="G794" t="s">
        <v>78</v>
      </c>
      <c r="H794" t="s">
        <v>33</v>
      </c>
      <c r="K794" t="s">
        <v>34</v>
      </c>
      <c r="L794" t="s">
        <v>35</v>
      </c>
      <c r="M794" t="s">
        <v>36</v>
      </c>
      <c r="Q794" t="s">
        <v>37</v>
      </c>
      <c r="R794" t="s">
        <v>130</v>
      </c>
      <c r="S794" t="s">
        <v>84</v>
      </c>
      <c r="T794" t="s">
        <v>73</v>
      </c>
      <c r="U794" t="s">
        <v>41</v>
      </c>
      <c r="V794" s="9" t="str">
        <f>HYPERLINK("https://app.ntsb.gov/pdfgenerator/ReportGeneratorFile.ashx?EventID=20160802X52208&amp;AKey=1&amp;Rtype=Final&amp;IType=CA","PDF Report")</f>
        <v>PDF Report</v>
      </c>
    </row>
    <row r="795" spans="1:22" x14ac:dyDescent="0.25">
      <c r="A795" t="s">
        <v>3171</v>
      </c>
      <c r="B795">
        <v>1</v>
      </c>
      <c r="C795" s="5">
        <v>42583</v>
      </c>
      <c r="D795" t="s">
        <v>3172</v>
      </c>
      <c r="E795" t="s">
        <v>3173</v>
      </c>
      <c r="F795" t="s">
        <v>3174</v>
      </c>
      <c r="G795" t="s">
        <v>66</v>
      </c>
      <c r="H795" t="s">
        <v>33</v>
      </c>
      <c r="K795" t="s">
        <v>34</v>
      </c>
      <c r="L795" t="s">
        <v>35</v>
      </c>
      <c r="M795" t="s">
        <v>36</v>
      </c>
      <c r="Q795" t="s">
        <v>37</v>
      </c>
      <c r="R795" t="s">
        <v>38</v>
      </c>
      <c r="S795" t="s">
        <v>48</v>
      </c>
      <c r="T795" t="s">
        <v>143</v>
      </c>
      <c r="U795" t="s">
        <v>41</v>
      </c>
      <c r="V795" s="9" t="str">
        <f>HYPERLINK("https://app.ntsb.gov/pdfgenerator/ReportGeneratorFile.ashx?EventID=20160803X03110&amp;AKey=1&amp;Rtype=Final&amp;IType=CA","PDF Report")</f>
        <v>PDF Report</v>
      </c>
    </row>
    <row r="796" spans="1:22" x14ac:dyDescent="0.25">
      <c r="A796" t="s">
        <v>3175</v>
      </c>
      <c r="B796">
        <v>1</v>
      </c>
      <c r="C796" s="5">
        <v>42584</v>
      </c>
      <c r="D796" t="s">
        <v>3176</v>
      </c>
      <c r="E796" t="s">
        <v>3177</v>
      </c>
      <c r="F796" t="s">
        <v>286</v>
      </c>
      <c r="G796" t="s">
        <v>287</v>
      </c>
      <c r="H796" t="s">
        <v>33</v>
      </c>
      <c r="K796" t="s">
        <v>47</v>
      </c>
      <c r="L796" t="s">
        <v>35</v>
      </c>
      <c r="M796" t="s">
        <v>36</v>
      </c>
      <c r="Q796" t="s">
        <v>185</v>
      </c>
      <c r="R796" t="s">
        <v>130</v>
      </c>
      <c r="S796" t="s">
        <v>48</v>
      </c>
      <c r="T796" t="s">
        <v>958</v>
      </c>
      <c r="U796" t="s">
        <v>41</v>
      </c>
      <c r="V796" s="9" t="str">
        <f>HYPERLINK("https://app.ntsb.gov/pdfgenerator/ReportGeneratorFile.ashx?EventID=20160802X91137&amp;AKey=1&amp;Rtype=Final&amp;IType=LA","PDF Report")</f>
        <v>PDF Report</v>
      </c>
    </row>
    <row r="797" spans="1:22" x14ac:dyDescent="0.25">
      <c r="A797" t="s">
        <v>3178</v>
      </c>
      <c r="B797">
        <v>1</v>
      </c>
      <c r="C797" s="5">
        <v>42584</v>
      </c>
      <c r="D797" t="s">
        <v>3179</v>
      </c>
      <c r="E797" t="s">
        <v>3180</v>
      </c>
      <c r="F797" t="s">
        <v>3181</v>
      </c>
      <c r="G797" t="s">
        <v>66</v>
      </c>
      <c r="H797" t="s">
        <v>33</v>
      </c>
      <c r="I797">
        <v>1</v>
      </c>
      <c r="K797" t="s">
        <v>90</v>
      </c>
      <c r="L797" t="s">
        <v>35</v>
      </c>
      <c r="M797" t="s">
        <v>36</v>
      </c>
      <c r="Q797" t="s">
        <v>37</v>
      </c>
      <c r="R797" t="s">
        <v>38</v>
      </c>
      <c r="S797" t="s">
        <v>48</v>
      </c>
      <c r="T797" t="s">
        <v>143</v>
      </c>
      <c r="U797" t="s">
        <v>41</v>
      </c>
      <c r="V797" s="9" t="str">
        <f>HYPERLINK("https://app.ntsb.gov/pdfgenerator/ReportGeneratorFile.ashx?EventID=20160802X92043&amp;AKey=1&amp;Rtype=Final&amp;IType=FA","PDF Report")</f>
        <v>PDF Report</v>
      </c>
    </row>
    <row r="798" spans="1:22" x14ac:dyDescent="0.25">
      <c r="A798" t="s">
        <v>3182</v>
      </c>
      <c r="B798">
        <v>1</v>
      </c>
      <c r="C798" s="5">
        <v>42584</v>
      </c>
      <c r="D798" t="s">
        <v>3183</v>
      </c>
      <c r="E798" t="s">
        <v>3184</v>
      </c>
      <c r="F798" t="s">
        <v>3185</v>
      </c>
      <c r="G798" t="s">
        <v>645</v>
      </c>
      <c r="H798" t="s">
        <v>33</v>
      </c>
      <c r="J798">
        <v>2</v>
      </c>
      <c r="K798" t="s">
        <v>55</v>
      </c>
      <c r="L798" t="s">
        <v>35</v>
      </c>
      <c r="M798" t="s">
        <v>36</v>
      </c>
      <c r="Q798" t="s">
        <v>37</v>
      </c>
      <c r="R798" t="s">
        <v>38</v>
      </c>
      <c r="S798" t="s">
        <v>48</v>
      </c>
      <c r="T798" t="s">
        <v>143</v>
      </c>
      <c r="U798" t="s">
        <v>41</v>
      </c>
      <c r="V798" s="9" t="str">
        <f>HYPERLINK("https://app.ntsb.gov/pdfgenerator/ReportGeneratorFile.ashx?EventID=20160803X11028&amp;AKey=1&amp;Rtype=Final&amp;IType=LA","PDF Report")</f>
        <v>PDF Report</v>
      </c>
    </row>
    <row r="799" spans="1:22" x14ac:dyDescent="0.25">
      <c r="A799" t="s">
        <v>3186</v>
      </c>
      <c r="B799">
        <v>1</v>
      </c>
      <c r="C799" s="5">
        <v>42584</v>
      </c>
      <c r="D799" t="s">
        <v>3187</v>
      </c>
      <c r="E799" t="s">
        <v>3188</v>
      </c>
      <c r="F799" t="s">
        <v>3189</v>
      </c>
      <c r="G799" t="s">
        <v>287</v>
      </c>
      <c r="H799" t="s">
        <v>33</v>
      </c>
      <c r="I799">
        <v>1</v>
      </c>
      <c r="K799" t="s">
        <v>90</v>
      </c>
      <c r="L799" t="s">
        <v>110</v>
      </c>
      <c r="M799" t="s">
        <v>36</v>
      </c>
      <c r="Q799" t="s">
        <v>37</v>
      </c>
      <c r="R799" t="s">
        <v>38</v>
      </c>
      <c r="S799" t="s">
        <v>243</v>
      </c>
      <c r="T799" t="s">
        <v>61</v>
      </c>
      <c r="U799" t="s">
        <v>41</v>
      </c>
      <c r="V799" s="9" t="str">
        <f>HYPERLINK("https://app.ntsb.gov/pdfgenerator/ReportGeneratorFile.ashx?EventID=20160803X34325&amp;AKey=1&amp;Rtype=Final&amp;IType=FA","PDF Report")</f>
        <v>PDF Report</v>
      </c>
    </row>
    <row r="800" spans="1:22" x14ac:dyDescent="0.25">
      <c r="A800" t="s">
        <v>3190</v>
      </c>
      <c r="B800">
        <v>1</v>
      </c>
      <c r="C800" s="5">
        <v>42584</v>
      </c>
      <c r="D800" t="s">
        <v>3191</v>
      </c>
      <c r="E800" t="s">
        <v>3192</v>
      </c>
      <c r="F800" t="s">
        <v>3193</v>
      </c>
      <c r="G800" t="s">
        <v>54</v>
      </c>
      <c r="H800" t="s">
        <v>33</v>
      </c>
      <c r="K800" t="s">
        <v>34</v>
      </c>
      <c r="L800" t="s">
        <v>35</v>
      </c>
      <c r="M800" t="s">
        <v>36</v>
      </c>
      <c r="Q800" t="s">
        <v>37</v>
      </c>
      <c r="R800" t="s">
        <v>38</v>
      </c>
      <c r="S800" t="s">
        <v>131</v>
      </c>
      <c r="T800" t="s">
        <v>73</v>
      </c>
      <c r="U800" t="s">
        <v>41</v>
      </c>
      <c r="V800" s="9" t="str">
        <f>HYPERLINK("https://app.ntsb.gov/pdfgenerator/ReportGeneratorFile.ashx?EventID=20160803X72400&amp;AKey=1&amp;Rtype=Final&amp;IType=CA","PDF Report")</f>
        <v>PDF Report</v>
      </c>
    </row>
    <row r="801" spans="1:22" x14ac:dyDescent="0.25">
      <c r="A801" t="s">
        <v>3194</v>
      </c>
      <c r="B801">
        <v>1</v>
      </c>
      <c r="C801" s="5">
        <v>42584</v>
      </c>
      <c r="D801" t="s">
        <v>3195</v>
      </c>
      <c r="E801" t="s">
        <v>3196</v>
      </c>
      <c r="F801" t="s">
        <v>482</v>
      </c>
      <c r="G801" t="s">
        <v>115</v>
      </c>
      <c r="H801" t="s">
        <v>33</v>
      </c>
      <c r="I801">
        <v>1</v>
      </c>
      <c r="K801" t="s">
        <v>90</v>
      </c>
      <c r="L801" t="s">
        <v>110</v>
      </c>
      <c r="M801" t="s">
        <v>36</v>
      </c>
      <c r="Q801" t="s">
        <v>37</v>
      </c>
      <c r="R801" t="s">
        <v>38</v>
      </c>
      <c r="S801" t="s">
        <v>834</v>
      </c>
      <c r="T801" t="s">
        <v>143</v>
      </c>
      <c r="U801" t="s">
        <v>41</v>
      </c>
      <c r="V801" s="9" t="str">
        <f>HYPERLINK("https://app.ntsb.gov/pdfgenerator/ReportGeneratorFile.ashx?EventID=20160803X75916&amp;AKey=1&amp;Rtype=Final&amp;IType=FA","PDF Report")</f>
        <v>PDF Report</v>
      </c>
    </row>
    <row r="802" spans="1:22" x14ac:dyDescent="0.25">
      <c r="A802" t="s">
        <v>3197</v>
      </c>
      <c r="B802">
        <v>1</v>
      </c>
      <c r="C802" s="5">
        <v>42584</v>
      </c>
      <c r="D802" t="s">
        <v>3198</v>
      </c>
      <c r="E802" t="s">
        <v>3199</v>
      </c>
      <c r="F802" t="s">
        <v>3200</v>
      </c>
      <c r="G802" t="s">
        <v>450</v>
      </c>
      <c r="H802" t="s">
        <v>33</v>
      </c>
      <c r="K802" t="s">
        <v>34</v>
      </c>
      <c r="L802" t="s">
        <v>35</v>
      </c>
      <c r="M802" t="s">
        <v>767</v>
      </c>
      <c r="Q802" t="s">
        <v>37</v>
      </c>
      <c r="R802" t="s">
        <v>768</v>
      </c>
      <c r="S802" t="s">
        <v>39</v>
      </c>
      <c r="T802" t="s">
        <v>40</v>
      </c>
      <c r="U802" t="s">
        <v>41</v>
      </c>
      <c r="V802" s="9" t="str">
        <f>HYPERLINK("https://app.ntsb.gov/pdfgenerator/ReportGeneratorFile.ashx?EventID=20160804X02641&amp;AKey=1&amp;Rtype=Final&amp;IType=LA","PDF Report")</f>
        <v>PDF Report</v>
      </c>
    </row>
    <row r="803" spans="1:22" x14ac:dyDescent="0.25">
      <c r="A803" t="s">
        <v>3201</v>
      </c>
      <c r="B803">
        <v>1</v>
      </c>
      <c r="C803" s="5">
        <v>42584</v>
      </c>
      <c r="D803" t="s">
        <v>3202</v>
      </c>
      <c r="E803" t="s">
        <v>3203</v>
      </c>
      <c r="F803" t="s">
        <v>3204</v>
      </c>
      <c r="G803" t="s">
        <v>1026</v>
      </c>
      <c r="H803" t="s">
        <v>33</v>
      </c>
      <c r="K803" t="s">
        <v>34</v>
      </c>
      <c r="L803" t="s">
        <v>35</v>
      </c>
      <c r="M803" t="s">
        <v>36</v>
      </c>
      <c r="Q803" t="s">
        <v>37</v>
      </c>
      <c r="R803" t="s">
        <v>38</v>
      </c>
      <c r="S803" t="s">
        <v>84</v>
      </c>
      <c r="T803" t="s">
        <v>73</v>
      </c>
      <c r="U803" t="s">
        <v>41</v>
      </c>
      <c r="V803" s="9" t="str">
        <f>HYPERLINK("https://app.ntsb.gov/pdfgenerator/ReportGeneratorFile.ashx?EventID=20160804X15418&amp;AKey=1&amp;Rtype=Final&amp;IType=CA","PDF Report")</f>
        <v>PDF Report</v>
      </c>
    </row>
    <row r="804" spans="1:22" x14ac:dyDescent="0.25">
      <c r="A804" t="s">
        <v>3205</v>
      </c>
      <c r="B804">
        <v>1</v>
      </c>
      <c r="C804" s="5">
        <v>42584</v>
      </c>
      <c r="D804" t="s">
        <v>3206</v>
      </c>
      <c r="E804" t="s">
        <v>3207</v>
      </c>
      <c r="F804" t="s">
        <v>3208</v>
      </c>
      <c r="G804" t="s">
        <v>125</v>
      </c>
      <c r="H804" t="s">
        <v>33</v>
      </c>
      <c r="K804" t="s">
        <v>34</v>
      </c>
      <c r="L804" t="s">
        <v>35</v>
      </c>
      <c r="M804" t="s">
        <v>36</v>
      </c>
      <c r="Q804" t="s">
        <v>37</v>
      </c>
      <c r="R804" t="s">
        <v>38</v>
      </c>
      <c r="S804" t="s">
        <v>396</v>
      </c>
      <c r="T804" t="s">
        <v>49</v>
      </c>
      <c r="U804" t="s">
        <v>41</v>
      </c>
      <c r="V804" s="9" t="str">
        <f>HYPERLINK("https://app.ntsb.gov/pdfgenerator/ReportGeneratorFile.ashx?EventID=20160806X22308&amp;AKey=1&amp;Rtype=Final&amp;IType=CA","PDF Report")</f>
        <v>PDF Report</v>
      </c>
    </row>
    <row r="805" spans="1:22" x14ac:dyDescent="0.25">
      <c r="A805" t="s">
        <v>3209</v>
      </c>
      <c r="B805">
        <v>1</v>
      </c>
      <c r="C805" s="5">
        <v>42584</v>
      </c>
      <c r="D805" t="s">
        <v>3210</v>
      </c>
      <c r="E805" t="s">
        <v>3211</v>
      </c>
      <c r="F805" t="s">
        <v>3212</v>
      </c>
      <c r="G805" t="s">
        <v>395</v>
      </c>
      <c r="H805" t="s">
        <v>33</v>
      </c>
      <c r="K805" t="s">
        <v>34</v>
      </c>
      <c r="L805" t="s">
        <v>35</v>
      </c>
      <c r="M805" t="s">
        <v>36</v>
      </c>
      <c r="Q805" t="s">
        <v>37</v>
      </c>
      <c r="R805" t="s">
        <v>38</v>
      </c>
      <c r="S805" t="s">
        <v>39</v>
      </c>
      <c r="T805" t="s">
        <v>61</v>
      </c>
      <c r="U805" t="s">
        <v>41</v>
      </c>
      <c r="V805" s="9" t="str">
        <f>HYPERLINK("https://app.ntsb.gov/pdfgenerator/ReportGeneratorFile.ashx?EventID=20160808X04351&amp;AKey=1&amp;Rtype=Final&amp;IType=LA","PDF Report")</f>
        <v>PDF Report</v>
      </c>
    </row>
    <row r="806" spans="1:22" x14ac:dyDescent="0.25">
      <c r="A806" t="s">
        <v>3213</v>
      </c>
      <c r="B806">
        <v>1</v>
      </c>
      <c r="C806" s="5">
        <v>42584</v>
      </c>
      <c r="D806" t="s">
        <v>3214</v>
      </c>
      <c r="E806" t="s">
        <v>3215</v>
      </c>
      <c r="F806" t="s">
        <v>891</v>
      </c>
      <c r="G806" t="s">
        <v>102</v>
      </c>
      <c r="H806" t="s">
        <v>33</v>
      </c>
      <c r="K806" t="s">
        <v>34</v>
      </c>
      <c r="L806" t="s">
        <v>35</v>
      </c>
      <c r="M806" t="s">
        <v>36</v>
      </c>
      <c r="Q806" t="s">
        <v>37</v>
      </c>
      <c r="R806" t="s">
        <v>38</v>
      </c>
      <c r="S806" t="s">
        <v>84</v>
      </c>
      <c r="T806" t="s">
        <v>73</v>
      </c>
      <c r="U806" t="s">
        <v>41</v>
      </c>
      <c r="V806" s="9" t="str">
        <f>HYPERLINK("https://app.ntsb.gov/pdfgenerator/ReportGeneratorFile.ashx?EventID=20160808X74417&amp;AKey=1&amp;Rtype=Final&amp;IType=CA","PDF Report")</f>
        <v>PDF Report</v>
      </c>
    </row>
    <row r="807" spans="1:22" x14ac:dyDescent="0.25">
      <c r="A807" t="s">
        <v>3216</v>
      </c>
      <c r="B807">
        <v>1</v>
      </c>
      <c r="C807" s="5">
        <v>42585</v>
      </c>
      <c r="D807" t="s">
        <v>3217</v>
      </c>
      <c r="E807" t="s">
        <v>3218</v>
      </c>
      <c r="F807" t="s">
        <v>3219</v>
      </c>
      <c r="G807" t="s">
        <v>666</v>
      </c>
      <c r="H807" t="s">
        <v>33</v>
      </c>
      <c r="K807" t="s">
        <v>34</v>
      </c>
      <c r="L807" t="s">
        <v>35</v>
      </c>
      <c r="M807" t="s">
        <v>36</v>
      </c>
      <c r="Q807" t="s">
        <v>37</v>
      </c>
      <c r="R807" t="s">
        <v>38</v>
      </c>
      <c r="S807" t="s">
        <v>131</v>
      </c>
      <c r="T807" t="s">
        <v>73</v>
      </c>
      <c r="U807" t="s">
        <v>41</v>
      </c>
      <c r="V807" s="9" t="str">
        <f>HYPERLINK("https://app.ntsb.gov/pdfgenerator/ReportGeneratorFile.ashx?EventID=20160803X31656&amp;AKey=1&amp;Rtype=Final&amp;IType=CA","PDF Report")</f>
        <v>PDF Report</v>
      </c>
    </row>
    <row r="808" spans="1:22" x14ac:dyDescent="0.25">
      <c r="A808" t="s">
        <v>3220</v>
      </c>
      <c r="B808">
        <v>1</v>
      </c>
      <c r="C808" s="5">
        <v>42585</v>
      </c>
      <c r="D808" t="s">
        <v>3221</v>
      </c>
      <c r="E808" t="s">
        <v>3222</v>
      </c>
      <c r="F808" t="s">
        <v>3075</v>
      </c>
      <c r="G808" t="s">
        <v>395</v>
      </c>
      <c r="H808" t="s">
        <v>33</v>
      </c>
      <c r="J808">
        <v>2</v>
      </c>
      <c r="K808" t="s">
        <v>55</v>
      </c>
      <c r="L808" t="s">
        <v>35</v>
      </c>
      <c r="M808" t="s">
        <v>36</v>
      </c>
      <c r="Q808" t="s">
        <v>37</v>
      </c>
      <c r="R808" t="s">
        <v>130</v>
      </c>
      <c r="S808" t="s">
        <v>39</v>
      </c>
      <c r="T808" t="s">
        <v>49</v>
      </c>
      <c r="U808" t="s">
        <v>41</v>
      </c>
      <c r="V808" s="9" t="str">
        <f>HYPERLINK("https://app.ntsb.gov/pdfgenerator/ReportGeneratorFile.ashx?EventID=20160803X52340&amp;AKey=1&amp;Rtype=Final&amp;IType=LA","PDF Report")</f>
        <v>PDF Report</v>
      </c>
    </row>
    <row r="809" spans="1:22" x14ac:dyDescent="0.25">
      <c r="A809" t="s">
        <v>3223</v>
      </c>
      <c r="B809">
        <v>1</v>
      </c>
      <c r="C809" s="5">
        <v>42585</v>
      </c>
      <c r="D809" t="s">
        <v>3224</v>
      </c>
      <c r="E809" t="s">
        <v>3225</v>
      </c>
      <c r="F809" t="s">
        <v>3226</v>
      </c>
      <c r="G809" t="s">
        <v>211</v>
      </c>
      <c r="H809" t="s">
        <v>33</v>
      </c>
      <c r="K809" t="s">
        <v>47</v>
      </c>
      <c r="L809" t="s">
        <v>35</v>
      </c>
      <c r="M809" t="s">
        <v>36</v>
      </c>
      <c r="Q809" t="s">
        <v>37</v>
      </c>
      <c r="R809" t="s">
        <v>38</v>
      </c>
      <c r="S809" t="s">
        <v>191</v>
      </c>
      <c r="T809" t="s">
        <v>79</v>
      </c>
      <c r="U809" t="s">
        <v>41</v>
      </c>
      <c r="V809" s="9" t="str">
        <f>HYPERLINK("https://app.ntsb.gov/pdfgenerator/ReportGeneratorFile.ashx?EventID=20160803X61838&amp;AKey=1&amp;Rtype=Final&amp;IType=CA","PDF Report")</f>
        <v>PDF Report</v>
      </c>
    </row>
    <row r="810" spans="1:22" x14ac:dyDescent="0.25">
      <c r="A810" t="s">
        <v>3227</v>
      </c>
      <c r="B810">
        <v>1</v>
      </c>
      <c r="C810" s="5">
        <v>42585</v>
      </c>
      <c r="D810" t="s">
        <v>3228</v>
      </c>
      <c r="E810" t="s">
        <v>3229</v>
      </c>
      <c r="F810" t="s">
        <v>3230</v>
      </c>
      <c r="G810" t="s">
        <v>169</v>
      </c>
      <c r="H810" t="s">
        <v>33</v>
      </c>
      <c r="I810">
        <v>1</v>
      </c>
      <c r="K810" t="s">
        <v>90</v>
      </c>
      <c r="L810" t="s">
        <v>35</v>
      </c>
      <c r="M810" t="s">
        <v>36</v>
      </c>
      <c r="Q810" t="s">
        <v>185</v>
      </c>
      <c r="R810" t="s">
        <v>170</v>
      </c>
      <c r="S810" t="s">
        <v>48</v>
      </c>
      <c r="T810" t="s">
        <v>40</v>
      </c>
      <c r="U810" t="s">
        <v>41</v>
      </c>
      <c r="V810" s="9" t="str">
        <f>HYPERLINK("https://app.ntsb.gov/pdfgenerator/ReportGeneratorFile.ashx?EventID=20160804X45514&amp;AKey=1&amp;Rtype=Final&amp;IType=FA","PDF Report")</f>
        <v>PDF Report</v>
      </c>
    </row>
    <row r="811" spans="1:22" x14ac:dyDescent="0.25">
      <c r="A811" t="s">
        <v>3231</v>
      </c>
      <c r="B811">
        <v>1</v>
      </c>
      <c r="C811" s="5">
        <v>42585</v>
      </c>
      <c r="D811" t="s">
        <v>3232</v>
      </c>
      <c r="E811" t="s">
        <v>3233</v>
      </c>
      <c r="F811" t="s">
        <v>695</v>
      </c>
      <c r="G811" t="s">
        <v>66</v>
      </c>
      <c r="H811" t="s">
        <v>33</v>
      </c>
      <c r="K811" t="s">
        <v>34</v>
      </c>
      <c r="L811" t="s">
        <v>35</v>
      </c>
      <c r="M811" t="s">
        <v>36</v>
      </c>
      <c r="Q811" t="s">
        <v>37</v>
      </c>
      <c r="R811" t="s">
        <v>130</v>
      </c>
      <c r="S811" t="s">
        <v>131</v>
      </c>
      <c r="T811" t="s">
        <v>73</v>
      </c>
      <c r="U811" t="s">
        <v>41</v>
      </c>
      <c r="V811" s="9" t="str">
        <f>HYPERLINK("https://app.ntsb.gov/pdfgenerator/ReportGeneratorFile.ashx?EventID=20160804X62813&amp;AKey=1&amp;Rtype=Final&amp;IType=CA","PDF Report")</f>
        <v>PDF Report</v>
      </c>
    </row>
    <row r="812" spans="1:22" x14ac:dyDescent="0.25">
      <c r="A812" t="s">
        <v>3234</v>
      </c>
      <c r="B812">
        <v>1</v>
      </c>
      <c r="C812" s="5">
        <v>42585</v>
      </c>
      <c r="D812" t="s">
        <v>3235</v>
      </c>
      <c r="E812" t="s">
        <v>3236</v>
      </c>
      <c r="F812" t="s">
        <v>2528</v>
      </c>
      <c r="G812" t="s">
        <v>32</v>
      </c>
      <c r="H812" t="s">
        <v>33</v>
      </c>
      <c r="K812" t="s">
        <v>34</v>
      </c>
      <c r="L812" t="s">
        <v>35</v>
      </c>
      <c r="M812" t="s">
        <v>36</v>
      </c>
      <c r="Q812" t="s">
        <v>37</v>
      </c>
      <c r="R812" t="s">
        <v>38</v>
      </c>
      <c r="S812" t="s">
        <v>377</v>
      </c>
      <c r="T812" t="s">
        <v>378</v>
      </c>
      <c r="U812" t="s">
        <v>41</v>
      </c>
      <c r="V812" s="9" t="str">
        <f>HYPERLINK("https://app.ntsb.gov/pdfgenerator/ReportGeneratorFile.ashx?EventID=20160805X22208&amp;AKey=1&amp;Rtype=Final&amp;IType=CA","PDF Report")</f>
        <v>PDF Report</v>
      </c>
    </row>
    <row r="813" spans="1:22" x14ac:dyDescent="0.25">
      <c r="A813" t="s">
        <v>3237</v>
      </c>
      <c r="B813">
        <v>1</v>
      </c>
      <c r="C813" s="5">
        <v>42585</v>
      </c>
      <c r="D813" t="s">
        <v>3238</v>
      </c>
      <c r="E813" t="s">
        <v>3239</v>
      </c>
      <c r="F813" t="s">
        <v>3240</v>
      </c>
      <c r="G813" t="s">
        <v>3241</v>
      </c>
      <c r="H813" t="s">
        <v>3242</v>
      </c>
      <c r="J813">
        <v>1</v>
      </c>
      <c r="K813" t="s">
        <v>55</v>
      </c>
      <c r="L813" t="s">
        <v>34</v>
      </c>
      <c r="M813" t="s">
        <v>103</v>
      </c>
      <c r="N813" t="s">
        <v>57</v>
      </c>
      <c r="O813" t="s">
        <v>2019</v>
      </c>
      <c r="P813" t="s">
        <v>59</v>
      </c>
      <c r="Q813" t="s">
        <v>37</v>
      </c>
      <c r="S813" t="s">
        <v>104</v>
      </c>
      <c r="T813" t="s">
        <v>61</v>
      </c>
      <c r="U813" t="s">
        <v>41</v>
      </c>
      <c r="V813" s="9" t="str">
        <f>HYPERLINK("https://app.ntsb.gov/pdfgenerator/ReportGeneratorFile.ashx?EventID=20160805X51304&amp;AKey=1&amp;Rtype=Final&amp;IType=CA","PDF Report")</f>
        <v>PDF Report</v>
      </c>
    </row>
    <row r="814" spans="1:22" x14ac:dyDescent="0.25">
      <c r="A814" t="s">
        <v>3243</v>
      </c>
      <c r="B814">
        <v>1</v>
      </c>
      <c r="C814" s="5">
        <v>42586</v>
      </c>
      <c r="D814" t="s">
        <v>3244</v>
      </c>
      <c r="E814" t="s">
        <v>3245</v>
      </c>
      <c r="F814" t="s">
        <v>2368</v>
      </c>
      <c r="G814" t="s">
        <v>54</v>
      </c>
      <c r="H814" t="s">
        <v>33</v>
      </c>
      <c r="K814" t="s">
        <v>34</v>
      </c>
      <c r="L814" t="s">
        <v>35</v>
      </c>
      <c r="M814" t="s">
        <v>36</v>
      </c>
      <c r="Q814" t="s">
        <v>185</v>
      </c>
      <c r="R814" t="s">
        <v>274</v>
      </c>
      <c r="S814" t="s">
        <v>171</v>
      </c>
      <c r="T814" t="s">
        <v>61</v>
      </c>
      <c r="U814" t="s">
        <v>41</v>
      </c>
      <c r="V814" s="9" t="str">
        <f>HYPERLINK("https://app.ntsb.gov/pdfgenerator/ReportGeneratorFile.ashx?EventID=20160721X33517&amp;AKey=1&amp;Rtype=Final&amp;IType=CA","PDF Report")</f>
        <v>PDF Report</v>
      </c>
    </row>
    <row r="815" spans="1:22" x14ac:dyDescent="0.25">
      <c r="A815" t="s">
        <v>3246</v>
      </c>
      <c r="B815">
        <v>1</v>
      </c>
      <c r="C815" s="5">
        <v>42586</v>
      </c>
      <c r="D815" t="s">
        <v>3247</v>
      </c>
      <c r="E815" t="s">
        <v>3248</v>
      </c>
      <c r="F815" t="s">
        <v>3249</v>
      </c>
      <c r="G815" t="s">
        <v>407</v>
      </c>
      <c r="H815" t="s">
        <v>33</v>
      </c>
      <c r="K815" t="s">
        <v>47</v>
      </c>
      <c r="L815" t="s">
        <v>35</v>
      </c>
      <c r="M815" t="s">
        <v>36</v>
      </c>
      <c r="Q815" t="s">
        <v>37</v>
      </c>
      <c r="R815" t="s">
        <v>38</v>
      </c>
      <c r="S815" t="s">
        <v>39</v>
      </c>
      <c r="T815" t="s">
        <v>143</v>
      </c>
      <c r="U815" t="s">
        <v>41</v>
      </c>
      <c r="V815" s="9" t="str">
        <f>HYPERLINK("https://app.ntsb.gov/pdfgenerator/ReportGeneratorFile.ashx?EventID=20160805X31253&amp;AKey=1&amp;Rtype=Final&amp;IType=LA","PDF Report")</f>
        <v>PDF Report</v>
      </c>
    </row>
    <row r="816" spans="1:22" x14ac:dyDescent="0.25">
      <c r="A816" t="s">
        <v>3250</v>
      </c>
      <c r="B816">
        <v>1</v>
      </c>
      <c r="C816" s="5">
        <v>42586</v>
      </c>
      <c r="D816" t="s">
        <v>3251</v>
      </c>
      <c r="E816" t="s">
        <v>3252</v>
      </c>
      <c r="F816" t="s">
        <v>3253</v>
      </c>
      <c r="G816" t="s">
        <v>312</v>
      </c>
      <c r="H816" t="s">
        <v>33</v>
      </c>
      <c r="K816" t="s">
        <v>47</v>
      </c>
      <c r="L816" t="s">
        <v>35</v>
      </c>
      <c r="M816" t="s">
        <v>36</v>
      </c>
      <c r="Q816" t="s">
        <v>37</v>
      </c>
      <c r="R816" t="s">
        <v>38</v>
      </c>
      <c r="S816" t="s">
        <v>39</v>
      </c>
      <c r="T816" t="s">
        <v>61</v>
      </c>
      <c r="U816" t="s">
        <v>41</v>
      </c>
      <c r="V816" s="9" t="str">
        <f>HYPERLINK("https://app.ntsb.gov/pdfgenerator/ReportGeneratorFile.ashx?EventID=20160805X32217&amp;AKey=1&amp;Rtype=Final&amp;IType=LA","PDF Report")</f>
        <v>PDF Report</v>
      </c>
    </row>
    <row r="817" spans="1:22" x14ac:dyDescent="0.25">
      <c r="A817" t="s">
        <v>3254</v>
      </c>
      <c r="B817">
        <v>1</v>
      </c>
      <c r="C817" s="5">
        <v>42586</v>
      </c>
      <c r="D817" t="s">
        <v>3255</v>
      </c>
      <c r="E817" t="s">
        <v>1248</v>
      </c>
      <c r="F817" t="s">
        <v>1190</v>
      </c>
      <c r="G817" t="s">
        <v>883</v>
      </c>
      <c r="H817" t="s">
        <v>33</v>
      </c>
      <c r="K817" t="s">
        <v>34</v>
      </c>
      <c r="L817" t="s">
        <v>35</v>
      </c>
      <c r="M817" t="s">
        <v>103</v>
      </c>
      <c r="N817" t="s">
        <v>57</v>
      </c>
      <c r="O817" t="s">
        <v>58</v>
      </c>
      <c r="P817" t="s">
        <v>59</v>
      </c>
      <c r="Q817" t="s">
        <v>37</v>
      </c>
      <c r="S817" t="s">
        <v>932</v>
      </c>
      <c r="T817" t="s">
        <v>3256</v>
      </c>
      <c r="U817" t="s">
        <v>41</v>
      </c>
      <c r="V817" s="9" t="str">
        <f>HYPERLINK("https://app.ntsb.gov/pdfgenerator/ReportGeneratorFile.ashx?EventID=20160805X44633&amp;AKey=1&amp;Rtype=Final&amp;IType=CA","PDF Report")</f>
        <v>PDF Report</v>
      </c>
    </row>
    <row r="818" spans="1:22" x14ac:dyDescent="0.25">
      <c r="A818" t="s">
        <v>3257</v>
      </c>
      <c r="B818">
        <v>1</v>
      </c>
      <c r="C818" s="5">
        <v>42586</v>
      </c>
      <c r="D818" t="s">
        <v>3258</v>
      </c>
      <c r="E818" t="s">
        <v>3259</v>
      </c>
      <c r="F818" t="s">
        <v>3260</v>
      </c>
      <c r="G818" t="s">
        <v>468</v>
      </c>
      <c r="H818" t="s">
        <v>33</v>
      </c>
      <c r="K818" t="s">
        <v>47</v>
      </c>
      <c r="L818" t="s">
        <v>35</v>
      </c>
      <c r="M818" t="s">
        <v>36</v>
      </c>
      <c r="Q818" t="s">
        <v>37</v>
      </c>
      <c r="R818" t="s">
        <v>38</v>
      </c>
      <c r="S818" t="s">
        <v>39</v>
      </c>
      <c r="T818" t="s">
        <v>79</v>
      </c>
      <c r="U818" t="s">
        <v>41</v>
      </c>
      <c r="V818" s="9" t="str">
        <f>HYPERLINK("https://app.ntsb.gov/pdfgenerator/ReportGeneratorFile.ashx?EventID=20160808X95044&amp;AKey=1&amp;Rtype=Final&amp;IType=LA","PDF Report")</f>
        <v>PDF Report</v>
      </c>
    </row>
    <row r="819" spans="1:22" x14ac:dyDescent="0.25">
      <c r="A819" t="s">
        <v>3261</v>
      </c>
      <c r="B819">
        <v>1</v>
      </c>
      <c r="C819" s="5">
        <v>42586</v>
      </c>
      <c r="D819" t="s">
        <v>3262</v>
      </c>
      <c r="E819" t="s">
        <v>3263</v>
      </c>
      <c r="F819" t="s">
        <v>3264</v>
      </c>
      <c r="G819" t="s">
        <v>312</v>
      </c>
      <c r="H819" t="s">
        <v>33</v>
      </c>
      <c r="K819" t="s">
        <v>34</v>
      </c>
      <c r="L819" t="s">
        <v>35</v>
      </c>
      <c r="M819" t="s">
        <v>36</v>
      </c>
      <c r="Q819" t="s">
        <v>37</v>
      </c>
      <c r="R819" t="s">
        <v>38</v>
      </c>
      <c r="S819" t="s">
        <v>39</v>
      </c>
      <c r="T819" t="s">
        <v>40</v>
      </c>
      <c r="U819" t="s">
        <v>41</v>
      </c>
      <c r="V819" s="9" t="str">
        <f>HYPERLINK("https://app.ntsb.gov/pdfgenerator/ReportGeneratorFile.ashx?EventID=20160809X21643&amp;AKey=1&amp;Rtype=Final&amp;IType=LA","PDF Report")</f>
        <v>PDF Report</v>
      </c>
    </row>
    <row r="820" spans="1:22" x14ac:dyDescent="0.25">
      <c r="A820" t="s">
        <v>3265</v>
      </c>
      <c r="B820">
        <v>1</v>
      </c>
      <c r="C820" s="5">
        <v>42586</v>
      </c>
      <c r="D820" t="s">
        <v>3266</v>
      </c>
      <c r="E820" t="s">
        <v>3267</v>
      </c>
      <c r="F820" t="s">
        <v>3268</v>
      </c>
      <c r="G820" t="s">
        <v>883</v>
      </c>
      <c r="H820" t="s">
        <v>33</v>
      </c>
      <c r="K820" t="s">
        <v>34</v>
      </c>
      <c r="L820" t="s">
        <v>35</v>
      </c>
      <c r="M820" t="s">
        <v>36</v>
      </c>
      <c r="Q820" t="s">
        <v>37</v>
      </c>
      <c r="R820" t="s">
        <v>38</v>
      </c>
      <c r="S820" t="s">
        <v>84</v>
      </c>
      <c r="T820" t="s">
        <v>73</v>
      </c>
      <c r="U820" t="s">
        <v>41</v>
      </c>
      <c r="V820" s="9" t="str">
        <f>HYPERLINK("https://app.ntsb.gov/pdfgenerator/ReportGeneratorFile.ashx?EventID=20160809X31823&amp;AKey=1&amp;Rtype=Final&amp;IType=CA","PDF Report")</f>
        <v>PDF Report</v>
      </c>
    </row>
    <row r="821" spans="1:22" x14ac:dyDescent="0.25">
      <c r="A821" t="s">
        <v>3269</v>
      </c>
      <c r="B821">
        <v>1</v>
      </c>
      <c r="C821" s="5">
        <v>42587</v>
      </c>
      <c r="D821" t="s">
        <v>3270</v>
      </c>
      <c r="E821" t="s">
        <v>3271</v>
      </c>
      <c r="F821" t="s">
        <v>670</v>
      </c>
      <c r="G821" t="s">
        <v>54</v>
      </c>
      <c r="H821" t="s">
        <v>33</v>
      </c>
      <c r="K821" t="s">
        <v>47</v>
      </c>
      <c r="L821" t="s">
        <v>35</v>
      </c>
      <c r="M821" t="s">
        <v>36</v>
      </c>
      <c r="Q821" t="s">
        <v>37</v>
      </c>
      <c r="R821" t="s">
        <v>130</v>
      </c>
      <c r="S821" t="s">
        <v>433</v>
      </c>
      <c r="T821" t="s">
        <v>73</v>
      </c>
      <c r="U821" t="s">
        <v>41</v>
      </c>
      <c r="V821" s="9" t="str">
        <f>HYPERLINK("https://app.ntsb.gov/pdfgenerator/ReportGeneratorFile.ashx?EventID=20160805X34814&amp;AKey=1&amp;Rtype=Final&amp;IType=FA","PDF Report")</f>
        <v>PDF Report</v>
      </c>
    </row>
    <row r="822" spans="1:22" x14ac:dyDescent="0.25">
      <c r="A822" t="s">
        <v>3269</v>
      </c>
      <c r="B822">
        <v>2</v>
      </c>
      <c r="C822" s="5">
        <v>42587</v>
      </c>
      <c r="D822" t="s">
        <v>3270</v>
      </c>
      <c r="E822" t="s">
        <v>3271</v>
      </c>
      <c r="F822" t="s">
        <v>670</v>
      </c>
      <c r="G822" t="s">
        <v>54</v>
      </c>
      <c r="H822" t="s">
        <v>33</v>
      </c>
      <c r="K822" t="s">
        <v>47</v>
      </c>
      <c r="L822" t="s">
        <v>35</v>
      </c>
      <c r="M822" t="s">
        <v>36</v>
      </c>
      <c r="Q822" t="s">
        <v>37</v>
      </c>
      <c r="R822" t="s">
        <v>38</v>
      </c>
      <c r="S822" t="s">
        <v>433</v>
      </c>
      <c r="T822" t="s">
        <v>73</v>
      </c>
      <c r="U822" t="s">
        <v>41</v>
      </c>
      <c r="V822" s="9" t="str">
        <f>HYPERLINK("https://app.ntsb.gov/pdfgenerator/ReportGeneratorFile.ashx?EventID=20160805X34814&amp;AKey=2&amp;Rtype=Final&amp;IType=FA","PDF Report")</f>
        <v>PDF Report</v>
      </c>
    </row>
    <row r="823" spans="1:22" x14ac:dyDescent="0.25">
      <c r="A823" t="s">
        <v>3272</v>
      </c>
      <c r="B823">
        <v>1</v>
      </c>
      <c r="C823" s="5">
        <v>42587</v>
      </c>
      <c r="D823" t="s">
        <v>3273</v>
      </c>
      <c r="E823" t="s">
        <v>3274</v>
      </c>
      <c r="F823" t="s">
        <v>3275</v>
      </c>
      <c r="G823" t="s">
        <v>71</v>
      </c>
      <c r="H823" t="s">
        <v>33</v>
      </c>
      <c r="I823">
        <v>2</v>
      </c>
      <c r="K823" t="s">
        <v>90</v>
      </c>
      <c r="L823" t="s">
        <v>110</v>
      </c>
      <c r="M823" t="s">
        <v>36</v>
      </c>
      <c r="Q823" t="s">
        <v>37</v>
      </c>
      <c r="R823" t="s">
        <v>38</v>
      </c>
      <c r="S823" t="s">
        <v>48</v>
      </c>
      <c r="T823" t="s">
        <v>61</v>
      </c>
      <c r="U823" t="s">
        <v>41</v>
      </c>
      <c r="V823" s="9" t="str">
        <f>HYPERLINK("https://app.ntsb.gov/pdfgenerator/ReportGeneratorFile.ashx?EventID=20160808X23924&amp;AKey=1&amp;Rtype=Final&amp;IType=LA","PDF Report")</f>
        <v>PDF Report</v>
      </c>
    </row>
    <row r="824" spans="1:22" x14ac:dyDescent="0.25">
      <c r="A824" t="s">
        <v>3276</v>
      </c>
      <c r="B824">
        <v>1</v>
      </c>
      <c r="C824" s="5">
        <v>42587</v>
      </c>
      <c r="D824" t="s">
        <v>3277</v>
      </c>
      <c r="E824" t="s">
        <v>3278</v>
      </c>
      <c r="F824" t="s">
        <v>3279</v>
      </c>
      <c r="G824" t="s">
        <v>148</v>
      </c>
      <c r="H824" t="s">
        <v>33</v>
      </c>
      <c r="K824" t="s">
        <v>34</v>
      </c>
      <c r="L824" t="s">
        <v>35</v>
      </c>
      <c r="M824" t="s">
        <v>767</v>
      </c>
      <c r="Q824" t="s">
        <v>37</v>
      </c>
      <c r="R824" t="s">
        <v>768</v>
      </c>
      <c r="S824" t="s">
        <v>97</v>
      </c>
      <c r="T824" t="s">
        <v>40</v>
      </c>
      <c r="U824" t="s">
        <v>41</v>
      </c>
      <c r="V824" s="9" t="str">
        <f>HYPERLINK("https://app.ntsb.gov/pdfgenerator/ReportGeneratorFile.ashx?EventID=20160809X25153&amp;AKey=1&amp;Rtype=Final&amp;IType=LA","PDF Report")</f>
        <v>PDF Report</v>
      </c>
    </row>
    <row r="825" spans="1:22" x14ac:dyDescent="0.25">
      <c r="A825" t="s">
        <v>3280</v>
      </c>
      <c r="B825">
        <v>1</v>
      </c>
      <c r="C825" s="5">
        <v>42587</v>
      </c>
      <c r="D825" t="s">
        <v>3281</v>
      </c>
      <c r="E825" t="s">
        <v>3282</v>
      </c>
      <c r="F825" t="s">
        <v>3283</v>
      </c>
      <c r="G825" t="s">
        <v>78</v>
      </c>
      <c r="H825" t="s">
        <v>33</v>
      </c>
      <c r="K825" t="s">
        <v>34</v>
      </c>
      <c r="L825" t="s">
        <v>35</v>
      </c>
      <c r="M825" t="s">
        <v>36</v>
      </c>
      <c r="Q825" t="s">
        <v>37</v>
      </c>
      <c r="R825" t="s">
        <v>38</v>
      </c>
      <c r="S825" t="s">
        <v>131</v>
      </c>
      <c r="T825" t="s">
        <v>73</v>
      </c>
      <c r="U825" t="s">
        <v>41</v>
      </c>
      <c r="V825" s="9" t="str">
        <f>HYPERLINK("https://app.ntsb.gov/pdfgenerator/ReportGeneratorFile.ashx?EventID=20160809X72256&amp;AKey=1&amp;Rtype=Final&amp;IType=CA","PDF Report")</f>
        <v>PDF Report</v>
      </c>
    </row>
    <row r="826" spans="1:22" x14ac:dyDescent="0.25">
      <c r="A826" t="s">
        <v>3284</v>
      </c>
      <c r="B826">
        <v>1</v>
      </c>
      <c r="C826" s="5">
        <v>42587</v>
      </c>
      <c r="D826" t="s">
        <v>3285</v>
      </c>
      <c r="E826" t="s">
        <v>3286</v>
      </c>
      <c r="F826" t="s">
        <v>3287</v>
      </c>
      <c r="G826" t="s">
        <v>348</v>
      </c>
      <c r="H826" t="s">
        <v>33</v>
      </c>
      <c r="K826" t="s">
        <v>34</v>
      </c>
      <c r="L826" t="s">
        <v>35</v>
      </c>
      <c r="M826" t="s">
        <v>36</v>
      </c>
      <c r="Q826" t="s">
        <v>37</v>
      </c>
      <c r="R826" t="s">
        <v>505</v>
      </c>
      <c r="S826" t="s">
        <v>48</v>
      </c>
      <c r="T826" t="s">
        <v>40</v>
      </c>
      <c r="U826" t="s">
        <v>41</v>
      </c>
      <c r="V826" s="9" t="str">
        <f>HYPERLINK("https://app.ntsb.gov/pdfgenerator/ReportGeneratorFile.ashx?EventID=20160825X42401&amp;AKey=1&amp;Rtype=Final&amp;IType=LA","PDF Report")</f>
        <v>PDF Report</v>
      </c>
    </row>
    <row r="827" spans="1:22" x14ac:dyDescent="0.25">
      <c r="A827" t="s">
        <v>3288</v>
      </c>
      <c r="B827">
        <v>1</v>
      </c>
      <c r="C827" s="5">
        <v>42587</v>
      </c>
      <c r="D827" t="s">
        <v>3289</v>
      </c>
      <c r="E827" t="s">
        <v>3290</v>
      </c>
      <c r="F827" t="s">
        <v>3291</v>
      </c>
      <c r="G827" t="s">
        <v>96</v>
      </c>
      <c r="H827" t="s">
        <v>33</v>
      </c>
      <c r="K827" t="s">
        <v>34</v>
      </c>
      <c r="L827" t="s">
        <v>35</v>
      </c>
      <c r="M827" t="s">
        <v>36</v>
      </c>
      <c r="Q827" t="s">
        <v>37</v>
      </c>
      <c r="R827" t="s">
        <v>38</v>
      </c>
      <c r="S827" t="s">
        <v>84</v>
      </c>
      <c r="T827" t="s">
        <v>73</v>
      </c>
      <c r="U827" t="s">
        <v>41</v>
      </c>
      <c r="V827" s="9" t="str">
        <f>HYPERLINK("https://app.ntsb.gov/pdfgenerator/ReportGeneratorFile.ashx?EventID=20160906X24205&amp;AKey=1&amp;Rtype=Final&amp;IType=LA","PDF Report")</f>
        <v>PDF Report</v>
      </c>
    </row>
    <row r="828" spans="1:22" x14ac:dyDescent="0.25">
      <c r="A828" t="s">
        <v>3292</v>
      </c>
      <c r="B828">
        <v>1</v>
      </c>
      <c r="C828" s="5">
        <v>42588</v>
      </c>
      <c r="D828" t="s">
        <v>3293</v>
      </c>
      <c r="E828" t="s">
        <v>3294</v>
      </c>
      <c r="F828" t="s">
        <v>3295</v>
      </c>
      <c r="G828" t="s">
        <v>237</v>
      </c>
      <c r="H828" t="s">
        <v>33</v>
      </c>
      <c r="I828">
        <v>1</v>
      </c>
      <c r="K828" t="s">
        <v>90</v>
      </c>
      <c r="L828" t="s">
        <v>110</v>
      </c>
      <c r="M828" t="s">
        <v>36</v>
      </c>
      <c r="Q828" t="s">
        <v>37</v>
      </c>
      <c r="R828" t="s">
        <v>505</v>
      </c>
      <c r="S828" t="s">
        <v>48</v>
      </c>
      <c r="T828" t="s">
        <v>49</v>
      </c>
      <c r="U828" t="s">
        <v>41</v>
      </c>
      <c r="V828" s="9" t="str">
        <f>HYPERLINK("https://app.ntsb.gov/pdfgenerator/ReportGeneratorFile.ashx?EventID=20160806X23345&amp;AKey=1&amp;Rtype=Final&amp;IType=FA","PDF Report")</f>
        <v>PDF Report</v>
      </c>
    </row>
    <row r="829" spans="1:22" x14ac:dyDescent="0.25">
      <c r="A829" t="s">
        <v>3296</v>
      </c>
      <c r="B829">
        <v>1</v>
      </c>
      <c r="C829" s="5">
        <v>42588</v>
      </c>
      <c r="D829" t="s">
        <v>3297</v>
      </c>
      <c r="E829" t="s">
        <v>3298</v>
      </c>
      <c r="F829" t="s">
        <v>3299</v>
      </c>
      <c r="G829" t="s">
        <v>636</v>
      </c>
      <c r="H829" t="s">
        <v>33</v>
      </c>
      <c r="K829" t="s">
        <v>34</v>
      </c>
      <c r="L829" t="s">
        <v>35</v>
      </c>
      <c r="M829" t="s">
        <v>36</v>
      </c>
      <c r="Q829" t="s">
        <v>37</v>
      </c>
      <c r="R829" t="s">
        <v>130</v>
      </c>
      <c r="S829" t="s">
        <v>39</v>
      </c>
      <c r="T829" t="s">
        <v>143</v>
      </c>
      <c r="U829" t="s">
        <v>41</v>
      </c>
      <c r="V829" s="9" t="str">
        <f>HYPERLINK("https://app.ntsb.gov/pdfgenerator/ReportGeneratorFile.ashx?EventID=20160806X52719&amp;AKey=1&amp;Rtype=Final&amp;IType=LA","PDF Report")</f>
        <v>PDF Report</v>
      </c>
    </row>
    <row r="830" spans="1:22" x14ac:dyDescent="0.25">
      <c r="A830" t="s">
        <v>3300</v>
      </c>
      <c r="B830">
        <v>1</v>
      </c>
      <c r="C830" s="5">
        <v>42588</v>
      </c>
      <c r="D830" t="s">
        <v>3301</v>
      </c>
      <c r="E830" t="s">
        <v>3302</v>
      </c>
      <c r="F830" t="s">
        <v>3303</v>
      </c>
      <c r="G830" t="s">
        <v>401</v>
      </c>
      <c r="H830" t="s">
        <v>33</v>
      </c>
      <c r="I830">
        <v>1</v>
      </c>
      <c r="K830" t="s">
        <v>90</v>
      </c>
      <c r="L830" t="s">
        <v>35</v>
      </c>
      <c r="M830" t="s">
        <v>36</v>
      </c>
      <c r="Q830" t="s">
        <v>874</v>
      </c>
      <c r="R830" t="s">
        <v>38</v>
      </c>
      <c r="S830" t="s">
        <v>48</v>
      </c>
      <c r="T830" t="s">
        <v>143</v>
      </c>
      <c r="U830" t="s">
        <v>41</v>
      </c>
      <c r="V830" s="9" t="str">
        <f>HYPERLINK("https://app.ntsb.gov/pdfgenerator/ReportGeneratorFile.ashx?EventID=20160807X20843&amp;AKey=1&amp;Rtype=Final&amp;IType=FA","PDF Report")</f>
        <v>PDF Report</v>
      </c>
    </row>
    <row r="831" spans="1:22" x14ac:dyDescent="0.25">
      <c r="A831" t="s">
        <v>3304</v>
      </c>
      <c r="B831">
        <v>1</v>
      </c>
      <c r="C831" s="5">
        <v>42588</v>
      </c>
      <c r="D831" t="s">
        <v>3305</v>
      </c>
      <c r="E831" t="s">
        <v>3306</v>
      </c>
      <c r="F831" t="s">
        <v>3307</v>
      </c>
      <c r="G831" t="s">
        <v>312</v>
      </c>
      <c r="H831" t="s">
        <v>33</v>
      </c>
      <c r="K831" t="s">
        <v>47</v>
      </c>
      <c r="L831" t="s">
        <v>110</v>
      </c>
      <c r="M831" t="s">
        <v>36</v>
      </c>
      <c r="Q831" t="s">
        <v>37</v>
      </c>
      <c r="R831" t="s">
        <v>38</v>
      </c>
      <c r="S831" t="s">
        <v>396</v>
      </c>
      <c r="T831" t="s">
        <v>73</v>
      </c>
      <c r="U831" t="s">
        <v>41</v>
      </c>
      <c r="V831" s="9" t="str">
        <f>HYPERLINK("https://app.ntsb.gov/pdfgenerator/ReportGeneratorFile.ashx?EventID=20160808X41242&amp;AKey=1&amp;Rtype=Final&amp;IType=LA","PDF Report")</f>
        <v>PDF Report</v>
      </c>
    </row>
    <row r="832" spans="1:22" x14ac:dyDescent="0.25">
      <c r="A832" t="s">
        <v>3308</v>
      </c>
      <c r="B832">
        <v>1</v>
      </c>
      <c r="C832" s="5">
        <v>42588</v>
      </c>
      <c r="D832" t="s">
        <v>3309</v>
      </c>
      <c r="E832" t="s">
        <v>3310</v>
      </c>
      <c r="F832" t="s">
        <v>3311</v>
      </c>
      <c r="G832" t="s">
        <v>1416</v>
      </c>
      <c r="H832" t="s">
        <v>33</v>
      </c>
      <c r="J832">
        <v>1</v>
      </c>
      <c r="K832" t="s">
        <v>55</v>
      </c>
      <c r="L832" t="s">
        <v>34</v>
      </c>
      <c r="M832" t="s">
        <v>36</v>
      </c>
      <c r="Q832" t="s">
        <v>523</v>
      </c>
      <c r="R832" t="s">
        <v>38</v>
      </c>
      <c r="S832" t="s">
        <v>84</v>
      </c>
      <c r="T832" t="s">
        <v>73</v>
      </c>
      <c r="U832" t="s">
        <v>41</v>
      </c>
      <c r="V832" s="9" t="str">
        <f>HYPERLINK("https://app.ntsb.gov/pdfgenerator/ReportGeneratorFile.ashx?EventID=20160808X94140&amp;AKey=1&amp;Rtype=Final&amp;IType=LA","PDF Report")</f>
        <v>PDF Report</v>
      </c>
    </row>
    <row r="833" spans="1:22" x14ac:dyDescent="0.25">
      <c r="A833" t="s">
        <v>3312</v>
      </c>
      <c r="B833">
        <v>1</v>
      </c>
      <c r="C833" s="5">
        <v>42588</v>
      </c>
      <c r="D833" t="s">
        <v>3313</v>
      </c>
      <c r="E833" t="s">
        <v>3314</v>
      </c>
      <c r="F833" t="s">
        <v>3315</v>
      </c>
      <c r="G833" t="s">
        <v>78</v>
      </c>
      <c r="H833" t="s">
        <v>33</v>
      </c>
      <c r="K833" t="s">
        <v>34</v>
      </c>
      <c r="L833" t="s">
        <v>35</v>
      </c>
      <c r="M833" t="s">
        <v>36</v>
      </c>
      <c r="Q833" t="s">
        <v>37</v>
      </c>
      <c r="R833" t="s">
        <v>38</v>
      </c>
      <c r="S833" t="s">
        <v>91</v>
      </c>
      <c r="T833" t="s">
        <v>73</v>
      </c>
      <c r="U833" t="s">
        <v>41</v>
      </c>
      <c r="V833" s="9" t="str">
        <f>HYPERLINK("https://app.ntsb.gov/pdfgenerator/ReportGeneratorFile.ashx?EventID=20160809X20707&amp;AKey=1&amp;Rtype=Final&amp;IType=CA","PDF Report")</f>
        <v>PDF Report</v>
      </c>
    </row>
    <row r="834" spans="1:22" x14ac:dyDescent="0.25">
      <c r="A834" t="s">
        <v>3316</v>
      </c>
      <c r="B834">
        <v>1</v>
      </c>
      <c r="C834" s="5">
        <v>42588</v>
      </c>
      <c r="D834" t="s">
        <v>3317</v>
      </c>
      <c r="E834" t="s">
        <v>3318</v>
      </c>
      <c r="F834" t="s">
        <v>3319</v>
      </c>
      <c r="G834" t="s">
        <v>312</v>
      </c>
      <c r="H834" t="s">
        <v>33</v>
      </c>
      <c r="K834" t="s">
        <v>34</v>
      </c>
      <c r="L834" t="s">
        <v>35</v>
      </c>
      <c r="M834" t="s">
        <v>36</v>
      </c>
      <c r="Q834" t="s">
        <v>37</v>
      </c>
      <c r="R834" t="s">
        <v>38</v>
      </c>
      <c r="S834" t="s">
        <v>455</v>
      </c>
      <c r="T834" t="s">
        <v>73</v>
      </c>
      <c r="U834" t="s">
        <v>41</v>
      </c>
      <c r="V834" s="9" t="str">
        <f>HYPERLINK("https://app.ntsb.gov/pdfgenerator/ReportGeneratorFile.ashx?EventID=20160907X35746&amp;AKey=1&amp;Rtype=Final&amp;IType=CA","PDF Report")</f>
        <v>PDF Report</v>
      </c>
    </row>
    <row r="835" spans="1:22" x14ac:dyDescent="0.25">
      <c r="A835" t="s">
        <v>3320</v>
      </c>
      <c r="B835">
        <v>1</v>
      </c>
      <c r="C835" s="5">
        <v>42589</v>
      </c>
      <c r="D835" t="s">
        <v>3321</v>
      </c>
      <c r="E835" t="s">
        <v>3322</v>
      </c>
      <c r="F835" t="s">
        <v>1845</v>
      </c>
      <c r="G835" t="s">
        <v>120</v>
      </c>
      <c r="H835" t="s">
        <v>33</v>
      </c>
      <c r="I835">
        <v>1</v>
      </c>
      <c r="K835" t="s">
        <v>90</v>
      </c>
      <c r="L835" t="s">
        <v>35</v>
      </c>
      <c r="M835" t="s">
        <v>36</v>
      </c>
      <c r="Q835" t="s">
        <v>874</v>
      </c>
      <c r="R835" t="s">
        <v>38</v>
      </c>
      <c r="S835" t="s">
        <v>243</v>
      </c>
      <c r="T835" t="s">
        <v>61</v>
      </c>
      <c r="U835" t="s">
        <v>41</v>
      </c>
      <c r="V835" s="9" t="str">
        <f>HYPERLINK("https://app.ntsb.gov/pdfgenerator/ReportGeneratorFile.ashx?EventID=20160805X51255&amp;AKey=1&amp;Rtype=Final&amp;IType=FA","PDF Report")</f>
        <v>PDF Report</v>
      </c>
    </row>
    <row r="836" spans="1:22" x14ac:dyDescent="0.25">
      <c r="A836" t="s">
        <v>3323</v>
      </c>
      <c r="B836">
        <v>1</v>
      </c>
      <c r="C836" s="5">
        <v>42589</v>
      </c>
      <c r="D836" t="s">
        <v>3324</v>
      </c>
      <c r="E836" t="s">
        <v>3325</v>
      </c>
      <c r="F836" t="s">
        <v>3326</v>
      </c>
      <c r="G836" t="s">
        <v>450</v>
      </c>
      <c r="H836" t="s">
        <v>33</v>
      </c>
      <c r="K836" t="s">
        <v>34</v>
      </c>
      <c r="L836" t="s">
        <v>35</v>
      </c>
      <c r="M836" t="s">
        <v>36</v>
      </c>
      <c r="Q836" t="s">
        <v>37</v>
      </c>
      <c r="R836" t="s">
        <v>130</v>
      </c>
      <c r="S836" t="s">
        <v>131</v>
      </c>
      <c r="T836" t="s">
        <v>73</v>
      </c>
      <c r="U836" t="s">
        <v>41</v>
      </c>
      <c r="V836" s="9" t="str">
        <f>HYPERLINK("https://app.ntsb.gov/pdfgenerator/ReportGeneratorFile.ashx?EventID=20160808X50811&amp;AKey=1&amp;Rtype=Final&amp;IType=CA","PDF Report")</f>
        <v>PDF Report</v>
      </c>
    </row>
    <row r="837" spans="1:22" x14ac:dyDescent="0.25">
      <c r="A837" t="s">
        <v>3327</v>
      </c>
      <c r="B837">
        <v>1</v>
      </c>
      <c r="C837" s="5">
        <v>42589</v>
      </c>
      <c r="D837" t="s">
        <v>3328</v>
      </c>
      <c r="E837" t="s">
        <v>3329</v>
      </c>
      <c r="F837" t="s">
        <v>3330</v>
      </c>
      <c r="G837" t="s">
        <v>1508</v>
      </c>
      <c r="H837" t="s">
        <v>33</v>
      </c>
      <c r="J837">
        <v>1</v>
      </c>
      <c r="K837" t="s">
        <v>55</v>
      </c>
      <c r="L837" t="s">
        <v>35</v>
      </c>
      <c r="M837" t="s">
        <v>36</v>
      </c>
      <c r="Q837" t="s">
        <v>37</v>
      </c>
      <c r="R837" t="s">
        <v>38</v>
      </c>
      <c r="S837" t="s">
        <v>39</v>
      </c>
      <c r="T837" t="s">
        <v>79</v>
      </c>
      <c r="U837" t="s">
        <v>41</v>
      </c>
      <c r="V837" s="9" t="str">
        <f>HYPERLINK("https://app.ntsb.gov/pdfgenerator/ReportGeneratorFile.ashx?EventID=20160808X81145&amp;AKey=1&amp;Rtype=Final&amp;IType=LA","PDF Report")</f>
        <v>PDF Report</v>
      </c>
    </row>
    <row r="838" spans="1:22" x14ac:dyDescent="0.25">
      <c r="A838" t="s">
        <v>3331</v>
      </c>
      <c r="B838">
        <v>1</v>
      </c>
      <c r="C838" s="5">
        <v>42589</v>
      </c>
      <c r="D838" t="s">
        <v>3332</v>
      </c>
      <c r="E838" t="s">
        <v>3333</v>
      </c>
      <c r="F838" t="s">
        <v>3334</v>
      </c>
      <c r="G838" t="s">
        <v>3335</v>
      </c>
      <c r="H838" t="s">
        <v>33</v>
      </c>
      <c r="J838">
        <v>2</v>
      </c>
      <c r="K838" t="s">
        <v>55</v>
      </c>
      <c r="L838" t="s">
        <v>110</v>
      </c>
      <c r="M838" t="s">
        <v>36</v>
      </c>
      <c r="Q838" t="s">
        <v>37</v>
      </c>
      <c r="R838" t="s">
        <v>130</v>
      </c>
      <c r="S838" t="s">
        <v>84</v>
      </c>
      <c r="T838" t="s">
        <v>73</v>
      </c>
      <c r="U838" t="s">
        <v>41</v>
      </c>
      <c r="V838" s="9" t="str">
        <f>HYPERLINK("https://app.ntsb.gov/pdfgenerator/ReportGeneratorFile.ashx?EventID=20160808X90911&amp;AKey=1&amp;Rtype=Final&amp;IType=LA","PDF Report")</f>
        <v>PDF Report</v>
      </c>
    </row>
    <row r="839" spans="1:22" x14ac:dyDescent="0.25">
      <c r="A839" t="s">
        <v>3336</v>
      </c>
      <c r="B839">
        <v>1</v>
      </c>
      <c r="C839" s="5">
        <v>42589</v>
      </c>
      <c r="D839" t="s">
        <v>3337</v>
      </c>
      <c r="E839" t="s">
        <v>3338</v>
      </c>
      <c r="F839" t="s">
        <v>3339</v>
      </c>
      <c r="G839" t="s">
        <v>54</v>
      </c>
      <c r="H839" t="s">
        <v>33</v>
      </c>
      <c r="K839" t="s">
        <v>34</v>
      </c>
      <c r="L839" t="s">
        <v>35</v>
      </c>
      <c r="M839" t="s">
        <v>36</v>
      </c>
      <c r="Q839" t="s">
        <v>37</v>
      </c>
      <c r="R839" t="s">
        <v>38</v>
      </c>
      <c r="S839" t="s">
        <v>39</v>
      </c>
      <c r="T839" t="s">
        <v>79</v>
      </c>
      <c r="U839" t="s">
        <v>41</v>
      </c>
      <c r="V839" s="9" t="str">
        <f>HYPERLINK("https://app.ntsb.gov/pdfgenerator/ReportGeneratorFile.ashx?EventID=20160810X81537&amp;AKey=1&amp;Rtype=Final&amp;IType=CA","PDF Report")</f>
        <v>PDF Report</v>
      </c>
    </row>
    <row r="840" spans="1:22" x14ac:dyDescent="0.25">
      <c r="A840" t="s">
        <v>3340</v>
      </c>
      <c r="B840">
        <v>1</v>
      </c>
      <c r="C840" s="5">
        <v>42589</v>
      </c>
      <c r="D840" t="s">
        <v>3341</v>
      </c>
      <c r="E840" t="s">
        <v>3342</v>
      </c>
      <c r="F840" t="s">
        <v>3343</v>
      </c>
      <c r="G840" t="s">
        <v>401</v>
      </c>
      <c r="H840" t="s">
        <v>33</v>
      </c>
      <c r="J840">
        <v>1</v>
      </c>
      <c r="K840" t="s">
        <v>55</v>
      </c>
      <c r="L840" t="s">
        <v>35</v>
      </c>
      <c r="M840" t="s">
        <v>767</v>
      </c>
      <c r="Q840" t="s">
        <v>185</v>
      </c>
      <c r="R840" t="s">
        <v>768</v>
      </c>
      <c r="S840" t="s">
        <v>97</v>
      </c>
      <c r="T840" t="s">
        <v>40</v>
      </c>
      <c r="U840" t="s">
        <v>41</v>
      </c>
      <c r="V840" s="9" t="str">
        <f>HYPERLINK("https://app.ntsb.gov/pdfgenerator/ReportGeneratorFile.ashx?EventID=20160815X32841&amp;AKey=1&amp;Rtype=Final&amp;IType=CA","PDF Report")</f>
        <v>PDF Report</v>
      </c>
    </row>
    <row r="841" spans="1:22" x14ac:dyDescent="0.25">
      <c r="A841" t="s">
        <v>3344</v>
      </c>
      <c r="B841">
        <v>1</v>
      </c>
      <c r="C841" s="5">
        <v>42590</v>
      </c>
      <c r="D841" t="s">
        <v>3345</v>
      </c>
      <c r="E841" t="s">
        <v>3346</v>
      </c>
      <c r="F841" t="s">
        <v>3347</v>
      </c>
      <c r="G841" t="s">
        <v>322</v>
      </c>
      <c r="H841" t="s">
        <v>33</v>
      </c>
      <c r="K841" t="s">
        <v>47</v>
      </c>
      <c r="L841" t="s">
        <v>110</v>
      </c>
      <c r="M841" t="s">
        <v>36</v>
      </c>
      <c r="Q841" t="s">
        <v>37</v>
      </c>
      <c r="R841" t="s">
        <v>38</v>
      </c>
      <c r="S841" t="s">
        <v>48</v>
      </c>
      <c r="T841" t="s">
        <v>40</v>
      </c>
      <c r="U841" t="s">
        <v>41</v>
      </c>
      <c r="V841" s="9" t="str">
        <f>HYPERLINK("https://app.ntsb.gov/pdfgenerator/ReportGeneratorFile.ashx?EventID=20160808X03845&amp;AKey=1&amp;Rtype=Final&amp;IType=LA","PDF Report")</f>
        <v>PDF Report</v>
      </c>
    </row>
    <row r="842" spans="1:22" x14ac:dyDescent="0.25">
      <c r="A842" t="s">
        <v>3348</v>
      </c>
      <c r="B842">
        <v>1</v>
      </c>
      <c r="C842" s="5">
        <v>42590</v>
      </c>
      <c r="D842" t="s">
        <v>3349</v>
      </c>
      <c r="E842" t="s">
        <v>3350</v>
      </c>
      <c r="F842" t="s">
        <v>3351</v>
      </c>
      <c r="G842" t="s">
        <v>491</v>
      </c>
      <c r="H842" t="s">
        <v>33</v>
      </c>
      <c r="I842">
        <v>1</v>
      </c>
      <c r="K842" t="s">
        <v>90</v>
      </c>
      <c r="L842" t="s">
        <v>35</v>
      </c>
      <c r="M842" t="s">
        <v>767</v>
      </c>
      <c r="Q842" t="s">
        <v>37</v>
      </c>
      <c r="R842" t="s">
        <v>768</v>
      </c>
      <c r="S842" t="s">
        <v>201</v>
      </c>
      <c r="T842" t="s">
        <v>40</v>
      </c>
      <c r="U842" t="s">
        <v>41</v>
      </c>
      <c r="V842" s="9" t="str">
        <f>HYPERLINK("https://app.ntsb.gov/pdfgenerator/ReportGeneratorFile.ashx?EventID=20160808X65051&amp;AKey=1&amp;Rtype=Final&amp;IType=LA","PDF Report")</f>
        <v>PDF Report</v>
      </c>
    </row>
    <row r="843" spans="1:22" x14ac:dyDescent="0.25">
      <c r="A843" t="s">
        <v>3352</v>
      </c>
      <c r="B843">
        <v>1</v>
      </c>
      <c r="C843" s="5">
        <v>42590</v>
      </c>
      <c r="D843" t="s">
        <v>3353</v>
      </c>
      <c r="E843" t="s">
        <v>3354</v>
      </c>
      <c r="F843" t="s">
        <v>509</v>
      </c>
      <c r="G843" t="s">
        <v>54</v>
      </c>
      <c r="H843" t="s">
        <v>33</v>
      </c>
      <c r="J843">
        <v>4</v>
      </c>
      <c r="K843" t="s">
        <v>55</v>
      </c>
      <c r="L843" t="s">
        <v>35</v>
      </c>
      <c r="M843" t="s">
        <v>36</v>
      </c>
      <c r="Q843" t="s">
        <v>37</v>
      </c>
      <c r="R843" t="s">
        <v>186</v>
      </c>
      <c r="S843" t="s">
        <v>191</v>
      </c>
      <c r="T843" t="s">
        <v>143</v>
      </c>
      <c r="U843" t="s">
        <v>41</v>
      </c>
      <c r="V843" s="9" t="str">
        <f>HYPERLINK("https://app.ntsb.gov/pdfgenerator/ReportGeneratorFile.ashx?EventID=20160809X40455&amp;AKey=1&amp;Rtype=Final&amp;IType=LA","PDF Report")</f>
        <v>PDF Report</v>
      </c>
    </row>
    <row r="844" spans="1:22" x14ac:dyDescent="0.25">
      <c r="A844" t="s">
        <v>3355</v>
      </c>
      <c r="B844">
        <v>1</v>
      </c>
      <c r="C844" s="5">
        <v>42590</v>
      </c>
      <c r="D844" t="s">
        <v>3356</v>
      </c>
      <c r="E844" t="s">
        <v>3357</v>
      </c>
      <c r="F844" t="s">
        <v>607</v>
      </c>
      <c r="G844" t="s">
        <v>66</v>
      </c>
      <c r="H844" t="s">
        <v>33</v>
      </c>
      <c r="K844" t="s">
        <v>34</v>
      </c>
      <c r="L844" t="s">
        <v>35</v>
      </c>
      <c r="M844" t="s">
        <v>36</v>
      </c>
      <c r="Q844" t="s">
        <v>37</v>
      </c>
      <c r="R844" t="s">
        <v>130</v>
      </c>
      <c r="S844" t="s">
        <v>84</v>
      </c>
      <c r="T844" t="s">
        <v>73</v>
      </c>
      <c r="U844" t="s">
        <v>41</v>
      </c>
      <c r="V844" s="9" t="str">
        <f>HYPERLINK("https://app.ntsb.gov/pdfgenerator/ReportGeneratorFile.ashx?EventID=20160810X23719&amp;AKey=1&amp;Rtype=Final&amp;IType=LA","PDF Report")</f>
        <v>PDF Report</v>
      </c>
    </row>
    <row r="845" spans="1:22" x14ac:dyDescent="0.25">
      <c r="A845" t="s">
        <v>3358</v>
      </c>
      <c r="B845">
        <v>1</v>
      </c>
      <c r="C845" s="5">
        <v>42591</v>
      </c>
      <c r="D845" t="s">
        <v>3359</v>
      </c>
      <c r="E845" t="s">
        <v>3360</v>
      </c>
      <c r="F845" t="s">
        <v>419</v>
      </c>
      <c r="G845" t="s">
        <v>66</v>
      </c>
      <c r="H845" t="s">
        <v>33</v>
      </c>
      <c r="K845" t="s">
        <v>34</v>
      </c>
      <c r="L845" t="s">
        <v>35</v>
      </c>
      <c r="M845" t="s">
        <v>36</v>
      </c>
      <c r="Q845" t="s">
        <v>37</v>
      </c>
      <c r="R845" t="s">
        <v>38</v>
      </c>
      <c r="S845" t="s">
        <v>131</v>
      </c>
      <c r="T845" t="s">
        <v>73</v>
      </c>
      <c r="U845" t="s">
        <v>41</v>
      </c>
      <c r="V845" s="9" t="str">
        <f>HYPERLINK("https://app.ntsb.gov/pdfgenerator/ReportGeneratorFile.ashx?EventID=20160810X03656&amp;AKey=1&amp;Rtype=Final&amp;IType=CA","PDF Report")</f>
        <v>PDF Report</v>
      </c>
    </row>
    <row r="846" spans="1:22" x14ac:dyDescent="0.25">
      <c r="A846" t="s">
        <v>3361</v>
      </c>
      <c r="B846">
        <v>1</v>
      </c>
      <c r="C846" s="5">
        <v>42591</v>
      </c>
      <c r="D846" t="s">
        <v>3362</v>
      </c>
      <c r="E846" t="s">
        <v>3363</v>
      </c>
      <c r="F846" t="s">
        <v>3364</v>
      </c>
      <c r="G846" t="s">
        <v>71</v>
      </c>
      <c r="H846" t="s">
        <v>33</v>
      </c>
      <c r="K846" t="s">
        <v>34</v>
      </c>
      <c r="L846" t="s">
        <v>35</v>
      </c>
      <c r="M846" t="s">
        <v>36</v>
      </c>
      <c r="Q846" t="s">
        <v>37</v>
      </c>
      <c r="R846" t="s">
        <v>38</v>
      </c>
      <c r="S846" t="s">
        <v>131</v>
      </c>
      <c r="T846" t="s">
        <v>73</v>
      </c>
      <c r="U846" t="s">
        <v>41</v>
      </c>
      <c r="V846" s="9" t="str">
        <f>HYPERLINK("https://app.ntsb.gov/pdfgenerator/ReportGeneratorFile.ashx?EventID=20160810X21106&amp;AKey=1&amp;Rtype=Final&amp;IType=LA","PDF Report")</f>
        <v>PDF Report</v>
      </c>
    </row>
    <row r="847" spans="1:22" x14ac:dyDescent="0.25">
      <c r="A847" t="s">
        <v>3365</v>
      </c>
      <c r="B847">
        <v>1</v>
      </c>
      <c r="C847" s="5">
        <v>42591</v>
      </c>
      <c r="D847" t="s">
        <v>3366</v>
      </c>
      <c r="E847" t="s">
        <v>3367</v>
      </c>
      <c r="F847" t="s">
        <v>3368</v>
      </c>
      <c r="G847" t="s">
        <v>96</v>
      </c>
      <c r="H847" t="s">
        <v>33</v>
      </c>
      <c r="I847">
        <v>1</v>
      </c>
      <c r="J847">
        <v>1</v>
      </c>
      <c r="K847" t="s">
        <v>90</v>
      </c>
      <c r="L847" t="s">
        <v>35</v>
      </c>
      <c r="M847" t="s">
        <v>36</v>
      </c>
      <c r="Q847" t="s">
        <v>185</v>
      </c>
      <c r="R847" t="s">
        <v>130</v>
      </c>
      <c r="S847" t="s">
        <v>48</v>
      </c>
      <c r="T847" t="s">
        <v>958</v>
      </c>
      <c r="U847" t="s">
        <v>41</v>
      </c>
      <c r="V847" s="9" t="str">
        <f>HYPERLINK("https://app.ntsb.gov/pdfgenerator/ReportGeneratorFile.ashx?EventID=20160810X82409&amp;AKey=1&amp;Rtype=Final&amp;IType=FA","PDF Report")</f>
        <v>PDF Report</v>
      </c>
    </row>
    <row r="848" spans="1:22" x14ac:dyDescent="0.25">
      <c r="A848" t="s">
        <v>3369</v>
      </c>
      <c r="B848">
        <v>1</v>
      </c>
      <c r="C848" s="5">
        <v>42591</v>
      </c>
      <c r="D848" t="s">
        <v>3370</v>
      </c>
      <c r="E848" t="s">
        <v>3371</v>
      </c>
      <c r="F848" t="s">
        <v>3372</v>
      </c>
      <c r="G848" t="s">
        <v>645</v>
      </c>
      <c r="H848" t="s">
        <v>33</v>
      </c>
      <c r="K848" t="s">
        <v>34</v>
      </c>
      <c r="L848" t="s">
        <v>35</v>
      </c>
      <c r="M848" t="s">
        <v>36</v>
      </c>
      <c r="Q848" t="s">
        <v>37</v>
      </c>
      <c r="R848" t="s">
        <v>38</v>
      </c>
      <c r="S848" t="s">
        <v>455</v>
      </c>
      <c r="T848" t="s">
        <v>73</v>
      </c>
      <c r="U848" t="s">
        <v>41</v>
      </c>
      <c r="V848" s="9" t="str">
        <f>HYPERLINK("https://app.ntsb.gov/pdfgenerator/ReportGeneratorFile.ashx?EventID=20160811X31136&amp;AKey=1&amp;Rtype=Final&amp;IType=CA","PDF Report")</f>
        <v>PDF Report</v>
      </c>
    </row>
    <row r="849" spans="1:22" x14ac:dyDescent="0.25">
      <c r="A849" t="s">
        <v>3373</v>
      </c>
      <c r="B849">
        <v>1</v>
      </c>
      <c r="C849" s="5">
        <v>42591</v>
      </c>
      <c r="D849" t="s">
        <v>3374</v>
      </c>
      <c r="E849" t="s">
        <v>3375</v>
      </c>
      <c r="F849" t="s">
        <v>1849</v>
      </c>
      <c r="G849" t="s">
        <v>322</v>
      </c>
      <c r="H849" t="s">
        <v>33</v>
      </c>
      <c r="K849" t="s">
        <v>34</v>
      </c>
      <c r="L849" t="s">
        <v>35</v>
      </c>
      <c r="M849" t="s">
        <v>103</v>
      </c>
      <c r="N849" t="s">
        <v>57</v>
      </c>
      <c r="O849" t="s">
        <v>58</v>
      </c>
      <c r="P849" t="s">
        <v>59</v>
      </c>
      <c r="Q849" t="s">
        <v>37</v>
      </c>
      <c r="S849" t="s">
        <v>932</v>
      </c>
      <c r="T849" t="s">
        <v>164</v>
      </c>
      <c r="U849" t="s">
        <v>41</v>
      </c>
      <c r="V849" s="9" t="str">
        <f>HYPERLINK("https://app.ntsb.gov/pdfgenerator/ReportGeneratorFile.ashx?EventID=20160811X81653&amp;AKey=1&amp;Rtype=Final&amp;IType=CA","PDF Report")</f>
        <v>PDF Report</v>
      </c>
    </row>
    <row r="850" spans="1:22" x14ac:dyDescent="0.25">
      <c r="A850" t="s">
        <v>3376</v>
      </c>
      <c r="B850">
        <v>1</v>
      </c>
      <c r="C850" s="5">
        <v>42591</v>
      </c>
      <c r="D850" t="s">
        <v>3377</v>
      </c>
      <c r="E850" t="s">
        <v>3378</v>
      </c>
      <c r="F850" t="s">
        <v>1460</v>
      </c>
      <c r="G850" t="s">
        <v>96</v>
      </c>
      <c r="H850" t="s">
        <v>33</v>
      </c>
      <c r="K850" t="s">
        <v>34</v>
      </c>
      <c r="L850" t="s">
        <v>35</v>
      </c>
      <c r="M850" t="s">
        <v>36</v>
      </c>
      <c r="Q850" t="s">
        <v>37</v>
      </c>
      <c r="R850" t="s">
        <v>130</v>
      </c>
      <c r="S850" t="s">
        <v>48</v>
      </c>
      <c r="T850" t="s">
        <v>73</v>
      </c>
      <c r="U850" t="s">
        <v>41</v>
      </c>
      <c r="V850" s="9" t="str">
        <f>HYPERLINK("https://app.ntsb.gov/pdfgenerator/ReportGeneratorFile.ashx?EventID=20160814X02523&amp;AKey=1&amp;Rtype=Final&amp;IType=CA","PDF Report")</f>
        <v>PDF Report</v>
      </c>
    </row>
    <row r="851" spans="1:22" x14ac:dyDescent="0.25">
      <c r="A851" t="s">
        <v>3379</v>
      </c>
      <c r="B851">
        <v>1</v>
      </c>
      <c r="C851" s="5">
        <v>42592</v>
      </c>
      <c r="D851" t="s">
        <v>3380</v>
      </c>
      <c r="E851" t="s">
        <v>3381</v>
      </c>
      <c r="F851" t="s">
        <v>3382</v>
      </c>
      <c r="G851" t="s">
        <v>322</v>
      </c>
      <c r="H851" t="s">
        <v>33</v>
      </c>
      <c r="K851" t="s">
        <v>34</v>
      </c>
      <c r="L851" t="s">
        <v>35</v>
      </c>
      <c r="M851" t="s">
        <v>36</v>
      </c>
      <c r="Q851" t="s">
        <v>37</v>
      </c>
      <c r="R851" t="s">
        <v>38</v>
      </c>
      <c r="S851" t="s">
        <v>455</v>
      </c>
      <c r="T851" t="s">
        <v>73</v>
      </c>
      <c r="U851" t="s">
        <v>41</v>
      </c>
      <c r="V851" s="9" t="str">
        <f>HYPERLINK("https://app.ntsb.gov/pdfgenerator/ReportGeneratorFile.ashx?EventID=20160815X01623&amp;AKey=1&amp;Rtype=Final&amp;IType=CA","PDF Report")</f>
        <v>PDF Report</v>
      </c>
    </row>
    <row r="852" spans="1:22" x14ac:dyDescent="0.25">
      <c r="A852" t="s">
        <v>3383</v>
      </c>
      <c r="B852">
        <v>1</v>
      </c>
      <c r="C852" s="5">
        <v>42592</v>
      </c>
      <c r="D852" t="s">
        <v>3384</v>
      </c>
      <c r="E852" t="s">
        <v>3385</v>
      </c>
      <c r="F852" t="s">
        <v>3386</v>
      </c>
      <c r="G852" t="s">
        <v>407</v>
      </c>
      <c r="H852" t="s">
        <v>33</v>
      </c>
      <c r="J852">
        <v>1</v>
      </c>
      <c r="K852" t="s">
        <v>55</v>
      </c>
      <c r="L852" t="s">
        <v>35</v>
      </c>
      <c r="M852" t="s">
        <v>36</v>
      </c>
      <c r="Q852" t="s">
        <v>37</v>
      </c>
      <c r="R852" t="s">
        <v>38</v>
      </c>
      <c r="S852" t="s">
        <v>131</v>
      </c>
      <c r="T852" t="s">
        <v>73</v>
      </c>
      <c r="U852" t="s">
        <v>41</v>
      </c>
      <c r="V852" s="9" t="str">
        <f>HYPERLINK("https://app.ntsb.gov/pdfgenerator/ReportGeneratorFile.ashx?EventID=20160816X05940&amp;AKey=1&amp;Rtype=Final&amp;IType=LA","PDF Report")</f>
        <v>PDF Report</v>
      </c>
    </row>
    <row r="853" spans="1:22" x14ac:dyDescent="0.25">
      <c r="A853" t="s">
        <v>3387</v>
      </c>
      <c r="B853">
        <v>1</v>
      </c>
      <c r="C853" s="5">
        <v>42593</v>
      </c>
      <c r="D853" t="s">
        <v>3388</v>
      </c>
      <c r="E853" t="s">
        <v>3389</v>
      </c>
      <c r="F853" t="s">
        <v>3390</v>
      </c>
      <c r="G853" t="s">
        <v>491</v>
      </c>
      <c r="H853" t="s">
        <v>33</v>
      </c>
      <c r="K853" t="s">
        <v>34</v>
      </c>
      <c r="L853" t="s">
        <v>35</v>
      </c>
      <c r="M853" t="s">
        <v>36</v>
      </c>
      <c r="Q853" t="s">
        <v>37</v>
      </c>
      <c r="R853" t="s">
        <v>38</v>
      </c>
      <c r="S853" t="s">
        <v>131</v>
      </c>
      <c r="T853" t="s">
        <v>73</v>
      </c>
      <c r="U853" t="s">
        <v>41</v>
      </c>
      <c r="V853" s="9" t="str">
        <f>HYPERLINK("https://app.ntsb.gov/pdfgenerator/ReportGeneratorFile.ashx?EventID=20160817X62230&amp;AKey=1&amp;Rtype=Final&amp;IType=CA","PDF Report")</f>
        <v>PDF Report</v>
      </c>
    </row>
    <row r="854" spans="1:22" x14ac:dyDescent="0.25">
      <c r="A854" t="s">
        <v>3391</v>
      </c>
      <c r="B854">
        <v>1</v>
      </c>
      <c r="C854" s="5">
        <v>42594</v>
      </c>
      <c r="D854" t="s">
        <v>3392</v>
      </c>
      <c r="E854" t="s">
        <v>3393</v>
      </c>
      <c r="F854" t="s">
        <v>2081</v>
      </c>
      <c r="G854" t="s">
        <v>46</v>
      </c>
      <c r="H854" t="s">
        <v>33</v>
      </c>
      <c r="I854">
        <v>6</v>
      </c>
      <c r="K854" t="s">
        <v>90</v>
      </c>
      <c r="L854" t="s">
        <v>35</v>
      </c>
      <c r="M854" t="s">
        <v>36</v>
      </c>
      <c r="Q854" t="s">
        <v>37</v>
      </c>
      <c r="R854" t="s">
        <v>38</v>
      </c>
      <c r="S854" t="s">
        <v>48</v>
      </c>
      <c r="T854" t="s">
        <v>143</v>
      </c>
      <c r="U854" t="s">
        <v>41</v>
      </c>
      <c r="V854" s="9" t="str">
        <f>HYPERLINK("https://app.ntsb.gov/pdfgenerator/ReportGeneratorFile.ashx?EventID=20160812X50604&amp;AKey=1&amp;Rtype=Final&amp;IType=FA","PDF Report")</f>
        <v>PDF Report</v>
      </c>
    </row>
    <row r="855" spans="1:22" x14ac:dyDescent="0.25">
      <c r="A855" t="s">
        <v>3394</v>
      </c>
      <c r="B855">
        <v>1</v>
      </c>
      <c r="C855" s="5">
        <v>42594</v>
      </c>
      <c r="D855" t="s">
        <v>3395</v>
      </c>
      <c r="E855" t="s">
        <v>3396</v>
      </c>
      <c r="F855" t="s">
        <v>3397</v>
      </c>
      <c r="G855" t="s">
        <v>32</v>
      </c>
      <c r="H855" t="s">
        <v>33</v>
      </c>
      <c r="K855" t="s">
        <v>47</v>
      </c>
      <c r="L855" t="s">
        <v>35</v>
      </c>
      <c r="M855" t="s">
        <v>36</v>
      </c>
      <c r="Q855" t="s">
        <v>37</v>
      </c>
      <c r="R855" t="s">
        <v>38</v>
      </c>
      <c r="S855" t="s">
        <v>39</v>
      </c>
      <c r="T855" t="s">
        <v>61</v>
      </c>
      <c r="U855" t="s">
        <v>41</v>
      </c>
      <c r="V855" s="9" t="str">
        <f>HYPERLINK("https://app.ntsb.gov/pdfgenerator/ReportGeneratorFile.ashx?EventID=20160813X11748&amp;AKey=1&amp;Rtype=Final&amp;IType=LA","PDF Report")</f>
        <v>PDF Report</v>
      </c>
    </row>
    <row r="856" spans="1:22" x14ac:dyDescent="0.25">
      <c r="A856" t="s">
        <v>3398</v>
      </c>
      <c r="B856">
        <v>1</v>
      </c>
      <c r="C856" s="5">
        <v>42594</v>
      </c>
      <c r="D856" t="s">
        <v>3399</v>
      </c>
      <c r="E856" t="s">
        <v>3400</v>
      </c>
      <c r="F856" t="s">
        <v>3401</v>
      </c>
      <c r="G856" t="s">
        <v>242</v>
      </c>
      <c r="H856" t="s">
        <v>33</v>
      </c>
      <c r="K856" t="s">
        <v>34</v>
      </c>
      <c r="L856" t="s">
        <v>35</v>
      </c>
      <c r="M856" t="s">
        <v>767</v>
      </c>
      <c r="Q856" t="s">
        <v>185</v>
      </c>
      <c r="R856" t="s">
        <v>768</v>
      </c>
      <c r="S856" t="s">
        <v>39</v>
      </c>
      <c r="T856" t="s">
        <v>40</v>
      </c>
      <c r="U856" t="s">
        <v>41</v>
      </c>
      <c r="V856" s="9" t="str">
        <f>HYPERLINK("https://app.ntsb.gov/pdfgenerator/ReportGeneratorFile.ashx?EventID=20160813X12710&amp;AKey=1&amp;Rtype=Final&amp;IType=LA","PDF Report")</f>
        <v>PDF Report</v>
      </c>
    </row>
    <row r="857" spans="1:22" x14ac:dyDescent="0.25">
      <c r="A857" t="s">
        <v>3402</v>
      </c>
      <c r="B857">
        <v>1</v>
      </c>
      <c r="C857" s="5">
        <v>42594</v>
      </c>
      <c r="D857" t="s">
        <v>3403</v>
      </c>
      <c r="E857" t="s">
        <v>3404</v>
      </c>
      <c r="F857" t="s">
        <v>1830</v>
      </c>
      <c r="G857" t="s">
        <v>120</v>
      </c>
      <c r="H857" t="s">
        <v>33</v>
      </c>
      <c r="K857" t="s">
        <v>34</v>
      </c>
      <c r="L857" t="s">
        <v>35</v>
      </c>
      <c r="M857" t="s">
        <v>36</v>
      </c>
      <c r="Q857" t="s">
        <v>37</v>
      </c>
      <c r="R857" t="s">
        <v>38</v>
      </c>
      <c r="S857" t="s">
        <v>191</v>
      </c>
      <c r="T857" t="s">
        <v>40</v>
      </c>
      <c r="U857" t="s">
        <v>41</v>
      </c>
      <c r="V857" s="9" t="str">
        <f>HYPERLINK("https://app.ntsb.gov/pdfgenerator/ReportGeneratorFile.ashx?EventID=20160815X33452&amp;AKey=1&amp;Rtype=Final&amp;IType=CA","PDF Report")</f>
        <v>PDF Report</v>
      </c>
    </row>
    <row r="858" spans="1:22" x14ac:dyDescent="0.25">
      <c r="A858" t="s">
        <v>3405</v>
      </c>
      <c r="B858">
        <v>1</v>
      </c>
      <c r="C858" s="5">
        <v>42594</v>
      </c>
      <c r="D858" t="s">
        <v>3406</v>
      </c>
      <c r="E858" t="s">
        <v>3407</v>
      </c>
      <c r="F858" t="s">
        <v>3020</v>
      </c>
      <c r="G858" t="s">
        <v>1508</v>
      </c>
      <c r="H858" t="s">
        <v>33</v>
      </c>
      <c r="J858">
        <v>1</v>
      </c>
      <c r="K858" t="s">
        <v>55</v>
      </c>
      <c r="L858" t="s">
        <v>35</v>
      </c>
      <c r="M858" t="s">
        <v>36</v>
      </c>
      <c r="Q858" t="s">
        <v>37</v>
      </c>
      <c r="R858" t="s">
        <v>38</v>
      </c>
      <c r="S858" t="s">
        <v>84</v>
      </c>
      <c r="T858" t="s">
        <v>73</v>
      </c>
      <c r="U858" t="s">
        <v>41</v>
      </c>
      <c r="V858" s="9" t="str">
        <f>HYPERLINK("https://app.ntsb.gov/pdfgenerator/ReportGeneratorFile.ashx?EventID=20160815X34315&amp;AKey=1&amp;Rtype=Final&amp;IType=CA","PDF Report")</f>
        <v>PDF Report</v>
      </c>
    </row>
    <row r="859" spans="1:22" x14ac:dyDescent="0.25">
      <c r="A859" t="s">
        <v>3408</v>
      </c>
      <c r="B859">
        <v>1</v>
      </c>
      <c r="C859" s="5">
        <v>42594</v>
      </c>
      <c r="D859" t="s">
        <v>3409</v>
      </c>
      <c r="E859" t="s">
        <v>3410</v>
      </c>
      <c r="F859" t="s">
        <v>3319</v>
      </c>
      <c r="G859" t="s">
        <v>78</v>
      </c>
      <c r="H859" t="s">
        <v>33</v>
      </c>
      <c r="K859" t="s">
        <v>34</v>
      </c>
      <c r="L859" t="s">
        <v>35</v>
      </c>
      <c r="M859" t="s">
        <v>36</v>
      </c>
      <c r="Q859" t="s">
        <v>37</v>
      </c>
      <c r="R859" t="s">
        <v>130</v>
      </c>
      <c r="S859" t="s">
        <v>84</v>
      </c>
      <c r="T859" t="s">
        <v>73</v>
      </c>
      <c r="U859" t="s">
        <v>41</v>
      </c>
      <c r="V859" s="9" t="str">
        <f>HYPERLINK("https://app.ntsb.gov/pdfgenerator/ReportGeneratorFile.ashx?EventID=20160816X70910&amp;AKey=1&amp;Rtype=Final&amp;IType=CA","PDF Report")</f>
        <v>PDF Report</v>
      </c>
    </row>
    <row r="860" spans="1:22" x14ac:dyDescent="0.25">
      <c r="A860" t="s">
        <v>3411</v>
      </c>
      <c r="B860">
        <v>1</v>
      </c>
      <c r="C860" s="5">
        <v>42594</v>
      </c>
      <c r="D860" t="s">
        <v>3412</v>
      </c>
      <c r="E860" t="s">
        <v>3413</v>
      </c>
      <c r="F860" t="s">
        <v>670</v>
      </c>
      <c r="G860" t="s">
        <v>54</v>
      </c>
      <c r="H860" t="s">
        <v>33</v>
      </c>
      <c r="K860" t="s">
        <v>34</v>
      </c>
      <c r="L860" t="s">
        <v>35</v>
      </c>
      <c r="M860" t="s">
        <v>36</v>
      </c>
      <c r="Q860" t="s">
        <v>37</v>
      </c>
      <c r="R860" t="s">
        <v>38</v>
      </c>
      <c r="S860" t="s">
        <v>131</v>
      </c>
      <c r="T860" t="s">
        <v>73</v>
      </c>
      <c r="U860" t="s">
        <v>41</v>
      </c>
      <c r="V860" s="9" t="str">
        <f>HYPERLINK("https://app.ntsb.gov/pdfgenerator/ReportGeneratorFile.ashx?EventID=20160817X23628&amp;AKey=1&amp;Rtype=Final&amp;IType=LA","PDF Report")</f>
        <v>PDF Report</v>
      </c>
    </row>
    <row r="861" spans="1:22" x14ac:dyDescent="0.25">
      <c r="A861" t="s">
        <v>3414</v>
      </c>
      <c r="B861">
        <v>1</v>
      </c>
      <c r="C861" s="5">
        <v>42595</v>
      </c>
      <c r="D861" t="s">
        <v>3415</v>
      </c>
      <c r="E861" t="s">
        <v>3416</v>
      </c>
      <c r="F861" t="s">
        <v>1253</v>
      </c>
      <c r="G861" t="s">
        <v>54</v>
      </c>
      <c r="H861" t="s">
        <v>33</v>
      </c>
      <c r="I861">
        <v>1</v>
      </c>
      <c r="K861" t="s">
        <v>90</v>
      </c>
      <c r="L861" t="s">
        <v>110</v>
      </c>
      <c r="M861" t="s">
        <v>36</v>
      </c>
      <c r="Q861" t="s">
        <v>37</v>
      </c>
      <c r="R861" t="s">
        <v>38</v>
      </c>
      <c r="S861" t="s">
        <v>39</v>
      </c>
      <c r="T861" t="s">
        <v>143</v>
      </c>
      <c r="U861" t="s">
        <v>41</v>
      </c>
      <c r="V861" s="9" t="str">
        <f>HYPERLINK("https://app.ntsb.gov/pdfgenerator/ReportGeneratorFile.ashx?EventID=20160813X90947&amp;AKey=1&amp;Rtype=Final&amp;IType=FA","PDF Report")</f>
        <v>PDF Report</v>
      </c>
    </row>
    <row r="862" spans="1:22" x14ac:dyDescent="0.25">
      <c r="A862" t="s">
        <v>3417</v>
      </c>
      <c r="B862">
        <v>1</v>
      </c>
      <c r="C862" s="5">
        <v>42595</v>
      </c>
      <c r="D862" t="s">
        <v>3418</v>
      </c>
      <c r="E862" t="s">
        <v>3419</v>
      </c>
      <c r="F862" t="s">
        <v>3420</v>
      </c>
      <c r="G862" t="s">
        <v>71</v>
      </c>
      <c r="H862" t="s">
        <v>33</v>
      </c>
      <c r="K862" t="s">
        <v>47</v>
      </c>
      <c r="L862" t="s">
        <v>110</v>
      </c>
      <c r="M862" t="s">
        <v>36</v>
      </c>
      <c r="Q862" t="s">
        <v>37</v>
      </c>
      <c r="R862" t="s">
        <v>38</v>
      </c>
      <c r="S862" t="s">
        <v>39</v>
      </c>
      <c r="T862" t="s">
        <v>143</v>
      </c>
      <c r="U862" t="s">
        <v>41</v>
      </c>
      <c r="V862" s="9" t="str">
        <f>HYPERLINK("https://app.ntsb.gov/pdfgenerator/ReportGeneratorFile.ashx?EventID=20160815X12510&amp;AKey=1&amp;Rtype=Final&amp;IType=LA","PDF Report")</f>
        <v>PDF Report</v>
      </c>
    </row>
    <row r="863" spans="1:22" x14ac:dyDescent="0.25">
      <c r="A863" t="s">
        <v>3421</v>
      </c>
      <c r="B863">
        <v>1</v>
      </c>
      <c r="C863" s="5">
        <v>42595</v>
      </c>
      <c r="D863" t="s">
        <v>3422</v>
      </c>
      <c r="E863" t="s">
        <v>3423</v>
      </c>
      <c r="F863" t="s">
        <v>3424</v>
      </c>
      <c r="G863" t="s">
        <v>211</v>
      </c>
      <c r="H863" t="s">
        <v>33</v>
      </c>
      <c r="J863">
        <v>1</v>
      </c>
      <c r="K863" t="s">
        <v>55</v>
      </c>
      <c r="L863" t="s">
        <v>35</v>
      </c>
      <c r="M863" t="s">
        <v>36</v>
      </c>
      <c r="Q863" t="s">
        <v>37</v>
      </c>
      <c r="R863" t="s">
        <v>38</v>
      </c>
      <c r="S863" t="s">
        <v>97</v>
      </c>
      <c r="T863" t="s">
        <v>61</v>
      </c>
      <c r="U863" t="s">
        <v>41</v>
      </c>
      <c r="V863" s="9" t="str">
        <f>HYPERLINK("https://app.ntsb.gov/pdfgenerator/ReportGeneratorFile.ashx?EventID=20160815X43320&amp;AKey=1&amp;Rtype=Final&amp;IType=LA","PDF Report")</f>
        <v>PDF Report</v>
      </c>
    </row>
    <row r="864" spans="1:22" x14ac:dyDescent="0.25">
      <c r="A864" t="s">
        <v>3425</v>
      </c>
      <c r="B864">
        <v>1</v>
      </c>
      <c r="C864" s="5">
        <v>42595</v>
      </c>
      <c r="D864" t="s">
        <v>3426</v>
      </c>
      <c r="E864" t="s">
        <v>3427</v>
      </c>
      <c r="F864" t="s">
        <v>3428</v>
      </c>
      <c r="G864" t="s">
        <v>78</v>
      </c>
      <c r="H864" t="s">
        <v>33</v>
      </c>
      <c r="K864" t="s">
        <v>34</v>
      </c>
      <c r="L864" t="s">
        <v>35</v>
      </c>
      <c r="M864" t="s">
        <v>36</v>
      </c>
      <c r="Q864" t="s">
        <v>37</v>
      </c>
      <c r="R864" t="s">
        <v>38</v>
      </c>
      <c r="S864" t="s">
        <v>131</v>
      </c>
      <c r="T864" t="s">
        <v>73</v>
      </c>
      <c r="U864" t="s">
        <v>41</v>
      </c>
      <c r="V864" s="9" t="str">
        <f>HYPERLINK("https://app.ntsb.gov/pdfgenerator/ReportGeneratorFile.ashx?EventID=20160815X44829&amp;AKey=1&amp;Rtype=Final&amp;IType=CA","PDF Report")</f>
        <v>PDF Report</v>
      </c>
    </row>
    <row r="865" spans="1:22" x14ac:dyDescent="0.25">
      <c r="A865" t="s">
        <v>3429</v>
      </c>
      <c r="B865">
        <v>1</v>
      </c>
      <c r="C865" s="5">
        <v>42595</v>
      </c>
      <c r="D865" t="s">
        <v>3430</v>
      </c>
      <c r="E865" t="s">
        <v>3431</v>
      </c>
      <c r="F865" t="s">
        <v>486</v>
      </c>
      <c r="G865" t="s">
        <v>322</v>
      </c>
      <c r="H865" t="s">
        <v>33</v>
      </c>
      <c r="K865" t="s">
        <v>34</v>
      </c>
      <c r="L865" t="s">
        <v>35</v>
      </c>
      <c r="M865" t="s">
        <v>36</v>
      </c>
      <c r="Q865" t="s">
        <v>37</v>
      </c>
      <c r="R865" t="s">
        <v>130</v>
      </c>
      <c r="S865" t="s">
        <v>196</v>
      </c>
      <c r="T865" t="s">
        <v>61</v>
      </c>
      <c r="U865" t="s">
        <v>41</v>
      </c>
      <c r="V865" s="9" t="str">
        <f>HYPERLINK("https://app.ntsb.gov/pdfgenerator/ReportGeneratorFile.ashx?EventID=20160816X44909&amp;AKey=1&amp;Rtype=Final&amp;IType=LA","PDF Report")</f>
        <v>PDF Report</v>
      </c>
    </row>
    <row r="866" spans="1:22" x14ac:dyDescent="0.25">
      <c r="A866" t="s">
        <v>3432</v>
      </c>
      <c r="B866">
        <v>1</v>
      </c>
      <c r="C866" s="5">
        <v>42595</v>
      </c>
      <c r="D866" t="s">
        <v>3433</v>
      </c>
      <c r="E866" t="s">
        <v>3434</v>
      </c>
      <c r="F866" t="s">
        <v>3435</v>
      </c>
      <c r="G866" t="s">
        <v>237</v>
      </c>
      <c r="H866" t="s">
        <v>33</v>
      </c>
      <c r="K866" t="s">
        <v>47</v>
      </c>
      <c r="L866" t="s">
        <v>35</v>
      </c>
      <c r="M866" t="s">
        <v>36</v>
      </c>
      <c r="Q866" t="s">
        <v>37</v>
      </c>
      <c r="R866" t="s">
        <v>1132</v>
      </c>
      <c r="S866" t="s">
        <v>39</v>
      </c>
      <c r="T866" t="s">
        <v>61</v>
      </c>
      <c r="U866" t="s">
        <v>41</v>
      </c>
      <c r="V866" s="9" t="str">
        <f>HYPERLINK("https://app.ntsb.gov/pdfgenerator/ReportGeneratorFile.ashx?EventID=20160816X45403&amp;AKey=1&amp;Rtype=Final&amp;IType=LA","PDF Report")</f>
        <v>PDF Report</v>
      </c>
    </row>
    <row r="867" spans="1:22" x14ac:dyDescent="0.25">
      <c r="A867" t="s">
        <v>3436</v>
      </c>
      <c r="B867">
        <v>1</v>
      </c>
      <c r="C867" s="5">
        <v>42595</v>
      </c>
      <c r="D867" t="s">
        <v>3437</v>
      </c>
      <c r="E867" t="s">
        <v>3438</v>
      </c>
      <c r="F867" t="s">
        <v>3439</v>
      </c>
      <c r="G867" t="s">
        <v>115</v>
      </c>
      <c r="H867" t="s">
        <v>33</v>
      </c>
      <c r="K867" t="s">
        <v>34</v>
      </c>
      <c r="L867" t="s">
        <v>47</v>
      </c>
      <c r="M867" t="s">
        <v>36</v>
      </c>
      <c r="Q867" t="s">
        <v>37</v>
      </c>
      <c r="R867" t="s">
        <v>137</v>
      </c>
      <c r="S867" t="s">
        <v>163</v>
      </c>
      <c r="T867" t="s">
        <v>164</v>
      </c>
      <c r="U867" t="s">
        <v>41</v>
      </c>
      <c r="V867" s="9" t="str">
        <f>HYPERLINK("https://app.ntsb.gov/pdfgenerator/ReportGeneratorFile.ashx?EventID=20160829X53416&amp;AKey=1&amp;Rtype=Final&amp;IType=CA","PDF Report")</f>
        <v>PDF Report</v>
      </c>
    </row>
    <row r="868" spans="1:22" x14ac:dyDescent="0.25">
      <c r="A868" t="s">
        <v>3436</v>
      </c>
      <c r="B868">
        <v>2</v>
      </c>
      <c r="C868" s="5">
        <v>42595</v>
      </c>
      <c r="D868" t="s">
        <v>3437</v>
      </c>
      <c r="E868" t="s">
        <v>3438</v>
      </c>
      <c r="F868" t="s">
        <v>3439</v>
      </c>
      <c r="G868" t="s">
        <v>115</v>
      </c>
      <c r="H868" t="s">
        <v>33</v>
      </c>
      <c r="K868" t="s">
        <v>34</v>
      </c>
      <c r="L868" t="s">
        <v>35</v>
      </c>
      <c r="M868" t="s">
        <v>36</v>
      </c>
      <c r="Q868" t="s">
        <v>37</v>
      </c>
      <c r="R868" t="s">
        <v>38</v>
      </c>
      <c r="S868" t="s">
        <v>163</v>
      </c>
      <c r="T868" t="s">
        <v>164</v>
      </c>
      <c r="U868" t="s">
        <v>41</v>
      </c>
      <c r="V868" s="9" t="str">
        <f>HYPERLINK("https://app.ntsb.gov/pdfgenerator/ReportGeneratorFile.ashx?EventID=20160829X53416&amp;AKey=2&amp;Rtype=Final&amp;IType=CA","PDF Report")</f>
        <v>PDF Report</v>
      </c>
    </row>
    <row r="869" spans="1:22" x14ac:dyDescent="0.25">
      <c r="A869" t="s">
        <v>3440</v>
      </c>
      <c r="B869">
        <v>1</v>
      </c>
      <c r="C869" s="5">
        <v>42596</v>
      </c>
      <c r="D869" t="s">
        <v>280</v>
      </c>
      <c r="E869" t="s">
        <v>3441</v>
      </c>
      <c r="F869" t="s">
        <v>3442</v>
      </c>
      <c r="G869" t="s">
        <v>180</v>
      </c>
      <c r="H869" t="s">
        <v>33</v>
      </c>
      <c r="I869">
        <v>6</v>
      </c>
      <c r="K869" t="s">
        <v>90</v>
      </c>
      <c r="L869" t="s">
        <v>35</v>
      </c>
      <c r="M869" t="s">
        <v>36</v>
      </c>
      <c r="Q869" t="s">
        <v>37</v>
      </c>
      <c r="R869" t="s">
        <v>38</v>
      </c>
      <c r="S869" t="s">
        <v>97</v>
      </c>
      <c r="T869" t="s">
        <v>61</v>
      </c>
      <c r="U869" t="s">
        <v>41</v>
      </c>
      <c r="V869" s="9" t="str">
        <f>HYPERLINK("https://app.ntsb.gov/pdfgenerator/ReportGeneratorFile.ashx?EventID=20160814X40011&amp;AKey=1&amp;Rtype=Final&amp;IType=FA","PDF Report")</f>
        <v>PDF Report</v>
      </c>
    </row>
    <row r="870" spans="1:22" x14ac:dyDescent="0.25">
      <c r="A870" t="s">
        <v>3443</v>
      </c>
      <c r="B870">
        <v>1</v>
      </c>
      <c r="C870" s="5">
        <v>42596</v>
      </c>
      <c r="D870" t="s">
        <v>3444</v>
      </c>
      <c r="E870" t="s">
        <v>3445</v>
      </c>
      <c r="F870" t="s">
        <v>2652</v>
      </c>
      <c r="G870" t="s">
        <v>66</v>
      </c>
      <c r="H870" t="s">
        <v>33</v>
      </c>
      <c r="K870" t="s">
        <v>34</v>
      </c>
      <c r="L870" t="s">
        <v>35</v>
      </c>
      <c r="M870" t="s">
        <v>36</v>
      </c>
      <c r="Q870" t="s">
        <v>874</v>
      </c>
      <c r="R870" t="s">
        <v>38</v>
      </c>
      <c r="S870" t="s">
        <v>196</v>
      </c>
      <c r="T870" t="s">
        <v>49</v>
      </c>
      <c r="U870" t="s">
        <v>41</v>
      </c>
      <c r="V870" s="9" t="str">
        <f>HYPERLINK("https://app.ntsb.gov/pdfgenerator/ReportGeneratorFile.ashx?EventID=20160816X14228&amp;AKey=1&amp;Rtype=Final&amp;IType=CA","PDF Report")</f>
        <v>PDF Report</v>
      </c>
    </row>
    <row r="871" spans="1:22" x14ac:dyDescent="0.25">
      <c r="A871" t="s">
        <v>3446</v>
      </c>
      <c r="B871">
        <v>1</v>
      </c>
      <c r="C871" s="5">
        <v>42596</v>
      </c>
      <c r="D871" t="s">
        <v>3447</v>
      </c>
      <c r="E871" t="s">
        <v>3448</v>
      </c>
      <c r="F871" t="s">
        <v>3449</v>
      </c>
      <c r="G871" t="s">
        <v>538</v>
      </c>
      <c r="H871" t="s">
        <v>33</v>
      </c>
      <c r="K871" t="s">
        <v>34</v>
      </c>
      <c r="L871" t="s">
        <v>35</v>
      </c>
      <c r="M871" t="s">
        <v>36</v>
      </c>
      <c r="Q871" t="s">
        <v>37</v>
      </c>
      <c r="R871" t="s">
        <v>130</v>
      </c>
      <c r="S871" t="s">
        <v>84</v>
      </c>
      <c r="T871" t="s">
        <v>49</v>
      </c>
      <c r="U871" t="s">
        <v>41</v>
      </c>
      <c r="V871" s="9" t="str">
        <f>HYPERLINK("https://app.ntsb.gov/pdfgenerator/ReportGeneratorFile.ashx?EventID=20160817X93423&amp;AKey=1&amp;Rtype=Final&amp;IType=LA","PDF Report")</f>
        <v>PDF Report</v>
      </c>
    </row>
    <row r="872" spans="1:22" x14ac:dyDescent="0.25">
      <c r="A872" t="s">
        <v>3450</v>
      </c>
      <c r="B872">
        <v>1</v>
      </c>
      <c r="C872" s="5">
        <v>42596</v>
      </c>
      <c r="D872" t="s">
        <v>3451</v>
      </c>
      <c r="E872" t="s">
        <v>3452</v>
      </c>
      <c r="F872" t="s">
        <v>3453</v>
      </c>
      <c r="G872" t="s">
        <v>348</v>
      </c>
      <c r="H872" t="s">
        <v>33</v>
      </c>
      <c r="K872" t="s">
        <v>34</v>
      </c>
      <c r="L872" t="s">
        <v>35</v>
      </c>
      <c r="M872" t="s">
        <v>36</v>
      </c>
      <c r="Q872" t="s">
        <v>37</v>
      </c>
      <c r="R872" t="s">
        <v>38</v>
      </c>
      <c r="S872" t="s">
        <v>131</v>
      </c>
      <c r="T872" t="s">
        <v>73</v>
      </c>
      <c r="U872" t="s">
        <v>41</v>
      </c>
      <c r="V872" s="9" t="str">
        <f>HYPERLINK("https://app.ntsb.gov/pdfgenerator/ReportGeneratorFile.ashx?EventID=20160908X75856&amp;AKey=1&amp;Rtype=Final&amp;IType=CA","PDF Report")</f>
        <v>PDF Report</v>
      </c>
    </row>
    <row r="873" spans="1:22" x14ac:dyDescent="0.25">
      <c r="A873" t="s">
        <v>3454</v>
      </c>
      <c r="B873">
        <v>1</v>
      </c>
      <c r="C873" s="5">
        <v>42597</v>
      </c>
      <c r="D873" t="s">
        <v>3455</v>
      </c>
      <c r="E873" t="s">
        <v>3456</v>
      </c>
      <c r="F873" t="s">
        <v>3457</v>
      </c>
      <c r="G873" t="s">
        <v>1416</v>
      </c>
      <c r="H873" t="s">
        <v>33</v>
      </c>
      <c r="K873" t="s">
        <v>34</v>
      </c>
      <c r="L873" t="s">
        <v>35</v>
      </c>
      <c r="M873" t="s">
        <v>36</v>
      </c>
      <c r="Q873" t="s">
        <v>37</v>
      </c>
      <c r="R873" t="s">
        <v>38</v>
      </c>
      <c r="S873" t="s">
        <v>97</v>
      </c>
      <c r="T873" t="s">
        <v>61</v>
      </c>
      <c r="U873" t="s">
        <v>41</v>
      </c>
      <c r="V873" s="9" t="str">
        <f>HYPERLINK("https://app.ntsb.gov/pdfgenerator/ReportGeneratorFile.ashx?EventID=20160817X05516&amp;AKey=1&amp;Rtype=Final&amp;IType=CA","PDF Report")</f>
        <v>PDF Report</v>
      </c>
    </row>
    <row r="874" spans="1:22" x14ac:dyDescent="0.25">
      <c r="A874" t="s">
        <v>3458</v>
      </c>
      <c r="B874">
        <v>1</v>
      </c>
      <c r="C874" s="5">
        <v>42598</v>
      </c>
      <c r="D874" t="s">
        <v>3459</v>
      </c>
      <c r="E874" t="s">
        <v>3460</v>
      </c>
      <c r="F874" t="s">
        <v>3461</v>
      </c>
      <c r="G874" t="s">
        <v>54</v>
      </c>
      <c r="H874" t="s">
        <v>33</v>
      </c>
      <c r="K874" t="s">
        <v>34</v>
      </c>
      <c r="L874" t="s">
        <v>35</v>
      </c>
      <c r="M874" t="s">
        <v>36</v>
      </c>
      <c r="Q874" t="s">
        <v>37</v>
      </c>
      <c r="R874" t="s">
        <v>38</v>
      </c>
      <c r="S874" t="s">
        <v>191</v>
      </c>
      <c r="T874" t="s">
        <v>73</v>
      </c>
      <c r="U874" t="s">
        <v>41</v>
      </c>
      <c r="V874" s="9" t="str">
        <f>HYPERLINK("https://app.ntsb.gov/pdfgenerator/ReportGeneratorFile.ashx?EventID=20160819X61537&amp;AKey=1&amp;Rtype=Final&amp;IType=CA","PDF Report")</f>
        <v>PDF Report</v>
      </c>
    </row>
    <row r="875" spans="1:22" x14ac:dyDescent="0.25">
      <c r="A875" t="s">
        <v>3462</v>
      </c>
      <c r="B875">
        <v>1</v>
      </c>
      <c r="C875" s="5">
        <v>42599</v>
      </c>
      <c r="D875" t="s">
        <v>3463</v>
      </c>
      <c r="E875" t="s">
        <v>3464</v>
      </c>
      <c r="F875" t="s">
        <v>3465</v>
      </c>
      <c r="G875" t="s">
        <v>136</v>
      </c>
      <c r="H875" t="s">
        <v>33</v>
      </c>
      <c r="K875" t="s">
        <v>34</v>
      </c>
      <c r="L875" t="s">
        <v>35</v>
      </c>
      <c r="M875" t="s">
        <v>36</v>
      </c>
      <c r="Q875" t="s">
        <v>37</v>
      </c>
      <c r="R875" t="s">
        <v>130</v>
      </c>
      <c r="S875" t="s">
        <v>455</v>
      </c>
      <c r="T875" t="s">
        <v>73</v>
      </c>
      <c r="U875" t="s">
        <v>41</v>
      </c>
      <c r="V875" s="9" t="str">
        <f>HYPERLINK("https://app.ntsb.gov/pdfgenerator/ReportGeneratorFile.ashx?EventID=20160818X05043&amp;AKey=1&amp;Rtype=Final&amp;IType=CA","PDF Report")</f>
        <v>PDF Report</v>
      </c>
    </row>
    <row r="876" spans="1:22" x14ac:dyDescent="0.25">
      <c r="A876" t="s">
        <v>3466</v>
      </c>
      <c r="B876">
        <v>1</v>
      </c>
      <c r="C876" s="5">
        <v>42599</v>
      </c>
      <c r="D876" t="s">
        <v>3467</v>
      </c>
      <c r="E876" t="s">
        <v>3468</v>
      </c>
      <c r="F876" t="s">
        <v>531</v>
      </c>
      <c r="G876" t="s">
        <v>54</v>
      </c>
      <c r="H876" t="s">
        <v>33</v>
      </c>
      <c r="K876" t="s">
        <v>34</v>
      </c>
      <c r="L876" t="s">
        <v>35</v>
      </c>
      <c r="M876" t="s">
        <v>36</v>
      </c>
      <c r="Q876" t="s">
        <v>37</v>
      </c>
      <c r="R876" t="s">
        <v>38</v>
      </c>
      <c r="S876" t="s">
        <v>84</v>
      </c>
      <c r="T876" t="s">
        <v>73</v>
      </c>
      <c r="U876" t="s">
        <v>41</v>
      </c>
      <c r="V876" s="9" t="str">
        <f>HYPERLINK("https://app.ntsb.gov/pdfgenerator/ReportGeneratorFile.ashx?EventID=20160818X34337&amp;AKey=1&amp;Rtype=Final&amp;IType=CA","PDF Report")</f>
        <v>PDF Report</v>
      </c>
    </row>
    <row r="877" spans="1:22" x14ac:dyDescent="0.25">
      <c r="A877" t="s">
        <v>3469</v>
      </c>
      <c r="B877">
        <v>1</v>
      </c>
      <c r="C877" s="5">
        <v>42599</v>
      </c>
      <c r="D877" t="s">
        <v>3470</v>
      </c>
      <c r="E877" t="s">
        <v>3471</v>
      </c>
      <c r="F877" t="s">
        <v>3472</v>
      </c>
      <c r="G877" t="s">
        <v>538</v>
      </c>
      <c r="H877" t="s">
        <v>33</v>
      </c>
      <c r="K877" t="s">
        <v>34</v>
      </c>
      <c r="L877" t="s">
        <v>35</v>
      </c>
      <c r="M877" t="s">
        <v>36</v>
      </c>
      <c r="Q877" t="s">
        <v>37</v>
      </c>
      <c r="R877" t="s">
        <v>130</v>
      </c>
      <c r="S877" t="s">
        <v>131</v>
      </c>
      <c r="T877" t="s">
        <v>49</v>
      </c>
      <c r="U877" t="s">
        <v>41</v>
      </c>
      <c r="V877" s="9" t="str">
        <f>HYPERLINK("https://app.ntsb.gov/pdfgenerator/ReportGeneratorFile.ashx?EventID=20160822X24755&amp;AKey=1&amp;Rtype=Final&amp;IType=CA","PDF Report")</f>
        <v>PDF Report</v>
      </c>
    </row>
    <row r="878" spans="1:22" x14ac:dyDescent="0.25">
      <c r="A878" t="s">
        <v>3473</v>
      </c>
      <c r="B878">
        <v>1</v>
      </c>
      <c r="C878" s="5">
        <v>42599</v>
      </c>
      <c r="D878" t="s">
        <v>3474</v>
      </c>
      <c r="E878" t="s">
        <v>3475</v>
      </c>
      <c r="F878" t="s">
        <v>3476</v>
      </c>
      <c r="G878" t="s">
        <v>312</v>
      </c>
      <c r="H878" t="s">
        <v>33</v>
      </c>
      <c r="K878" t="s">
        <v>34</v>
      </c>
      <c r="L878" t="s">
        <v>35</v>
      </c>
      <c r="M878" t="s">
        <v>36</v>
      </c>
      <c r="Q878" t="s">
        <v>37</v>
      </c>
      <c r="R878" t="s">
        <v>38</v>
      </c>
      <c r="S878" t="s">
        <v>131</v>
      </c>
      <c r="T878" t="s">
        <v>73</v>
      </c>
      <c r="U878" t="s">
        <v>41</v>
      </c>
      <c r="V878" s="9" t="str">
        <f>HYPERLINK("https://app.ntsb.gov/pdfgenerator/ReportGeneratorFile.ashx?EventID=20160822X82107&amp;AKey=1&amp;Rtype=Final&amp;IType=CA","PDF Report")</f>
        <v>PDF Report</v>
      </c>
    </row>
    <row r="879" spans="1:22" x14ac:dyDescent="0.25">
      <c r="A879" t="s">
        <v>3477</v>
      </c>
      <c r="B879">
        <v>1</v>
      </c>
      <c r="C879" s="5">
        <v>42599</v>
      </c>
      <c r="D879" t="s">
        <v>3478</v>
      </c>
      <c r="E879" t="s">
        <v>3479</v>
      </c>
      <c r="F879" t="s">
        <v>3291</v>
      </c>
      <c r="G879" t="s">
        <v>96</v>
      </c>
      <c r="H879" t="s">
        <v>33</v>
      </c>
      <c r="J879">
        <v>1</v>
      </c>
      <c r="K879" t="s">
        <v>55</v>
      </c>
      <c r="L879" t="s">
        <v>34</v>
      </c>
      <c r="M879" t="s">
        <v>103</v>
      </c>
      <c r="N879" t="s">
        <v>57</v>
      </c>
      <c r="O879" t="s">
        <v>58</v>
      </c>
      <c r="P879" t="s">
        <v>59</v>
      </c>
      <c r="Q879" t="s">
        <v>37</v>
      </c>
      <c r="S879" t="s">
        <v>104</v>
      </c>
      <c r="T879" t="s">
        <v>61</v>
      </c>
      <c r="U879" t="s">
        <v>41</v>
      </c>
      <c r="V879" s="9" t="str">
        <f>HYPERLINK("https://app.ntsb.gov/pdfgenerator/ReportGeneratorFile.ashx?EventID=20160822X94859&amp;AKey=1&amp;Rtype=Final&amp;IType=LA","PDF Report")</f>
        <v>PDF Report</v>
      </c>
    </row>
    <row r="880" spans="1:22" x14ac:dyDescent="0.25">
      <c r="A880" t="s">
        <v>3480</v>
      </c>
      <c r="B880">
        <v>1</v>
      </c>
      <c r="C880" s="5">
        <v>42599</v>
      </c>
      <c r="D880" t="s">
        <v>3481</v>
      </c>
      <c r="E880" t="s">
        <v>3482</v>
      </c>
      <c r="F880" t="s">
        <v>535</v>
      </c>
      <c r="G880" t="s">
        <v>54</v>
      </c>
      <c r="H880" t="s">
        <v>33</v>
      </c>
      <c r="K880" t="s">
        <v>34</v>
      </c>
      <c r="L880" t="s">
        <v>35</v>
      </c>
      <c r="M880" t="s">
        <v>36</v>
      </c>
      <c r="Q880" t="s">
        <v>37</v>
      </c>
      <c r="R880" t="s">
        <v>274</v>
      </c>
      <c r="S880" t="s">
        <v>84</v>
      </c>
      <c r="T880" t="s">
        <v>73</v>
      </c>
      <c r="U880" t="s">
        <v>41</v>
      </c>
      <c r="V880" s="9" t="str">
        <f>HYPERLINK("https://app.ntsb.gov/pdfgenerator/ReportGeneratorFile.ashx?EventID=20160829X54344&amp;AKey=1&amp;Rtype=Final&amp;IType=CA","PDF Report")</f>
        <v>PDF Report</v>
      </c>
    </row>
    <row r="881" spans="1:22" x14ac:dyDescent="0.25">
      <c r="A881" t="s">
        <v>3483</v>
      </c>
      <c r="B881">
        <v>1</v>
      </c>
      <c r="C881" s="5">
        <v>42600</v>
      </c>
      <c r="D881" t="s">
        <v>3484</v>
      </c>
      <c r="E881" t="s">
        <v>3485</v>
      </c>
      <c r="F881" t="s">
        <v>278</v>
      </c>
      <c r="G881" t="s">
        <v>120</v>
      </c>
      <c r="H881" t="s">
        <v>33</v>
      </c>
      <c r="K881" t="s">
        <v>47</v>
      </c>
      <c r="L881" t="s">
        <v>110</v>
      </c>
      <c r="M881" t="s">
        <v>473</v>
      </c>
      <c r="Q881" t="s">
        <v>37</v>
      </c>
      <c r="R881" t="s">
        <v>186</v>
      </c>
      <c r="S881" t="s">
        <v>39</v>
      </c>
      <c r="T881" t="s">
        <v>79</v>
      </c>
      <c r="U881" t="s">
        <v>41</v>
      </c>
      <c r="V881" s="9" t="str">
        <f>HYPERLINK("https://app.ntsb.gov/pdfgenerator/ReportGeneratorFile.ashx?EventID=20160818X75326&amp;AKey=1&amp;Rtype=Final&amp;IType=FA","PDF Report")</f>
        <v>PDF Report</v>
      </c>
    </row>
    <row r="882" spans="1:22" x14ac:dyDescent="0.25">
      <c r="A882" t="s">
        <v>3486</v>
      </c>
      <c r="B882">
        <v>1</v>
      </c>
      <c r="C882" s="5">
        <v>42600</v>
      </c>
      <c r="D882" t="s">
        <v>3487</v>
      </c>
      <c r="E882" t="s">
        <v>3488</v>
      </c>
      <c r="F882" t="s">
        <v>3489</v>
      </c>
      <c r="G882" t="s">
        <v>401</v>
      </c>
      <c r="H882" t="s">
        <v>33</v>
      </c>
      <c r="J882">
        <v>1</v>
      </c>
      <c r="K882" t="s">
        <v>55</v>
      </c>
      <c r="L882" t="s">
        <v>35</v>
      </c>
      <c r="M882" t="s">
        <v>36</v>
      </c>
      <c r="Q882" t="s">
        <v>37</v>
      </c>
      <c r="R882" t="s">
        <v>38</v>
      </c>
      <c r="S882" t="s">
        <v>48</v>
      </c>
      <c r="T882" t="s">
        <v>49</v>
      </c>
      <c r="U882" t="s">
        <v>41</v>
      </c>
      <c r="V882" s="9" t="str">
        <f>HYPERLINK("https://app.ntsb.gov/pdfgenerator/ReportGeneratorFile.ashx?EventID=20160822X13945&amp;AKey=1&amp;Rtype=Final&amp;IType=LA","PDF Report")</f>
        <v>PDF Report</v>
      </c>
    </row>
    <row r="883" spans="1:22" x14ac:dyDescent="0.25">
      <c r="A883" t="s">
        <v>3490</v>
      </c>
      <c r="B883">
        <v>1</v>
      </c>
      <c r="C883" s="5">
        <v>42600</v>
      </c>
      <c r="D883" t="s">
        <v>3491</v>
      </c>
      <c r="E883" t="s">
        <v>3492</v>
      </c>
      <c r="F883" t="s">
        <v>3493</v>
      </c>
      <c r="G883" t="s">
        <v>169</v>
      </c>
      <c r="H883" t="s">
        <v>33</v>
      </c>
      <c r="K883" t="s">
        <v>34</v>
      </c>
      <c r="L883" t="s">
        <v>35</v>
      </c>
      <c r="M883" t="s">
        <v>36</v>
      </c>
      <c r="Q883" t="s">
        <v>185</v>
      </c>
      <c r="R883" t="s">
        <v>274</v>
      </c>
      <c r="S883" t="s">
        <v>84</v>
      </c>
      <c r="T883" t="s">
        <v>73</v>
      </c>
      <c r="U883" t="s">
        <v>41</v>
      </c>
      <c r="V883" s="9" t="str">
        <f>HYPERLINK("https://app.ntsb.gov/pdfgenerator/ReportGeneratorFile.ashx?EventID=20160822X43925&amp;AKey=1&amp;Rtype=Final&amp;IType=CA","PDF Report")</f>
        <v>PDF Report</v>
      </c>
    </row>
    <row r="884" spans="1:22" x14ac:dyDescent="0.25">
      <c r="A884" t="s">
        <v>3494</v>
      </c>
      <c r="B884">
        <v>1</v>
      </c>
      <c r="C884" s="5">
        <v>42601</v>
      </c>
      <c r="D884" t="s">
        <v>3495</v>
      </c>
      <c r="E884" t="s">
        <v>3496</v>
      </c>
      <c r="F884" t="s">
        <v>3497</v>
      </c>
      <c r="G884" t="s">
        <v>538</v>
      </c>
      <c r="H884" t="s">
        <v>33</v>
      </c>
      <c r="I884">
        <v>1</v>
      </c>
      <c r="K884" t="s">
        <v>90</v>
      </c>
      <c r="L884" t="s">
        <v>110</v>
      </c>
      <c r="M884" t="s">
        <v>767</v>
      </c>
      <c r="Q884" t="s">
        <v>37</v>
      </c>
      <c r="R884" t="s">
        <v>768</v>
      </c>
      <c r="S884" t="s">
        <v>201</v>
      </c>
      <c r="T884" t="s">
        <v>40</v>
      </c>
      <c r="U884" t="s">
        <v>41</v>
      </c>
      <c r="V884" s="9" t="str">
        <f>HYPERLINK("https://app.ntsb.gov/pdfgenerator/ReportGeneratorFile.ashx?EventID=20160819X11732&amp;AKey=1&amp;Rtype=Final&amp;IType=LA","PDF Report")</f>
        <v>PDF Report</v>
      </c>
    </row>
    <row r="885" spans="1:22" x14ac:dyDescent="0.25">
      <c r="A885" t="s">
        <v>3498</v>
      </c>
      <c r="B885">
        <v>1</v>
      </c>
      <c r="C885" s="5">
        <v>42601</v>
      </c>
      <c r="D885" t="s">
        <v>3499</v>
      </c>
      <c r="E885" t="s">
        <v>3500</v>
      </c>
      <c r="F885" t="s">
        <v>3501</v>
      </c>
      <c r="G885" t="s">
        <v>206</v>
      </c>
      <c r="H885" t="s">
        <v>33</v>
      </c>
      <c r="I885">
        <v>1</v>
      </c>
      <c r="K885" t="s">
        <v>90</v>
      </c>
      <c r="L885" t="s">
        <v>110</v>
      </c>
      <c r="M885" t="s">
        <v>767</v>
      </c>
      <c r="Q885" t="s">
        <v>37</v>
      </c>
      <c r="R885" t="s">
        <v>768</v>
      </c>
      <c r="S885" t="s">
        <v>48</v>
      </c>
      <c r="T885" t="s">
        <v>40</v>
      </c>
      <c r="U885" t="s">
        <v>41</v>
      </c>
      <c r="V885" s="9" t="str">
        <f>HYPERLINK("https://app.ntsb.gov/pdfgenerator/ReportGeneratorFile.ashx?EventID=20160819X53243&amp;AKey=1&amp;Rtype=Final&amp;IType=FA","PDF Report")</f>
        <v>PDF Report</v>
      </c>
    </row>
    <row r="886" spans="1:22" x14ac:dyDescent="0.25">
      <c r="A886" t="s">
        <v>3502</v>
      </c>
      <c r="B886">
        <v>1</v>
      </c>
      <c r="C886" s="5">
        <v>42601</v>
      </c>
      <c r="D886" t="s">
        <v>3503</v>
      </c>
      <c r="E886" t="s">
        <v>3504</v>
      </c>
      <c r="F886" t="s">
        <v>2458</v>
      </c>
      <c r="G886" t="s">
        <v>115</v>
      </c>
      <c r="H886" t="s">
        <v>33</v>
      </c>
      <c r="K886" t="s">
        <v>34</v>
      </c>
      <c r="L886" t="s">
        <v>35</v>
      </c>
      <c r="M886" t="s">
        <v>36</v>
      </c>
      <c r="Q886" t="s">
        <v>37</v>
      </c>
      <c r="R886" t="s">
        <v>130</v>
      </c>
      <c r="S886" t="s">
        <v>39</v>
      </c>
      <c r="T886" t="s">
        <v>40</v>
      </c>
      <c r="U886" t="s">
        <v>41</v>
      </c>
      <c r="V886" s="9" t="str">
        <f>HYPERLINK("https://app.ntsb.gov/pdfgenerator/ReportGeneratorFile.ashx?EventID=20160819X95608&amp;AKey=1&amp;Rtype=Final&amp;IType=LA","PDF Report")</f>
        <v>PDF Report</v>
      </c>
    </row>
    <row r="887" spans="1:22" x14ac:dyDescent="0.25">
      <c r="A887" t="s">
        <v>3505</v>
      </c>
      <c r="B887">
        <v>1</v>
      </c>
      <c r="C887" s="5">
        <v>42601</v>
      </c>
      <c r="D887" t="s">
        <v>3506</v>
      </c>
      <c r="E887" t="s">
        <v>3507</v>
      </c>
      <c r="F887" t="s">
        <v>1082</v>
      </c>
      <c r="G887" t="s">
        <v>54</v>
      </c>
      <c r="H887" t="s">
        <v>33</v>
      </c>
      <c r="K887" t="s">
        <v>34</v>
      </c>
      <c r="L887" t="s">
        <v>35</v>
      </c>
      <c r="M887" t="s">
        <v>36</v>
      </c>
      <c r="Q887" t="s">
        <v>37</v>
      </c>
      <c r="R887" t="s">
        <v>38</v>
      </c>
      <c r="S887" t="s">
        <v>84</v>
      </c>
      <c r="T887" t="s">
        <v>73</v>
      </c>
      <c r="U887" t="s">
        <v>41</v>
      </c>
      <c r="V887" s="9" t="str">
        <f>HYPERLINK("https://app.ntsb.gov/pdfgenerator/ReportGeneratorFile.ashx?EventID=20160822X54432&amp;AKey=1&amp;Rtype=Final&amp;IType=CA","PDF Report")</f>
        <v>PDF Report</v>
      </c>
    </row>
    <row r="888" spans="1:22" x14ac:dyDescent="0.25">
      <c r="A888" t="s">
        <v>3508</v>
      </c>
      <c r="B888">
        <v>1</v>
      </c>
      <c r="C888" s="5">
        <v>42601</v>
      </c>
      <c r="D888" t="s">
        <v>3509</v>
      </c>
      <c r="E888" t="s">
        <v>3510</v>
      </c>
      <c r="F888" t="s">
        <v>3511</v>
      </c>
      <c r="G888" t="s">
        <v>78</v>
      </c>
      <c r="H888" t="s">
        <v>33</v>
      </c>
      <c r="K888" t="s">
        <v>34</v>
      </c>
      <c r="L888" t="s">
        <v>35</v>
      </c>
      <c r="M888" t="s">
        <v>473</v>
      </c>
      <c r="Q888" t="s">
        <v>37</v>
      </c>
      <c r="R888" t="s">
        <v>1219</v>
      </c>
      <c r="S888" t="s">
        <v>84</v>
      </c>
      <c r="T888" t="s">
        <v>73</v>
      </c>
      <c r="U888" t="s">
        <v>41</v>
      </c>
      <c r="V888" s="9" t="str">
        <f>HYPERLINK("https://app.ntsb.gov/pdfgenerator/ReportGeneratorFile.ashx?EventID=20160823X22819&amp;AKey=1&amp;Rtype=Final&amp;IType=CA","PDF Report")</f>
        <v>PDF Report</v>
      </c>
    </row>
    <row r="889" spans="1:22" x14ac:dyDescent="0.25">
      <c r="A889" t="s">
        <v>3512</v>
      </c>
      <c r="B889">
        <v>1</v>
      </c>
      <c r="C889" s="5">
        <v>42601</v>
      </c>
      <c r="D889" t="s">
        <v>3513</v>
      </c>
      <c r="E889" t="s">
        <v>3514</v>
      </c>
      <c r="F889" t="s">
        <v>1338</v>
      </c>
      <c r="G889" t="s">
        <v>636</v>
      </c>
      <c r="H889" t="s">
        <v>33</v>
      </c>
      <c r="K889" t="s">
        <v>34</v>
      </c>
      <c r="L889" t="s">
        <v>35</v>
      </c>
      <c r="M889" t="s">
        <v>36</v>
      </c>
      <c r="Q889" t="s">
        <v>37</v>
      </c>
      <c r="R889" t="s">
        <v>130</v>
      </c>
      <c r="S889" t="s">
        <v>39</v>
      </c>
      <c r="T889" t="s">
        <v>61</v>
      </c>
      <c r="U889" t="s">
        <v>41</v>
      </c>
      <c r="V889" s="9" t="str">
        <f>HYPERLINK("https://app.ntsb.gov/pdfgenerator/ReportGeneratorFile.ashx?EventID=20160829X91320&amp;AKey=1&amp;Rtype=Final&amp;IType=LA","PDF Report")</f>
        <v>PDF Report</v>
      </c>
    </row>
    <row r="890" spans="1:22" x14ac:dyDescent="0.25">
      <c r="A890" t="s">
        <v>3515</v>
      </c>
      <c r="B890">
        <v>1</v>
      </c>
      <c r="C890" s="5">
        <v>42602</v>
      </c>
      <c r="D890" t="s">
        <v>3516</v>
      </c>
      <c r="E890" t="s">
        <v>3517</v>
      </c>
      <c r="F890" t="s">
        <v>3518</v>
      </c>
      <c r="G890" t="s">
        <v>322</v>
      </c>
      <c r="H890" t="s">
        <v>33</v>
      </c>
      <c r="K890" t="s">
        <v>34</v>
      </c>
      <c r="L890" t="s">
        <v>35</v>
      </c>
      <c r="M890" t="s">
        <v>36</v>
      </c>
      <c r="Q890" t="s">
        <v>37</v>
      </c>
      <c r="R890" t="s">
        <v>38</v>
      </c>
      <c r="S890" t="s">
        <v>196</v>
      </c>
      <c r="T890" t="s">
        <v>73</v>
      </c>
      <c r="U890" t="s">
        <v>41</v>
      </c>
      <c r="V890" s="9" t="str">
        <f>HYPERLINK("https://app.ntsb.gov/pdfgenerator/ReportGeneratorFile.ashx?EventID=20160822X85518&amp;AKey=1&amp;Rtype=Final&amp;IType=LA","PDF Report")</f>
        <v>PDF Report</v>
      </c>
    </row>
    <row r="891" spans="1:22" x14ac:dyDescent="0.25">
      <c r="A891" t="s">
        <v>3519</v>
      </c>
      <c r="B891">
        <v>1</v>
      </c>
      <c r="C891" s="5">
        <v>42602</v>
      </c>
      <c r="D891" t="s">
        <v>3520</v>
      </c>
      <c r="E891" t="s">
        <v>3521</v>
      </c>
      <c r="F891" t="s">
        <v>531</v>
      </c>
      <c r="G891" t="s">
        <v>54</v>
      </c>
      <c r="H891" t="s">
        <v>33</v>
      </c>
      <c r="K891" t="s">
        <v>34</v>
      </c>
      <c r="L891" t="s">
        <v>35</v>
      </c>
      <c r="M891" t="s">
        <v>36</v>
      </c>
      <c r="Q891" t="s">
        <v>37</v>
      </c>
      <c r="R891" t="s">
        <v>130</v>
      </c>
      <c r="S891" t="s">
        <v>932</v>
      </c>
      <c r="T891" t="s">
        <v>378</v>
      </c>
      <c r="U891" t="s">
        <v>41</v>
      </c>
      <c r="V891" s="9" t="str">
        <f>HYPERLINK("https://app.ntsb.gov/pdfgenerator/ReportGeneratorFile.ashx?EventID=20160822X91159&amp;AKey=1&amp;Rtype=Final&amp;IType=CA","PDF Report")</f>
        <v>PDF Report</v>
      </c>
    </row>
    <row r="892" spans="1:22" x14ac:dyDescent="0.25">
      <c r="A892" t="s">
        <v>3522</v>
      </c>
      <c r="B892">
        <v>1</v>
      </c>
      <c r="C892" s="5">
        <v>42602</v>
      </c>
      <c r="D892" t="s">
        <v>3523</v>
      </c>
      <c r="E892" t="s">
        <v>3524</v>
      </c>
      <c r="F892" t="s">
        <v>3525</v>
      </c>
      <c r="G892" t="s">
        <v>115</v>
      </c>
      <c r="H892" t="s">
        <v>33</v>
      </c>
      <c r="K892" t="s">
        <v>34</v>
      </c>
      <c r="L892" t="s">
        <v>35</v>
      </c>
      <c r="M892" t="s">
        <v>36</v>
      </c>
      <c r="Q892" t="s">
        <v>547</v>
      </c>
      <c r="R892" t="s">
        <v>38</v>
      </c>
      <c r="S892" t="s">
        <v>39</v>
      </c>
      <c r="T892" t="s">
        <v>49</v>
      </c>
      <c r="U892" t="s">
        <v>41</v>
      </c>
      <c r="V892" s="9" t="str">
        <f>HYPERLINK("https://app.ntsb.gov/pdfgenerator/ReportGeneratorFile.ashx?EventID=20160830X01430&amp;AKey=1&amp;Rtype=Final&amp;IType=LA","PDF Report")</f>
        <v>PDF Report</v>
      </c>
    </row>
    <row r="893" spans="1:22" x14ac:dyDescent="0.25">
      <c r="A893" t="s">
        <v>3526</v>
      </c>
      <c r="B893">
        <v>1</v>
      </c>
      <c r="C893" s="5">
        <v>42603</v>
      </c>
      <c r="D893" t="s">
        <v>3527</v>
      </c>
      <c r="E893" t="s">
        <v>3528</v>
      </c>
      <c r="F893" t="s">
        <v>3529</v>
      </c>
      <c r="G893" t="s">
        <v>142</v>
      </c>
      <c r="H893" t="s">
        <v>33</v>
      </c>
      <c r="K893" t="s">
        <v>34</v>
      </c>
      <c r="L893" t="s">
        <v>35</v>
      </c>
      <c r="M893" t="s">
        <v>36</v>
      </c>
      <c r="Q893" t="s">
        <v>37</v>
      </c>
      <c r="R893" t="s">
        <v>38</v>
      </c>
      <c r="S893" t="s">
        <v>131</v>
      </c>
      <c r="T893" t="s">
        <v>73</v>
      </c>
      <c r="U893" t="s">
        <v>41</v>
      </c>
      <c r="V893" s="9" t="str">
        <f>HYPERLINK("https://app.ntsb.gov/pdfgenerator/ReportGeneratorFile.ashx?EventID=20160822X31417&amp;AKey=1&amp;Rtype=Final&amp;IType=CA","PDF Report")</f>
        <v>PDF Report</v>
      </c>
    </row>
    <row r="894" spans="1:22" x14ac:dyDescent="0.25">
      <c r="A894" t="s">
        <v>3530</v>
      </c>
      <c r="B894">
        <v>1</v>
      </c>
      <c r="C894" s="5">
        <v>42603</v>
      </c>
      <c r="D894" t="s">
        <v>3531</v>
      </c>
      <c r="E894" t="s">
        <v>3532</v>
      </c>
      <c r="F894" t="s">
        <v>2644</v>
      </c>
      <c r="G894" t="s">
        <v>120</v>
      </c>
      <c r="H894" t="s">
        <v>33</v>
      </c>
      <c r="K894" t="s">
        <v>47</v>
      </c>
      <c r="L894" t="s">
        <v>35</v>
      </c>
      <c r="M894" t="s">
        <v>36</v>
      </c>
      <c r="Q894" t="s">
        <v>37</v>
      </c>
      <c r="R894" t="s">
        <v>38</v>
      </c>
      <c r="S894" t="s">
        <v>84</v>
      </c>
      <c r="T894" t="s">
        <v>73</v>
      </c>
      <c r="U894" t="s">
        <v>41</v>
      </c>
      <c r="V894" s="9" t="str">
        <f>HYPERLINK("https://app.ntsb.gov/pdfgenerator/ReportGeneratorFile.ashx?EventID=20160823X74559&amp;AKey=1&amp;Rtype=Final&amp;IType=CA","PDF Report")</f>
        <v>PDF Report</v>
      </c>
    </row>
    <row r="895" spans="1:22" x14ac:dyDescent="0.25">
      <c r="A895" t="s">
        <v>3533</v>
      </c>
      <c r="B895">
        <v>1</v>
      </c>
      <c r="C895" s="5">
        <v>42603</v>
      </c>
      <c r="D895" t="s">
        <v>3534</v>
      </c>
      <c r="E895" t="s">
        <v>3535</v>
      </c>
      <c r="F895" t="s">
        <v>1144</v>
      </c>
      <c r="G895" t="s">
        <v>450</v>
      </c>
      <c r="H895" t="s">
        <v>33</v>
      </c>
      <c r="K895" t="s">
        <v>34</v>
      </c>
      <c r="L895" t="s">
        <v>35</v>
      </c>
      <c r="M895" t="s">
        <v>36</v>
      </c>
      <c r="Q895" t="s">
        <v>37</v>
      </c>
      <c r="R895" t="s">
        <v>38</v>
      </c>
      <c r="S895" t="s">
        <v>131</v>
      </c>
      <c r="T895" t="s">
        <v>73</v>
      </c>
      <c r="U895" t="s">
        <v>41</v>
      </c>
      <c r="V895" s="9" t="str">
        <f>HYPERLINK("https://app.ntsb.gov/pdfgenerator/ReportGeneratorFile.ashx?EventID=20160824X52928&amp;AKey=1&amp;Rtype=Final&amp;IType=CA","PDF Report")</f>
        <v>PDF Report</v>
      </c>
    </row>
    <row r="896" spans="1:22" x14ac:dyDescent="0.25">
      <c r="A896" t="s">
        <v>3536</v>
      </c>
      <c r="B896">
        <v>1</v>
      </c>
      <c r="C896" s="5">
        <v>42603</v>
      </c>
      <c r="D896" t="s">
        <v>3537</v>
      </c>
      <c r="E896" t="s">
        <v>3538</v>
      </c>
      <c r="F896" t="s">
        <v>411</v>
      </c>
      <c r="G896" t="s">
        <v>115</v>
      </c>
      <c r="H896" t="s">
        <v>33</v>
      </c>
      <c r="K896" t="s">
        <v>34</v>
      </c>
      <c r="L896" t="s">
        <v>35</v>
      </c>
      <c r="M896" t="s">
        <v>36</v>
      </c>
      <c r="Q896" t="s">
        <v>37</v>
      </c>
      <c r="R896" t="s">
        <v>38</v>
      </c>
      <c r="S896" t="s">
        <v>131</v>
      </c>
      <c r="T896" t="s">
        <v>73</v>
      </c>
      <c r="U896" t="s">
        <v>41</v>
      </c>
      <c r="V896" s="9" t="str">
        <f>HYPERLINK("https://app.ntsb.gov/pdfgenerator/ReportGeneratorFile.ashx?EventID=20160825X21438&amp;AKey=1&amp;Rtype=Final&amp;IType=CA","PDF Report")</f>
        <v>PDF Report</v>
      </c>
    </row>
    <row r="897" spans="1:22" x14ac:dyDescent="0.25">
      <c r="A897" t="s">
        <v>3539</v>
      </c>
      <c r="B897">
        <v>1</v>
      </c>
      <c r="C897" s="5">
        <v>42604</v>
      </c>
      <c r="D897" t="s">
        <v>3540</v>
      </c>
      <c r="E897" t="s">
        <v>3541</v>
      </c>
      <c r="F897" t="s">
        <v>678</v>
      </c>
      <c r="G897" t="s">
        <v>136</v>
      </c>
      <c r="H897" t="s">
        <v>33</v>
      </c>
      <c r="K897" t="s">
        <v>34</v>
      </c>
      <c r="L897" t="s">
        <v>35</v>
      </c>
      <c r="M897" t="s">
        <v>36</v>
      </c>
      <c r="Q897" t="s">
        <v>37</v>
      </c>
      <c r="R897" t="s">
        <v>38</v>
      </c>
      <c r="S897" t="s">
        <v>39</v>
      </c>
      <c r="T897" t="s">
        <v>49</v>
      </c>
      <c r="U897" t="s">
        <v>41</v>
      </c>
      <c r="V897" s="9" t="str">
        <f>HYPERLINK("https://app.ntsb.gov/pdfgenerator/ReportGeneratorFile.ashx?EventID=20160922X94831&amp;AKey=1&amp;Rtype=Final&amp;IType=CA","PDF Report")</f>
        <v>PDF Report</v>
      </c>
    </row>
    <row r="898" spans="1:22" x14ac:dyDescent="0.25">
      <c r="A898" t="s">
        <v>3542</v>
      </c>
      <c r="B898">
        <v>1</v>
      </c>
      <c r="C898" s="5">
        <v>42605</v>
      </c>
      <c r="D898" t="s">
        <v>3543</v>
      </c>
      <c r="E898" t="s">
        <v>3544</v>
      </c>
      <c r="F898" t="s">
        <v>3545</v>
      </c>
      <c r="G898" t="s">
        <v>109</v>
      </c>
      <c r="H898" t="s">
        <v>33</v>
      </c>
      <c r="K898" t="s">
        <v>47</v>
      </c>
      <c r="L898" t="s">
        <v>35</v>
      </c>
      <c r="M898" t="s">
        <v>767</v>
      </c>
      <c r="Q898" t="s">
        <v>185</v>
      </c>
      <c r="R898" t="s">
        <v>274</v>
      </c>
      <c r="S898" t="s">
        <v>196</v>
      </c>
      <c r="T898" t="s">
        <v>40</v>
      </c>
      <c r="U898" t="s">
        <v>41</v>
      </c>
      <c r="V898" s="9" t="str">
        <f>HYPERLINK("https://app.ntsb.gov/pdfgenerator/ReportGeneratorFile.ashx?EventID=20160823X52304&amp;AKey=1&amp;Rtype=Final&amp;IType=LA","PDF Report")</f>
        <v>PDF Report</v>
      </c>
    </row>
    <row r="899" spans="1:22" x14ac:dyDescent="0.25">
      <c r="A899" t="s">
        <v>3546</v>
      </c>
      <c r="B899">
        <v>1</v>
      </c>
      <c r="C899" s="5">
        <v>42605</v>
      </c>
      <c r="D899" t="s">
        <v>3547</v>
      </c>
      <c r="E899" t="s">
        <v>3548</v>
      </c>
      <c r="F899" t="s">
        <v>3549</v>
      </c>
      <c r="G899" t="s">
        <v>54</v>
      </c>
      <c r="H899" t="s">
        <v>33</v>
      </c>
      <c r="K899" t="s">
        <v>34</v>
      </c>
      <c r="L899" t="s">
        <v>35</v>
      </c>
      <c r="M899" t="s">
        <v>56</v>
      </c>
      <c r="N899" t="s">
        <v>57</v>
      </c>
      <c r="O899" t="s">
        <v>58</v>
      </c>
      <c r="P899" t="s">
        <v>59</v>
      </c>
      <c r="Q899" t="s">
        <v>37</v>
      </c>
      <c r="S899" t="s">
        <v>84</v>
      </c>
      <c r="T899" t="s">
        <v>73</v>
      </c>
      <c r="U899" t="s">
        <v>41</v>
      </c>
      <c r="V899" s="9" t="str">
        <f>HYPERLINK("https://app.ntsb.gov/pdfgenerator/ReportGeneratorFile.ashx?EventID=20160823X90755&amp;AKey=1&amp;Rtype=Final&amp;IType=CA","PDF Report")</f>
        <v>PDF Report</v>
      </c>
    </row>
    <row r="900" spans="1:22" x14ac:dyDescent="0.25">
      <c r="A900" t="s">
        <v>3550</v>
      </c>
      <c r="B900">
        <v>1</v>
      </c>
      <c r="C900" s="5">
        <v>42605</v>
      </c>
      <c r="D900" t="s">
        <v>3551</v>
      </c>
      <c r="E900" t="s">
        <v>3552</v>
      </c>
      <c r="F900" t="s">
        <v>467</v>
      </c>
      <c r="G900" t="s">
        <v>468</v>
      </c>
      <c r="H900" t="s">
        <v>33</v>
      </c>
      <c r="K900" t="s">
        <v>34</v>
      </c>
      <c r="L900" t="s">
        <v>35</v>
      </c>
      <c r="M900" t="s">
        <v>36</v>
      </c>
      <c r="Q900" t="s">
        <v>37</v>
      </c>
      <c r="R900" t="s">
        <v>130</v>
      </c>
      <c r="S900" t="s">
        <v>163</v>
      </c>
      <c r="T900" t="s">
        <v>378</v>
      </c>
      <c r="U900" t="s">
        <v>41</v>
      </c>
      <c r="V900" s="9" t="str">
        <f>HYPERLINK("https://app.ntsb.gov/pdfgenerator/ReportGeneratorFile.ashx?EventID=20160825X83222&amp;AKey=1&amp;Rtype=Final&amp;IType=CA","PDF Report")</f>
        <v>PDF Report</v>
      </c>
    </row>
    <row r="901" spans="1:22" x14ac:dyDescent="0.25">
      <c r="A901" t="s">
        <v>3553</v>
      </c>
      <c r="B901">
        <v>1</v>
      </c>
      <c r="C901" s="5">
        <v>42605</v>
      </c>
      <c r="D901" t="s">
        <v>3554</v>
      </c>
      <c r="E901" t="s">
        <v>3555</v>
      </c>
      <c r="F901" t="s">
        <v>3556</v>
      </c>
      <c r="G901" t="s">
        <v>115</v>
      </c>
      <c r="H901" t="s">
        <v>33</v>
      </c>
      <c r="J901">
        <v>2</v>
      </c>
      <c r="K901" t="s">
        <v>55</v>
      </c>
      <c r="L901" t="s">
        <v>35</v>
      </c>
      <c r="M901" t="s">
        <v>36</v>
      </c>
      <c r="Q901" t="s">
        <v>37</v>
      </c>
      <c r="R901" t="s">
        <v>130</v>
      </c>
      <c r="S901" t="s">
        <v>196</v>
      </c>
      <c r="T901" t="s">
        <v>49</v>
      </c>
      <c r="U901" t="s">
        <v>41</v>
      </c>
      <c r="V901" s="9" t="str">
        <f>HYPERLINK("https://app.ntsb.gov/pdfgenerator/ReportGeneratorFile.ashx?EventID=20160826X04021&amp;AKey=1&amp;Rtype=Final&amp;IType=LA","PDF Report")</f>
        <v>PDF Report</v>
      </c>
    </row>
    <row r="902" spans="1:22" x14ac:dyDescent="0.25">
      <c r="A902" t="s">
        <v>3557</v>
      </c>
      <c r="B902">
        <v>1</v>
      </c>
      <c r="C902" s="5">
        <v>42605</v>
      </c>
      <c r="D902" t="s">
        <v>3558</v>
      </c>
      <c r="E902" t="s">
        <v>3559</v>
      </c>
      <c r="F902" t="s">
        <v>3560</v>
      </c>
      <c r="G902" t="s">
        <v>32</v>
      </c>
      <c r="H902" t="s">
        <v>33</v>
      </c>
      <c r="K902" t="s">
        <v>34</v>
      </c>
      <c r="L902" t="s">
        <v>35</v>
      </c>
      <c r="M902" t="s">
        <v>36</v>
      </c>
      <c r="Q902" t="s">
        <v>37</v>
      </c>
      <c r="R902" t="s">
        <v>38</v>
      </c>
      <c r="S902" t="s">
        <v>84</v>
      </c>
      <c r="T902" t="s">
        <v>73</v>
      </c>
      <c r="U902" t="s">
        <v>41</v>
      </c>
      <c r="V902" s="9" t="str">
        <f>HYPERLINK("https://app.ntsb.gov/pdfgenerator/ReportGeneratorFile.ashx?EventID=20160829X32835&amp;AKey=1&amp;Rtype=Final&amp;IType=CA","PDF Report")</f>
        <v>PDF Report</v>
      </c>
    </row>
    <row r="903" spans="1:22" x14ac:dyDescent="0.25">
      <c r="A903" t="s">
        <v>3561</v>
      </c>
      <c r="B903">
        <v>1</v>
      </c>
      <c r="C903" s="5">
        <v>42606</v>
      </c>
      <c r="D903" t="s">
        <v>3562</v>
      </c>
      <c r="E903" t="s">
        <v>3563</v>
      </c>
      <c r="F903" t="s">
        <v>3564</v>
      </c>
      <c r="G903" t="s">
        <v>54</v>
      </c>
      <c r="H903" t="s">
        <v>33</v>
      </c>
      <c r="K903" t="s">
        <v>34</v>
      </c>
      <c r="L903" t="s">
        <v>35</v>
      </c>
      <c r="M903" t="s">
        <v>36</v>
      </c>
      <c r="Q903" t="s">
        <v>37</v>
      </c>
      <c r="R903" t="s">
        <v>38</v>
      </c>
      <c r="S903" t="s">
        <v>97</v>
      </c>
      <c r="T903" t="s">
        <v>61</v>
      </c>
      <c r="U903" t="s">
        <v>41</v>
      </c>
      <c r="V903" s="9" t="str">
        <f>HYPERLINK("https://app.ntsb.gov/pdfgenerator/ReportGeneratorFile.ashx?EventID=20160815X25932&amp;AKey=1&amp;Rtype=Final&amp;IType=CA","PDF Report")</f>
        <v>PDF Report</v>
      </c>
    </row>
    <row r="904" spans="1:22" x14ac:dyDescent="0.25">
      <c r="A904" t="s">
        <v>3565</v>
      </c>
      <c r="B904">
        <v>1</v>
      </c>
      <c r="C904" s="5">
        <v>42606</v>
      </c>
      <c r="D904" t="s">
        <v>3566</v>
      </c>
      <c r="E904" t="s">
        <v>3567</v>
      </c>
      <c r="F904" t="s">
        <v>3556</v>
      </c>
      <c r="G904" t="s">
        <v>115</v>
      </c>
      <c r="H904" t="s">
        <v>33</v>
      </c>
      <c r="I904">
        <v>1</v>
      </c>
      <c r="K904" t="s">
        <v>90</v>
      </c>
      <c r="L904" t="s">
        <v>110</v>
      </c>
      <c r="M904" t="s">
        <v>36</v>
      </c>
      <c r="Q904" t="s">
        <v>37</v>
      </c>
      <c r="R904" t="s">
        <v>38</v>
      </c>
      <c r="S904" t="s">
        <v>60</v>
      </c>
      <c r="T904" t="s">
        <v>61</v>
      </c>
      <c r="U904" t="s">
        <v>41</v>
      </c>
      <c r="V904" s="9" t="str">
        <f>HYPERLINK("https://app.ntsb.gov/pdfgenerator/ReportGeneratorFile.ashx?EventID=20160824X60026&amp;AKey=1&amp;Rtype=Final&amp;IType=FA","PDF Report")</f>
        <v>PDF Report</v>
      </c>
    </row>
    <row r="905" spans="1:22" x14ac:dyDescent="0.25">
      <c r="A905" t="s">
        <v>3568</v>
      </c>
      <c r="B905">
        <v>1</v>
      </c>
      <c r="C905" s="5">
        <v>42606</v>
      </c>
      <c r="D905" t="s">
        <v>3569</v>
      </c>
      <c r="E905" t="s">
        <v>3570</v>
      </c>
      <c r="F905" t="s">
        <v>3571</v>
      </c>
      <c r="G905" t="s">
        <v>206</v>
      </c>
      <c r="H905" t="s">
        <v>33</v>
      </c>
      <c r="I905">
        <v>2</v>
      </c>
      <c r="K905" t="s">
        <v>90</v>
      </c>
      <c r="L905" t="s">
        <v>35</v>
      </c>
      <c r="M905" t="s">
        <v>36</v>
      </c>
      <c r="Q905" t="s">
        <v>874</v>
      </c>
      <c r="R905" t="s">
        <v>274</v>
      </c>
      <c r="S905" t="s">
        <v>191</v>
      </c>
      <c r="T905" t="s">
        <v>61</v>
      </c>
      <c r="U905" t="s">
        <v>41</v>
      </c>
      <c r="V905" s="9" t="str">
        <f>HYPERLINK("https://app.ntsb.gov/pdfgenerator/ReportGeneratorFile.ashx?EventID=20160824X81825&amp;AKey=1&amp;Rtype=Final&amp;IType=FA","PDF Report")</f>
        <v>PDF Report</v>
      </c>
    </row>
    <row r="906" spans="1:22" x14ac:dyDescent="0.25">
      <c r="A906" t="s">
        <v>3572</v>
      </c>
      <c r="B906">
        <v>1</v>
      </c>
      <c r="C906" s="5">
        <v>42606</v>
      </c>
      <c r="D906" t="s">
        <v>3573</v>
      </c>
      <c r="E906" t="s">
        <v>3574</v>
      </c>
      <c r="F906" t="s">
        <v>3575</v>
      </c>
      <c r="G906" t="s">
        <v>66</v>
      </c>
      <c r="H906" t="s">
        <v>33</v>
      </c>
      <c r="K906" t="s">
        <v>47</v>
      </c>
      <c r="L906" t="s">
        <v>35</v>
      </c>
      <c r="M906" t="s">
        <v>36</v>
      </c>
      <c r="Q906" t="s">
        <v>37</v>
      </c>
      <c r="R906" t="s">
        <v>130</v>
      </c>
      <c r="S906" t="s">
        <v>48</v>
      </c>
      <c r="T906" t="s">
        <v>49</v>
      </c>
      <c r="U906" t="s">
        <v>41</v>
      </c>
      <c r="V906" s="9" t="str">
        <f>HYPERLINK("https://app.ntsb.gov/pdfgenerator/ReportGeneratorFile.ashx?EventID=20160825X02043&amp;AKey=1&amp;Rtype=Final&amp;IType=LA","PDF Report")</f>
        <v>PDF Report</v>
      </c>
    </row>
    <row r="907" spans="1:22" x14ac:dyDescent="0.25">
      <c r="A907" t="s">
        <v>3576</v>
      </c>
      <c r="B907">
        <v>1</v>
      </c>
      <c r="C907" s="5">
        <v>42606</v>
      </c>
      <c r="D907" t="s">
        <v>3577</v>
      </c>
      <c r="E907" t="s">
        <v>3578</v>
      </c>
      <c r="F907" t="s">
        <v>1021</v>
      </c>
      <c r="G907" t="s">
        <v>66</v>
      </c>
      <c r="H907" t="s">
        <v>33</v>
      </c>
      <c r="K907" t="s">
        <v>47</v>
      </c>
      <c r="L907" t="s">
        <v>35</v>
      </c>
      <c r="M907" t="s">
        <v>36</v>
      </c>
      <c r="Q907" t="s">
        <v>37</v>
      </c>
      <c r="R907" t="s">
        <v>130</v>
      </c>
      <c r="S907" t="s">
        <v>455</v>
      </c>
      <c r="T907" t="s">
        <v>73</v>
      </c>
      <c r="U907" t="s">
        <v>41</v>
      </c>
      <c r="V907" s="9" t="str">
        <f>HYPERLINK("https://app.ntsb.gov/pdfgenerator/ReportGeneratorFile.ashx?EventID=20160826X43408&amp;AKey=1&amp;Rtype=Final&amp;IType=CA","PDF Report")</f>
        <v>PDF Report</v>
      </c>
    </row>
    <row r="908" spans="1:22" x14ac:dyDescent="0.25">
      <c r="A908" t="s">
        <v>3579</v>
      </c>
      <c r="B908">
        <v>1</v>
      </c>
      <c r="C908" s="5">
        <v>42606</v>
      </c>
      <c r="D908" t="s">
        <v>3580</v>
      </c>
      <c r="E908" t="s">
        <v>3581</v>
      </c>
      <c r="F908" t="s">
        <v>3582</v>
      </c>
      <c r="G908" t="s">
        <v>287</v>
      </c>
      <c r="H908" t="s">
        <v>33</v>
      </c>
      <c r="K908" t="s">
        <v>34</v>
      </c>
      <c r="L908" t="s">
        <v>35</v>
      </c>
      <c r="M908" t="s">
        <v>56</v>
      </c>
      <c r="N908" t="s">
        <v>57</v>
      </c>
      <c r="O908" t="s">
        <v>58</v>
      </c>
      <c r="P908" t="s">
        <v>162</v>
      </c>
      <c r="Q908" t="s">
        <v>185</v>
      </c>
      <c r="S908" t="s">
        <v>191</v>
      </c>
      <c r="T908" t="s">
        <v>40</v>
      </c>
      <c r="U908" t="s">
        <v>41</v>
      </c>
      <c r="V908" s="9" t="str">
        <f>HYPERLINK("https://app.ntsb.gov/pdfgenerator/ReportGeneratorFile.ashx?EventID=20160826X74427&amp;AKey=1&amp;Rtype=Final&amp;IType=CA","PDF Report")</f>
        <v>PDF Report</v>
      </c>
    </row>
    <row r="909" spans="1:22" x14ac:dyDescent="0.25">
      <c r="A909" t="s">
        <v>3583</v>
      </c>
      <c r="B909">
        <v>1</v>
      </c>
      <c r="C909" s="5">
        <v>42606</v>
      </c>
      <c r="D909" t="s">
        <v>3584</v>
      </c>
      <c r="E909" t="s">
        <v>3585</v>
      </c>
      <c r="F909" t="s">
        <v>3586</v>
      </c>
      <c r="G909" t="s">
        <v>468</v>
      </c>
      <c r="H909" t="s">
        <v>33</v>
      </c>
      <c r="K909" t="s">
        <v>34</v>
      </c>
      <c r="L909" t="s">
        <v>35</v>
      </c>
      <c r="M909" t="s">
        <v>36</v>
      </c>
      <c r="Q909" t="s">
        <v>37</v>
      </c>
      <c r="R909" t="s">
        <v>130</v>
      </c>
      <c r="S909" t="s">
        <v>191</v>
      </c>
      <c r="T909" t="s">
        <v>73</v>
      </c>
      <c r="U909" t="s">
        <v>41</v>
      </c>
      <c r="V909" s="9" t="str">
        <f>HYPERLINK("https://app.ntsb.gov/pdfgenerator/ReportGeneratorFile.ashx?EventID=20160829X35127&amp;AKey=1&amp;Rtype=Final&amp;IType=CA","PDF Report")</f>
        <v>PDF Report</v>
      </c>
    </row>
    <row r="910" spans="1:22" x14ac:dyDescent="0.25">
      <c r="A910" t="s">
        <v>3587</v>
      </c>
      <c r="B910">
        <v>1</v>
      </c>
      <c r="C910" s="5">
        <v>42606</v>
      </c>
      <c r="D910" t="s">
        <v>3588</v>
      </c>
      <c r="E910" t="s">
        <v>3589</v>
      </c>
      <c r="F910" t="s">
        <v>3590</v>
      </c>
      <c r="G910" t="s">
        <v>96</v>
      </c>
      <c r="H910" t="s">
        <v>33</v>
      </c>
      <c r="K910" t="s">
        <v>34</v>
      </c>
      <c r="L910" t="s">
        <v>35</v>
      </c>
      <c r="M910" t="s">
        <v>36</v>
      </c>
      <c r="Q910" t="s">
        <v>37</v>
      </c>
      <c r="R910" t="s">
        <v>130</v>
      </c>
      <c r="S910" t="s">
        <v>84</v>
      </c>
      <c r="T910" t="s">
        <v>73</v>
      </c>
      <c r="U910" t="s">
        <v>41</v>
      </c>
      <c r="V910" s="9" t="str">
        <f>HYPERLINK("https://app.ntsb.gov/pdfgenerator/ReportGeneratorFile.ashx?EventID=20160829X93333&amp;AKey=1&amp;Rtype=Final&amp;IType=LA","PDF Report")</f>
        <v>PDF Report</v>
      </c>
    </row>
    <row r="911" spans="1:22" x14ac:dyDescent="0.25">
      <c r="A911" t="s">
        <v>3591</v>
      </c>
      <c r="B911">
        <v>1</v>
      </c>
      <c r="C911" s="5">
        <v>42606</v>
      </c>
      <c r="D911" t="s">
        <v>3592</v>
      </c>
      <c r="E911" t="s">
        <v>3593</v>
      </c>
      <c r="F911" t="s">
        <v>3594</v>
      </c>
      <c r="G911" t="s">
        <v>78</v>
      </c>
      <c r="H911" t="s">
        <v>33</v>
      </c>
      <c r="K911" t="s">
        <v>34</v>
      </c>
      <c r="L911" t="s">
        <v>35</v>
      </c>
      <c r="M911" t="s">
        <v>36</v>
      </c>
      <c r="Q911" t="s">
        <v>37</v>
      </c>
      <c r="R911" t="s">
        <v>130</v>
      </c>
      <c r="S911" t="s">
        <v>84</v>
      </c>
      <c r="T911" t="s">
        <v>378</v>
      </c>
      <c r="U911" t="s">
        <v>41</v>
      </c>
      <c r="V911" s="9" t="str">
        <f>HYPERLINK("https://app.ntsb.gov/pdfgenerator/ReportGeneratorFile.ashx?EventID=20160908X14407&amp;AKey=1&amp;Rtype=Final&amp;IType=LA","PDF Report")</f>
        <v>PDF Report</v>
      </c>
    </row>
    <row r="912" spans="1:22" x14ac:dyDescent="0.25">
      <c r="A912" t="s">
        <v>3595</v>
      </c>
      <c r="B912">
        <v>1</v>
      </c>
      <c r="C912" s="5">
        <v>42606</v>
      </c>
      <c r="D912" t="s">
        <v>581</v>
      </c>
      <c r="E912" t="s">
        <v>582</v>
      </c>
      <c r="F912" t="s">
        <v>583</v>
      </c>
      <c r="G912" t="s">
        <v>115</v>
      </c>
      <c r="H912" t="s">
        <v>33</v>
      </c>
      <c r="K912" t="s">
        <v>34</v>
      </c>
      <c r="L912" t="s">
        <v>35</v>
      </c>
      <c r="M912" t="s">
        <v>36</v>
      </c>
      <c r="Q912" t="s">
        <v>37</v>
      </c>
      <c r="R912" t="s">
        <v>38</v>
      </c>
      <c r="S912" t="s">
        <v>84</v>
      </c>
      <c r="T912" t="s">
        <v>73</v>
      </c>
      <c r="U912" t="s">
        <v>41</v>
      </c>
      <c r="V912" s="9" t="str">
        <f>HYPERLINK("https://app.ntsb.gov/pdfgenerator/ReportGeneratorFile.ashx?EventID=20160922X85052&amp;AKey=1&amp;Rtype=Final&amp;IType=CA","PDF Report")</f>
        <v>PDF Report</v>
      </c>
    </row>
    <row r="913" spans="1:22" x14ac:dyDescent="0.25">
      <c r="A913" t="s">
        <v>3596</v>
      </c>
      <c r="B913">
        <v>1</v>
      </c>
      <c r="C913" s="5">
        <v>42607</v>
      </c>
      <c r="D913" t="s">
        <v>3597</v>
      </c>
      <c r="E913" t="s">
        <v>3598</v>
      </c>
      <c r="F913" t="s">
        <v>3599</v>
      </c>
      <c r="G913" t="s">
        <v>645</v>
      </c>
      <c r="H913" t="s">
        <v>33</v>
      </c>
      <c r="I913">
        <v>1</v>
      </c>
      <c r="J913">
        <v>1</v>
      </c>
      <c r="K913" t="s">
        <v>90</v>
      </c>
      <c r="L913" t="s">
        <v>35</v>
      </c>
      <c r="M913" t="s">
        <v>36</v>
      </c>
      <c r="Q913" t="s">
        <v>37</v>
      </c>
      <c r="R913" t="s">
        <v>38</v>
      </c>
      <c r="S913" t="s">
        <v>396</v>
      </c>
      <c r="T913" t="s">
        <v>79</v>
      </c>
      <c r="U913" t="s">
        <v>41</v>
      </c>
      <c r="V913" s="9" t="str">
        <f>HYPERLINK("https://app.ntsb.gov/pdfgenerator/ReportGeneratorFile.ashx?EventID=20160825X20130&amp;AKey=1&amp;Rtype=Final&amp;IType=FA","PDF Report")</f>
        <v>PDF Report</v>
      </c>
    </row>
    <row r="914" spans="1:22" x14ac:dyDescent="0.25">
      <c r="A914" t="s">
        <v>3600</v>
      </c>
      <c r="B914">
        <v>1</v>
      </c>
      <c r="C914" s="5">
        <v>42607</v>
      </c>
      <c r="D914" t="s">
        <v>3601</v>
      </c>
      <c r="E914" t="s">
        <v>3602</v>
      </c>
      <c r="F914" t="s">
        <v>3603</v>
      </c>
      <c r="G914" t="s">
        <v>264</v>
      </c>
      <c r="H914" t="s">
        <v>33</v>
      </c>
      <c r="J914">
        <v>1</v>
      </c>
      <c r="K914" t="s">
        <v>55</v>
      </c>
      <c r="L914" t="s">
        <v>35</v>
      </c>
      <c r="M914" t="s">
        <v>767</v>
      </c>
      <c r="Q914" t="s">
        <v>37</v>
      </c>
      <c r="R914" t="s">
        <v>768</v>
      </c>
      <c r="S914" t="s">
        <v>39</v>
      </c>
      <c r="T914" t="s">
        <v>40</v>
      </c>
      <c r="U914" t="s">
        <v>41</v>
      </c>
      <c r="V914" s="9" t="str">
        <f>HYPERLINK("https://app.ntsb.gov/pdfgenerator/ReportGeneratorFile.ashx?EventID=20160826X13108&amp;AKey=1&amp;Rtype=Final&amp;IType=LA","PDF Report")</f>
        <v>PDF Report</v>
      </c>
    </row>
    <row r="915" spans="1:22" x14ac:dyDescent="0.25">
      <c r="A915" t="s">
        <v>3604</v>
      </c>
      <c r="B915">
        <v>1</v>
      </c>
      <c r="C915" s="5">
        <v>42607</v>
      </c>
      <c r="D915" t="s">
        <v>3605</v>
      </c>
      <c r="E915" t="s">
        <v>3606</v>
      </c>
      <c r="F915" t="s">
        <v>3607</v>
      </c>
      <c r="G915" t="s">
        <v>401</v>
      </c>
      <c r="H915" t="s">
        <v>33</v>
      </c>
      <c r="J915">
        <v>1</v>
      </c>
      <c r="K915" t="s">
        <v>55</v>
      </c>
      <c r="L915" t="s">
        <v>35</v>
      </c>
      <c r="M915" t="s">
        <v>473</v>
      </c>
      <c r="Q915" t="s">
        <v>37</v>
      </c>
      <c r="R915" t="s">
        <v>1219</v>
      </c>
      <c r="S915" t="s">
        <v>39</v>
      </c>
      <c r="T915" t="s">
        <v>61</v>
      </c>
      <c r="U915" t="s">
        <v>41</v>
      </c>
      <c r="V915" s="9" t="str">
        <f>HYPERLINK("https://app.ntsb.gov/pdfgenerator/ReportGeneratorFile.ashx?EventID=20160827X23858&amp;AKey=1&amp;Rtype=Final&amp;IType=LA","PDF Report")</f>
        <v>PDF Report</v>
      </c>
    </row>
    <row r="916" spans="1:22" x14ac:dyDescent="0.25">
      <c r="A916" t="s">
        <v>3608</v>
      </c>
      <c r="B916">
        <v>1</v>
      </c>
      <c r="C916" s="5">
        <v>42607</v>
      </c>
      <c r="D916" t="s">
        <v>3609</v>
      </c>
      <c r="E916" t="s">
        <v>3610</v>
      </c>
      <c r="F916" t="s">
        <v>3611</v>
      </c>
      <c r="G916" t="s">
        <v>136</v>
      </c>
      <c r="H916" t="s">
        <v>33</v>
      </c>
      <c r="K916" t="s">
        <v>34</v>
      </c>
      <c r="L916" t="s">
        <v>35</v>
      </c>
      <c r="M916" t="s">
        <v>767</v>
      </c>
      <c r="Q916" t="s">
        <v>37</v>
      </c>
      <c r="R916" t="s">
        <v>768</v>
      </c>
      <c r="S916" t="s">
        <v>191</v>
      </c>
      <c r="T916" t="s">
        <v>243</v>
      </c>
      <c r="U916" t="s">
        <v>41</v>
      </c>
      <c r="V916" s="9" t="str">
        <f>HYPERLINK("https://app.ntsb.gov/pdfgenerator/ReportGeneratorFile.ashx?EventID=20160829X14027&amp;AKey=1&amp;Rtype=Final&amp;IType=CA","PDF Report")</f>
        <v>PDF Report</v>
      </c>
    </row>
    <row r="917" spans="1:22" x14ac:dyDescent="0.25">
      <c r="A917" t="s">
        <v>3612</v>
      </c>
      <c r="B917">
        <v>1</v>
      </c>
      <c r="C917" s="5">
        <v>42607</v>
      </c>
      <c r="D917" t="s">
        <v>3613</v>
      </c>
      <c r="E917" t="s">
        <v>3614</v>
      </c>
      <c r="F917" t="s">
        <v>3615</v>
      </c>
      <c r="G917" t="s">
        <v>597</v>
      </c>
      <c r="H917" t="s">
        <v>3616</v>
      </c>
      <c r="I917">
        <v>1</v>
      </c>
      <c r="K917" t="s">
        <v>90</v>
      </c>
      <c r="L917" t="s">
        <v>35</v>
      </c>
      <c r="M917" t="s">
        <v>599</v>
      </c>
      <c r="Q917" t="s">
        <v>37</v>
      </c>
      <c r="S917" t="s">
        <v>243</v>
      </c>
      <c r="T917" t="s">
        <v>243</v>
      </c>
      <c r="U917" t="s">
        <v>41</v>
      </c>
      <c r="V917" s="9" t="str">
        <f>HYPERLINK("https://app.ntsb.gov/pdfgenerator/ReportGeneratorFile.ashx?EventID=20160829X14334&amp;AKey=1&amp;Rtype=Final&amp;IType=WA","PDF Report")</f>
        <v>PDF Report</v>
      </c>
    </row>
    <row r="918" spans="1:22" x14ac:dyDescent="0.25">
      <c r="A918" t="s">
        <v>3617</v>
      </c>
      <c r="B918">
        <v>1</v>
      </c>
      <c r="C918" s="5">
        <v>42607</v>
      </c>
      <c r="D918" t="s">
        <v>3618</v>
      </c>
      <c r="E918" t="s">
        <v>3619</v>
      </c>
      <c r="F918" t="s">
        <v>3620</v>
      </c>
      <c r="G918" t="s">
        <v>54</v>
      </c>
      <c r="H918" t="s">
        <v>33</v>
      </c>
      <c r="K918" t="s">
        <v>34</v>
      </c>
      <c r="L918" t="s">
        <v>35</v>
      </c>
      <c r="M918" t="s">
        <v>56</v>
      </c>
      <c r="N918" t="s">
        <v>57</v>
      </c>
      <c r="O918" t="s">
        <v>58</v>
      </c>
      <c r="P918" t="s">
        <v>162</v>
      </c>
      <c r="Q918" t="s">
        <v>37</v>
      </c>
      <c r="S918" t="s">
        <v>84</v>
      </c>
      <c r="T918" t="s">
        <v>73</v>
      </c>
      <c r="U918" t="s">
        <v>41</v>
      </c>
      <c r="V918" s="9" t="str">
        <f>HYPERLINK("https://app.ntsb.gov/pdfgenerator/ReportGeneratorFile.ashx?EventID=20160830X35738&amp;AKey=1&amp;Rtype=Final&amp;IType=CA","PDF Report")</f>
        <v>PDF Report</v>
      </c>
    </row>
    <row r="919" spans="1:22" x14ac:dyDescent="0.25">
      <c r="A919" t="s">
        <v>3621</v>
      </c>
      <c r="B919">
        <v>1</v>
      </c>
      <c r="C919" s="5">
        <v>42607</v>
      </c>
      <c r="D919" t="s">
        <v>3622</v>
      </c>
      <c r="E919" t="s">
        <v>3623</v>
      </c>
      <c r="F919" t="s">
        <v>3624</v>
      </c>
      <c r="G919" t="s">
        <v>597</v>
      </c>
      <c r="H919" t="s">
        <v>2360</v>
      </c>
      <c r="K919" t="s">
        <v>34</v>
      </c>
      <c r="L919" t="s">
        <v>35</v>
      </c>
      <c r="M919" t="s">
        <v>599</v>
      </c>
      <c r="Q919" t="s">
        <v>37</v>
      </c>
      <c r="S919" t="s">
        <v>72</v>
      </c>
      <c r="T919" t="s">
        <v>49</v>
      </c>
      <c r="U919" t="s">
        <v>41</v>
      </c>
      <c r="V919" s="9" t="str">
        <f>HYPERLINK("https://app.ntsb.gov/pdfgenerator/ReportGeneratorFile.ashx?EventID=20160906X03328&amp;AKey=1&amp;Rtype=Final&amp;IType=WA","PDF Report")</f>
        <v>PDF Report</v>
      </c>
    </row>
    <row r="920" spans="1:22" x14ac:dyDescent="0.25">
      <c r="A920" t="s">
        <v>3625</v>
      </c>
      <c r="B920">
        <v>1</v>
      </c>
      <c r="C920" s="5">
        <v>42607</v>
      </c>
      <c r="D920" t="s">
        <v>3626</v>
      </c>
      <c r="E920" t="s">
        <v>3627</v>
      </c>
      <c r="F920" t="s">
        <v>2334</v>
      </c>
      <c r="G920" t="s">
        <v>206</v>
      </c>
      <c r="H920" t="s">
        <v>33</v>
      </c>
      <c r="K920" t="s">
        <v>34</v>
      </c>
      <c r="L920" t="s">
        <v>35</v>
      </c>
      <c r="M920" t="s">
        <v>36</v>
      </c>
      <c r="Q920" t="s">
        <v>37</v>
      </c>
      <c r="R920" t="s">
        <v>3628</v>
      </c>
      <c r="S920" t="s">
        <v>131</v>
      </c>
      <c r="T920" t="s">
        <v>73</v>
      </c>
      <c r="U920" t="s">
        <v>41</v>
      </c>
      <c r="V920" s="9" t="str">
        <f>HYPERLINK("https://app.ntsb.gov/pdfgenerator/ReportGeneratorFile.ashx?EventID=20160906X15846&amp;AKey=1&amp;Rtype=Final&amp;IType=LA","PDF Report")</f>
        <v>PDF Report</v>
      </c>
    </row>
    <row r="921" spans="1:22" x14ac:dyDescent="0.25">
      <c r="A921" t="s">
        <v>3629</v>
      </c>
      <c r="B921">
        <v>1</v>
      </c>
      <c r="C921" s="5">
        <v>42607</v>
      </c>
      <c r="D921" t="s">
        <v>1930</v>
      </c>
      <c r="E921" t="s">
        <v>3630</v>
      </c>
      <c r="F921" t="s">
        <v>141</v>
      </c>
      <c r="G921" t="s">
        <v>645</v>
      </c>
      <c r="H921" t="s">
        <v>33</v>
      </c>
      <c r="K921" t="s">
        <v>34</v>
      </c>
      <c r="L921" t="s">
        <v>35</v>
      </c>
      <c r="M921" t="s">
        <v>36</v>
      </c>
      <c r="Q921" t="s">
        <v>37</v>
      </c>
      <c r="R921" t="s">
        <v>38</v>
      </c>
      <c r="S921" t="s">
        <v>84</v>
      </c>
      <c r="T921" t="s">
        <v>73</v>
      </c>
      <c r="U921" t="s">
        <v>41</v>
      </c>
      <c r="V921" s="9" t="str">
        <f>HYPERLINK("https://app.ntsb.gov/pdfgenerator/ReportGeneratorFile.ashx?EventID=20160908X93704&amp;AKey=1&amp;Rtype=Final&amp;IType=CA","PDF Report")</f>
        <v>PDF Report</v>
      </c>
    </row>
    <row r="922" spans="1:22" x14ac:dyDescent="0.25">
      <c r="A922" t="s">
        <v>3631</v>
      </c>
      <c r="B922">
        <v>1</v>
      </c>
      <c r="C922" s="5">
        <v>42608</v>
      </c>
      <c r="D922" t="s">
        <v>3632</v>
      </c>
      <c r="E922" t="s">
        <v>3633</v>
      </c>
      <c r="F922" t="s">
        <v>3634</v>
      </c>
      <c r="G922" t="s">
        <v>232</v>
      </c>
      <c r="H922" t="s">
        <v>33</v>
      </c>
      <c r="K922" t="s">
        <v>34</v>
      </c>
      <c r="L922" t="s">
        <v>35</v>
      </c>
      <c r="M922" t="s">
        <v>36</v>
      </c>
      <c r="Q922" t="s">
        <v>185</v>
      </c>
      <c r="R922" t="s">
        <v>38</v>
      </c>
      <c r="S922" t="s">
        <v>131</v>
      </c>
      <c r="T922" t="s">
        <v>73</v>
      </c>
      <c r="U922" t="s">
        <v>41</v>
      </c>
      <c r="V922" s="9" t="str">
        <f>HYPERLINK("https://app.ntsb.gov/pdfgenerator/ReportGeneratorFile.ashx?EventID=20160826X71555&amp;AKey=1&amp;Rtype=Final&amp;IType=LA","PDF Report")</f>
        <v>PDF Report</v>
      </c>
    </row>
    <row r="923" spans="1:22" x14ac:dyDescent="0.25">
      <c r="A923" t="s">
        <v>3635</v>
      </c>
      <c r="B923">
        <v>1</v>
      </c>
      <c r="C923" s="5">
        <v>42608</v>
      </c>
      <c r="D923" t="s">
        <v>738</v>
      </c>
      <c r="E923" t="s">
        <v>739</v>
      </c>
      <c r="F923" t="s">
        <v>3636</v>
      </c>
      <c r="G923" t="s">
        <v>102</v>
      </c>
      <c r="H923" t="s">
        <v>33</v>
      </c>
      <c r="K923" t="s">
        <v>47</v>
      </c>
      <c r="L923" t="s">
        <v>35</v>
      </c>
      <c r="M923" t="s">
        <v>36</v>
      </c>
      <c r="Q923" t="s">
        <v>185</v>
      </c>
      <c r="R923" t="s">
        <v>505</v>
      </c>
      <c r="S923" t="s">
        <v>48</v>
      </c>
      <c r="T923" t="s">
        <v>40</v>
      </c>
      <c r="U923" t="s">
        <v>41</v>
      </c>
      <c r="V923" s="9" t="str">
        <f>HYPERLINK("https://app.ntsb.gov/pdfgenerator/ReportGeneratorFile.ashx?EventID=20160829X93702&amp;AKey=1&amp;Rtype=Final&amp;IType=LA","PDF Report")</f>
        <v>PDF Report</v>
      </c>
    </row>
    <row r="924" spans="1:22" x14ac:dyDescent="0.25">
      <c r="A924" t="s">
        <v>3637</v>
      </c>
      <c r="B924">
        <v>1</v>
      </c>
      <c r="C924" s="5">
        <v>42608</v>
      </c>
      <c r="D924" t="s">
        <v>3588</v>
      </c>
      <c r="E924" t="s">
        <v>3589</v>
      </c>
      <c r="F924" t="s">
        <v>3590</v>
      </c>
      <c r="G924" t="s">
        <v>96</v>
      </c>
      <c r="H924" t="s">
        <v>33</v>
      </c>
      <c r="K924" t="s">
        <v>34</v>
      </c>
      <c r="L924" t="s">
        <v>35</v>
      </c>
      <c r="M924" t="s">
        <v>36</v>
      </c>
      <c r="Q924" t="s">
        <v>37</v>
      </c>
      <c r="R924" t="s">
        <v>505</v>
      </c>
      <c r="S924" t="s">
        <v>196</v>
      </c>
      <c r="T924" t="s">
        <v>49</v>
      </c>
      <c r="U924" t="s">
        <v>41</v>
      </c>
      <c r="V924" s="9" t="str">
        <f>HYPERLINK("https://app.ntsb.gov/pdfgenerator/ReportGeneratorFile.ashx?EventID=20160907X45319&amp;AKey=1&amp;Rtype=Final&amp;IType=CA","PDF Report")</f>
        <v>PDF Report</v>
      </c>
    </row>
    <row r="925" spans="1:22" x14ac:dyDescent="0.25">
      <c r="A925" t="s">
        <v>3638</v>
      </c>
      <c r="B925">
        <v>1</v>
      </c>
      <c r="C925" s="5">
        <v>42609</v>
      </c>
      <c r="D925" t="s">
        <v>3639</v>
      </c>
      <c r="E925" t="s">
        <v>3640</v>
      </c>
      <c r="F925" t="s">
        <v>3641</v>
      </c>
      <c r="G925" t="s">
        <v>78</v>
      </c>
      <c r="H925" t="s">
        <v>33</v>
      </c>
      <c r="I925">
        <v>1</v>
      </c>
      <c r="K925" t="s">
        <v>90</v>
      </c>
      <c r="L925" t="s">
        <v>110</v>
      </c>
      <c r="M925" t="s">
        <v>36</v>
      </c>
      <c r="Q925" t="s">
        <v>37</v>
      </c>
      <c r="R925" t="s">
        <v>1628</v>
      </c>
      <c r="S925" t="s">
        <v>201</v>
      </c>
      <c r="T925" t="s">
        <v>40</v>
      </c>
      <c r="U925" t="s">
        <v>41</v>
      </c>
      <c r="V925" s="9" t="str">
        <f>HYPERLINK("https://app.ntsb.gov/pdfgenerator/ReportGeneratorFile.ashx?EventID=20160827X12409&amp;AKey=1&amp;Rtype=Final&amp;IType=FA","PDF Report")</f>
        <v>PDF Report</v>
      </c>
    </row>
    <row r="926" spans="1:22" x14ac:dyDescent="0.25">
      <c r="A926" t="s">
        <v>3642</v>
      </c>
      <c r="B926">
        <v>1</v>
      </c>
      <c r="C926" s="5">
        <v>42609</v>
      </c>
      <c r="F926" t="s">
        <v>3643</v>
      </c>
      <c r="G926" t="s">
        <v>115</v>
      </c>
      <c r="H926" t="s">
        <v>33</v>
      </c>
      <c r="K926" t="s">
        <v>34</v>
      </c>
      <c r="L926" t="s">
        <v>35</v>
      </c>
      <c r="M926" t="s">
        <v>103</v>
      </c>
      <c r="N926" t="s">
        <v>57</v>
      </c>
      <c r="O926" t="s">
        <v>58</v>
      </c>
      <c r="P926" t="s">
        <v>59</v>
      </c>
      <c r="Q926" t="s">
        <v>37</v>
      </c>
      <c r="S926" t="s">
        <v>39</v>
      </c>
      <c r="T926" t="s">
        <v>61</v>
      </c>
      <c r="U926" t="s">
        <v>41</v>
      </c>
      <c r="V926" s="9" t="str">
        <f>HYPERLINK("https://app.ntsb.gov/pdfgenerator/ReportGeneratorFile.ashx?EventID=20160827X31134&amp;AKey=1&amp;Rtype=Final&amp;IType=FA","PDF Report")</f>
        <v>PDF Report</v>
      </c>
    </row>
    <row r="927" spans="1:22" x14ac:dyDescent="0.25">
      <c r="A927" t="s">
        <v>3644</v>
      </c>
      <c r="B927">
        <v>1</v>
      </c>
      <c r="C927" s="5">
        <v>42609</v>
      </c>
      <c r="D927" t="s">
        <v>3645</v>
      </c>
      <c r="E927" t="s">
        <v>3646</v>
      </c>
      <c r="F927" t="s">
        <v>2485</v>
      </c>
      <c r="G927" t="s">
        <v>169</v>
      </c>
      <c r="H927" t="s">
        <v>33</v>
      </c>
      <c r="I927">
        <v>2</v>
      </c>
      <c r="K927" t="s">
        <v>90</v>
      </c>
      <c r="L927" t="s">
        <v>35</v>
      </c>
      <c r="M927" t="s">
        <v>36</v>
      </c>
      <c r="Q927" t="s">
        <v>37</v>
      </c>
      <c r="R927" t="s">
        <v>274</v>
      </c>
      <c r="S927" t="s">
        <v>60</v>
      </c>
      <c r="T927" t="s">
        <v>79</v>
      </c>
      <c r="U927" t="s">
        <v>41</v>
      </c>
      <c r="V927" s="9" t="str">
        <f>HYPERLINK("https://app.ntsb.gov/pdfgenerator/ReportGeneratorFile.ashx?EventID=20160829X35843&amp;AKey=1&amp;Rtype=Final&amp;IType=LA","PDF Report")</f>
        <v>PDF Report</v>
      </c>
    </row>
    <row r="928" spans="1:22" x14ac:dyDescent="0.25">
      <c r="A928" t="s">
        <v>3647</v>
      </c>
      <c r="B928">
        <v>1</v>
      </c>
      <c r="C928" s="5">
        <v>42609</v>
      </c>
      <c r="D928" t="s">
        <v>3648</v>
      </c>
      <c r="E928" t="s">
        <v>3649</v>
      </c>
      <c r="F928" t="s">
        <v>3650</v>
      </c>
      <c r="G928" t="s">
        <v>54</v>
      </c>
      <c r="H928" t="s">
        <v>33</v>
      </c>
      <c r="K928" t="s">
        <v>34</v>
      </c>
      <c r="L928" t="s">
        <v>35</v>
      </c>
      <c r="M928" t="s">
        <v>36</v>
      </c>
      <c r="Q928" t="s">
        <v>37</v>
      </c>
      <c r="R928" t="s">
        <v>38</v>
      </c>
      <c r="S928" t="s">
        <v>84</v>
      </c>
      <c r="T928" t="s">
        <v>73</v>
      </c>
      <c r="U928" t="s">
        <v>41</v>
      </c>
      <c r="V928" s="9" t="str">
        <f>HYPERLINK("https://app.ntsb.gov/pdfgenerator/ReportGeneratorFile.ashx?EventID=20160829X61958&amp;AKey=1&amp;Rtype=Final&amp;IType=CA","PDF Report")</f>
        <v>PDF Report</v>
      </c>
    </row>
    <row r="929" spans="1:22" x14ac:dyDescent="0.25">
      <c r="A929" t="s">
        <v>3651</v>
      </c>
      <c r="B929">
        <v>1</v>
      </c>
      <c r="C929" s="5">
        <v>42609</v>
      </c>
      <c r="D929" t="s">
        <v>3652</v>
      </c>
      <c r="E929" t="s">
        <v>3653</v>
      </c>
      <c r="F929" t="s">
        <v>990</v>
      </c>
      <c r="G929" t="s">
        <v>96</v>
      </c>
      <c r="H929" t="s">
        <v>33</v>
      </c>
      <c r="J929">
        <v>1</v>
      </c>
      <c r="K929" t="s">
        <v>55</v>
      </c>
      <c r="L929" t="s">
        <v>35</v>
      </c>
      <c r="M929" t="s">
        <v>36</v>
      </c>
      <c r="Q929" t="s">
        <v>37</v>
      </c>
      <c r="R929" t="s">
        <v>38</v>
      </c>
      <c r="S929" t="s">
        <v>39</v>
      </c>
      <c r="T929" t="s">
        <v>143</v>
      </c>
      <c r="U929" t="s">
        <v>41</v>
      </c>
      <c r="V929" s="9" t="str">
        <f>HYPERLINK("https://app.ntsb.gov/pdfgenerator/ReportGeneratorFile.ashx?EventID=20160829X63129&amp;AKey=1&amp;Rtype=Final&amp;IType=LA","PDF Report")</f>
        <v>PDF Report</v>
      </c>
    </row>
    <row r="930" spans="1:22" x14ac:dyDescent="0.25">
      <c r="A930" t="s">
        <v>3654</v>
      </c>
      <c r="B930">
        <v>1</v>
      </c>
      <c r="C930" s="5">
        <v>42609</v>
      </c>
      <c r="D930" t="s">
        <v>3655</v>
      </c>
      <c r="E930" t="s">
        <v>3656</v>
      </c>
      <c r="F930" t="s">
        <v>3657</v>
      </c>
      <c r="G930" t="s">
        <v>54</v>
      </c>
      <c r="H930" t="s">
        <v>33</v>
      </c>
      <c r="J930">
        <v>1</v>
      </c>
      <c r="K930" t="s">
        <v>55</v>
      </c>
      <c r="L930" t="s">
        <v>35</v>
      </c>
      <c r="M930" t="s">
        <v>36</v>
      </c>
      <c r="Q930" t="s">
        <v>37</v>
      </c>
      <c r="R930" t="s">
        <v>38</v>
      </c>
      <c r="S930" t="s">
        <v>91</v>
      </c>
      <c r="T930" t="s">
        <v>61</v>
      </c>
      <c r="U930" t="s">
        <v>41</v>
      </c>
      <c r="V930" s="9" t="str">
        <f>HYPERLINK("https://app.ntsb.gov/pdfgenerator/ReportGeneratorFile.ashx?EventID=20160829X85955&amp;AKey=1&amp;Rtype=Final&amp;IType=LA","PDF Report")</f>
        <v>PDF Report</v>
      </c>
    </row>
    <row r="931" spans="1:22" x14ac:dyDescent="0.25">
      <c r="A931" t="s">
        <v>3658</v>
      </c>
      <c r="B931">
        <v>1</v>
      </c>
      <c r="C931" s="5">
        <v>42609</v>
      </c>
      <c r="D931" t="s">
        <v>3659</v>
      </c>
      <c r="E931" t="s">
        <v>3660</v>
      </c>
      <c r="F931" t="s">
        <v>3661</v>
      </c>
      <c r="G931" t="s">
        <v>712</v>
      </c>
      <c r="H931" t="s">
        <v>33</v>
      </c>
      <c r="K931" t="s">
        <v>34</v>
      </c>
      <c r="L931" t="s">
        <v>35</v>
      </c>
      <c r="M931" t="s">
        <v>36</v>
      </c>
      <c r="Q931" t="s">
        <v>37</v>
      </c>
      <c r="R931" t="s">
        <v>38</v>
      </c>
      <c r="S931" t="s">
        <v>131</v>
      </c>
      <c r="T931" t="s">
        <v>73</v>
      </c>
      <c r="U931" t="s">
        <v>41</v>
      </c>
      <c r="V931" s="9" t="str">
        <f>HYPERLINK("https://app.ntsb.gov/pdfgenerator/ReportGeneratorFile.ashx?EventID=20160830X91803&amp;AKey=1&amp;Rtype=Final&amp;IType=CA","PDF Report")</f>
        <v>PDF Report</v>
      </c>
    </row>
    <row r="932" spans="1:22" x14ac:dyDescent="0.25">
      <c r="A932" t="s">
        <v>3662</v>
      </c>
      <c r="B932">
        <v>1</v>
      </c>
      <c r="C932" s="5">
        <v>42609</v>
      </c>
      <c r="D932" t="s">
        <v>3663</v>
      </c>
      <c r="E932" t="s">
        <v>3664</v>
      </c>
      <c r="F932" t="s">
        <v>3665</v>
      </c>
      <c r="G932" t="s">
        <v>597</v>
      </c>
      <c r="H932" t="s">
        <v>3666</v>
      </c>
      <c r="I932">
        <v>1</v>
      </c>
      <c r="K932" t="s">
        <v>90</v>
      </c>
      <c r="L932" t="s">
        <v>35</v>
      </c>
      <c r="M932" t="s">
        <v>599</v>
      </c>
      <c r="Q932" t="s">
        <v>37</v>
      </c>
      <c r="S932" t="s">
        <v>48</v>
      </c>
      <c r="T932" t="s">
        <v>40</v>
      </c>
      <c r="U932" t="s">
        <v>41</v>
      </c>
      <c r="V932" s="9" t="str">
        <f>HYPERLINK("https://app.ntsb.gov/pdfgenerator/ReportGeneratorFile.ashx?EventID=20170119X75829&amp;AKey=1&amp;Rtype=Final&amp;IType=WA","PDF Report")</f>
        <v>PDF Report</v>
      </c>
    </row>
    <row r="933" spans="1:22" x14ac:dyDescent="0.25">
      <c r="A933" t="s">
        <v>3667</v>
      </c>
      <c r="B933">
        <v>1</v>
      </c>
      <c r="C933" s="5">
        <v>42610</v>
      </c>
      <c r="D933" t="s">
        <v>3668</v>
      </c>
      <c r="E933" t="s">
        <v>3669</v>
      </c>
      <c r="F933" t="s">
        <v>707</v>
      </c>
      <c r="G933" t="s">
        <v>125</v>
      </c>
      <c r="H933" t="s">
        <v>33</v>
      </c>
      <c r="I933">
        <v>2</v>
      </c>
      <c r="K933" t="s">
        <v>90</v>
      </c>
      <c r="L933" t="s">
        <v>110</v>
      </c>
      <c r="M933" t="s">
        <v>36</v>
      </c>
      <c r="Q933" t="s">
        <v>37</v>
      </c>
      <c r="R933" t="s">
        <v>38</v>
      </c>
      <c r="S933" t="s">
        <v>48</v>
      </c>
      <c r="T933" t="s">
        <v>79</v>
      </c>
      <c r="U933" t="s">
        <v>41</v>
      </c>
      <c r="V933" s="9" t="str">
        <f>HYPERLINK("https://app.ntsb.gov/pdfgenerator/ReportGeneratorFile.ashx?EventID=20160828X85113&amp;AKey=1&amp;Rtype=Final&amp;IType=FA","PDF Report")</f>
        <v>PDF Report</v>
      </c>
    </row>
    <row r="934" spans="1:22" x14ac:dyDescent="0.25">
      <c r="A934" t="s">
        <v>3670</v>
      </c>
      <c r="B934">
        <v>1</v>
      </c>
      <c r="C934" s="5">
        <v>42611</v>
      </c>
      <c r="D934" t="s">
        <v>3671</v>
      </c>
      <c r="E934" t="s">
        <v>3672</v>
      </c>
      <c r="F934" t="s">
        <v>1575</v>
      </c>
      <c r="G934" t="s">
        <v>683</v>
      </c>
      <c r="H934" t="s">
        <v>33</v>
      </c>
      <c r="K934" t="s">
        <v>34</v>
      </c>
      <c r="L934" t="s">
        <v>35</v>
      </c>
      <c r="M934" t="s">
        <v>36</v>
      </c>
      <c r="Q934" t="s">
        <v>37</v>
      </c>
      <c r="R934" t="s">
        <v>38</v>
      </c>
      <c r="S934" t="s">
        <v>72</v>
      </c>
      <c r="T934" t="s">
        <v>73</v>
      </c>
      <c r="U934" t="s">
        <v>41</v>
      </c>
      <c r="V934" s="9" t="str">
        <f>HYPERLINK("https://app.ntsb.gov/pdfgenerator/ReportGeneratorFile.ashx?EventID=20160901X83843&amp;AKey=1&amp;Rtype=Final&amp;IType=CA","PDF Report")</f>
        <v>PDF Report</v>
      </c>
    </row>
    <row r="935" spans="1:22" x14ac:dyDescent="0.25">
      <c r="A935" t="s">
        <v>3673</v>
      </c>
      <c r="B935">
        <v>1</v>
      </c>
      <c r="C935" s="5">
        <v>42611</v>
      </c>
      <c r="D935" t="s">
        <v>3674</v>
      </c>
      <c r="E935" t="s">
        <v>3675</v>
      </c>
      <c r="F935" t="s">
        <v>3676</v>
      </c>
      <c r="G935" t="s">
        <v>348</v>
      </c>
      <c r="H935" t="s">
        <v>33</v>
      </c>
      <c r="K935" t="s">
        <v>34</v>
      </c>
      <c r="L935" t="s">
        <v>35</v>
      </c>
      <c r="M935" t="s">
        <v>36</v>
      </c>
      <c r="Q935" t="s">
        <v>37</v>
      </c>
      <c r="R935" t="s">
        <v>38</v>
      </c>
      <c r="S935" t="s">
        <v>84</v>
      </c>
      <c r="T935" t="s">
        <v>73</v>
      </c>
      <c r="U935" t="s">
        <v>41</v>
      </c>
      <c r="V935" s="9" t="str">
        <f>HYPERLINK("https://app.ntsb.gov/pdfgenerator/ReportGeneratorFile.ashx?EventID=20160906X51841&amp;AKey=1&amp;Rtype=Final&amp;IType=LA","PDF Report")</f>
        <v>PDF Report</v>
      </c>
    </row>
    <row r="936" spans="1:22" x14ac:dyDescent="0.25">
      <c r="A936" t="s">
        <v>3677</v>
      </c>
      <c r="B936">
        <v>1</v>
      </c>
      <c r="C936" s="5">
        <v>42612</v>
      </c>
      <c r="D936" t="s">
        <v>3678</v>
      </c>
      <c r="E936" t="s">
        <v>3679</v>
      </c>
      <c r="F936" t="s">
        <v>3680</v>
      </c>
      <c r="G936" t="s">
        <v>120</v>
      </c>
      <c r="H936" t="s">
        <v>33</v>
      </c>
      <c r="I936">
        <v>2</v>
      </c>
      <c r="K936" t="s">
        <v>90</v>
      </c>
      <c r="L936" t="s">
        <v>110</v>
      </c>
      <c r="M936" t="s">
        <v>36</v>
      </c>
      <c r="Q936" t="s">
        <v>37</v>
      </c>
      <c r="R936" t="s">
        <v>274</v>
      </c>
      <c r="S936" t="s">
        <v>104</v>
      </c>
      <c r="T936" t="s">
        <v>79</v>
      </c>
      <c r="U936" t="s">
        <v>41</v>
      </c>
      <c r="V936" s="9" t="str">
        <f>HYPERLINK("https://app.ntsb.gov/pdfgenerator/ReportGeneratorFile.ashx?EventID=20160830X24345&amp;AKey=1&amp;Rtype=Final&amp;IType=FA","PDF Report")</f>
        <v>PDF Report</v>
      </c>
    </row>
    <row r="937" spans="1:22" x14ac:dyDescent="0.25">
      <c r="A937" t="s">
        <v>3681</v>
      </c>
      <c r="B937">
        <v>1</v>
      </c>
      <c r="C937" s="5">
        <v>42612</v>
      </c>
      <c r="D937" t="s">
        <v>3682</v>
      </c>
      <c r="E937" t="s">
        <v>3683</v>
      </c>
      <c r="F937" t="s">
        <v>3684</v>
      </c>
      <c r="G937" t="s">
        <v>450</v>
      </c>
      <c r="H937" t="s">
        <v>33</v>
      </c>
      <c r="K937" t="s">
        <v>34</v>
      </c>
      <c r="L937" t="s">
        <v>35</v>
      </c>
      <c r="M937" t="s">
        <v>36</v>
      </c>
      <c r="Q937" t="s">
        <v>37</v>
      </c>
      <c r="R937" t="s">
        <v>38</v>
      </c>
      <c r="S937" t="s">
        <v>131</v>
      </c>
      <c r="T937" t="s">
        <v>73</v>
      </c>
      <c r="U937" t="s">
        <v>41</v>
      </c>
      <c r="V937" s="9" t="str">
        <f>HYPERLINK("https://app.ntsb.gov/pdfgenerator/ReportGeneratorFile.ashx?EventID=20160831X23743&amp;AKey=1&amp;Rtype=Final&amp;IType=CA","PDF Report")</f>
        <v>PDF Report</v>
      </c>
    </row>
    <row r="938" spans="1:22" x14ac:dyDescent="0.25">
      <c r="A938" t="s">
        <v>3685</v>
      </c>
      <c r="B938">
        <v>1</v>
      </c>
      <c r="C938" s="5">
        <v>42612</v>
      </c>
      <c r="D938" t="s">
        <v>3686</v>
      </c>
      <c r="E938" t="s">
        <v>3687</v>
      </c>
      <c r="F938" t="s">
        <v>227</v>
      </c>
      <c r="G938" t="s">
        <v>312</v>
      </c>
      <c r="H938" t="s">
        <v>33</v>
      </c>
      <c r="K938" t="s">
        <v>34</v>
      </c>
      <c r="L938" t="s">
        <v>35</v>
      </c>
      <c r="M938" t="s">
        <v>36</v>
      </c>
      <c r="Q938" t="s">
        <v>37</v>
      </c>
      <c r="R938" t="s">
        <v>38</v>
      </c>
      <c r="S938" t="s">
        <v>396</v>
      </c>
      <c r="T938" t="s">
        <v>143</v>
      </c>
      <c r="U938" t="s">
        <v>41</v>
      </c>
      <c r="V938" s="9" t="str">
        <f>HYPERLINK("https://app.ntsb.gov/pdfgenerator/ReportGeneratorFile.ashx?EventID=20160901X13429&amp;AKey=1&amp;Rtype=Final&amp;IType=LA","PDF Report")</f>
        <v>PDF Report</v>
      </c>
    </row>
    <row r="939" spans="1:22" x14ac:dyDescent="0.25">
      <c r="A939" t="s">
        <v>3688</v>
      </c>
      <c r="B939">
        <v>1</v>
      </c>
      <c r="C939" s="5">
        <v>42612</v>
      </c>
      <c r="D939" t="s">
        <v>3689</v>
      </c>
      <c r="E939" t="s">
        <v>3690</v>
      </c>
      <c r="F939" t="s">
        <v>3691</v>
      </c>
      <c r="G939" t="s">
        <v>46</v>
      </c>
      <c r="H939" t="s">
        <v>33</v>
      </c>
      <c r="K939" t="s">
        <v>34</v>
      </c>
      <c r="L939" t="s">
        <v>35</v>
      </c>
      <c r="M939" t="s">
        <v>36</v>
      </c>
      <c r="Q939" t="s">
        <v>37</v>
      </c>
      <c r="R939" t="s">
        <v>130</v>
      </c>
      <c r="S939" t="s">
        <v>84</v>
      </c>
      <c r="T939" t="s">
        <v>73</v>
      </c>
      <c r="U939" t="s">
        <v>41</v>
      </c>
      <c r="V939" s="9" t="str">
        <f>HYPERLINK("https://app.ntsb.gov/pdfgenerator/ReportGeneratorFile.ashx?EventID=20160901X61053&amp;AKey=1&amp;Rtype=Final&amp;IType=CA","PDF Report")</f>
        <v>PDF Report</v>
      </c>
    </row>
    <row r="940" spans="1:22" x14ac:dyDescent="0.25">
      <c r="A940" t="s">
        <v>3692</v>
      </c>
      <c r="B940">
        <v>1</v>
      </c>
      <c r="C940" s="5">
        <v>42612</v>
      </c>
      <c r="D940" t="s">
        <v>3693</v>
      </c>
      <c r="E940" t="s">
        <v>3694</v>
      </c>
      <c r="F940" t="s">
        <v>3695</v>
      </c>
      <c r="G940" t="s">
        <v>287</v>
      </c>
      <c r="H940" t="s">
        <v>33</v>
      </c>
      <c r="K940" t="s">
        <v>34</v>
      </c>
      <c r="L940" t="s">
        <v>35</v>
      </c>
      <c r="M940" t="s">
        <v>36</v>
      </c>
      <c r="Q940" t="s">
        <v>37</v>
      </c>
      <c r="R940" t="s">
        <v>38</v>
      </c>
      <c r="S940" t="s">
        <v>84</v>
      </c>
      <c r="T940" t="s">
        <v>73</v>
      </c>
      <c r="U940" t="s">
        <v>41</v>
      </c>
      <c r="V940" s="9" t="str">
        <f>HYPERLINK("https://app.ntsb.gov/pdfgenerator/ReportGeneratorFile.ashx?EventID=20160901X81048&amp;AKey=1&amp;Rtype=Final&amp;IType=CA","PDF Report")</f>
        <v>PDF Report</v>
      </c>
    </row>
    <row r="941" spans="1:22" x14ac:dyDescent="0.25">
      <c r="A941" t="s">
        <v>3696</v>
      </c>
      <c r="B941">
        <v>1</v>
      </c>
      <c r="C941" s="5">
        <v>42612</v>
      </c>
      <c r="D941" t="s">
        <v>3697</v>
      </c>
      <c r="E941" t="s">
        <v>3698</v>
      </c>
      <c r="F941" t="s">
        <v>3699</v>
      </c>
      <c r="G941" t="s">
        <v>348</v>
      </c>
      <c r="H941" t="s">
        <v>33</v>
      </c>
      <c r="J941">
        <v>1</v>
      </c>
      <c r="K941" t="s">
        <v>55</v>
      </c>
      <c r="L941" t="s">
        <v>35</v>
      </c>
      <c r="M941" t="s">
        <v>36</v>
      </c>
      <c r="Q941" t="s">
        <v>37</v>
      </c>
      <c r="R941" t="s">
        <v>38</v>
      </c>
      <c r="S941" t="s">
        <v>39</v>
      </c>
      <c r="T941" t="s">
        <v>61</v>
      </c>
      <c r="U941" t="s">
        <v>41</v>
      </c>
      <c r="V941" s="9" t="str">
        <f>HYPERLINK("https://app.ntsb.gov/pdfgenerator/ReportGeneratorFile.ashx?EventID=20160906X62831&amp;AKey=1&amp;Rtype=Final&amp;IType=LA","PDF Report")</f>
        <v>PDF Report</v>
      </c>
    </row>
    <row r="942" spans="1:22" x14ac:dyDescent="0.25">
      <c r="A942" t="s">
        <v>3700</v>
      </c>
      <c r="B942">
        <v>1</v>
      </c>
      <c r="C942" s="5">
        <v>42612</v>
      </c>
      <c r="D942" t="s">
        <v>3701</v>
      </c>
      <c r="E942" t="s">
        <v>3702</v>
      </c>
      <c r="F942" t="s">
        <v>1853</v>
      </c>
      <c r="G942" t="s">
        <v>500</v>
      </c>
      <c r="H942" t="s">
        <v>33</v>
      </c>
      <c r="K942" t="s">
        <v>34</v>
      </c>
      <c r="L942" t="s">
        <v>35</v>
      </c>
      <c r="M942" t="s">
        <v>36</v>
      </c>
      <c r="Q942" t="s">
        <v>37</v>
      </c>
      <c r="R942" t="s">
        <v>130</v>
      </c>
      <c r="S942" t="s">
        <v>39</v>
      </c>
      <c r="T942" t="s">
        <v>79</v>
      </c>
      <c r="U942" t="s">
        <v>41</v>
      </c>
      <c r="V942" s="9" t="str">
        <f>HYPERLINK("https://app.ntsb.gov/pdfgenerator/ReportGeneratorFile.ashx?EventID=20160912X23324&amp;AKey=1&amp;Rtype=Final&amp;IType=CA","PDF Report")</f>
        <v>PDF Report</v>
      </c>
    </row>
    <row r="943" spans="1:22" x14ac:dyDescent="0.25">
      <c r="A943" t="s">
        <v>3703</v>
      </c>
      <c r="B943">
        <v>1</v>
      </c>
      <c r="C943" s="5">
        <v>42612</v>
      </c>
      <c r="D943" t="s">
        <v>3704</v>
      </c>
      <c r="E943" t="s">
        <v>3705</v>
      </c>
      <c r="F943" t="s">
        <v>2454</v>
      </c>
      <c r="G943" t="s">
        <v>242</v>
      </c>
      <c r="H943" t="s">
        <v>33</v>
      </c>
      <c r="K943" t="s">
        <v>34</v>
      </c>
      <c r="L943" t="s">
        <v>35</v>
      </c>
      <c r="M943" t="s">
        <v>36</v>
      </c>
      <c r="Q943" t="s">
        <v>37</v>
      </c>
      <c r="R943" t="s">
        <v>130</v>
      </c>
      <c r="S943" t="s">
        <v>84</v>
      </c>
      <c r="T943" t="s">
        <v>73</v>
      </c>
      <c r="U943" t="s">
        <v>41</v>
      </c>
      <c r="V943" s="9" t="str">
        <f>HYPERLINK("https://app.ntsb.gov/pdfgenerator/ReportGeneratorFile.ashx?EventID=20160921X23148&amp;AKey=1&amp;Rtype=Final&amp;IType=CA","PDF Report")</f>
        <v>PDF Report</v>
      </c>
    </row>
    <row r="944" spans="1:22" x14ac:dyDescent="0.25">
      <c r="A944" t="s">
        <v>3706</v>
      </c>
      <c r="B944">
        <v>1</v>
      </c>
      <c r="C944" s="5">
        <v>42613</v>
      </c>
      <c r="D944" t="s">
        <v>3707</v>
      </c>
      <c r="E944" t="s">
        <v>3708</v>
      </c>
      <c r="F944" t="s">
        <v>3709</v>
      </c>
      <c r="G944" t="s">
        <v>491</v>
      </c>
      <c r="H944" t="s">
        <v>33</v>
      </c>
      <c r="I944">
        <v>1</v>
      </c>
      <c r="K944" t="s">
        <v>90</v>
      </c>
      <c r="L944" t="s">
        <v>110</v>
      </c>
      <c r="M944" t="s">
        <v>36</v>
      </c>
      <c r="Q944" t="s">
        <v>37</v>
      </c>
      <c r="R944" t="s">
        <v>38</v>
      </c>
      <c r="S944" t="s">
        <v>834</v>
      </c>
      <c r="T944" t="s">
        <v>49</v>
      </c>
      <c r="U944" t="s">
        <v>41</v>
      </c>
      <c r="V944" s="9" t="str">
        <f>HYPERLINK("https://app.ntsb.gov/pdfgenerator/ReportGeneratorFile.ashx?EventID=20160831X15223&amp;AKey=1&amp;Rtype=Final&amp;IType=FA","PDF Report")</f>
        <v>PDF Report</v>
      </c>
    </row>
    <row r="945" spans="1:22" x14ac:dyDescent="0.25">
      <c r="A945" t="s">
        <v>3710</v>
      </c>
      <c r="B945">
        <v>1</v>
      </c>
      <c r="C945" s="5">
        <v>42613</v>
      </c>
      <c r="D945" t="s">
        <v>3711</v>
      </c>
      <c r="E945" t="s">
        <v>3712</v>
      </c>
      <c r="F945" t="s">
        <v>3713</v>
      </c>
      <c r="G945" t="s">
        <v>54</v>
      </c>
      <c r="H945" t="s">
        <v>33</v>
      </c>
      <c r="I945">
        <v>5</v>
      </c>
      <c r="K945" t="s">
        <v>90</v>
      </c>
      <c r="L945" t="s">
        <v>110</v>
      </c>
      <c r="M945" t="s">
        <v>56</v>
      </c>
      <c r="N945" t="s">
        <v>57</v>
      </c>
      <c r="O945" t="s">
        <v>58</v>
      </c>
      <c r="P945" t="s">
        <v>59</v>
      </c>
      <c r="Q945" t="s">
        <v>37</v>
      </c>
      <c r="S945" t="s">
        <v>433</v>
      </c>
      <c r="T945" t="s">
        <v>61</v>
      </c>
      <c r="U945" t="s">
        <v>41</v>
      </c>
      <c r="V945" s="9" t="str">
        <f>HYPERLINK("https://app.ntsb.gov/pdfgenerator/ReportGeneratorFile.ashx?EventID=20160831X62719&amp;AKey=1&amp;Rtype=Final&amp;IType=FA","PDF Report")</f>
        <v>PDF Report</v>
      </c>
    </row>
    <row r="946" spans="1:22" x14ac:dyDescent="0.25">
      <c r="A946" t="s">
        <v>3710</v>
      </c>
      <c r="B946">
        <v>2</v>
      </c>
      <c r="C946" s="5">
        <v>42613</v>
      </c>
      <c r="D946" t="s">
        <v>3711</v>
      </c>
      <c r="E946" t="s">
        <v>3712</v>
      </c>
      <c r="F946" t="s">
        <v>3713</v>
      </c>
      <c r="G946" t="s">
        <v>54</v>
      </c>
      <c r="H946" t="s">
        <v>33</v>
      </c>
      <c r="I946">
        <v>5</v>
      </c>
      <c r="K946" t="s">
        <v>90</v>
      </c>
      <c r="L946" t="s">
        <v>110</v>
      </c>
      <c r="M946" t="s">
        <v>36</v>
      </c>
      <c r="Q946" t="s">
        <v>37</v>
      </c>
      <c r="R946" t="s">
        <v>186</v>
      </c>
      <c r="S946" t="s">
        <v>433</v>
      </c>
      <c r="T946" t="s">
        <v>61</v>
      </c>
      <c r="U946" t="s">
        <v>41</v>
      </c>
      <c r="V946" s="9" t="str">
        <f>HYPERLINK("https://app.ntsb.gov/pdfgenerator/ReportGeneratorFile.ashx?EventID=20160831X62719&amp;AKey=2&amp;Rtype=Final&amp;IType=FA","PDF Report")</f>
        <v>PDF Report</v>
      </c>
    </row>
    <row r="947" spans="1:22" x14ac:dyDescent="0.25">
      <c r="A947" t="s">
        <v>3714</v>
      </c>
      <c r="B947">
        <v>1</v>
      </c>
      <c r="C947" s="5">
        <v>42613</v>
      </c>
      <c r="D947" t="s">
        <v>3715</v>
      </c>
      <c r="E947" t="s">
        <v>3716</v>
      </c>
      <c r="F947" t="s">
        <v>3717</v>
      </c>
      <c r="G947" t="s">
        <v>538</v>
      </c>
      <c r="H947" t="s">
        <v>33</v>
      </c>
      <c r="J947">
        <v>1</v>
      </c>
      <c r="K947" t="s">
        <v>55</v>
      </c>
      <c r="L947" t="s">
        <v>35</v>
      </c>
      <c r="M947" t="s">
        <v>36</v>
      </c>
      <c r="Q947" t="s">
        <v>37</v>
      </c>
      <c r="R947" t="s">
        <v>38</v>
      </c>
      <c r="S947" t="s">
        <v>84</v>
      </c>
      <c r="T947" t="s">
        <v>73</v>
      </c>
      <c r="U947" t="s">
        <v>41</v>
      </c>
      <c r="V947" s="9" t="str">
        <f>HYPERLINK("https://app.ntsb.gov/pdfgenerator/ReportGeneratorFile.ashx?EventID=20160901X60603&amp;AKey=1&amp;Rtype=Final&amp;IType=LA","PDF Report")</f>
        <v>PDF Report</v>
      </c>
    </row>
    <row r="948" spans="1:22" x14ac:dyDescent="0.25">
      <c r="A948" t="s">
        <v>3718</v>
      </c>
      <c r="B948">
        <v>1</v>
      </c>
      <c r="C948" s="5">
        <v>42613</v>
      </c>
      <c r="D948" t="s">
        <v>3719</v>
      </c>
      <c r="E948" t="s">
        <v>3720</v>
      </c>
      <c r="F948" t="s">
        <v>3721</v>
      </c>
      <c r="G948" t="s">
        <v>148</v>
      </c>
      <c r="H948" t="s">
        <v>33</v>
      </c>
      <c r="J948">
        <v>1</v>
      </c>
      <c r="K948" t="s">
        <v>55</v>
      </c>
      <c r="L948" t="s">
        <v>35</v>
      </c>
      <c r="M948" t="s">
        <v>36</v>
      </c>
      <c r="Q948" t="s">
        <v>37</v>
      </c>
      <c r="R948" t="s">
        <v>38</v>
      </c>
      <c r="S948" t="s">
        <v>455</v>
      </c>
      <c r="T948" t="s">
        <v>73</v>
      </c>
      <c r="U948" t="s">
        <v>41</v>
      </c>
      <c r="V948" s="9" t="str">
        <f>HYPERLINK("https://app.ntsb.gov/pdfgenerator/ReportGeneratorFile.ashx?EventID=20160906X31206&amp;AKey=1&amp;Rtype=Final&amp;IType=LA","PDF Report")</f>
        <v>PDF Report</v>
      </c>
    </row>
    <row r="949" spans="1:22" x14ac:dyDescent="0.25">
      <c r="A949" t="s">
        <v>3722</v>
      </c>
      <c r="B949">
        <v>1</v>
      </c>
      <c r="C949" s="5">
        <v>42613</v>
      </c>
      <c r="F949" t="s">
        <v>3723</v>
      </c>
      <c r="G949" t="s">
        <v>1182</v>
      </c>
      <c r="H949" t="s">
        <v>1182</v>
      </c>
      <c r="J949">
        <v>1</v>
      </c>
      <c r="K949" t="s">
        <v>55</v>
      </c>
      <c r="L949" t="s">
        <v>34</v>
      </c>
      <c r="M949" t="s">
        <v>103</v>
      </c>
      <c r="N949" t="s">
        <v>57</v>
      </c>
      <c r="O949" t="s">
        <v>2019</v>
      </c>
      <c r="P949" t="s">
        <v>59</v>
      </c>
      <c r="Q949" t="s">
        <v>37</v>
      </c>
      <c r="S949" t="s">
        <v>104</v>
      </c>
      <c r="T949" t="s">
        <v>61</v>
      </c>
      <c r="U949" t="s">
        <v>41</v>
      </c>
      <c r="V949" s="9" t="str">
        <f>HYPERLINK("https://app.ntsb.gov/pdfgenerator/ReportGeneratorFile.ashx?EventID=20160908X11147&amp;AKey=1&amp;Rtype=Final&amp;IType=CA","PDF Report")</f>
        <v>PDF Report</v>
      </c>
    </row>
    <row r="950" spans="1:22" x14ac:dyDescent="0.25">
      <c r="A950" t="s">
        <v>3724</v>
      </c>
      <c r="B950">
        <v>1</v>
      </c>
      <c r="C950" s="5">
        <v>42614</v>
      </c>
      <c r="D950" t="s">
        <v>3725</v>
      </c>
      <c r="E950" t="s">
        <v>3726</v>
      </c>
      <c r="F950" t="s">
        <v>3727</v>
      </c>
      <c r="G950" t="s">
        <v>322</v>
      </c>
      <c r="H950" t="s">
        <v>33</v>
      </c>
      <c r="K950" t="s">
        <v>34</v>
      </c>
      <c r="L950" t="s">
        <v>35</v>
      </c>
      <c r="M950" t="s">
        <v>473</v>
      </c>
      <c r="Q950" t="s">
        <v>185</v>
      </c>
      <c r="R950" t="s">
        <v>473</v>
      </c>
      <c r="S950" t="s">
        <v>834</v>
      </c>
      <c r="T950" t="s">
        <v>40</v>
      </c>
      <c r="U950" t="s">
        <v>41</v>
      </c>
      <c r="V950" s="9" t="str">
        <f>HYPERLINK("https://app.ntsb.gov/pdfgenerator/ReportGeneratorFile.ashx?EventID=20160913X10345&amp;AKey=1&amp;Rtype=Final&amp;IType=CA","PDF Report")</f>
        <v>PDF Report</v>
      </c>
    </row>
    <row r="951" spans="1:22" x14ac:dyDescent="0.25">
      <c r="A951" t="s">
        <v>3728</v>
      </c>
      <c r="B951">
        <v>1</v>
      </c>
      <c r="C951" s="5">
        <v>42614</v>
      </c>
      <c r="D951" t="s">
        <v>3729</v>
      </c>
      <c r="E951" t="s">
        <v>3730</v>
      </c>
      <c r="F951" t="s">
        <v>531</v>
      </c>
      <c r="G951" t="s">
        <v>54</v>
      </c>
      <c r="H951" t="s">
        <v>33</v>
      </c>
      <c r="K951" t="s">
        <v>34</v>
      </c>
      <c r="L951" t="s">
        <v>35</v>
      </c>
      <c r="M951" t="s">
        <v>36</v>
      </c>
      <c r="Q951" t="s">
        <v>37</v>
      </c>
      <c r="R951" t="s">
        <v>130</v>
      </c>
      <c r="S951" t="s">
        <v>191</v>
      </c>
      <c r="T951" t="s">
        <v>378</v>
      </c>
      <c r="U951" t="s">
        <v>41</v>
      </c>
      <c r="V951" s="9" t="str">
        <f>HYPERLINK("https://app.ntsb.gov/pdfgenerator/ReportGeneratorFile.ashx?EventID=20160914X32900&amp;AKey=1&amp;Rtype=Final&amp;IType=CA","PDF Report")</f>
        <v>PDF Report</v>
      </c>
    </row>
    <row r="952" spans="1:22" x14ac:dyDescent="0.25">
      <c r="A952" t="s">
        <v>3731</v>
      </c>
      <c r="B952">
        <v>1</v>
      </c>
      <c r="C952" s="5">
        <v>42615</v>
      </c>
      <c r="D952" t="s">
        <v>3732</v>
      </c>
      <c r="E952" t="s">
        <v>3733</v>
      </c>
      <c r="F952" t="s">
        <v>3734</v>
      </c>
      <c r="G952" t="s">
        <v>500</v>
      </c>
      <c r="H952" t="s">
        <v>33</v>
      </c>
      <c r="I952">
        <v>2</v>
      </c>
      <c r="K952" t="s">
        <v>90</v>
      </c>
      <c r="L952" t="s">
        <v>110</v>
      </c>
      <c r="M952" t="s">
        <v>36</v>
      </c>
      <c r="Q952" t="s">
        <v>37</v>
      </c>
      <c r="R952" t="s">
        <v>38</v>
      </c>
      <c r="S952" t="s">
        <v>48</v>
      </c>
      <c r="T952" t="s">
        <v>243</v>
      </c>
      <c r="U952" t="s">
        <v>41</v>
      </c>
      <c r="V952" s="9" t="str">
        <f>HYPERLINK("https://app.ntsb.gov/pdfgenerator/ReportGeneratorFile.ashx?EventID=20160902X31547&amp;AKey=1&amp;Rtype=Final&amp;IType=FA","PDF Report")</f>
        <v>PDF Report</v>
      </c>
    </row>
    <row r="953" spans="1:22" x14ac:dyDescent="0.25">
      <c r="A953" t="s">
        <v>3735</v>
      </c>
      <c r="B953">
        <v>1</v>
      </c>
      <c r="C953" s="5">
        <v>42615</v>
      </c>
      <c r="D953" t="s">
        <v>3736</v>
      </c>
      <c r="E953" t="s">
        <v>3737</v>
      </c>
      <c r="F953" t="s">
        <v>567</v>
      </c>
      <c r="G953" t="s">
        <v>232</v>
      </c>
      <c r="H953" t="s">
        <v>33</v>
      </c>
      <c r="J953">
        <v>1</v>
      </c>
      <c r="K953" t="s">
        <v>55</v>
      </c>
      <c r="L953" t="s">
        <v>34</v>
      </c>
      <c r="M953" t="s">
        <v>473</v>
      </c>
      <c r="Q953" t="s">
        <v>185</v>
      </c>
      <c r="R953" t="s">
        <v>474</v>
      </c>
      <c r="S953" t="s">
        <v>1074</v>
      </c>
      <c r="T953" t="s">
        <v>143</v>
      </c>
      <c r="U953" t="s">
        <v>41</v>
      </c>
      <c r="V953" s="9" t="str">
        <f>HYPERLINK("https://app.ntsb.gov/pdfgenerator/ReportGeneratorFile.ashx?EventID=20160908X03328&amp;AKey=1&amp;Rtype=Final&amp;IType=LA","PDF Report")</f>
        <v>PDF Report</v>
      </c>
    </row>
    <row r="954" spans="1:22" x14ac:dyDescent="0.25">
      <c r="A954" t="s">
        <v>3738</v>
      </c>
      <c r="B954">
        <v>1</v>
      </c>
      <c r="C954" s="5">
        <v>42615</v>
      </c>
      <c r="D954" t="s">
        <v>3739</v>
      </c>
      <c r="E954" t="s">
        <v>3740</v>
      </c>
      <c r="F954" t="s">
        <v>3741</v>
      </c>
      <c r="G954" t="s">
        <v>54</v>
      </c>
      <c r="H954" t="s">
        <v>33</v>
      </c>
      <c r="K954" t="s">
        <v>34</v>
      </c>
      <c r="L954" t="s">
        <v>35</v>
      </c>
      <c r="M954" t="s">
        <v>36</v>
      </c>
      <c r="Q954" t="s">
        <v>37</v>
      </c>
      <c r="R954" t="s">
        <v>38</v>
      </c>
      <c r="S954" t="s">
        <v>84</v>
      </c>
      <c r="T954" t="s">
        <v>73</v>
      </c>
      <c r="U954" t="s">
        <v>41</v>
      </c>
      <c r="V954" s="9" t="str">
        <f>HYPERLINK("https://app.ntsb.gov/pdfgenerator/ReportGeneratorFile.ashx?EventID=20160909X91346&amp;AKey=1&amp;Rtype=Final&amp;IType=CA","PDF Report")</f>
        <v>PDF Report</v>
      </c>
    </row>
    <row r="955" spans="1:22" x14ac:dyDescent="0.25">
      <c r="A955" t="s">
        <v>3742</v>
      </c>
      <c r="B955">
        <v>1</v>
      </c>
      <c r="C955" s="5">
        <v>42615</v>
      </c>
      <c r="D955" t="s">
        <v>3743</v>
      </c>
      <c r="E955" t="s">
        <v>3744</v>
      </c>
      <c r="F955" t="s">
        <v>3745</v>
      </c>
      <c r="G955" t="s">
        <v>312</v>
      </c>
      <c r="H955" t="s">
        <v>33</v>
      </c>
      <c r="K955" t="s">
        <v>34</v>
      </c>
      <c r="L955" t="s">
        <v>35</v>
      </c>
      <c r="M955" t="s">
        <v>36</v>
      </c>
      <c r="Q955" t="s">
        <v>37</v>
      </c>
      <c r="R955" t="s">
        <v>130</v>
      </c>
      <c r="S955" t="s">
        <v>131</v>
      </c>
      <c r="T955" t="s">
        <v>73</v>
      </c>
      <c r="U955" t="s">
        <v>41</v>
      </c>
      <c r="V955" s="9" t="str">
        <f>HYPERLINK("https://app.ntsb.gov/pdfgenerator/ReportGeneratorFile.ashx?EventID=20161201X50845&amp;AKey=1&amp;Rtype=Final&amp;IType=CA","PDF Report")</f>
        <v>PDF Report</v>
      </c>
    </row>
    <row r="956" spans="1:22" x14ac:dyDescent="0.25">
      <c r="A956" t="s">
        <v>3746</v>
      </c>
      <c r="B956">
        <v>1</v>
      </c>
      <c r="C956" s="5">
        <v>42616</v>
      </c>
      <c r="D956" t="s">
        <v>3747</v>
      </c>
      <c r="E956" t="s">
        <v>3748</v>
      </c>
      <c r="F956" t="s">
        <v>3749</v>
      </c>
      <c r="G956" t="s">
        <v>96</v>
      </c>
      <c r="H956" t="s">
        <v>33</v>
      </c>
      <c r="I956">
        <v>2</v>
      </c>
      <c r="K956" t="s">
        <v>90</v>
      </c>
      <c r="L956" t="s">
        <v>35</v>
      </c>
      <c r="M956" t="s">
        <v>36</v>
      </c>
      <c r="Q956" t="s">
        <v>37</v>
      </c>
      <c r="R956" t="s">
        <v>38</v>
      </c>
      <c r="S956" t="s">
        <v>48</v>
      </c>
      <c r="T956" t="s">
        <v>40</v>
      </c>
      <c r="U956" t="s">
        <v>41</v>
      </c>
      <c r="V956" s="9" t="str">
        <f>HYPERLINK("https://app.ntsb.gov/pdfgenerator/ReportGeneratorFile.ashx?EventID=20160903X32500&amp;AKey=1&amp;Rtype=Final&amp;IType=FA","PDF Report")</f>
        <v>PDF Report</v>
      </c>
    </row>
    <row r="957" spans="1:22" x14ac:dyDescent="0.25">
      <c r="A957" t="s">
        <v>3750</v>
      </c>
      <c r="B957">
        <v>1</v>
      </c>
      <c r="C957" s="5">
        <v>42616</v>
      </c>
      <c r="D957" t="s">
        <v>3751</v>
      </c>
      <c r="E957" t="s">
        <v>3752</v>
      </c>
      <c r="F957" t="s">
        <v>2458</v>
      </c>
      <c r="G957" t="s">
        <v>115</v>
      </c>
      <c r="H957" t="s">
        <v>33</v>
      </c>
      <c r="I957">
        <v>2</v>
      </c>
      <c r="K957" t="s">
        <v>90</v>
      </c>
      <c r="L957" t="s">
        <v>110</v>
      </c>
      <c r="M957" t="s">
        <v>36</v>
      </c>
      <c r="Q957" t="s">
        <v>37</v>
      </c>
      <c r="R957" t="s">
        <v>38</v>
      </c>
      <c r="S957" t="s">
        <v>1278</v>
      </c>
      <c r="T957" t="s">
        <v>61</v>
      </c>
      <c r="U957" t="s">
        <v>41</v>
      </c>
      <c r="V957" s="9" t="str">
        <f>HYPERLINK("https://app.ntsb.gov/pdfgenerator/ReportGeneratorFile.ashx?EventID=20160903X33607&amp;AKey=1&amp;Rtype=Final&amp;IType=FA","PDF Report")</f>
        <v>PDF Report</v>
      </c>
    </row>
    <row r="958" spans="1:22" x14ac:dyDescent="0.25">
      <c r="A958" t="s">
        <v>3753</v>
      </c>
      <c r="B958">
        <v>1</v>
      </c>
      <c r="C958" s="5">
        <v>42616</v>
      </c>
      <c r="D958" t="s">
        <v>3754</v>
      </c>
      <c r="E958" t="s">
        <v>3755</v>
      </c>
      <c r="F958" t="s">
        <v>3756</v>
      </c>
      <c r="G958" t="s">
        <v>54</v>
      </c>
      <c r="H958" t="s">
        <v>33</v>
      </c>
      <c r="K958" t="s">
        <v>34</v>
      </c>
      <c r="L958" t="s">
        <v>35</v>
      </c>
      <c r="M958" t="s">
        <v>36</v>
      </c>
      <c r="Q958" t="s">
        <v>37</v>
      </c>
      <c r="R958" t="s">
        <v>38</v>
      </c>
      <c r="S958" t="s">
        <v>131</v>
      </c>
      <c r="T958" t="s">
        <v>73</v>
      </c>
      <c r="U958" t="s">
        <v>41</v>
      </c>
      <c r="V958" s="9" t="str">
        <f>HYPERLINK("https://app.ntsb.gov/pdfgenerator/ReportGeneratorFile.ashx?EventID=20160906X40837&amp;AKey=1&amp;Rtype=Final&amp;IType=CA","PDF Report")</f>
        <v>PDF Report</v>
      </c>
    </row>
    <row r="959" spans="1:22" x14ac:dyDescent="0.25">
      <c r="A959" t="s">
        <v>3757</v>
      </c>
      <c r="B959">
        <v>1</v>
      </c>
      <c r="C959" s="5">
        <v>42616</v>
      </c>
      <c r="D959" t="s">
        <v>3758</v>
      </c>
      <c r="E959" t="s">
        <v>3759</v>
      </c>
      <c r="F959" t="s">
        <v>3760</v>
      </c>
      <c r="G959" t="s">
        <v>66</v>
      </c>
      <c r="H959" t="s">
        <v>33</v>
      </c>
      <c r="K959" t="s">
        <v>34</v>
      </c>
      <c r="L959" t="s">
        <v>35</v>
      </c>
      <c r="M959" t="s">
        <v>36</v>
      </c>
      <c r="Q959" t="s">
        <v>37</v>
      </c>
      <c r="R959" t="s">
        <v>2361</v>
      </c>
      <c r="S959" t="s">
        <v>131</v>
      </c>
      <c r="T959" t="s">
        <v>73</v>
      </c>
      <c r="U959" t="s">
        <v>41</v>
      </c>
      <c r="V959" s="9" t="str">
        <f>HYPERLINK("https://app.ntsb.gov/pdfgenerator/ReportGeneratorFile.ashx?EventID=20160906X42514&amp;AKey=1&amp;Rtype=Final&amp;IType=CA","PDF Report")</f>
        <v>PDF Report</v>
      </c>
    </row>
    <row r="960" spans="1:22" x14ac:dyDescent="0.25">
      <c r="A960" t="s">
        <v>3761</v>
      </c>
      <c r="B960">
        <v>1</v>
      </c>
      <c r="C960" s="5">
        <v>42616</v>
      </c>
      <c r="D960" t="s">
        <v>3762</v>
      </c>
      <c r="E960" t="s">
        <v>3763</v>
      </c>
      <c r="F960" t="s">
        <v>1303</v>
      </c>
      <c r="G960" t="s">
        <v>54</v>
      </c>
      <c r="H960" t="s">
        <v>33</v>
      </c>
      <c r="K960" t="s">
        <v>34</v>
      </c>
      <c r="L960" t="s">
        <v>35</v>
      </c>
      <c r="M960" t="s">
        <v>36</v>
      </c>
      <c r="Q960" t="s">
        <v>37</v>
      </c>
      <c r="R960" t="s">
        <v>38</v>
      </c>
      <c r="S960" t="s">
        <v>72</v>
      </c>
      <c r="T960" t="s">
        <v>73</v>
      </c>
      <c r="U960" t="s">
        <v>41</v>
      </c>
      <c r="V960" s="9" t="str">
        <f>HYPERLINK("https://app.ntsb.gov/pdfgenerator/ReportGeneratorFile.ashx?EventID=20160907X12837&amp;AKey=1&amp;Rtype=Final&amp;IType=CA","PDF Report")</f>
        <v>PDF Report</v>
      </c>
    </row>
    <row r="961" spans="1:22" x14ac:dyDescent="0.25">
      <c r="A961" t="s">
        <v>3764</v>
      </c>
      <c r="B961">
        <v>1</v>
      </c>
      <c r="C961" s="5">
        <v>42616</v>
      </c>
      <c r="D961" t="s">
        <v>3765</v>
      </c>
      <c r="E961" t="s">
        <v>3766</v>
      </c>
      <c r="F961" t="s">
        <v>2557</v>
      </c>
      <c r="G961" t="s">
        <v>407</v>
      </c>
      <c r="H961" t="s">
        <v>33</v>
      </c>
      <c r="J961">
        <v>1</v>
      </c>
      <c r="K961" t="s">
        <v>55</v>
      </c>
      <c r="L961" t="s">
        <v>110</v>
      </c>
      <c r="M961" t="s">
        <v>36</v>
      </c>
      <c r="Q961" t="s">
        <v>37</v>
      </c>
      <c r="R961" t="s">
        <v>38</v>
      </c>
      <c r="S961" t="s">
        <v>48</v>
      </c>
      <c r="T961" t="s">
        <v>143</v>
      </c>
      <c r="U961" t="s">
        <v>41</v>
      </c>
      <c r="V961" s="9" t="str">
        <f>HYPERLINK("https://app.ntsb.gov/pdfgenerator/ReportGeneratorFile.ashx?EventID=20160909X03623&amp;AKey=1&amp;Rtype=Final&amp;IType=LA","PDF Report")</f>
        <v>PDF Report</v>
      </c>
    </row>
    <row r="962" spans="1:22" x14ac:dyDescent="0.25">
      <c r="A962" t="s">
        <v>3767</v>
      </c>
      <c r="B962">
        <v>1</v>
      </c>
      <c r="C962" s="5">
        <v>42616</v>
      </c>
      <c r="D962" t="s">
        <v>3768</v>
      </c>
      <c r="E962" t="s">
        <v>3769</v>
      </c>
      <c r="F962" t="s">
        <v>3770</v>
      </c>
      <c r="G962" t="s">
        <v>32</v>
      </c>
      <c r="H962" t="s">
        <v>33</v>
      </c>
      <c r="K962" t="s">
        <v>47</v>
      </c>
      <c r="L962" t="s">
        <v>35</v>
      </c>
      <c r="M962" t="s">
        <v>36</v>
      </c>
      <c r="Q962" t="s">
        <v>37</v>
      </c>
      <c r="R962" t="s">
        <v>38</v>
      </c>
      <c r="S962" t="s">
        <v>72</v>
      </c>
      <c r="T962" t="s">
        <v>49</v>
      </c>
      <c r="U962" t="s">
        <v>41</v>
      </c>
      <c r="V962" s="9" t="str">
        <f>HYPERLINK("https://app.ntsb.gov/pdfgenerator/ReportGeneratorFile.ashx?EventID=20160914X31028&amp;AKey=1&amp;Rtype=Final&amp;IType=CA","PDF Report")</f>
        <v>PDF Report</v>
      </c>
    </row>
    <row r="963" spans="1:22" x14ac:dyDescent="0.25">
      <c r="A963" t="s">
        <v>3771</v>
      </c>
      <c r="B963">
        <v>1</v>
      </c>
      <c r="C963" s="5">
        <v>42616</v>
      </c>
      <c r="D963" t="s">
        <v>3772</v>
      </c>
      <c r="E963" t="s">
        <v>3773</v>
      </c>
      <c r="F963" t="s">
        <v>1082</v>
      </c>
      <c r="G963" t="s">
        <v>54</v>
      </c>
      <c r="H963" t="s">
        <v>33</v>
      </c>
      <c r="K963" t="s">
        <v>34</v>
      </c>
      <c r="L963" t="s">
        <v>35</v>
      </c>
      <c r="M963" t="s">
        <v>36</v>
      </c>
      <c r="Q963" t="s">
        <v>37</v>
      </c>
      <c r="R963" t="s">
        <v>38</v>
      </c>
      <c r="S963" t="s">
        <v>97</v>
      </c>
      <c r="T963" t="s">
        <v>49</v>
      </c>
      <c r="U963" t="s">
        <v>41</v>
      </c>
      <c r="V963" s="9" t="str">
        <f>HYPERLINK("https://app.ntsb.gov/pdfgenerator/ReportGeneratorFile.ashx?EventID=20160914X43846&amp;AKey=1&amp;Rtype=Final&amp;IType=CA","PDF Report")</f>
        <v>PDF Report</v>
      </c>
    </row>
    <row r="964" spans="1:22" x14ac:dyDescent="0.25">
      <c r="A964" t="s">
        <v>3774</v>
      </c>
      <c r="B964">
        <v>1</v>
      </c>
      <c r="C964" s="5">
        <v>42616</v>
      </c>
      <c r="D964" t="s">
        <v>3775</v>
      </c>
      <c r="E964" t="s">
        <v>3776</v>
      </c>
      <c r="F964" t="s">
        <v>3777</v>
      </c>
      <c r="G964" t="s">
        <v>312</v>
      </c>
      <c r="H964" t="s">
        <v>33</v>
      </c>
      <c r="K964" t="s">
        <v>34</v>
      </c>
      <c r="L964" t="s">
        <v>35</v>
      </c>
      <c r="M964" t="s">
        <v>36</v>
      </c>
      <c r="Q964" t="s">
        <v>37</v>
      </c>
      <c r="R964" t="s">
        <v>38</v>
      </c>
      <c r="S964" t="s">
        <v>131</v>
      </c>
      <c r="T964" t="s">
        <v>73</v>
      </c>
      <c r="U964" t="s">
        <v>41</v>
      </c>
      <c r="V964" s="9" t="str">
        <f>HYPERLINK("https://app.ntsb.gov/pdfgenerator/ReportGeneratorFile.ashx?EventID=20160926X23010&amp;AKey=1&amp;Rtype=Final&amp;IType=CA","PDF Report")</f>
        <v>PDF Report</v>
      </c>
    </row>
    <row r="965" spans="1:22" x14ac:dyDescent="0.25">
      <c r="A965" t="s">
        <v>3778</v>
      </c>
      <c r="B965">
        <v>1</v>
      </c>
      <c r="C965" s="5">
        <v>42617</v>
      </c>
      <c r="D965" t="s">
        <v>3779</v>
      </c>
      <c r="E965" t="s">
        <v>3780</v>
      </c>
      <c r="F965" t="s">
        <v>3781</v>
      </c>
      <c r="G965" t="s">
        <v>666</v>
      </c>
      <c r="H965" t="s">
        <v>33</v>
      </c>
      <c r="K965" t="s">
        <v>34</v>
      </c>
      <c r="L965" t="s">
        <v>35</v>
      </c>
      <c r="M965" t="s">
        <v>36</v>
      </c>
      <c r="Q965" t="s">
        <v>37</v>
      </c>
      <c r="R965" t="s">
        <v>38</v>
      </c>
      <c r="S965" t="s">
        <v>39</v>
      </c>
      <c r="T965" t="s">
        <v>61</v>
      </c>
      <c r="U965" t="s">
        <v>41</v>
      </c>
      <c r="V965" s="9" t="str">
        <f>HYPERLINK("https://app.ntsb.gov/pdfgenerator/ReportGeneratorFile.ashx?EventID=20160906X24001&amp;AKey=1&amp;Rtype=Final&amp;IType=LA","PDF Report")</f>
        <v>PDF Report</v>
      </c>
    </row>
    <row r="966" spans="1:22" x14ac:dyDescent="0.25">
      <c r="A966" t="s">
        <v>3782</v>
      </c>
      <c r="B966">
        <v>1</v>
      </c>
      <c r="C966" s="5">
        <v>42617</v>
      </c>
      <c r="D966" t="s">
        <v>3783</v>
      </c>
      <c r="E966" t="s">
        <v>3784</v>
      </c>
      <c r="F966" t="s">
        <v>3785</v>
      </c>
      <c r="G966" t="s">
        <v>89</v>
      </c>
      <c r="H966" t="s">
        <v>33</v>
      </c>
      <c r="K966" t="s">
        <v>34</v>
      </c>
      <c r="L966" t="s">
        <v>35</v>
      </c>
      <c r="M966" t="s">
        <v>36</v>
      </c>
      <c r="Q966" t="s">
        <v>523</v>
      </c>
      <c r="R966" t="s">
        <v>38</v>
      </c>
      <c r="S966" t="s">
        <v>97</v>
      </c>
      <c r="T966" t="s">
        <v>79</v>
      </c>
      <c r="U966" t="s">
        <v>41</v>
      </c>
      <c r="V966" s="9" t="str">
        <f>HYPERLINK("https://app.ntsb.gov/pdfgenerator/ReportGeneratorFile.ashx?EventID=20160906X35218&amp;AKey=1&amp;Rtype=Final&amp;IType=LA","PDF Report")</f>
        <v>PDF Report</v>
      </c>
    </row>
    <row r="967" spans="1:22" x14ac:dyDescent="0.25">
      <c r="A967" t="s">
        <v>3786</v>
      </c>
      <c r="B967">
        <v>1</v>
      </c>
      <c r="C967" s="5">
        <v>42617</v>
      </c>
      <c r="D967" t="s">
        <v>3787</v>
      </c>
      <c r="E967" t="s">
        <v>3788</v>
      </c>
      <c r="F967" t="s">
        <v>3789</v>
      </c>
      <c r="G967" t="s">
        <v>312</v>
      </c>
      <c r="H967" t="s">
        <v>33</v>
      </c>
      <c r="J967">
        <v>1</v>
      </c>
      <c r="K967" t="s">
        <v>55</v>
      </c>
      <c r="L967" t="s">
        <v>35</v>
      </c>
      <c r="M967" t="s">
        <v>36</v>
      </c>
      <c r="Q967" t="s">
        <v>37</v>
      </c>
      <c r="R967" t="s">
        <v>38</v>
      </c>
      <c r="S967" t="s">
        <v>39</v>
      </c>
      <c r="T967" t="s">
        <v>40</v>
      </c>
      <c r="U967" t="s">
        <v>41</v>
      </c>
      <c r="V967" s="9" t="str">
        <f>HYPERLINK("https://app.ntsb.gov/pdfgenerator/ReportGeneratorFile.ashx?EventID=20160906X40120&amp;AKey=1&amp;Rtype=Final&amp;IType=LA","PDF Report")</f>
        <v>PDF Report</v>
      </c>
    </row>
    <row r="968" spans="1:22" x14ac:dyDescent="0.25">
      <c r="A968" t="s">
        <v>3790</v>
      </c>
      <c r="B968">
        <v>1</v>
      </c>
      <c r="C968" s="5">
        <v>42617</v>
      </c>
      <c r="D968" t="s">
        <v>3791</v>
      </c>
      <c r="E968" t="s">
        <v>3792</v>
      </c>
      <c r="F968" t="s">
        <v>3793</v>
      </c>
      <c r="G968" t="s">
        <v>142</v>
      </c>
      <c r="H968" t="s">
        <v>33</v>
      </c>
      <c r="K968" t="s">
        <v>34</v>
      </c>
      <c r="L968" t="s">
        <v>35</v>
      </c>
      <c r="M968" t="s">
        <v>36</v>
      </c>
      <c r="Q968" t="s">
        <v>874</v>
      </c>
      <c r="R968" t="s">
        <v>38</v>
      </c>
      <c r="S968" t="s">
        <v>84</v>
      </c>
      <c r="T968" t="s">
        <v>73</v>
      </c>
      <c r="U968" t="s">
        <v>41</v>
      </c>
      <c r="V968" s="9" t="str">
        <f>HYPERLINK("https://app.ntsb.gov/pdfgenerator/ReportGeneratorFile.ashx?EventID=20160913X50908&amp;AKey=1&amp;Rtype=Final&amp;IType=CA","PDF Report")</f>
        <v>PDF Report</v>
      </c>
    </row>
    <row r="969" spans="1:22" x14ac:dyDescent="0.25">
      <c r="A969" t="s">
        <v>3794</v>
      </c>
      <c r="B969">
        <v>1</v>
      </c>
      <c r="C969" s="5">
        <v>42618</v>
      </c>
      <c r="D969" t="s">
        <v>3795</v>
      </c>
      <c r="E969" t="s">
        <v>3796</v>
      </c>
      <c r="F969" t="s">
        <v>3797</v>
      </c>
      <c r="G969" t="s">
        <v>96</v>
      </c>
      <c r="H969" t="s">
        <v>33</v>
      </c>
      <c r="K969" t="s">
        <v>34</v>
      </c>
      <c r="L969" t="s">
        <v>35</v>
      </c>
      <c r="M969" t="s">
        <v>767</v>
      </c>
      <c r="Q969" t="s">
        <v>37</v>
      </c>
      <c r="R969" t="s">
        <v>768</v>
      </c>
      <c r="S969" t="s">
        <v>48</v>
      </c>
      <c r="T969" t="s">
        <v>40</v>
      </c>
      <c r="U969" t="s">
        <v>41</v>
      </c>
      <c r="V969" s="9" t="str">
        <f>HYPERLINK("https://app.ntsb.gov/pdfgenerator/ReportGeneratorFile.ashx?EventID=20160906X31104&amp;AKey=1&amp;Rtype=Final&amp;IType=CA","PDF Report")</f>
        <v>PDF Report</v>
      </c>
    </row>
    <row r="970" spans="1:22" x14ac:dyDescent="0.25">
      <c r="A970" t="s">
        <v>3798</v>
      </c>
      <c r="B970">
        <v>1</v>
      </c>
      <c r="C970" s="5">
        <v>42618</v>
      </c>
      <c r="D970" t="s">
        <v>3799</v>
      </c>
      <c r="E970" t="s">
        <v>3800</v>
      </c>
      <c r="F970" t="s">
        <v>3801</v>
      </c>
      <c r="G970" t="s">
        <v>66</v>
      </c>
      <c r="H970" t="s">
        <v>33</v>
      </c>
      <c r="K970" t="s">
        <v>34</v>
      </c>
      <c r="L970" t="s">
        <v>35</v>
      </c>
      <c r="M970" t="s">
        <v>36</v>
      </c>
      <c r="Q970" t="s">
        <v>37</v>
      </c>
      <c r="R970" t="s">
        <v>38</v>
      </c>
      <c r="S970" t="s">
        <v>131</v>
      </c>
      <c r="T970" t="s">
        <v>73</v>
      </c>
      <c r="U970" t="s">
        <v>41</v>
      </c>
      <c r="V970" s="9" t="str">
        <f>HYPERLINK("https://app.ntsb.gov/pdfgenerator/ReportGeneratorFile.ashx?EventID=20160906X42741&amp;AKey=1&amp;Rtype=Final&amp;IType=CA","PDF Report")</f>
        <v>PDF Report</v>
      </c>
    </row>
    <row r="971" spans="1:22" x14ac:dyDescent="0.25">
      <c r="A971" t="s">
        <v>3802</v>
      </c>
      <c r="B971">
        <v>1</v>
      </c>
      <c r="C971" s="5">
        <v>42618</v>
      </c>
      <c r="D971" t="s">
        <v>3803</v>
      </c>
      <c r="E971" t="s">
        <v>3804</v>
      </c>
      <c r="F971" t="s">
        <v>661</v>
      </c>
      <c r="G971" t="s">
        <v>96</v>
      </c>
      <c r="H971" t="s">
        <v>33</v>
      </c>
      <c r="K971" t="s">
        <v>34</v>
      </c>
      <c r="L971" t="s">
        <v>35</v>
      </c>
      <c r="M971" t="s">
        <v>36</v>
      </c>
      <c r="Q971" t="s">
        <v>37</v>
      </c>
      <c r="R971" t="s">
        <v>38</v>
      </c>
      <c r="S971" t="s">
        <v>84</v>
      </c>
      <c r="T971" t="s">
        <v>73</v>
      </c>
      <c r="U971" t="s">
        <v>41</v>
      </c>
      <c r="V971" s="9" t="str">
        <f>HYPERLINK("https://app.ntsb.gov/pdfgenerator/ReportGeneratorFile.ashx?EventID=20160906X74252&amp;AKey=1&amp;Rtype=Final&amp;IType=CA","PDF Report")</f>
        <v>PDF Report</v>
      </c>
    </row>
    <row r="972" spans="1:22" x14ac:dyDescent="0.25">
      <c r="A972" t="s">
        <v>3805</v>
      </c>
      <c r="B972">
        <v>1</v>
      </c>
      <c r="C972" s="5">
        <v>42618</v>
      </c>
      <c r="D972" t="s">
        <v>3806</v>
      </c>
      <c r="E972" t="s">
        <v>3807</v>
      </c>
      <c r="F972" t="s">
        <v>3808</v>
      </c>
      <c r="G972" t="s">
        <v>789</v>
      </c>
      <c r="H972" t="s">
        <v>33</v>
      </c>
      <c r="K972" t="s">
        <v>34</v>
      </c>
      <c r="L972" t="s">
        <v>35</v>
      </c>
      <c r="M972" t="s">
        <v>36</v>
      </c>
      <c r="Q972" t="s">
        <v>37</v>
      </c>
      <c r="R972" t="s">
        <v>38</v>
      </c>
      <c r="S972" t="s">
        <v>131</v>
      </c>
      <c r="T972" t="s">
        <v>49</v>
      </c>
      <c r="U972" t="s">
        <v>41</v>
      </c>
      <c r="V972" s="9" t="str">
        <f>HYPERLINK("https://app.ntsb.gov/pdfgenerator/ReportGeneratorFile.ashx?EventID=20160913X22634&amp;AKey=1&amp;Rtype=Final&amp;IType=CA","PDF Report")</f>
        <v>PDF Report</v>
      </c>
    </row>
    <row r="973" spans="1:22" x14ac:dyDescent="0.25">
      <c r="A973" t="s">
        <v>3809</v>
      </c>
      <c r="B973">
        <v>1</v>
      </c>
      <c r="C973" s="5">
        <v>42619</v>
      </c>
      <c r="D973" t="s">
        <v>3810</v>
      </c>
      <c r="E973" t="s">
        <v>3811</v>
      </c>
      <c r="F973" t="s">
        <v>3812</v>
      </c>
      <c r="G973" t="s">
        <v>115</v>
      </c>
      <c r="H973" t="s">
        <v>33</v>
      </c>
      <c r="I973">
        <v>3</v>
      </c>
      <c r="K973" t="s">
        <v>90</v>
      </c>
      <c r="L973" t="s">
        <v>110</v>
      </c>
      <c r="M973" t="s">
        <v>36</v>
      </c>
      <c r="Q973" t="s">
        <v>185</v>
      </c>
      <c r="R973" t="s">
        <v>505</v>
      </c>
      <c r="S973" t="s">
        <v>243</v>
      </c>
      <c r="T973" t="s">
        <v>40</v>
      </c>
      <c r="U973" t="s">
        <v>41</v>
      </c>
      <c r="V973" s="9" t="str">
        <f>HYPERLINK("https://app.ntsb.gov/pdfgenerator/ReportGeneratorFile.ashx?EventID=20160906X60042&amp;AKey=1&amp;Rtype=Final&amp;IType=FA","PDF Report")</f>
        <v>PDF Report</v>
      </c>
    </row>
    <row r="974" spans="1:22" x14ac:dyDescent="0.25">
      <c r="A974" t="s">
        <v>3813</v>
      </c>
      <c r="B974">
        <v>1</v>
      </c>
      <c r="C974" s="5">
        <v>42619</v>
      </c>
      <c r="D974" t="s">
        <v>3814</v>
      </c>
      <c r="E974" t="s">
        <v>3815</v>
      </c>
      <c r="F974" t="s">
        <v>3133</v>
      </c>
      <c r="G974" t="s">
        <v>1508</v>
      </c>
      <c r="H974" t="s">
        <v>33</v>
      </c>
      <c r="K974" t="s">
        <v>47</v>
      </c>
      <c r="L974" t="s">
        <v>35</v>
      </c>
      <c r="M974" t="s">
        <v>36</v>
      </c>
      <c r="Q974" t="s">
        <v>37</v>
      </c>
      <c r="R974" t="s">
        <v>38</v>
      </c>
      <c r="S974" t="s">
        <v>48</v>
      </c>
      <c r="T974" t="s">
        <v>40</v>
      </c>
      <c r="U974" t="s">
        <v>41</v>
      </c>
      <c r="V974" s="9" t="str">
        <f>HYPERLINK("https://app.ntsb.gov/pdfgenerator/ReportGeneratorFile.ashx?EventID=20160907X30009&amp;AKey=1&amp;Rtype=Final&amp;IType=CA","PDF Report")</f>
        <v>PDF Report</v>
      </c>
    </row>
    <row r="975" spans="1:22" x14ac:dyDescent="0.25">
      <c r="A975" t="s">
        <v>3816</v>
      </c>
      <c r="B975">
        <v>1</v>
      </c>
      <c r="C975" s="5">
        <v>42619</v>
      </c>
      <c r="D975" t="s">
        <v>3817</v>
      </c>
      <c r="E975" t="s">
        <v>3818</v>
      </c>
      <c r="F975" t="s">
        <v>3819</v>
      </c>
      <c r="G975" t="s">
        <v>491</v>
      </c>
      <c r="H975" t="s">
        <v>33</v>
      </c>
      <c r="K975" t="s">
        <v>34</v>
      </c>
      <c r="L975" t="s">
        <v>35</v>
      </c>
      <c r="M975" t="s">
        <v>36</v>
      </c>
      <c r="Q975" t="s">
        <v>37</v>
      </c>
      <c r="R975" t="s">
        <v>274</v>
      </c>
      <c r="S975" t="s">
        <v>84</v>
      </c>
      <c r="T975" t="s">
        <v>243</v>
      </c>
      <c r="U975" t="s">
        <v>41</v>
      </c>
      <c r="V975" s="9" t="str">
        <f>HYPERLINK("https://app.ntsb.gov/pdfgenerator/ReportGeneratorFile.ashx?EventID=20160927X61547&amp;AKey=1&amp;Rtype=Final&amp;IType=CA","PDF Report")</f>
        <v>PDF Report</v>
      </c>
    </row>
    <row r="976" spans="1:22" x14ac:dyDescent="0.25">
      <c r="A976" t="s">
        <v>3820</v>
      </c>
      <c r="B976">
        <v>1</v>
      </c>
      <c r="C976" s="5">
        <v>42620</v>
      </c>
      <c r="D976" t="s">
        <v>3821</v>
      </c>
      <c r="E976" t="s">
        <v>3822</v>
      </c>
      <c r="F976" t="s">
        <v>1334</v>
      </c>
      <c r="G976" t="s">
        <v>136</v>
      </c>
      <c r="H976" t="s">
        <v>33</v>
      </c>
      <c r="I976">
        <v>3</v>
      </c>
      <c r="K976" t="s">
        <v>90</v>
      </c>
      <c r="L976" t="s">
        <v>35</v>
      </c>
      <c r="M976" t="s">
        <v>36</v>
      </c>
      <c r="Q976" t="s">
        <v>37</v>
      </c>
      <c r="R976" t="s">
        <v>38</v>
      </c>
      <c r="S976" t="s">
        <v>433</v>
      </c>
      <c r="T976" t="s">
        <v>79</v>
      </c>
      <c r="U976" t="s">
        <v>41</v>
      </c>
      <c r="V976" s="9" t="str">
        <f>HYPERLINK("https://app.ntsb.gov/pdfgenerator/ReportGeneratorFile.ashx?EventID=20160907X21532&amp;AKey=1&amp;Rtype=Final&amp;IType=FA","PDF Report")</f>
        <v>PDF Report</v>
      </c>
    </row>
    <row r="977" spans="1:22" x14ac:dyDescent="0.25">
      <c r="A977" t="s">
        <v>3820</v>
      </c>
      <c r="B977">
        <v>2</v>
      </c>
      <c r="C977" s="5">
        <v>42620</v>
      </c>
      <c r="D977" t="s">
        <v>3821</v>
      </c>
      <c r="E977" t="s">
        <v>3822</v>
      </c>
      <c r="F977" t="s">
        <v>1334</v>
      </c>
      <c r="G977" t="s">
        <v>136</v>
      </c>
      <c r="H977" t="s">
        <v>33</v>
      </c>
      <c r="I977">
        <v>3</v>
      </c>
      <c r="K977" t="s">
        <v>90</v>
      </c>
      <c r="L977" t="s">
        <v>110</v>
      </c>
      <c r="M977" t="s">
        <v>36</v>
      </c>
      <c r="Q977" t="s">
        <v>37</v>
      </c>
      <c r="R977" t="s">
        <v>130</v>
      </c>
      <c r="S977" t="s">
        <v>433</v>
      </c>
      <c r="T977" t="s">
        <v>79</v>
      </c>
      <c r="U977" t="s">
        <v>41</v>
      </c>
      <c r="V977" s="9" t="str">
        <f>HYPERLINK("https://app.ntsb.gov/pdfgenerator/ReportGeneratorFile.ashx?EventID=20160907X21532&amp;AKey=2&amp;Rtype=Final&amp;IType=FA","PDF Report")</f>
        <v>PDF Report</v>
      </c>
    </row>
    <row r="978" spans="1:22" x14ac:dyDescent="0.25">
      <c r="A978" t="s">
        <v>3823</v>
      </c>
      <c r="B978">
        <v>1</v>
      </c>
      <c r="C978" s="5">
        <v>42620</v>
      </c>
      <c r="D978" t="s">
        <v>3824</v>
      </c>
      <c r="E978" t="s">
        <v>3825</v>
      </c>
      <c r="F978" t="s">
        <v>3826</v>
      </c>
      <c r="G978" t="s">
        <v>89</v>
      </c>
      <c r="H978" t="s">
        <v>33</v>
      </c>
      <c r="K978" t="s">
        <v>34</v>
      </c>
      <c r="L978" t="s">
        <v>35</v>
      </c>
      <c r="M978" t="s">
        <v>36</v>
      </c>
      <c r="Q978" t="s">
        <v>37</v>
      </c>
      <c r="R978" t="s">
        <v>38</v>
      </c>
      <c r="S978" t="s">
        <v>455</v>
      </c>
      <c r="T978" t="s">
        <v>73</v>
      </c>
      <c r="U978" t="s">
        <v>41</v>
      </c>
      <c r="V978" s="9" t="str">
        <f>HYPERLINK("https://app.ntsb.gov/pdfgenerator/ReportGeneratorFile.ashx?EventID=20160907X35920&amp;AKey=1&amp;Rtype=Final&amp;IType=CA","PDF Report")</f>
        <v>PDF Report</v>
      </c>
    </row>
    <row r="979" spans="1:22" x14ac:dyDescent="0.25">
      <c r="A979" t="s">
        <v>3827</v>
      </c>
      <c r="B979">
        <v>1</v>
      </c>
      <c r="C979" s="5">
        <v>42620</v>
      </c>
      <c r="D979" t="s">
        <v>3828</v>
      </c>
      <c r="E979" t="s">
        <v>3829</v>
      </c>
      <c r="F979" t="s">
        <v>3830</v>
      </c>
      <c r="G979" t="s">
        <v>71</v>
      </c>
      <c r="H979" t="s">
        <v>33</v>
      </c>
      <c r="I979">
        <v>1</v>
      </c>
      <c r="K979" t="s">
        <v>90</v>
      </c>
      <c r="L979" t="s">
        <v>35</v>
      </c>
      <c r="M979" t="s">
        <v>36</v>
      </c>
      <c r="Q979" t="s">
        <v>37</v>
      </c>
      <c r="R979" t="s">
        <v>38</v>
      </c>
      <c r="S979" t="s">
        <v>48</v>
      </c>
      <c r="T979" t="s">
        <v>61</v>
      </c>
      <c r="U979" t="s">
        <v>41</v>
      </c>
      <c r="V979" s="9" t="str">
        <f>HYPERLINK("https://app.ntsb.gov/pdfgenerator/ReportGeneratorFile.ashx?EventID=20160908X03741&amp;AKey=1&amp;Rtype=Final&amp;IType=FA","PDF Report")</f>
        <v>PDF Report</v>
      </c>
    </row>
    <row r="980" spans="1:22" x14ac:dyDescent="0.25">
      <c r="A980" t="s">
        <v>3831</v>
      </c>
      <c r="B980">
        <v>1</v>
      </c>
      <c r="C980" s="5">
        <v>42621</v>
      </c>
      <c r="D980" t="s">
        <v>3832</v>
      </c>
      <c r="E980" t="s">
        <v>3833</v>
      </c>
      <c r="F980" t="s">
        <v>3834</v>
      </c>
      <c r="G980" t="s">
        <v>54</v>
      </c>
      <c r="H980" t="s">
        <v>33</v>
      </c>
      <c r="K980" t="s">
        <v>34</v>
      </c>
      <c r="L980" t="s">
        <v>35</v>
      </c>
      <c r="M980" t="s">
        <v>36</v>
      </c>
      <c r="Q980" t="s">
        <v>37</v>
      </c>
      <c r="R980" t="s">
        <v>38</v>
      </c>
      <c r="S980" t="s">
        <v>48</v>
      </c>
      <c r="T980" t="s">
        <v>40</v>
      </c>
      <c r="U980" t="s">
        <v>41</v>
      </c>
      <c r="V980" s="9" t="str">
        <f>HYPERLINK("https://app.ntsb.gov/pdfgenerator/ReportGeneratorFile.ashx?EventID=20160913X24155&amp;AKey=1&amp;Rtype=Final&amp;IType=CA","PDF Report")</f>
        <v>PDF Report</v>
      </c>
    </row>
    <row r="981" spans="1:22" x14ac:dyDescent="0.25">
      <c r="A981" t="s">
        <v>3835</v>
      </c>
      <c r="B981">
        <v>1</v>
      </c>
      <c r="C981" s="5">
        <v>42621</v>
      </c>
      <c r="D981" t="s">
        <v>3836</v>
      </c>
      <c r="E981" t="s">
        <v>3837</v>
      </c>
      <c r="F981" t="s">
        <v>3838</v>
      </c>
      <c r="G981" t="s">
        <v>96</v>
      </c>
      <c r="H981" t="s">
        <v>33</v>
      </c>
      <c r="K981" t="s">
        <v>47</v>
      </c>
      <c r="L981" t="s">
        <v>35</v>
      </c>
      <c r="M981" t="s">
        <v>36</v>
      </c>
      <c r="Q981" t="s">
        <v>37</v>
      </c>
      <c r="R981" t="s">
        <v>38</v>
      </c>
      <c r="S981" t="s">
        <v>131</v>
      </c>
      <c r="T981" t="s">
        <v>73</v>
      </c>
      <c r="U981" t="s">
        <v>41</v>
      </c>
      <c r="V981" s="9" t="str">
        <f>HYPERLINK("https://app.ntsb.gov/pdfgenerator/ReportGeneratorFile.ashx?EventID=20160913X84036&amp;AKey=1&amp;Rtype=Final&amp;IType=CA","PDF Report")</f>
        <v>PDF Report</v>
      </c>
    </row>
    <row r="982" spans="1:22" x14ac:dyDescent="0.25">
      <c r="A982" t="s">
        <v>3839</v>
      </c>
      <c r="B982">
        <v>1</v>
      </c>
      <c r="C982" s="5">
        <v>42621</v>
      </c>
      <c r="D982" t="s">
        <v>3840</v>
      </c>
      <c r="E982" t="s">
        <v>3841</v>
      </c>
      <c r="F982" t="s">
        <v>3842</v>
      </c>
      <c r="G982" t="s">
        <v>666</v>
      </c>
      <c r="H982" t="s">
        <v>33</v>
      </c>
      <c r="K982" t="s">
        <v>34</v>
      </c>
      <c r="L982" t="s">
        <v>35</v>
      </c>
      <c r="M982" t="s">
        <v>36</v>
      </c>
      <c r="Q982" t="s">
        <v>37</v>
      </c>
      <c r="R982" t="s">
        <v>38</v>
      </c>
      <c r="S982" t="s">
        <v>131</v>
      </c>
      <c r="T982" t="s">
        <v>73</v>
      </c>
      <c r="U982" t="s">
        <v>41</v>
      </c>
      <c r="V982" s="9" t="str">
        <f>HYPERLINK("https://app.ntsb.gov/pdfgenerator/ReportGeneratorFile.ashx?EventID=20160926X03023&amp;AKey=1&amp;Rtype=Final&amp;IType=CA","PDF Report")</f>
        <v>PDF Report</v>
      </c>
    </row>
    <row r="983" spans="1:22" x14ac:dyDescent="0.25">
      <c r="A983" t="s">
        <v>3843</v>
      </c>
      <c r="B983">
        <v>1</v>
      </c>
      <c r="C983" s="5">
        <v>42622</v>
      </c>
      <c r="D983" t="s">
        <v>3844</v>
      </c>
      <c r="E983" t="s">
        <v>3845</v>
      </c>
      <c r="F983" t="s">
        <v>1586</v>
      </c>
      <c r="G983" t="s">
        <v>287</v>
      </c>
      <c r="H983" t="s">
        <v>33</v>
      </c>
      <c r="J983">
        <v>4</v>
      </c>
      <c r="K983" t="s">
        <v>55</v>
      </c>
      <c r="L983" t="s">
        <v>35</v>
      </c>
      <c r="M983" t="s">
        <v>36</v>
      </c>
      <c r="Q983" t="s">
        <v>37</v>
      </c>
      <c r="R983" t="s">
        <v>38</v>
      </c>
      <c r="S983" t="s">
        <v>97</v>
      </c>
      <c r="T983" t="s">
        <v>49</v>
      </c>
      <c r="U983" t="s">
        <v>41</v>
      </c>
      <c r="V983" s="9" t="str">
        <f>HYPERLINK("https://app.ntsb.gov/pdfgenerator/ReportGeneratorFile.ashx?EventID=20160909X21758&amp;AKey=1&amp;Rtype=Final&amp;IType=FA","PDF Report")</f>
        <v>PDF Report</v>
      </c>
    </row>
    <row r="984" spans="1:22" x14ac:dyDescent="0.25">
      <c r="A984" t="s">
        <v>3846</v>
      </c>
      <c r="B984">
        <v>1</v>
      </c>
      <c r="C984" s="5">
        <v>42622</v>
      </c>
      <c r="D984" t="s">
        <v>3847</v>
      </c>
      <c r="E984" t="s">
        <v>3848</v>
      </c>
      <c r="F984" t="s">
        <v>3849</v>
      </c>
      <c r="G984" t="s">
        <v>54</v>
      </c>
      <c r="H984" t="s">
        <v>33</v>
      </c>
      <c r="J984">
        <v>3</v>
      </c>
      <c r="K984" t="s">
        <v>55</v>
      </c>
      <c r="L984" t="s">
        <v>35</v>
      </c>
      <c r="M984" t="s">
        <v>56</v>
      </c>
      <c r="N984" t="s">
        <v>57</v>
      </c>
      <c r="O984" t="s">
        <v>58</v>
      </c>
      <c r="P984" t="s">
        <v>162</v>
      </c>
      <c r="Q984" t="s">
        <v>37</v>
      </c>
      <c r="S984" t="s">
        <v>48</v>
      </c>
      <c r="T984" t="s">
        <v>143</v>
      </c>
      <c r="U984" t="s">
        <v>41</v>
      </c>
      <c r="V984" s="9" t="str">
        <f>HYPERLINK("https://app.ntsb.gov/pdfgenerator/ReportGeneratorFile.ashx?EventID=20160909X71952&amp;AKey=1&amp;Rtype=Final&amp;IType=LA","PDF Report")</f>
        <v>PDF Report</v>
      </c>
    </row>
    <row r="985" spans="1:22" x14ac:dyDescent="0.25">
      <c r="A985" t="s">
        <v>3850</v>
      </c>
      <c r="B985">
        <v>1</v>
      </c>
      <c r="C985" s="5">
        <v>42622</v>
      </c>
      <c r="D985" t="s">
        <v>3851</v>
      </c>
      <c r="E985" t="s">
        <v>3852</v>
      </c>
      <c r="F985" t="s">
        <v>3853</v>
      </c>
      <c r="G985" t="s">
        <v>348</v>
      </c>
      <c r="H985" t="s">
        <v>33</v>
      </c>
      <c r="K985" t="s">
        <v>34</v>
      </c>
      <c r="L985" t="s">
        <v>35</v>
      </c>
      <c r="M985" t="s">
        <v>1072</v>
      </c>
      <c r="Q985" t="s">
        <v>185</v>
      </c>
      <c r="R985" t="s">
        <v>1073</v>
      </c>
      <c r="S985" t="s">
        <v>191</v>
      </c>
      <c r="T985" t="s">
        <v>40</v>
      </c>
      <c r="U985" t="s">
        <v>41</v>
      </c>
      <c r="V985" s="9" t="str">
        <f>HYPERLINK("https://app.ntsb.gov/pdfgenerator/ReportGeneratorFile.ashx?EventID=20160913X75516&amp;AKey=1&amp;Rtype=Final&amp;IType=CA","PDF Report")</f>
        <v>PDF Report</v>
      </c>
    </row>
    <row r="986" spans="1:22" x14ac:dyDescent="0.25">
      <c r="A986" t="s">
        <v>3854</v>
      </c>
      <c r="B986">
        <v>1</v>
      </c>
      <c r="C986" s="5">
        <v>42622</v>
      </c>
      <c r="D986" t="s">
        <v>3855</v>
      </c>
      <c r="E986" t="s">
        <v>3856</v>
      </c>
      <c r="F986" t="s">
        <v>2902</v>
      </c>
      <c r="G986" t="s">
        <v>46</v>
      </c>
      <c r="H986" t="s">
        <v>33</v>
      </c>
      <c r="K986" t="s">
        <v>34</v>
      </c>
      <c r="L986" t="s">
        <v>35</v>
      </c>
      <c r="M986" t="s">
        <v>36</v>
      </c>
      <c r="Q986" t="s">
        <v>37</v>
      </c>
      <c r="R986" t="s">
        <v>1132</v>
      </c>
      <c r="S986" t="s">
        <v>131</v>
      </c>
      <c r="T986" t="s">
        <v>49</v>
      </c>
      <c r="U986" t="s">
        <v>41</v>
      </c>
      <c r="V986" s="9" t="str">
        <f>HYPERLINK("https://app.ntsb.gov/pdfgenerator/ReportGeneratorFile.ashx?EventID=20160913X92743&amp;AKey=1&amp;Rtype=Final&amp;IType=CA","PDF Report")</f>
        <v>PDF Report</v>
      </c>
    </row>
    <row r="987" spans="1:22" x14ac:dyDescent="0.25">
      <c r="A987" t="s">
        <v>3857</v>
      </c>
      <c r="B987">
        <v>1</v>
      </c>
      <c r="C987" s="5">
        <v>42622</v>
      </c>
      <c r="D987" t="s">
        <v>3858</v>
      </c>
      <c r="E987" t="s">
        <v>3859</v>
      </c>
      <c r="F987" t="s">
        <v>2806</v>
      </c>
      <c r="G987" t="s">
        <v>136</v>
      </c>
      <c r="H987" t="s">
        <v>33</v>
      </c>
      <c r="K987" t="s">
        <v>47</v>
      </c>
      <c r="L987" t="s">
        <v>35</v>
      </c>
      <c r="M987" t="s">
        <v>36</v>
      </c>
      <c r="Q987" t="s">
        <v>37</v>
      </c>
      <c r="R987" t="s">
        <v>38</v>
      </c>
      <c r="S987" t="s">
        <v>48</v>
      </c>
      <c r="T987" t="s">
        <v>40</v>
      </c>
      <c r="U987" t="s">
        <v>41</v>
      </c>
      <c r="V987" s="9" t="str">
        <f>HYPERLINK("https://app.ntsb.gov/pdfgenerator/ReportGeneratorFile.ashx?EventID=20160914X93511&amp;AKey=1&amp;Rtype=Final&amp;IType=CA","PDF Report")</f>
        <v>PDF Report</v>
      </c>
    </row>
    <row r="988" spans="1:22" x14ac:dyDescent="0.25">
      <c r="A988" t="s">
        <v>3860</v>
      </c>
      <c r="B988">
        <v>1</v>
      </c>
      <c r="C988" s="5">
        <v>42622</v>
      </c>
      <c r="D988" t="s">
        <v>3861</v>
      </c>
      <c r="E988" t="s">
        <v>3862</v>
      </c>
      <c r="F988" t="s">
        <v>3863</v>
      </c>
      <c r="G988" t="s">
        <v>66</v>
      </c>
      <c r="H988" t="s">
        <v>33</v>
      </c>
      <c r="K988" t="s">
        <v>34</v>
      </c>
      <c r="L988" t="s">
        <v>35</v>
      </c>
      <c r="M988" t="s">
        <v>36</v>
      </c>
      <c r="Q988" t="s">
        <v>874</v>
      </c>
      <c r="R988" t="s">
        <v>38</v>
      </c>
      <c r="S988" t="s">
        <v>1330</v>
      </c>
      <c r="T988" t="s">
        <v>61</v>
      </c>
      <c r="U988" t="s">
        <v>41</v>
      </c>
      <c r="V988" s="9" t="str">
        <f>HYPERLINK("https://app.ntsb.gov/pdfgenerator/ReportGeneratorFile.ashx?EventID=20160915X31240&amp;AKey=1&amp;Rtype=Final&amp;IType=CA","PDF Report")</f>
        <v>PDF Report</v>
      </c>
    </row>
    <row r="989" spans="1:22" x14ac:dyDescent="0.25">
      <c r="A989" t="s">
        <v>3864</v>
      </c>
      <c r="B989">
        <v>1</v>
      </c>
      <c r="C989" s="5">
        <v>42622</v>
      </c>
      <c r="D989" t="s">
        <v>3865</v>
      </c>
      <c r="E989" t="s">
        <v>3866</v>
      </c>
      <c r="F989" t="s">
        <v>3867</v>
      </c>
      <c r="G989" t="s">
        <v>450</v>
      </c>
      <c r="H989" t="s">
        <v>33</v>
      </c>
      <c r="K989" t="s">
        <v>47</v>
      </c>
      <c r="L989" t="s">
        <v>35</v>
      </c>
      <c r="M989" t="s">
        <v>36</v>
      </c>
      <c r="Q989" t="s">
        <v>37</v>
      </c>
      <c r="R989" t="s">
        <v>38</v>
      </c>
      <c r="S989" t="s">
        <v>84</v>
      </c>
      <c r="T989" t="s">
        <v>73</v>
      </c>
      <c r="U989" t="s">
        <v>41</v>
      </c>
      <c r="V989" s="9" t="str">
        <f>HYPERLINK("https://app.ntsb.gov/pdfgenerator/ReportGeneratorFile.ashx?EventID=20161006X15038&amp;AKey=1&amp;Rtype=Final&amp;IType=CA","PDF Report")</f>
        <v>PDF Report</v>
      </c>
    </row>
    <row r="990" spans="1:22" x14ac:dyDescent="0.25">
      <c r="A990" t="s">
        <v>3868</v>
      </c>
      <c r="B990">
        <v>1</v>
      </c>
      <c r="C990" s="5">
        <v>42623</v>
      </c>
      <c r="D990" t="s">
        <v>3869</v>
      </c>
      <c r="E990" t="s">
        <v>3870</v>
      </c>
      <c r="F990" t="s">
        <v>2155</v>
      </c>
      <c r="G990" t="s">
        <v>115</v>
      </c>
      <c r="H990" t="s">
        <v>33</v>
      </c>
      <c r="K990" t="s">
        <v>34</v>
      </c>
      <c r="L990" t="s">
        <v>35</v>
      </c>
      <c r="M990" t="s">
        <v>36</v>
      </c>
      <c r="Q990" t="s">
        <v>37</v>
      </c>
      <c r="R990" t="s">
        <v>38</v>
      </c>
      <c r="S990" t="s">
        <v>131</v>
      </c>
      <c r="T990" t="s">
        <v>73</v>
      </c>
      <c r="U990" t="s">
        <v>41</v>
      </c>
      <c r="V990" s="9" t="str">
        <f>HYPERLINK("https://app.ntsb.gov/pdfgenerator/ReportGeneratorFile.ashx?EventID=20160912X53321&amp;AKey=1&amp;Rtype=Final&amp;IType=CA","PDF Report")</f>
        <v>PDF Report</v>
      </c>
    </row>
    <row r="991" spans="1:22" x14ac:dyDescent="0.25">
      <c r="A991" t="s">
        <v>3871</v>
      </c>
      <c r="B991">
        <v>1</v>
      </c>
      <c r="C991" s="5">
        <v>42623</v>
      </c>
      <c r="D991" t="s">
        <v>3872</v>
      </c>
      <c r="E991" t="s">
        <v>3873</v>
      </c>
      <c r="F991" t="s">
        <v>531</v>
      </c>
      <c r="G991" t="s">
        <v>54</v>
      </c>
      <c r="H991" t="s">
        <v>33</v>
      </c>
      <c r="I991">
        <v>1</v>
      </c>
      <c r="K991" t="s">
        <v>90</v>
      </c>
      <c r="L991" t="s">
        <v>110</v>
      </c>
      <c r="M991" t="s">
        <v>36</v>
      </c>
      <c r="Q991" t="s">
        <v>37</v>
      </c>
      <c r="R991" t="s">
        <v>38</v>
      </c>
      <c r="S991" t="s">
        <v>48</v>
      </c>
      <c r="T991" t="s">
        <v>40</v>
      </c>
      <c r="U991" t="s">
        <v>41</v>
      </c>
      <c r="V991" s="9" t="str">
        <f>HYPERLINK("https://app.ntsb.gov/pdfgenerator/ReportGeneratorFile.ashx?EventID=20160912X71238&amp;AKey=1&amp;Rtype=Final&amp;IType=FA","PDF Report")</f>
        <v>PDF Report</v>
      </c>
    </row>
    <row r="992" spans="1:22" x14ac:dyDescent="0.25">
      <c r="A992" t="s">
        <v>3874</v>
      </c>
      <c r="B992">
        <v>1</v>
      </c>
      <c r="C992" s="5">
        <v>42623</v>
      </c>
      <c r="D992" t="s">
        <v>3875</v>
      </c>
      <c r="E992" t="s">
        <v>3876</v>
      </c>
      <c r="F992" t="s">
        <v>1480</v>
      </c>
      <c r="G992" t="s">
        <v>395</v>
      </c>
      <c r="H992" t="s">
        <v>33</v>
      </c>
      <c r="K992" t="s">
        <v>34</v>
      </c>
      <c r="L992" t="s">
        <v>35</v>
      </c>
      <c r="M992" t="s">
        <v>36</v>
      </c>
      <c r="Q992" t="s">
        <v>37</v>
      </c>
      <c r="R992" t="s">
        <v>38</v>
      </c>
      <c r="S992" t="s">
        <v>131</v>
      </c>
      <c r="T992" t="s">
        <v>73</v>
      </c>
      <c r="U992" t="s">
        <v>41</v>
      </c>
      <c r="V992" s="9" t="str">
        <f>HYPERLINK("https://app.ntsb.gov/pdfgenerator/ReportGeneratorFile.ashx?EventID=20160912X71835&amp;AKey=1&amp;Rtype=Final&amp;IType=CA","PDF Report")</f>
        <v>PDF Report</v>
      </c>
    </row>
    <row r="993" spans="1:22" x14ac:dyDescent="0.25">
      <c r="A993" t="s">
        <v>3877</v>
      </c>
      <c r="B993">
        <v>1</v>
      </c>
      <c r="C993" s="5">
        <v>42623</v>
      </c>
      <c r="D993" t="s">
        <v>3878</v>
      </c>
      <c r="E993" t="s">
        <v>3879</v>
      </c>
      <c r="F993" t="s">
        <v>3880</v>
      </c>
      <c r="G993" t="s">
        <v>287</v>
      </c>
      <c r="H993" t="s">
        <v>33</v>
      </c>
      <c r="K993" t="s">
        <v>34</v>
      </c>
      <c r="L993" t="s">
        <v>35</v>
      </c>
      <c r="M993" t="s">
        <v>36</v>
      </c>
      <c r="Q993" t="s">
        <v>37</v>
      </c>
      <c r="R993" t="s">
        <v>38</v>
      </c>
      <c r="S993" t="s">
        <v>39</v>
      </c>
      <c r="T993" t="s">
        <v>61</v>
      </c>
      <c r="U993" t="s">
        <v>41</v>
      </c>
      <c r="V993" s="9" t="str">
        <f>HYPERLINK("https://app.ntsb.gov/pdfgenerator/ReportGeneratorFile.ashx?EventID=20160913X31024&amp;AKey=1&amp;Rtype=Final&amp;IType=LA","PDF Report")</f>
        <v>PDF Report</v>
      </c>
    </row>
    <row r="994" spans="1:22" x14ac:dyDescent="0.25">
      <c r="A994" t="s">
        <v>3881</v>
      </c>
      <c r="B994">
        <v>1</v>
      </c>
      <c r="C994" s="5">
        <v>42623</v>
      </c>
      <c r="D994" t="s">
        <v>3882</v>
      </c>
      <c r="E994" t="s">
        <v>3883</v>
      </c>
      <c r="F994" t="s">
        <v>3884</v>
      </c>
      <c r="G994" t="s">
        <v>125</v>
      </c>
      <c r="H994" t="s">
        <v>33</v>
      </c>
      <c r="K994" t="s">
        <v>34</v>
      </c>
      <c r="L994" t="s">
        <v>35</v>
      </c>
      <c r="M994" t="s">
        <v>36</v>
      </c>
      <c r="Q994" t="s">
        <v>37</v>
      </c>
      <c r="R994" t="s">
        <v>130</v>
      </c>
      <c r="S994" t="s">
        <v>84</v>
      </c>
      <c r="T994" t="s">
        <v>73</v>
      </c>
      <c r="U994" t="s">
        <v>41</v>
      </c>
      <c r="V994" s="9" t="str">
        <f>HYPERLINK("https://app.ntsb.gov/pdfgenerator/ReportGeneratorFile.ashx?EventID=20160919X11841&amp;AKey=1&amp;Rtype=Final&amp;IType=CA","PDF Report")</f>
        <v>PDF Report</v>
      </c>
    </row>
    <row r="995" spans="1:22" x14ac:dyDescent="0.25">
      <c r="A995" t="s">
        <v>3885</v>
      </c>
      <c r="B995">
        <v>1</v>
      </c>
      <c r="C995" s="5">
        <v>42623</v>
      </c>
      <c r="D995" t="s">
        <v>3886</v>
      </c>
      <c r="E995" t="s">
        <v>3887</v>
      </c>
      <c r="F995" t="s">
        <v>3888</v>
      </c>
      <c r="G995" t="s">
        <v>450</v>
      </c>
      <c r="H995" t="s">
        <v>33</v>
      </c>
      <c r="K995" t="s">
        <v>34</v>
      </c>
      <c r="L995" t="s">
        <v>35</v>
      </c>
      <c r="M995" t="s">
        <v>36</v>
      </c>
      <c r="Q995" t="s">
        <v>37</v>
      </c>
      <c r="R995" t="s">
        <v>38</v>
      </c>
      <c r="S995" t="s">
        <v>84</v>
      </c>
      <c r="T995" t="s">
        <v>73</v>
      </c>
      <c r="U995" t="s">
        <v>41</v>
      </c>
      <c r="V995" s="9" t="str">
        <f>HYPERLINK("https://app.ntsb.gov/pdfgenerator/ReportGeneratorFile.ashx?EventID=20161004X20118&amp;AKey=1&amp;Rtype=Final&amp;IType=CA","PDF Report")</f>
        <v>PDF Report</v>
      </c>
    </row>
    <row r="996" spans="1:22" x14ac:dyDescent="0.25">
      <c r="A996" t="s">
        <v>3889</v>
      </c>
      <c r="B996">
        <v>1</v>
      </c>
      <c r="C996" s="5">
        <v>42624</v>
      </c>
      <c r="D996" t="s">
        <v>3890</v>
      </c>
      <c r="E996" t="s">
        <v>3891</v>
      </c>
      <c r="F996" t="s">
        <v>1830</v>
      </c>
      <c r="G996" t="s">
        <v>120</v>
      </c>
      <c r="H996" t="s">
        <v>33</v>
      </c>
      <c r="I996">
        <v>3</v>
      </c>
      <c r="K996" t="s">
        <v>90</v>
      </c>
      <c r="L996" t="s">
        <v>35</v>
      </c>
      <c r="M996" t="s">
        <v>36</v>
      </c>
      <c r="Q996" t="s">
        <v>37</v>
      </c>
      <c r="R996" t="s">
        <v>38</v>
      </c>
      <c r="S996" t="s">
        <v>243</v>
      </c>
      <c r="T996" t="s">
        <v>143</v>
      </c>
      <c r="U996" t="s">
        <v>41</v>
      </c>
      <c r="V996" s="9" t="str">
        <f>HYPERLINK("https://app.ntsb.gov/pdfgenerator/ReportGeneratorFile.ashx?EventID=20160911X20520&amp;AKey=1&amp;Rtype=Final&amp;IType=FA","PDF Report")</f>
        <v>PDF Report</v>
      </c>
    </row>
    <row r="997" spans="1:22" x14ac:dyDescent="0.25">
      <c r="A997" t="s">
        <v>3892</v>
      </c>
      <c r="B997">
        <v>1</v>
      </c>
      <c r="C997" s="5">
        <v>42624</v>
      </c>
      <c r="D997" t="s">
        <v>3893</v>
      </c>
      <c r="E997" t="s">
        <v>3894</v>
      </c>
      <c r="F997" t="s">
        <v>3895</v>
      </c>
      <c r="G997" t="s">
        <v>407</v>
      </c>
      <c r="H997" t="s">
        <v>33</v>
      </c>
      <c r="J997">
        <v>2</v>
      </c>
      <c r="K997" t="s">
        <v>55</v>
      </c>
      <c r="L997" t="s">
        <v>35</v>
      </c>
      <c r="M997" t="s">
        <v>36</v>
      </c>
      <c r="Q997" t="s">
        <v>37</v>
      </c>
      <c r="R997" t="s">
        <v>38</v>
      </c>
      <c r="S997" t="s">
        <v>48</v>
      </c>
      <c r="T997" t="s">
        <v>143</v>
      </c>
      <c r="U997" t="s">
        <v>41</v>
      </c>
      <c r="V997" s="9" t="str">
        <f>HYPERLINK("https://app.ntsb.gov/pdfgenerator/ReportGeneratorFile.ashx?EventID=20160912X51251&amp;AKey=1&amp;Rtype=Final&amp;IType=LA","PDF Report")</f>
        <v>PDF Report</v>
      </c>
    </row>
    <row r="998" spans="1:22" x14ac:dyDescent="0.25">
      <c r="A998" t="s">
        <v>3896</v>
      </c>
      <c r="B998">
        <v>1</v>
      </c>
      <c r="C998" s="5">
        <v>42624</v>
      </c>
      <c r="D998" t="s">
        <v>3897</v>
      </c>
      <c r="E998" t="s">
        <v>3898</v>
      </c>
      <c r="F998" t="s">
        <v>3899</v>
      </c>
      <c r="G998" t="s">
        <v>136</v>
      </c>
      <c r="H998" t="s">
        <v>33</v>
      </c>
      <c r="K998" t="s">
        <v>34</v>
      </c>
      <c r="L998" t="s">
        <v>35</v>
      </c>
      <c r="M998" t="s">
        <v>36</v>
      </c>
      <c r="Q998" t="s">
        <v>37</v>
      </c>
      <c r="R998" t="s">
        <v>38</v>
      </c>
      <c r="S998" t="s">
        <v>97</v>
      </c>
      <c r="T998" t="s">
        <v>61</v>
      </c>
      <c r="U998" t="s">
        <v>41</v>
      </c>
      <c r="V998" s="9" t="str">
        <f>HYPERLINK("https://app.ntsb.gov/pdfgenerator/ReportGeneratorFile.ashx?EventID=20160914X14737&amp;AKey=1&amp;Rtype=Final&amp;IType=CA","PDF Report")</f>
        <v>PDF Report</v>
      </c>
    </row>
    <row r="999" spans="1:22" x14ac:dyDescent="0.25">
      <c r="A999" t="s">
        <v>3900</v>
      </c>
      <c r="B999">
        <v>1</v>
      </c>
      <c r="C999" s="5">
        <v>42624</v>
      </c>
      <c r="D999" t="s">
        <v>3901</v>
      </c>
      <c r="E999" t="s">
        <v>3902</v>
      </c>
      <c r="F999" t="s">
        <v>3903</v>
      </c>
      <c r="G999" t="s">
        <v>264</v>
      </c>
      <c r="H999" t="s">
        <v>33</v>
      </c>
      <c r="K999" t="s">
        <v>34</v>
      </c>
      <c r="L999" t="s">
        <v>35</v>
      </c>
      <c r="M999" t="s">
        <v>36</v>
      </c>
      <c r="Q999" t="s">
        <v>37</v>
      </c>
      <c r="R999" t="s">
        <v>38</v>
      </c>
      <c r="S999" t="s">
        <v>131</v>
      </c>
      <c r="T999" t="s">
        <v>73</v>
      </c>
      <c r="U999" t="s">
        <v>41</v>
      </c>
      <c r="V999" s="9" t="str">
        <f>HYPERLINK("https://app.ntsb.gov/pdfgenerator/ReportGeneratorFile.ashx?EventID=20160914X15836&amp;AKey=1&amp;Rtype=Final&amp;IType=CA","PDF Report")</f>
        <v>PDF Report</v>
      </c>
    </row>
    <row r="1000" spans="1:22" x14ac:dyDescent="0.25">
      <c r="A1000" t="s">
        <v>3904</v>
      </c>
      <c r="B1000">
        <v>1</v>
      </c>
      <c r="C1000" s="5">
        <v>42624</v>
      </c>
      <c r="D1000" t="s">
        <v>3905</v>
      </c>
      <c r="E1000" t="s">
        <v>3906</v>
      </c>
      <c r="F1000" t="s">
        <v>3907</v>
      </c>
      <c r="G1000" t="s">
        <v>395</v>
      </c>
      <c r="H1000" t="s">
        <v>33</v>
      </c>
      <c r="K1000" t="s">
        <v>47</v>
      </c>
      <c r="L1000" t="s">
        <v>35</v>
      </c>
      <c r="M1000" t="s">
        <v>36</v>
      </c>
      <c r="Q1000" t="s">
        <v>37</v>
      </c>
      <c r="R1000" t="s">
        <v>38</v>
      </c>
      <c r="S1000" t="s">
        <v>48</v>
      </c>
      <c r="T1000" t="s">
        <v>143</v>
      </c>
      <c r="U1000" t="s">
        <v>41</v>
      </c>
      <c r="V1000" s="9" t="str">
        <f>HYPERLINK("https://app.ntsb.gov/pdfgenerator/ReportGeneratorFile.ashx?EventID=20160927X95426&amp;AKey=1&amp;Rtype=Final&amp;IType=CA","PDF Report")</f>
        <v>PDF Report</v>
      </c>
    </row>
    <row r="1001" spans="1:22" x14ac:dyDescent="0.25">
      <c r="A1001" t="s">
        <v>3908</v>
      </c>
      <c r="B1001">
        <v>1</v>
      </c>
      <c r="C1001" s="5">
        <v>42625</v>
      </c>
      <c r="D1001" t="s">
        <v>3909</v>
      </c>
      <c r="E1001" t="s">
        <v>3910</v>
      </c>
      <c r="F1001" t="s">
        <v>3911</v>
      </c>
      <c r="G1001" t="s">
        <v>32</v>
      </c>
      <c r="H1001" t="s">
        <v>33</v>
      </c>
      <c r="K1001" t="s">
        <v>34</v>
      </c>
      <c r="L1001" t="s">
        <v>35</v>
      </c>
      <c r="M1001" t="s">
        <v>473</v>
      </c>
      <c r="Q1001" t="s">
        <v>185</v>
      </c>
      <c r="R1001" t="s">
        <v>1073</v>
      </c>
      <c r="S1001" t="s">
        <v>191</v>
      </c>
      <c r="T1001" t="s">
        <v>164</v>
      </c>
      <c r="U1001" t="s">
        <v>41</v>
      </c>
      <c r="V1001" s="9" t="str">
        <f>HYPERLINK("https://app.ntsb.gov/pdfgenerator/ReportGeneratorFile.ashx?EventID=20160928X52917&amp;AKey=1&amp;Rtype=Final&amp;IType=LA","PDF Report")</f>
        <v>PDF Report</v>
      </c>
    </row>
    <row r="1002" spans="1:22" x14ac:dyDescent="0.25">
      <c r="A1002" t="s">
        <v>3912</v>
      </c>
      <c r="B1002">
        <v>1</v>
      </c>
      <c r="C1002" s="5">
        <v>42626</v>
      </c>
      <c r="D1002" t="s">
        <v>3913</v>
      </c>
      <c r="E1002" t="s">
        <v>3914</v>
      </c>
      <c r="F1002" t="s">
        <v>3915</v>
      </c>
      <c r="G1002" t="s">
        <v>312</v>
      </c>
      <c r="H1002" t="s">
        <v>33</v>
      </c>
      <c r="K1002" t="s">
        <v>34</v>
      </c>
      <c r="L1002" t="s">
        <v>35</v>
      </c>
      <c r="M1002" t="s">
        <v>36</v>
      </c>
      <c r="Q1002" t="s">
        <v>37</v>
      </c>
      <c r="R1002" t="s">
        <v>130</v>
      </c>
      <c r="S1002" t="s">
        <v>196</v>
      </c>
      <c r="T1002" t="s">
        <v>79</v>
      </c>
      <c r="U1002" t="s">
        <v>41</v>
      </c>
      <c r="V1002" s="9" t="str">
        <f>HYPERLINK("https://app.ntsb.gov/pdfgenerator/ReportGeneratorFile.ashx?EventID=20160919X12434&amp;AKey=1&amp;Rtype=Final&amp;IType=LA","PDF Report")</f>
        <v>PDF Report</v>
      </c>
    </row>
    <row r="1003" spans="1:22" x14ac:dyDescent="0.25">
      <c r="A1003" t="s">
        <v>3916</v>
      </c>
      <c r="B1003">
        <v>1</v>
      </c>
      <c r="C1003" s="5">
        <v>42626</v>
      </c>
      <c r="D1003" t="s">
        <v>3917</v>
      </c>
      <c r="E1003" t="s">
        <v>3918</v>
      </c>
      <c r="F1003" t="s">
        <v>3919</v>
      </c>
      <c r="G1003" t="s">
        <v>597</v>
      </c>
      <c r="H1003" t="s">
        <v>3920</v>
      </c>
      <c r="K1003" t="s">
        <v>34</v>
      </c>
      <c r="L1003" t="s">
        <v>35</v>
      </c>
      <c r="M1003" t="s">
        <v>599</v>
      </c>
      <c r="Q1003" t="s">
        <v>37</v>
      </c>
      <c r="S1003" t="s">
        <v>39</v>
      </c>
      <c r="T1003" t="s">
        <v>61</v>
      </c>
      <c r="U1003" t="s">
        <v>41</v>
      </c>
      <c r="V1003" s="9" t="str">
        <f>HYPERLINK("https://app.ntsb.gov/pdfgenerator/ReportGeneratorFile.ashx?EventID=20170222X52108&amp;AKey=1&amp;Rtype=Final&amp;IType=RA","PDF Report")</f>
        <v>PDF Report</v>
      </c>
    </row>
    <row r="1004" spans="1:22" x14ac:dyDescent="0.25">
      <c r="A1004" t="s">
        <v>3921</v>
      </c>
      <c r="B1004">
        <v>1</v>
      </c>
      <c r="C1004" s="5">
        <v>42627</v>
      </c>
      <c r="D1004" t="s">
        <v>3922</v>
      </c>
      <c r="E1004" t="s">
        <v>3923</v>
      </c>
      <c r="F1004" t="s">
        <v>3924</v>
      </c>
      <c r="G1004" t="s">
        <v>312</v>
      </c>
      <c r="H1004" t="s">
        <v>33</v>
      </c>
      <c r="I1004">
        <v>2</v>
      </c>
      <c r="K1004" t="s">
        <v>90</v>
      </c>
      <c r="L1004" t="s">
        <v>35</v>
      </c>
      <c r="M1004" t="s">
        <v>36</v>
      </c>
      <c r="Q1004" t="s">
        <v>37</v>
      </c>
      <c r="R1004" t="s">
        <v>38</v>
      </c>
      <c r="S1004" t="s">
        <v>201</v>
      </c>
      <c r="T1004" t="s">
        <v>40</v>
      </c>
      <c r="U1004" t="s">
        <v>41</v>
      </c>
      <c r="V1004" s="9" t="str">
        <f>HYPERLINK("https://app.ntsb.gov/pdfgenerator/ReportGeneratorFile.ashx?EventID=20160914X13549&amp;AKey=1&amp;Rtype=Final&amp;IType=FA","PDF Report")</f>
        <v>PDF Report</v>
      </c>
    </row>
    <row r="1005" spans="1:22" x14ac:dyDescent="0.25">
      <c r="A1005" t="s">
        <v>3925</v>
      </c>
      <c r="B1005">
        <v>1</v>
      </c>
      <c r="C1005" s="5">
        <v>42627</v>
      </c>
      <c r="D1005" t="s">
        <v>3926</v>
      </c>
      <c r="E1005" t="s">
        <v>3927</v>
      </c>
      <c r="F1005" t="s">
        <v>3928</v>
      </c>
      <c r="G1005" t="s">
        <v>538</v>
      </c>
      <c r="H1005" t="s">
        <v>33</v>
      </c>
      <c r="K1005" t="s">
        <v>34</v>
      </c>
      <c r="L1005" t="s">
        <v>35</v>
      </c>
      <c r="M1005" t="s">
        <v>36</v>
      </c>
      <c r="Q1005" t="s">
        <v>37</v>
      </c>
      <c r="R1005" t="s">
        <v>38</v>
      </c>
      <c r="S1005" t="s">
        <v>39</v>
      </c>
      <c r="T1005" t="s">
        <v>61</v>
      </c>
      <c r="U1005" t="s">
        <v>41</v>
      </c>
      <c r="V1005" s="9" t="str">
        <f>HYPERLINK("https://app.ntsb.gov/pdfgenerator/ReportGeneratorFile.ashx?EventID=20160914X45337&amp;AKey=1&amp;Rtype=Final&amp;IType=LA","PDF Report")</f>
        <v>PDF Report</v>
      </c>
    </row>
    <row r="1006" spans="1:22" x14ac:dyDescent="0.25">
      <c r="A1006" t="s">
        <v>3929</v>
      </c>
      <c r="B1006">
        <v>1</v>
      </c>
      <c r="C1006" s="5">
        <v>42627</v>
      </c>
      <c r="D1006" t="s">
        <v>3930</v>
      </c>
      <c r="E1006" t="s">
        <v>3931</v>
      </c>
      <c r="F1006" t="s">
        <v>3932</v>
      </c>
      <c r="G1006" t="s">
        <v>242</v>
      </c>
      <c r="H1006" t="s">
        <v>33</v>
      </c>
      <c r="K1006" t="s">
        <v>34</v>
      </c>
      <c r="L1006" t="s">
        <v>35</v>
      </c>
      <c r="M1006" t="s">
        <v>36</v>
      </c>
      <c r="Q1006" t="s">
        <v>185</v>
      </c>
      <c r="R1006" t="s">
        <v>130</v>
      </c>
      <c r="S1006" t="s">
        <v>48</v>
      </c>
      <c r="T1006" t="s">
        <v>40</v>
      </c>
      <c r="U1006" t="s">
        <v>41</v>
      </c>
      <c r="V1006" s="9" t="str">
        <f>HYPERLINK("https://app.ntsb.gov/pdfgenerator/ReportGeneratorFile.ashx?EventID=20160915X30336&amp;AKey=1&amp;Rtype=Final&amp;IType=CA","PDF Report")</f>
        <v>PDF Report</v>
      </c>
    </row>
    <row r="1007" spans="1:22" x14ac:dyDescent="0.25">
      <c r="A1007" t="s">
        <v>3933</v>
      </c>
      <c r="B1007">
        <v>1</v>
      </c>
      <c r="C1007" s="5">
        <v>42627</v>
      </c>
      <c r="D1007" t="s">
        <v>3934</v>
      </c>
      <c r="E1007" t="s">
        <v>3935</v>
      </c>
      <c r="F1007" t="s">
        <v>3936</v>
      </c>
      <c r="G1007" t="s">
        <v>339</v>
      </c>
      <c r="H1007" t="s">
        <v>33</v>
      </c>
      <c r="K1007" t="s">
        <v>34</v>
      </c>
      <c r="L1007" t="s">
        <v>35</v>
      </c>
      <c r="M1007" t="s">
        <v>36</v>
      </c>
      <c r="Q1007" t="s">
        <v>37</v>
      </c>
      <c r="R1007" t="s">
        <v>130</v>
      </c>
      <c r="S1007" t="s">
        <v>48</v>
      </c>
      <c r="T1007" t="s">
        <v>79</v>
      </c>
      <c r="U1007" t="s">
        <v>41</v>
      </c>
      <c r="V1007" s="9" t="str">
        <f>HYPERLINK("https://app.ntsb.gov/pdfgenerator/ReportGeneratorFile.ashx?EventID=20160916X32136&amp;AKey=1&amp;Rtype=Final&amp;IType=CA","PDF Report")</f>
        <v>PDF Report</v>
      </c>
    </row>
    <row r="1008" spans="1:22" x14ac:dyDescent="0.25">
      <c r="A1008" t="s">
        <v>3937</v>
      </c>
      <c r="B1008">
        <v>1</v>
      </c>
      <c r="C1008" s="5">
        <v>42628</v>
      </c>
      <c r="D1008" t="s">
        <v>3938</v>
      </c>
      <c r="E1008" t="s">
        <v>3939</v>
      </c>
      <c r="F1008" t="s">
        <v>887</v>
      </c>
      <c r="G1008" t="s">
        <v>645</v>
      </c>
      <c r="H1008" t="s">
        <v>33</v>
      </c>
      <c r="K1008" t="s">
        <v>34</v>
      </c>
      <c r="L1008" t="s">
        <v>35</v>
      </c>
      <c r="M1008" t="s">
        <v>36</v>
      </c>
      <c r="Q1008" t="s">
        <v>37</v>
      </c>
      <c r="R1008" t="s">
        <v>38</v>
      </c>
      <c r="S1008" t="s">
        <v>84</v>
      </c>
      <c r="T1008" t="s">
        <v>73</v>
      </c>
      <c r="U1008" t="s">
        <v>41</v>
      </c>
      <c r="V1008" s="9" t="str">
        <f>HYPERLINK("https://app.ntsb.gov/pdfgenerator/ReportGeneratorFile.ashx?EventID=20160919X71356&amp;AKey=1&amp;Rtype=Final&amp;IType=CA","PDF Report")</f>
        <v>PDF Report</v>
      </c>
    </row>
    <row r="1009" spans="1:22" x14ac:dyDescent="0.25">
      <c r="A1009" t="s">
        <v>3940</v>
      </c>
      <c r="B1009">
        <v>1</v>
      </c>
      <c r="C1009" s="5">
        <v>42629</v>
      </c>
      <c r="D1009" t="s">
        <v>3941</v>
      </c>
      <c r="E1009" t="s">
        <v>3942</v>
      </c>
      <c r="F1009" t="s">
        <v>3943</v>
      </c>
      <c r="G1009" t="s">
        <v>136</v>
      </c>
      <c r="H1009" t="s">
        <v>33</v>
      </c>
      <c r="I1009">
        <v>1</v>
      </c>
      <c r="K1009" t="s">
        <v>90</v>
      </c>
      <c r="L1009" t="s">
        <v>110</v>
      </c>
      <c r="M1009" t="s">
        <v>767</v>
      </c>
      <c r="Q1009" t="s">
        <v>37</v>
      </c>
      <c r="R1009" t="s">
        <v>768</v>
      </c>
      <c r="S1009" t="s">
        <v>48</v>
      </c>
      <c r="T1009" t="s">
        <v>40</v>
      </c>
      <c r="U1009" t="s">
        <v>41</v>
      </c>
      <c r="V1009" s="9" t="str">
        <f>HYPERLINK("https://app.ntsb.gov/pdfgenerator/ReportGeneratorFile.ashx?EventID=20160916X12503&amp;AKey=1&amp;Rtype=Final&amp;IType=FA","PDF Report")</f>
        <v>PDF Report</v>
      </c>
    </row>
    <row r="1010" spans="1:22" x14ac:dyDescent="0.25">
      <c r="A1010" t="s">
        <v>3944</v>
      </c>
      <c r="B1010">
        <v>1</v>
      </c>
      <c r="C1010" s="5">
        <v>42629</v>
      </c>
      <c r="D1010" t="s">
        <v>3945</v>
      </c>
      <c r="E1010" t="s">
        <v>3946</v>
      </c>
      <c r="F1010" t="s">
        <v>1830</v>
      </c>
      <c r="G1010" t="s">
        <v>120</v>
      </c>
      <c r="H1010" t="s">
        <v>33</v>
      </c>
      <c r="K1010" t="s">
        <v>34</v>
      </c>
      <c r="L1010" t="s">
        <v>35</v>
      </c>
      <c r="M1010" t="s">
        <v>36</v>
      </c>
      <c r="Q1010" t="s">
        <v>37</v>
      </c>
      <c r="R1010" t="s">
        <v>1628</v>
      </c>
      <c r="S1010" t="s">
        <v>196</v>
      </c>
      <c r="T1010" t="s">
        <v>40</v>
      </c>
      <c r="U1010" t="s">
        <v>41</v>
      </c>
      <c r="V1010" s="9" t="str">
        <f>HYPERLINK("https://app.ntsb.gov/pdfgenerator/ReportGeneratorFile.ashx?EventID=20160917X32715&amp;AKey=1&amp;Rtype=Final&amp;IType=LA","PDF Report")</f>
        <v>PDF Report</v>
      </c>
    </row>
    <row r="1011" spans="1:22" x14ac:dyDescent="0.25">
      <c r="A1011" t="s">
        <v>3947</v>
      </c>
      <c r="B1011">
        <v>1</v>
      </c>
      <c r="C1011" s="5">
        <v>42629</v>
      </c>
      <c r="D1011" t="s">
        <v>3948</v>
      </c>
      <c r="E1011" t="s">
        <v>3949</v>
      </c>
      <c r="F1011" t="s">
        <v>2400</v>
      </c>
      <c r="G1011" t="s">
        <v>468</v>
      </c>
      <c r="H1011" t="s">
        <v>33</v>
      </c>
      <c r="K1011" t="s">
        <v>34</v>
      </c>
      <c r="L1011" t="s">
        <v>35</v>
      </c>
      <c r="M1011" t="s">
        <v>36</v>
      </c>
      <c r="Q1011" t="s">
        <v>37</v>
      </c>
      <c r="R1011" t="s">
        <v>130</v>
      </c>
      <c r="S1011" t="s">
        <v>84</v>
      </c>
      <c r="T1011" t="s">
        <v>73</v>
      </c>
      <c r="U1011" t="s">
        <v>41</v>
      </c>
      <c r="V1011" s="9" t="str">
        <f>HYPERLINK("https://app.ntsb.gov/pdfgenerator/ReportGeneratorFile.ashx?EventID=20160919X83252&amp;AKey=1&amp;Rtype=Final&amp;IType=LA","PDF Report")</f>
        <v>PDF Report</v>
      </c>
    </row>
    <row r="1012" spans="1:22" x14ac:dyDescent="0.25">
      <c r="A1012" t="s">
        <v>3950</v>
      </c>
      <c r="B1012">
        <v>1</v>
      </c>
      <c r="C1012" s="5">
        <v>42629</v>
      </c>
      <c r="D1012" t="s">
        <v>3951</v>
      </c>
      <c r="E1012" t="s">
        <v>3952</v>
      </c>
      <c r="F1012" t="s">
        <v>101</v>
      </c>
      <c r="G1012" t="s">
        <v>102</v>
      </c>
      <c r="H1012" t="s">
        <v>33</v>
      </c>
      <c r="K1012" t="s">
        <v>34</v>
      </c>
      <c r="L1012" t="s">
        <v>35</v>
      </c>
      <c r="M1012" t="s">
        <v>36</v>
      </c>
      <c r="Q1012" t="s">
        <v>37</v>
      </c>
      <c r="R1012" t="s">
        <v>38</v>
      </c>
      <c r="S1012" t="s">
        <v>131</v>
      </c>
      <c r="T1012" t="s">
        <v>73</v>
      </c>
      <c r="U1012" t="s">
        <v>41</v>
      </c>
      <c r="V1012" s="9" t="str">
        <f>HYPERLINK("https://app.ntsb.gov/pdfgenerator/ReportGeneratorFile.ashx?EventID=20160920X30940&amp;AKey=1&amp;Rtype=Final&amp;IType=CA","PDF Report")</f>
        <v>PDF Report</v>
      </c>
    </row>
    <row r="1013" spans="1:22" x14ac:dyDescent="0.25">
      <c r="A1013" t="s">
        <v>3953</v>
      </c>
      <c r="B1013">
        <v>1</v>
      </c>
      <c r="C1013" s="5">
        <v>42629</v>
      </c>
      <c r="D1013" t="s">
        <v>3954</v>
      </c>
      <c r="E1013" t="s">
        <v>3955</v>
      </c>
      <c r="F1013" t="s">
        <v>2027</v>
      </c>
      <c r="G1013" t="s">
        <v>54</v>
      </c>
      <c r="H1013" t="s">
        <v>33</v>
      </c>
      <c r="K1013" t="s">
        <v>34</v>
      </c>
      <c r="L1013" t="s">
        <v>35</v>
      </c>
      <c r="M1013" t="s">
        <v>56</v>
      </c>
      <c r="N1013" t="s">
        <v>57</v>
      </c>
      <c r="O1013" t="s">
        <v>58</v>
      </c>
      <c r="P1013" t="s">
        <v>162</v>
      </c>
      <c r="Q1013" t="s">
        <v>37</v>
      </c>
      <c r="S1013" t="s">
        <v>84</v>
      </c>
      <c r="T1013" t="s">
        <v>49</v>
      </c>
      <c r="U1013" t="s">
        <v>41</v>
      </c>
      <c r="V1013" s="9" t="str">
        <f>HYPERLINK("https://app.ntsb.gov/pdfgenerator/ReportGeneratorFile.ashx?EventID=20160920X74309&amp;AKey=1&amp;Rtype=Final&amp;IType=LA","PDF Report")</f>
        <v>PDF Report</v>
      </c>
    </row>
    <row r="1014" spans="1:22" x14ac:dyDescent="0.25">
      <c r="A1014" t="s">
        <v>3956</v>
      </c>
      <c r="B1014">
        <v>1</v>
      </c>
      <c r="C1014" s="5">
        <v>42629</v>
      </c>
      <c r="D1014" t="s">
        <v>3957</v>
      </c>
      <c r="E1014" t="s">
        <v>3958</v>
      </c>
      <c r="F1014" t="s">
        <v>670</v>
      </c>
      <c r="G1014" t="s">
        <v>54</v>
      </c>
      <c r="H1014" t="s">
        <v>33</v>
      </c>
      <c r="J1014">
        <v>1</v>
      </c>
      <c r="K1014" t="s">
        <v>55</v>
      </c>
      <c r="L1014" t="s">
        <v>35</v>
      </c>
      <c r="M1014" t="s">
        <v>36</v>
      </c>
      <c r="Q1014" t="s">
        <v>37</v>
      </c>
      <c r="R1014" t="s">
        <v>38</v>
      </c>
      <c r="S1014" t="s">
        <v>196</v>
      </c>
      <c r="T1014" t="s">
        <v>79</v>
      </c>
      <c r="U1014" t="s">
        <v>41</v>
      </c>
      <c r="V1014" s="9" t="str">
        <f>HYPERLINK("https://app.ntsb.gov/pdfgenerator/ReportGeneratorFile.ashx?EventID=20160921X33524&amp;AKey=1&amp;Rtype=Final&amp;IType=LA","PDF Report")</f>
        <v>PDF Report</v>
      </c>
    </row>
    <row r="1015" spans="1:22" x14ac:dyDescent="0.25">
      <c r="A1015" t="s">
        <v>3959</v>
      </c>
      <c r="B1015">
        <v>1</v>
      </c>
      <c r="C1015" s="5">
        <v>42629</v>
      </c>
      <c r="D1015" t="s">
        <v>3960</v>
      </c>
      <c r="E1015" t="s">
        <v>3961</v>
      </c>
      <c r="F1015" t="s">
        <v>255</v>
      </c>
      <c r="G1015" t="s">
        <v>115</v>
      </c>
      <c r="H1015" t="s">
        <v>33</v>
      </c>
      <c r="K1015" t="s">
        <v>34</v>
      </c>
      <c r="L1015" t="s">
        <v>35</v>
      </c>
      <c r="M1015" t="s">
        <v>36</v>
      </c>
      <c r="Q1015" t="s">
        <v>37</v>
      </c>
      <c r="R1015" t="s">
        <v>130</v>
      </c>
      <c r="S1015" t="s">
        <v>131</v>
      </c>
      <c r="T1015" t="s">
        <v>49</v>
      </c>
      <c r="U1015" t="s">
        <v>41</v>
      </c>
      <c r="V1015" s="9" t="str">
        <f>HYPERLINK("https://app.ntsb.gov/pdfgenerator/ReportGeneratorFile.ashx?EventID=20160922X00530&amp;AKey=1&amp;Rtype=Final&amp;IType=CA","PDF Report")</f>
        <v>PDF Report</v>
      </c>
    </row>
    <row r="1016" spans="1:22" x14ac:dyDescent="0.25">
      <c r="A1016" t="s">
        <v>3962</v>
      </c>
      <c r="B1016">
        <v>1</v>
      </c>
      <c r="C1016" s="5">
        <v>42629</v>
      </c>
      <c r="D1016" t="s">
        <v>3963</v>
      </c>
      <c r="E1016" t="s">
        <v>3964</v>
      </c>
      <c r="F1016" t="s">
        <v>3965</v>
      </c>
      <c r="G1016" t="s">
        <v>115</v>
      </c>
      <c r="H1016" t="s">
        <v>33</v>
      </c>
      <c r="K1016" t="s">
        <v>34</v>
      </c>
      <c r="L1016" t="s">
        <v>35</v>
      </c>
      <c r="M1016" t="s">
        <v>36</v>
      </c>
      <c r="Q1016" t="s">
        <v>37</v>
      </c>
      <c r="R1016" t="s">
        <v>38</v>
      </c>
      <c r="S1016" t="s">
        <v>191</v>
      </c>
      <c r="T1016" t="s">
        <v>73</v>
      </c>
      <c r="U1016" t="s">
        <v>41</v>
      </c>
      <c r="V1016" s="9" t="str">
        <f>HYPERLINK("https://app.ntsb.gov/pdfgenerator/ReportGeneratorFile.ashx?EventID=20160926X42944&amp;AKey=1&amp;Rtype=Final&amp;IType=CA","PDF Report")</f>
        <v>PDF Report</v>
      </c>
    </row>
    <row r="1017" spans="1:22" x14ac:dyDescent="0.25">
      <c r="A1017" t="s">
        <v>3966</v>
      </c>
      <c r="B1017">
        <v>1</v>
      </c>
      <c r="C1017" s="5">
        <v>42629</v>
      </c>
      <c r="D1017" t="s">
        <v>3967</v>
      </c>
      <c r="E1017" t="s">
        <v>3968</v>
      </c>
      <c r="F1017" t="s">
        <v>3969</v>
      </c>
      <c r="G1017" t="s">
        <v>450</v>
      </c>
      <c r="H1017" t="s">
        <v>33</v>
      </c>
      <c r="K1017" t="s">
        <v>34</v>
      </c>
      <c r="L1017" t="s">
        <v>35</v>
      </c>
      <c r="M1017" t="s">
        <v>36</v>
      </c>
      <c r="Q1017" t="s">
        <v>37</v>
      </c>
      <c r="R1017" t="s">
        <v>38</v>
      </c>
      <c r="S1017" t="s">
        <v>84</v>
      </c>
      <c r="T1017" t="s">
        <v>73</v>
      </c>
      <c r="U1017" t="s">
        <v>41</v>
      </c>
      <c r="V1017" s="9" t="str">
        <f>HYPERLINK("https://app.ntsb.gov/pdfgenerator/ReportGeneratorFile.ashx?EventID=20160929X45047&amp;AKey=1&amp;Rtype=Final&amp;IType=CA","PDF Report")</f>
        <v>PDF Report</v>
      </c>
    </row>
    <row r="1018" spans="1:22" x14ac:dyDescent="0.25">
      <c r="A1018" t="s">
        <v>3970</v>
      </c>
      <c r="B1018">
        <v>1</v>
      </c>
      <c r="C1018" s="5">
        <v>42629</v>
      </c>
      <c r="D1018" t="s">
        <v>3971</v>
      </c>
      <c r="E1018" t="s">
        <v>3972</v>
      </c>
      <c r="F1018" t="s">
        <v>3973</v>
      </c>
      <c r="G1018" t="s">
        <v>242</v>
      </c>
      <c r="H1018" t="s">
        <v>33</v>
      </c>
      <c r="K1018" t="s">
        <v>34</v>
      </c>
      <c r="L1018" t="s">
        <v>35</v>
      </c>
      <c r="M1018" t="s">
        <v>36</v>
      </c>
      <c r="Q1018" t="s">
        <v>37</v>
      </c>
      <c r="R1018" t="s">
        <v>38</v>
      </c>
      <c r="S1018" t="s">
        <v>84</v>
      </c>
      <c r="T1018" t="s">
        <v>73</v>
      </c>
      <c r="U1018" t="s">
        <v>41</v>
      </c>
      <c r="V1018" s="9" t="str">
        <f>HYPERLINK("https://app.ntsb.gov/pdfgenerator/ReportGeneratorFile.ashx?EventID=20161005X13452&amp;AKey=1&amp;Rtype=Final&amp;IType=CA","PDF Report")</f>
        <v>PDF Report</v>
      </c>
    </row>
    <row r="1019" spans="1:22" x14ac:dyDescent="0.25">
      <c r="A1019" t="s">
        <v>3974</v>
      </c>
      <c r="B1019">
        <v>1</v>
      </c>
      <c r="C1019" s="5">
        <v>42630</v>
      </c>
      <c r="D1019" t="s">
        <v>3975</v>
      </c>
      <c r="E1019" t="s">
        <v>3976</v>
      </c>
      <c r="F1019" t="s">
        <v>899</v>
      </c>
      <c r="G1019" t="s">
        <v>538</v>
      </c>
      <c r="H1019" t="s">
        <v>33</v>
      </c>
      <c r="J1019">
        <v>3</v>
      </c>
      <c r="K1019" t="s">
        <v>55</v>
      </c>
      <c r="L1019" t="s">
        <v>110</v>
      </c>
      <c r="M1019" t="s">
        <v>56</v>
      </c>
      <c r="N1019" t="s">
        <v>57</v>
      </c>
      <c r="O1019" t="s">
        <v>58</v>
      </c>
      <c r="P1019" t="s">
        <v>162</v>
      </c>
      <c r="Q1019" t="s">
        <v>185</v>
      </c>
      <c r="S1019" t="s">
        <v>48</v>
      </c>
      <c r="T1019" t="s">
        <v>79</v>
      </c>
      <c r="U1019" t="s">
        <v>41</v>
      </c>
      <c r="V1019" s="9" t="str">
        <f>HYPERLINK("https://app.ntsb.gov/pdfgenerator/ReportGeneratorFile.ashx?EventID=20160917X62400&amp;AKey=1&amp;Rtype=Final&amp;IType=FA","PDF Report")</f>
        <v>PDF Report</v>
      </c>
    </row>
    <row r="1020" spans="1:22" x14ac:dyDescent="0.25">
      <c r="A1020" t="s">
        <v>3977</v>
      </c>
      <c r="B1020">
        <v>1</v>
      </c>
      <c r="C1020" s="5">
        <v>42630</v>
      </c>
      <c r="D1020" t="s">
        <v>3978</v>
      </c>
      <c r="E1020" t="s">
        <v>3979</v>
      </c>
      <c r="F1020" t="s">
        <v>3980</v>
      </c>
      <c r="G1020" t="s">
        <v>125</v>
      </c>
      <c r="H1020" t="s">
        <v>33</v>
      </c>
      <c r="I1020">
        <v>3</v>
      </c>
      <c r="K1020" t="s">
        <v>90</v>
      </c>
      <c r="L1020" t="s">
        <v>35</v>
      </c>
      <c r="M1020" t="s">
        <v>36</v>
      </c>
      <c r="Q1020" t="s">
        <v>37</v>
      </c>
      <c r="R1020" t="s">
        <v>38</v>
      </c>
      <c r="S1020" t="s">
        <v>243</v>
      </c>
      <c r="T1020" t="s">
        <v>61</v>
      </c>
      <c r="U1020" t="s">
        <v>41</v>
      </c>
      <c r="V1020" s="9" t="str">
        <f>HYPERLINK("https://app.ntsb.gov/pdfgenerator/ReportGeneratorFile.ashx?EventID=20160917X84927&amp;AKey=1&amp;Rtype=Final&amp;IType=FA","PDF Report")</f>
        <v>PDF Report</v>
      </c>
    </row>
    <row r="1021" spans="1:22" x14ac:dyDescent="0.25">
      <c r="A1021" t="s">
        <v>3981</v>
      </c>
      <c r="B1021">
        <v>1</v>
      </c>
      <c r="C1021" s="5">
        <v>42630</v>
      </c>
      <c r="D1021" t="s">
        <v>3982</v>
      </c>
      <c r="E1021" t="s">
        <v>3983</v>
      </c>
      <c r="F1021" t="s">
        <v>3984</v>
      </c>
      <c r="G1021" t="s">
        <v>287</v>
      </c>
      <c r="H1021" t="s">
        <v>33</v>
      </c>
      <c r="J1021">
        <v>1</v>
      </c>
      <c r="K1021" t="s">
        <v>55</v>
      </c>
      <c r="L1021" t="s">
        <v>110</v>
      </c>
      <c r="M1021" t="s">
        <v>36</v>
      </c>
      <c r="Q1021" t="s">
        <v>37</v>
      </c>
      <c r="R1021" t="s">
        <v>1132</v>
      </c>
      <c r="S1021" t="s">
        <v>584</v>
      </c>
      <c r="T1021" t="s">
        <v>61</v>
      </c>
      <c r="U1021" t="s">
        <v>41</v>
      </c>
      <c r="V1021" s="9" t="str">
        <f>HYPERLINK("https://app.ntsb.gov/pdfgenerator/ReportGeneratorFile.ashx?EventID=20160919X04327&amp;AKey=1&amp;Rtype=Final&amp;IType=FA","PDF Report")</f>
        <v>PDF Report</v>
      </c>
    </row>
    <row r="1022" spans="1:22" x14ac:dyDescent="0.25">
      <c r="A1022" t="s">
        <v>3985</v>
      </c>
      <c r="B1022">
        <v>1</v>
      </c>
      <c r="C1022" s="5">
        <v>42630</v>
      </c>
      <c r="D1022" t="s">
        <v>3986</v>
      </c>
      <c r="E1022" t="s">
        <v>3987</v>
      </c>
      <c r="F1022" t="s">
        <v>1830</v>
      </c>
      <c r="G1022" t="s">
        <v>120</v>
      </c>
      <c r="H1022" t="s">
        <v>33</v>
      </c>
      <c r="K1022" t="s">
        <v>34</v>
      </c>
      <c r="L1022" t="s">
        <v>35</v>
      </c>
      <c r="M1022" t="s">
        <v>36</v>
      </c>
      <c r="Q1022" t="s">
        <v>37</v>
      </c>
      <c r="R1022" t="s">
        <v>1628</v>
      </c>
      <c r="S1022" t="s">
        <v>39</v>
      </c>
      <c r="T1022" t="s">
        <v>40</v>
      </c>
      <c r="U1022" t="s">
        <v>41</v>
      </c>
      <c r="V1022" s="9" t="str">
        <f>HYPERLINK("https://app.ntsb.gov/pdfgenerator/ReportGeneratorFile.ashx?EventID=20160920X14417&amp;AKey=1&amp;Rtype=Final&amp;IType=LA","PDF Report")</f>
        <v>PDF Report</v>
      </c>
    </row>
    <row r="1023" spans="1:22" x14ac:dyDescent="0.25">
      <c r="A1023" t="s">
        <v>3988</v>
      </c>
      <c r="B1023">
        <v>1</v>
      </c>
      <c r="C1023" s="5">
        <v>42630</v>
      </c>
      <c r="D1023" t="s">
        <v>3989</v>
      </c>
      <c r="E1023" t="s">
        <v>3990</v>
      </c>
      <c r="F1023" t="s">
        <v>1837</v>
      </c>
      <c r="G1023" t="s">
        <v>211</v>
      </c>
      <c r="H1023" t="s">
        <v>33</v>
      </c>
      <c r="K1023" t="s">
        <v>34</v>
      </c>
      <c r="L1023" t="s">
        <v>35</v>
      </c>
      <c r="M1023" t="s">
        <v>36</v>
      </c>
      <c r="Q1023" t="s">
        <v>402</v>
      </c>
      <c r="R1023" t="s">
        <v>38</v>
      </c>
      <c r="S1023" t="s">
        <v>131</v>
      </c>
      <c r="T1023" t="s">
        <v>49</v>
      </c>
      <c r="U1023" t="s">
        <v>41</v>
      </c>
      <c r="V1023" s="9" t="str">
        <f>HYPERLINK("https://app.ntsb.gov/pdfgenerator/ReportGeneratorFile.ashx?EventID=20160922X20919&amp;AKey=1&amp;Rtype=Final&amp;IType=CA","PDF Report")</f>
        <v>PDF Report</v>
      </c>
    </row>
    <row r="1024" spans="1:22" x14ac:dyDescent="0.25">
      <c r="A1024" t="s">
        <v>3991</v>
      </c>
      <c r="B1024">
        <v>1</v>
      </c>
      <c r="C1024" s="5">
        <v>42630</v>
      </c>
      <c r="D1024" t="s">
        <v>3992</v>
      </c>
      <c r="E1024" t="s">
        <v>3993</v>
      </c>
      <c r="F1024" t="s">
        <v>1830</v>
      </c>
      <c r="G1024" t="s">
        <v>120</v>
      </c>
      <c r="H1024" t="s">
        <v>33</v>
      </c>
      <c r="K1024" t="s">
        <v>34</v>
      </c>
      <c r="L1024" t="s">
        <v>35</v>
      </c>
      <c r="M1024" t="s">
        <v>36</v>
      </c>
      <c r="Q1024" t="s">
        <v>37</v>
      </c>
      <c r="R1024" t="s">
        <v>1628</v>
      </c>
      <c r="S1024" t="s">
        <v>131</v>
      </c>
      <c r="T1024" t="s">
        <v>73</v>
      </c>
      <c r="U1024" t="s">
        <v>41</v>
      </c>
      <c r="V1024" s="9" t="str">
        <f>HYPERLINK("https://app.ntsb.gov/pdfgenerator/ReportGeneratorFile.ashx?EventID=20160922X33620&amp;AKey=1&amp;Rtype=Final&amp;IType=CA","PDF Report")</f>
        <v>PDF Report</v>
      </c>
    </row>
    <row r="1025" spans="1:22" x14ac:dyDescent="0.25">
      <c r="A1025" t="s">
        <v>3994</v>
      </c>
      <c r="B1025">
        <v>1</v>
      </c>
      <c r="C1025" s="5">
        <v>42630</v>
      </c>
      <c r="D1025" t="s">
        <v>3995</v>
      </c>
      <c r="E1025" t="s">
        <v>3996</v>
      </c>
      <c r="F1025" t="s">
        <v>3997</v>
      </c>
      <c r="G1025" t="s">
        <v>66</v>
      </c>
      <c r="H1025" t="s">
        <v>33</v>
      </c>
      <c r="K1025" t="s">
        <v>47</v>
      </c>
      <c r="L1025" t="s">
        <v>35</v>
      </c>
      <c r="M1025" t="s">
        <v>36</v>
      </c>
      <c r="Q1025" t="s">
        <v>37</v>
      </c>
      <c r="R1025" t="s">
        <v>38</v>
      </c>
      <c r="S1025" t="s">
        <v>84</v>
      </c>
      <c r="T1025" t="s">
        <v>73</v>
      </c>
      <c r="U1025" t="s">
        <v>41</v>
      </c>
      <c r="V1025" s="9" t="str">
        <f>HYPERLINK("https://app.ntsb.gov/pdfgenerator/ReportGeneratorFile.ashx?EventID=20160926X41508&amp;AKey=1&amp;Rtype=Final&amp;IType=CA","PDF Report")</f>
        <v>PDF Report</v>
      </c>
    </row>
    <row r="1026" spans="1:22" x14ac:dyDescent="0.25">
      <c r="A1026" t="s">
        <v>3998</v>
      </c>
      <c r="B1026">
        <v>1</v>
      </c>
      <c r="C1026" s="5">
        <v>42631</v>
      </c>
      <c r="D1026" t="s">
        <v>3999</v>
      </c>
      <c r="E1026" t="s">
        <v>4000</v>
      </c>
      <c r="F1026" t="s">
        <v>2714</v>
      </c>
      <c r="G1026" t="s">
        <v>395</v>
      </c>
      <c r="H1026" t="s">
        <v>33</v>
      </c>
      <c r="I1026">
        <v>2</v>
      </c>
      <c r="K1026" t="s">
        <v>90</v>
      </c>
      <c r="L1026" t="s">
        <v>110</v>
      </c>
      <c r="M1026" t="s">
        <v>36</v>
      </c>
      <c r="Q1026" t="s">
        <v>37</v>
      </c>
      <c r="R1026" t="s">
        <v>38</v>
      </c>
      <c r="S1026" t="s">
        <v>60</v>
      </c>
      <c r="T1026" t="s">
        <v>79</v>
      </c>
      <c r="U1026" t="s">
        <v>41</v>
      </c>
      <c r="V1026" s="9" t="str">
        <f>HYPERLINK("https://app.ntsb.gov/pdfgenerator/ReportGeneratorFile.ashx?EventID=20160919X13211&amp;AKey=1&amp;Rtype=Final&amp;IType=FA","PDF Report")</f>
        <v>PDF Report</v>
      </c>
    </row>
    <row r="1027" spans="1:22" x14ac:dyDescent="0.25">
      <c r="A1027" t="s">
        <v>4001</v>
      </c>
      <c r="B1027">
        <v>1</v>
      </c>
      <c r="C1027" s="5">
        <v>42631</v>
      </c>
      <c r="D1027" t="s">
        <v>4002</v>
      </c>
      <c r="E1027" t="s">
        <v>4003</v>
      </c>
      <c r="F1027" t="s">
        <v>4004</v>
      </c>
      <c r="G1027" t="s">
        <v>54</v>
      </c>
      <c r="H1027" t="s">
        <v>33</v>
      </c>
      <c r="K1027" t="s">
        <v>34</v>
      </c>
      <c r="L1027" t="s">
        <v>35</v>
      </c>
      <c r="M1027" t="s">
        <v>36</v>
      </c>
      <c r="Q1027" t="s">
        <v>37</v>
      </c>
      <c r="R1027" t="s">
        <v>38</v>
      </c>
      <c r="S1027" t="s">
        <v>131</v>
      </c>
      <c r="T1027" t="s">
        <v>378</v>
      </c>
      <c r="U1027" t="s">
        <v>41</v>
      </c>
      <c r="V1027" s="9" t="str">
        <f>HYPERLINK("https://app.ntsb.gov/pdfgenerator/ReportGeneratorFile.ashx?EventID=20160920X02257&amp;AKey=1&amp;Rtype=Final&amp;IType=CA","PDF Report")</f>
        <v>PDF Report</v>
      </c>
    </row>
    <row r="1028" spans="1:22" x14ac:dyDescent="0.25">
      <c r="A1028" t="s">
        <v>4005</v>
      </c>
      <c r="B1028">
        <v>1</v>
      </c>
      <c r="C1028" s="5">
        <v>42631</v>
      </c>
      <c r="D1028" t="s">
        <v>4006</v>
      </c>
      <c r="E1028" t="s">
        <v>4007</v>
      </c>
      <c r="F1028" t="s">
        <v>1830</v>
      </c>
      <c r="G1028" t="s">
        <v>120</v>
      </c>
      <c r="H1028" t="s">
        <v>33</v>
      </c>
      <c r="K1028" t="s">
        <v>47</v>
      </c>
      <c r="L1028" t="s">
        <v>35</v>
      </c>
      <c r="M1028" t="s">
        <v>36</v>
      </c>
      <c r="Q1028" t="s">
        <v>37</v>
      </c>
      <c r="R1028" t="s">
        <v>1628</v>
      </c>
      <c r="S1028" t="s">
        <v>396</v>
      </c>
      <c r="T1028" t="s">
        <v>49</v>
      </c>
      <c r="U1028" t="s">
        <v>41</v>
      </c>
      <c r="V1028" s="9" t="str">
        <f>HYPERLINK("https://app.ntsb.gov/pdfgenerator/ReportGeneratorFile.ashx?EventID=20160920X14749&amp;AKey=1&amp;Rtype=Final&amp;IType=LA","PDF Report")</f>
        <v>PDF Report</v>
      </c>
    </row>
    <row r="1029" spans="1:22" x14ac:dyDescent="0.25">
      <c r="A1029" t="s">
        <v>4005</v>
      </c>
      <c r="B1029">
        <v>2</v>
      </c>
      <c r="C1029" s="5">
        <v>42631</v>
      </c>
      <c r="D1029" t="s">
        <v>4006</v>
      </c>
      <c r="E1029" t="s">
        <v>4007</v>
      </c>
      <c r="F1029" t="s">
        <v>1830</v>
      </c>
      <c r="G1029" t="s">
        <v>120</v>
      </c>
      <c r="H1029" t="s">
        <v>33</v>
      </c>
      <c r="K1029" t="s">
        <v>47</v>
      </c>
      <c r="L1029" t="s">
        <v>35</v>
      </c>
      <c r="M1029" t="s">
        <v>36</v>
      </c>
      <c r="Q1029" t="s">
        <v>37</v>
      </c>
      <c r="R1029" t="s">
        <v>1628</v>
      </c>
      <c r="S1029" t="s">
        <v>396</v>
      </c>
      <c r="T1029" t="s">
        <v>49</v>
      </c>
      <c r="U1029" t="s">
        <v>41</v>
      </c>
      <c r="V1029" s="9" t="str">
        <f>HYPERLINK("https://app.ntsb.gov/pdfgenerator/ReportGeneratorFile.ashx?EventID=20160920X14749&amp;AKey=2&amp;Rtype=Final&amp;IType=LA","PDF Report")</f>
        <v>PDF Report</v>
      </c>
    </row>
    <row r="1030" spans="1:22" x14ac:dyDescent="0.25">
      <c r="A1030" t="s">
        <v>4008</v>
      </c>
      <c r="B1030">
        <v>1</v>
      </c>
      <c r="C1030" s="5">
        <v>42631</v>
      </c>
      <c r="D1030" t="s">
        <v>4009</v>
      </c>
      <c r="E1030" t="s">
        <v>4010</v>
      </c>
      <c r="F1030" t="s">
        <v>4011</v>
      </c>
      <c r="G1030" t="s">
        <v>883</v>
      </c>
      <c r="H1030" t="s">
        <v>33</v>
      </c>
      <c r="K1030" t="s">
        <v>47</v>
      </c>
      <c r="L1030" t="s">
        <v>35</v>
      </c>
      <c r="M1030" t="s">
        <v>767</v>
      </c>
      <c r="Q1030" t="s">
        <v>37</v>
      </c>
      <c r="R1030" t="s">
        <v>768</v>
      </c>
      <c r="S1030" t="s">
        <v>39</v>
      </c>
      <c r="T1030" t="s">
        <v>143</v>
      </c>
      <c r="U1030" t="s">
        <v>41</v>
      </c>
      <c r="V1030" s="9" t="str">
        <f>HYPERLINK("https://app.ntsb.gov/pdfgenerator/ReportGeneratorFile.ashx?EventID=20160921X75343&amp;AKey=1&amp;Rtype=Final&amp;IType=LA","PDF Report")</f>
        <v>PDF Report</v>
      </c>
    </row>
    <row r="1031" spans="1:22" x14ac:dyDescent="0.25">
      <c r="A1031" t="s">
        <v>4012</v>
      </c>
      <c r="B1031">
        <v>1</v>
      </c>
      <c r="C1031" s="5">
        <v>42631</v>
      </c>
      <c r="D1031" t="s">
        <v>4013</v>
      </c>
      <c r="E1031" t="s">
        <v>4014</v>
      </c>
      <c r="F1031" t="s">
        <v>1136</v>
      </c>
      <c r="G1031" t="s">
        <v>348</v>
      </c>
      <c r="H1031" t="s">
        <v>33</v>
      </c>
      <c r="J1031">
        <v>1</v>
      </c>
      <c r="K1031" t="s">
        <v>55</v>
      </c>
      <c r="L1031" t="s">
        <v>110</v>
      </c>
      <c r="M1031" t="s">
        <v>36</v>
      </c>
      <c r="Q1031" t="s">
        <v>37</v>
      </c>
      <c r="R1031" t="s">
        <v>38</v>
      </c>
      <c r="S1031" t="s">
        <v>48</v>
      </c>
      <c r="T1031" t="s">
        <v>143</v>
      </c>
      <c r="U1031" t="s">
        <v>41</v>
      </c>
      <c r="V1031" s="9" t="str">
        <f>HYPERLINK("https://app.ntsb.gov/pdfgenerator/ReportGeneratorFile.ashx?EventID=20160921X92409&amp;AKey=1&amp;Rtype=Final&amp;IType=LA","PDF Report")</f>
        <v>PDF Report</v>
      </c>
    </row>
    <row r="1032" spans="1:22" x14ac:dyDescent="0.25">
      <c r="A1032" t="s">
        <v>4015</v>
      </c>
      <c r="B1032">
        <v>1</v>
      </c>
      <c r="C1032" s="5">
        <v>42631</v>
      </c>
      <c r="D1032" t="s">
        <v>4016</v>
      </c>
      <c r="E1032" t="s">
        <v>4017</v>
      </c>
      <c r="F1032" t="s">
        <v>299</v>
      </c>
      <c r="G1032" t="s">
        <v>66</v>
      </c>
      <c r="H1032" t="s">
        <v>33</v>
      </c>
      <c r="K1032" t="s">
        <v>34</v>
      </c>
      <c r="L1032" t="s">
        <v>35</v>
      </c>
      <c r="M1032" t="s">
        <v>36</v>
      </c>
      <c r="Q1032" t="s">
        <v>37</v>
      </c>
      <c r="R1032" t="s">
        <v>38</v>
      </c>
      <c r="S1032" t="s">
        <v>84</v>
      </c>
      <c r="T1032" t="s">
        <v>73</v>
      </c>
      <c r="U1032" t="s">
        <v>41</v>
      </c>
      <c r="V1032" s="9" t="str">
        <f>HYPERLINK("https://app.ntsb.gov/pdfgenerator/ReportGeneratorFile.ashx?EventID=20160927X42417&amp;AKey=1&amp;Rtype=Final&amp;IType=CA","PDF Report")</f>
        <v>PDF Report</v>
      </c>
    </row>
    <row r="1033" spans="1:22" x14ac:dyDescent="0.25">
      <c r="A1033" t="s">
        <v>4018</v>
      </c>
      <c r="B1033">
        <v>1</v>
      </c>
      <c r="C1033" s="5">
        <v>42631</v>
      </c>
      <c r="D1033" t="s">
        <v>4019</v>
      </c>
      <c r="E1033" t="s">
        <v>4020</v>
      </c>
      <c r="F1033" t="s">
        <v>4021</v>
      </c>
      <c r="G1033" t="s">
        <v>32</v>
      </c>
      <c r="H1033" t="s">
        <v>33</v>
      </c>
      <c r="K1033" t="s">
        <v>34</v>
      </c>
      <c r="L1033" t="s">
        <v>35</v>
      </c>
      <c r="M1033" t="s">
        <v>36</v>
      </c>
      <c r="Q1033" t="s">
        <v>37</v>
      </c>
      <c r="R1033" t="s">
        <v>38</v>
      </c>
      <c r="S1033" t="s">
        <v>84</v>
      </c>
      <c r="T1033" t="s">
        <v>73</v>
      </c>
      <c r="U1033" t="s">
        <v>41</v>
      </c>
      <c r="V1033" s="9" t="str">
        <f>HYPERLINK("https://app.ntsb.gov/pdfgenerator/ReportGeneratorFile.ashx?EventID=20160927X81225&amp;AKey=1&amp;Rtype=Final&amp;IType=LA","PDF Report")</f>
        <v>PDF Report</v>
      </c>
    </row>
    <row r="1034" spans="1:22" x14ac:dyDescent="0.25">
      <c r="A1034" t="s">
        <v>4022</v>
      </c>
      <c r="B1034">
        <v>1</v>
      </c>
      <c r="C1034" s="5">
        <v>42631</v>
      </c>
      <c r="D1034" t="s">
        <v>4023</v>
      </c>
      <c r="E1034" t="s">
        <v>4024</v>
      </c>
      <c r="F1034" t="s">
        <v>1830</v>
      </c>
      <c r="G1034" t="s">
        <v>120</v>
      </c>
      <c r="H1034" t="s">
        <v>33</v>
      </c>
      <c r="K1034" t="s">
        <v>34</v>
      </c>
      <c r="L1034" t="s">
        <v>35</v>
      </c>
      <c r="M1034" t="s">
        <v>36</v>
      </c>
      <c r="Q1034" t="s">
        <v>37</v>
      </c>
      <c r="R1034" t="s">
        <v>1628</v>
      </c>
      <c r="S1034" t="s">
        <v>396</v>
      </c>
      <c r="T1034" t="s">
        <v>73</v>
      </c>
      <c r="U1034" t="s">
        <v>41</v>
      </c>
      <c r="V1034" s="9" t="str">
        <f>HYPERLINK("https://app.ntsb.gov/pdfgenerator/ReportGeneratorFile.ashx?EventID=20160928X42537&amp;AKey=1&amp;Rtype=Final&amp;IType=CA","PDF Report")</f>
        <v>PDF Report</v>
      </c>
    </row>
    <row r="1035" spans="1:22" x14ac:dyDescent="0.25">
      <c r="A1035" t="s">
        <v>4022</v>
      </c>
      <c r="B1035">
        <v>2</v>
      </c>
      <c r="C1035" s="5">
        <v>42631</v>
      </c>
      <c r="D1035" t="s">
        <v>4023</v>
      </c>
      <c r="E1035" t="s">
        <v>4024</v>
      </c>
      <c r="F1035" t="s">
        <v>1830</v>
      </c>
      <c r="G1035" t="s">
        <v>120</v>
      </c>
      <c r="H1035" t="s">
        <v>33</v>
      </c>
      <c r="K1035" t="s">
        <v>34</v>
      </c>
      <c r="L1035" t="s">
        <v>35</v>
      </c>
      <c r="M1035" t="s">
        <v>36</v>
      </c>
      <c r="Q1035" t="s">
        <v>37</v>
      </c>
      <c r="R1035" t="s">
        <v>1628</v>
      </c>
      <c r="S1035" t="s">
        <v>396</v>
      </c>
      <c r="T1035" t="s">
        <v>73</v>
      </c>
      <c r="U1035" t="s">
        <v>41</v>
      </c>
      <c r="V1035" s="9" t="str">
        <f>HYPERLINK("https://app.ntsb.gov/pdfgenerator/ReportGeneratorFile.ashx?EventID=20160928X42537&amp;AKey=2&amp;Rtype=Final&amp;IType=CA","PDF Report")</f>
        <v>PDF Report</v>
      </c>
    </row>
    <row r="1036" spans="1:22" x14ac:dyDescent="0.25">
      <c r="A1036" t="s">
        <v>4025</v>
      </c>
      <c r="B1036">
        <v>1</v>
      </c>
      <c r="C1036" s="5">
        <v>42631</v>
      </c>
      <c r="D1036" t="s">
        <v>4026</v>
      </c>
      <c r="E1036" t="s">
        <v>4027</v>
      </c>
      <c r="F1036" t="s">
        <v>4028</v>
      </c>
      <c r="G1036" t="s">
        <v>66</v>
      </c>
      <c r="H1036" t="s">
        <v>33</v>
      </c>
      <c r="J1036">
        <v>1</v>
      </c>
      <c r="K1036" t="s">
        <v>55</v>
      </c>
      <c r="L1036" t="s">
        <v>35</v>
      </c>
      <c r="M1036" t="s">
        <v>36</v>
      </c>
      <c r="Q1036" t="s">
        <v>37</v>
      </c>
      <c r="R1036" t="s">
        <v>38</v>
      </c>
      <c r="S1036" t="s">
        <v>131</v>
      </c>
      <c r="T1036" t="s">
        <v>73</v>
      </c>
      <c r="U1036" t="s">
        <v>41</v>
      </c>
      <c r="V1036" s="9" t="str">
        <f>HYPERLINK("https://app.ntsb.gov/pdfgenerator/ReportGeneratorFile.ashx?EventID=20161013X34331&amp;AKey=1&amp;Rtype=Final&amp;IType=LA","PDF Report")</f>
        <v>PDF Report</v>
      </c>
    </row>
    <row r="1037" spans="1:22" x14ac:dyDescent="0.25">
      <c r="A1037" t="s">
        <v>4029</v>
      </c>
      <c r="B1037">
        <v>1</v>
      </c>
      <c r="C1037" s="5">
        <v>42632</v>
      </c>
      <c r="D1037" t="s">
        <v>4030</v>
      </c>
      <c r="E1037" t="s">
        <v>4031</v>
      </c>
      <c r="F1037" t="s">
        <v>4032</v>
      </c>
      <c r="G1037" t="s">
        <v>666</v>
      </c>
      <c r="H1037" t="s">
        <v>33</v>
      </c>
      <c r="K1037" t="s">
        <v>34</v>
      </c>
      <c r="L1037" t="s">
        <v>110</v>
      </c>
      <c r="M1037" t="s">
        <v>36</v>
      </c>
      <c r="Q1037" t="s">
        <v>37</v>
      </c>
      <c r="R1037" t="s">
        <v>38</v>
      </c>
      <c r="S1037" t="s">
        <v>97</v>
      </c>
      <c r="T1037" t="s">
        <v>49</v>
      </c>
      <c r="U1037" t="s">
        <v>41</v>
      </c>
      <c r="V1037" s="9" t="str">
        <f>HYPERLINK("https://app.ntsb.gov/pdfgenerator/ReportGeneratorFile.ashx?EventID=20160920X85700&amp;AKey=1&amp;Rtype=Final&amp;IType=LA","PDF Report")</f>
        <v>PDF Report</v>
      </c>
    </row>
    <row r="1038" spans="1:22" x14ac:dyDescent="0.25">
      <c r="A1038" t="s">
        <v>4033</v>
      </c>
      <c r="B1038">
        <v>1</v>
      </c>
      <c r="C1038" s="5">
        <v>42632</v>
      </c>
      <c r="D1038" t="s">
        <v>4034</v>
      </c>
      <c r="E1038" t="s">
        <v>4035</v>
      </c>
      <c r="F1038" t="s">
        <v>4036</v>
      </c>
      <c r="G1038" t="s">
        <v>801</v>
      </c>
      <c r="H1038" t="s">
        <v>33</v>
      </c>
      <c r="K1038" t="s">
        <v>34</v>
      </c>
      <c r="L1038" t="s">
        <v>35</v>
      </c>
      <c r="M1038" t="s">
        <v>36</v>
      </c>
      <c r="Q1038" t="s">
        <v>37</v>
      </c>
      <c r="R1038" t="s">
        <v>38</v>
      </c>
      <c r="S1038" t="s">
        <v>48</v>
      </c>
      <c r="T1038" t="s">
        <v>73</v>
      </c>
      <c r="U1038" t="s">
        <v>41</v>
      </c>
      <c r="V1038" s="9" t="str">
        <f>HYPERLINK("https://app.ntsb.gov/pdfgenerator/ReportGeneratorFile.ashx?EventID=20160921X10818&amp;AKey=1&amp;Rtype=Final&amp;IType=CA","PDF Report")</f>
        <v>PDF Report</v>
      </c>
    </row>
    <row r="1039" spans="1:22" x14ac:dyDescent="0.25">
      <c r="A1039" t="s">
        <v>4037</v>
      </c>
      <c r="B1039">
        <v>1</v>
      </c>
      <c r="C1039" s="5">
        <v>42633</v>
      </c>
      <c r="D1039" t="s">
        <v>4038</v>
      </c>
      <c r="E1039" t="s">
        <v>4039</v>
      </c>
      <c r="F1039" t="s">
        <v>1150</v>
      </c>
      <c r="G1039" t="s">
        <v>348</v>
      </c>
      <c r="H1039" t="s">
        <v>33</v>
      </c>
      <c r="I1039">
        <v>2</v>
      </c>
      <c r="K1039" t="s">
        <v>90</v>
      </c>
      <c r="L1039" t="s">
        <v>35</v>
      </c>
      <c r="M1039" t="s">
        <v>36</v>
      </c>
      <c r="Q1039" t="s">
        <v>37</v>
      </c>
      <c r="R1039" t="s">
        <v>38</v>
      </c>
      <c r="S1039" t="s">
        <v>48</v>
      </c>
      <c r="T1039" t="s">
        <v>49</v>
      </c>
      <c r="U1039" t="s">
        <v>41</v>
      </c>
      <c r="V1039" s="9" t="str">
        <f>HYPERLINK("https://app.ntsb.gov/pdfgenerator/ReportGeneratorFile.ashx?EventID=20160920X15124&amp;AKey=1&amp;Rtype=Final&amp;IType=FA","PDF Report")</f>
        <v>PDF Report</v>
      </c>
    </row>
    <row r="1040" spans="1:22" x14ac:dyDescent="0.25">
      <c r="A1040" t="s">
        <v>4040</v>
      </c>
      <c r="B1040">
        <v>1</v>
      </c>
      <c r="C1040" s="5">
        <v>42634</v>
      </c>
      <c r="D1040" t="s">
        <v>4041</v>
      </c>
      <c r="E1040" t="s">
        <v>4042</v>
      </c>
      <c r="F1040" t="s">
        <v>2027</v>
      </c>
      <c r="G1040" t="s">
        <v>54</v>
      </c>
      <c r="H1040" t="s">
        <v>33</v>
      </c>
      <c r="K1040" t="s">
        <v>47</v>
      </c>
      <c r="L1040" t="s">
        <v>35</v>
      </c>
      <c r="M1040" t="s">
        <v>36</v>
      </c>
      <c r="Q1040" t="s">
        <v>37</v>
      </c>
      <c r="R1040" t="s">
        <v>38</v>
      </c>
      <c r="S1040" t="s">
        <v>1330</v>
      </c>
      <c r="T1040" t="s">
        <v>49</v>
      </c>
      <c r="U1040" t="s">
        <v>41</v>
      </c>
      <c r="V1040" s="9" t="str">
        <f>HYPERLINK("https://app.ntsb.gov/pdfgenerator/ReportGeneratorFile.ashx?EventID=20160922X14250&amp;AKey=1&amp;Rtype=Final&amp;IType=CA","PDF Report")</f>
        <v>PDF Report</v>
      </c>
    </row>
    <row r="1041" spans="1:22" x14ac:dyDescent="0.25">
      <c r="A1041" t="s">
        <v>4043</v>
      </c>
      <c r="B1041">
        <v>1</v>
      </c>
      <c r="C1041" s="5">
        <v>42634</v>
      </c>
      <c r="D1041" t="s">
        <v>4044</v>
      </c>
      <c r="E1041" t="s">
        <v>4045</v>
      </c>
      <c r="F1041" t="s">
        <v>4046</v>
      </c>
      <c r="G1041" t="s">
        <v>71</v>
      </c>
      <c r="H1041" t="s">
        <v>33</v>
      </c>
      <c r="K1041" t="s">
        <v>34</v>
      </c>
      <c r="L1041" t="s">
        <v>35</v>
      </c>
      <c r="M1041" t="s">
        <v>36</v>
      </c>
      <c r="Q1041" t="s">
        <v>37</v>
      </c>
      <c r="R1041" t="s">
        <v>130</v>
      </c>
      <c r="S1041" t="s">
        <v>48</v>
      </c>
      <c r="T1041" t="s">
        <v>79</v>
      </c>
      <c r="U1041" t="s">
        <v>41</v>
      </c>
      <c r="V1041" s="9" t="str">
        <f>HYPERLINK("https://app.ntsb.gov/pdfgenerator/ReportGeneratorFile.ashx?EventID=20160922X43155&amp;AKey=1&amp;Rtype=Final&amp;IType=CA","PDF Report")</f>
        <v>PDF Report</v>
      </c>
    </row>
    <row r="1042" spans="1:22" x14ac:dyDescent="0.25">
      <c r="A1042" t="s">
        <v>4047</v>
      </c>
      <c r="B1042">
        <v>1</v>
      </c>
      <c r="C1042" s="5">
        <v>42634</v>
      </c>
      <c r="D1042" t="s">
        <v>4048</v>
      </c>
      <c r="E1042" t="s">
        <v>4049</v>
      </c>
      <c r="F1042" t="s">
        <v>2462</v>
      </c>
      <c r="G1042" t="s">
        <v>142</v>
      </c>
      <c r="H1042" t="s">
        <v>33</v>
      </c>
      <c r="K1042" t="s">
        <v>34</v>
      </c>
      <c r="L1042" t="s">
        <v>35</v>
      </c>
      <c r="M1042" t="s">
        <v>36</v>
      </c>
      <c r="Q1042" t="s">
        <v>37</v>
      </c>
      <c r="R1042" t="s">
        <v>274</v>
      </c>
      <c r="S1042" t="s">
        <v>84</v>
      </c>
      <c r="T1042" t="s">
        <v>73</v>
      </c>
      <c r="U1042" t="s">
        <v>41</v>
      </c>
      <c r="V1042" s="9" t="str">
        <f>HYPERLINK("https://app.ntsb.gov/pdfgenerator/ReportGeneratorFile.ashx?EventID=20160922X61244&amp;AKey=1&amp;Rtype=Final&amp;IType=LA","PDF Report")</f>
        <v>PDF Report</v>
      </c>
    </row>
    <row r="1043" spans="1:22" x14ac:dyDescent="0.25">
      <c r="A1043" t="s">
        <v>4050</v>
      </c>
      <c r="B1043">
        <v>1</v>
      </c>
      <c r="C1043" s="5">
        <v>42634</v>
      </c>
      <c r="D1043" t="s">
        <v>4051</v>
      </c>
      <c r="E1043" t="s">
        <v>4052</v>
      </c>
      <c r="F1043" t="s">
        <v>4053</v>
      </c>
      <c r="G1043" t="s">
        <v>96</v>
      </c>
      <c r="H1043" t="s">
        <v>33</v>
      </c>
      <c r="J1043">
        <v>2</v>
      </c>
      <c r="K1043" t="s">
        <v>55</v>
      </c>
      <c r="L1043" t="s">
        <v>35</v>
      </c>
      <c r="M1043" t="s">
        <v>36</v>
      </c>
      <c r="Q1043" t="s">
        <v>37</v>
      </c>
      <c r="R1043" t="s">
        <v>38</v>
      </c>
      <c r="S1043" t="s">
        <v>97</v>
      </c>
      <c r="T1043" t="s">
        <v>79</v>
      </c>
      <c r="U1043" t="s">
        <v>41</v>
      </c>
      <c r="V1043" s="9" t="str">
        <f>HYPERLINK("https://app.ntsb.gov/pdfgenerator/ReportGeneratorFile.ashx?EventID=20160922X85738&amp;AKey=1&amp;Rtype=Final&amp;IType=LA","PDF Report")</f>
        <v>PDF Report</v>
      </c>
    </row>
    <row r="1044" spans="1:22" x14ac:dyDescent="0.25">
      <c r="A1044" t="s">
        <v>4054</v>
      </c>
      <c r="B1044">
        <v>1</v>
      </c>
      <c r="C1044" s="5">
        <v>42634</v>
      </c>
      <c r="D1044" t="s">
        <v>2060</v>
      </c>
      <c r="E1044" t="s">
        <v>2061</v>
      </c>
      <c r="F1044" t="s">
        <v>2040</v>
      </c>
      <c r="G1044" t="s">
        <v>401</v>
      </c>
      <c r="H1044" t="s">
        <v>33</v>
      </c>
      <c r="K1044" t="s">
        <v>34</v>
      </c>
      <c r="L1044" t="s">
        <v>35</v>
      </c>
      <c r="M1044" t="s">
        <v>36</v>
      </c>
      <c r="Q1044" t="s">
        <v>37</v>
      </c>
      <c r="R1044" t="s">
        <v>38</v>
      </c>
      <c r="S1044" t="s">
        <v>84</v>
      </c>
      <c r="T1044" t="s">
        <v>73</v>
      </c>
      <c r="U1044" t="s">
        <v>41</v>
      </c>
      <c r="V1044" s="9" t="str">
        <f>HYPERLINK("https://app.ntsb.gov/pdfgenerator/ReportGeneratorFile.ashx?EventID=20160926X14319&amp;AKey=1&amp;Rtype=Final&amp;IType=CA","PDF Report")</f>
        <v>PDF Report</v>
      </c>
    </row>
    <row r="1045" spans="1:22" x14ac:dyDescent="0.25">
      <c r="A1045" t="s">
        <v>4055</v>
      </c>
      <c r="B1045">
        <v>1</v>
      </c>
      <c r="C1045" s="5">
        <v>42634</v>
      </c>
      <c r="D1045" t="s">
        <v>4056</v>
      </c>
      <c r="E1045" t="s">
        <v>4057</v>
      </c>
      <c r="F1045" t="s">
        <v>4058</v>
      </c>
      <c r="G1045" t="s">
        <v>312</v>
      </c>
      <c r="H1045" t="s">
        <v>33</v>
      </c>
      <c r="K1045" t="s">
        <v>47</v>
      </c>
      <c r="L1045" t="s">
        <v>35</v>
      </c>
      <c r="M1045" t="s">
        <v>36</v>
      </c>
      <c r="Q1045" t="s">
        <v>37</v>
      </c>
      <c r="R1045" t="s">
        <v>38</v>
      </c>
      <c r="S1045" t="s">
        <v>39</v>
      </c>
      <c r="T1045" t="s">
        <v>61</v>
      </c>
      <c r="U1045" t="s">
        <v>41</v>
      </c>
      <c r="V1045" s="9" t="str">
        <f>HYPERLINK("https://app.ntsb.gov/pdfgenerator/ReportGeneratorFile.ashx?EventID=20160926X94927&amp;AKey=1&amp;Rtype=Final&amp;IType=LA","PDF Report")</f>
        <v>PDF Report</v>
      </c>
    </row>
    <row r="1046" spans="1:22" x14ac:dyDescent="0.25">
      <c r="A1046" t="s">
        <v>4059</v>
      </c>
      <c r="B1046">
        <v>1</v>
      </c>
      <c r="C1046" s="5">
        <v>42634</v>
      </c>
      <c r="D1046" t="s">
        <v>4060</v>
      </c>
      <c r="E1046" t="s">
        <v>4061</v>
      </c>
      <c r="F1046" t="s">
        <v>4062</v>
      </c>
      <c r="G1046" t="s">
        <v>54</v>
      </c>
      <c r="H1046" t="s">
        <v>33</v>
      </c>
      <c r="K1046" t="s">
        <v>34</v>
      </c>
      <c r="L1046" t="s">
        <v>35</v>
      </c>
      <c r="M1046" t="s">
        <v>36</v>
      </c>
      <c r="Q1046" t="s">
        <v>37</v>
      </c>
      <c r="R1046" t="s">
        <v>38</v>
      </c>
      <c r="S1046" t="s">
        <v>396</v>
      </c>
      <c r="T1046" t="s">
        <v>73</v>
      </c>
      <c r="U1046" t="s">
        <v>41</v>
      </c>
      <c r="V1046" s="9" t="str">
        <f>HYPERLINK("https://app.ntsb.gov/pdfgenerator/ReportGeneratorFile.ashx?EventID=20161011X45846&amp;AKey=1&amp;Rtype=Final&amp;IType=CA","PDF Report")</f>
        <v>PDF Report</v>
      </c>
    </row>
    <row r="1047" spans="1:22" x14ac:dyDescent="0.25">
      <c r="A1047" t="s">
        <v>4063</v>
      </c>
      <c r="B1047">
        <v>1</v>
      </c>
      <c r="C1047" s="5">
        <v>42635</v>
      </c>
      <c r="D1047" t="s">
        <v>4064</v>
      </c>
      <c r="E1047" t="s">
        <v>4065</v>
      </c>
      <c r="F1047" t="s">
        <v>273</v>
      </c>
      <c r="G1047" t="s">
        <v>264</v>
      </c>
      <c r="H1047" t="s">
        <v>33</v>
      </c>
      <c r="K1047" t="s">
        <v>34</v>
      </c>
      <c r="L1047" t="s">
        <v>35</v>
      </c>
      <c r="M1047" t="s">
        <v>36</v>
      </c>
      <c r="Q1047" t="s">
        <v>37</v>
      </c>
      <c r="R1047" t="s">
        <v>38</v>
      </c>
      <c r="S1047" t="s">
        <v>97</v>
      </c>
      <c r="T1047" t="s">
        <v>61</v>
      </c>
      <c r="U1047" t="s">
        <v>41</v>
      </c>
      <c r="V1047" s="9" t="str">
        <f>HYPERLINK("https://app.ntsb.gov/pdfgenerator/ReportGeneratorFile.ashx?EventID=20160923X14144&amp;AKey=1&amp;Rtype=Final&amp;IType=LA","PDF Report")</f>
        <v>PDF Report</v>
      </c>
    </row>
    <row r="1048" spans="1:22" x14ac:dyDescent="0.25">
      <c r="A1048" t="s">
        <v>4066</v>
      </c>
      <c r="B1048">
        <v>1</v>
      </c>
      <c r="C1048" s="5">
        <v>42635</v>
      </c>
      <c r="D1048" t="s">
        <v>4067</v>
      </c>
      <c r="E1048" t="s">
        <v>4068</v>
      </c>
      <c r="F1048" t="s">
        <v>4069</v>
      </c>
      <c r="G1048" t="s">
        <v>180</v>
      </c>
      <c r="H1048" t="s">
        <v>33</v>
      </c>
      <c r="K1048" t="s">
        <v>47</v>
      </c>
      <c r="L1048" t="s">
        <v>35</v>
      </c>
      <c r="M1048" t="s">
        <v>36</v>
      </c>
      <c r="Q1048" t="s">
        <v>185</v>
      </c>
      <c r="R1048" t="s">
        <v>130</v>
      </c>
      <c r="S1048" t="s">
        <v>39</v>
      </c>
      <c r="T1048" t="s">
        <v>958</v>
      </c>
      <c r="U1048" t="s">
        <v>41</v>
      </c>
      <c r="V1048" s="9" t="str">
        <f>HYPERLINK("https://app.ntsb.gov/pdfgenerator/ReportGeneratorFile.ashx?EventID=20160926X10926&amp;AKey=1&amp;Rtype=Final&amp;IType=LA","PDF Report")</f>
        <v>PDF Report</v>
      </c>
    </row>
    <row r="1049" spans="1:22" x14ac:dyDescent="0.25">
      <c r="A1049" t="s">
        <v>4070</v>
      </c>
      <c r="B1049">
        <v>1</v>
      </c>
      <c r="C1049" s="5">
        <v>42636</v>
      </c>
      <c r="D1049" t="s">
        <v>4071</v>
      </c>
      <c r="E1049" t="s">
        <v>4072</v>
      </c>
      <c r="F1049" t="s">
        <v>4073</v>
      </c>
      <c r="G1049" t="s">
        <v>46</v>
      </c>
      <c r="H1049" t="s">
        <v>33</v>
      </c>
      <c r="K1049" t="s">
        <v>34</v>
      </c>
      <c r="L1049" t="s">
        <v>35</v>
      </c>
      <c r="M1049" t="s">
        <v>36</v>
      </c>
      <c r="Q1049" t="s">
        <v>37</v>
      </c>
      <c r="R1049" t="s">
        <v>38</v>
      </c>
      <c r="S1049" t="s">
        <v>196</v>
      </c>
      <c r="T1049" t="s">
        <v>79</v>
      </c>
      <c r="U1049" t="s">
        <v>41</v>
      </c>
      <c r="V1049" s="9" t="str">
        <f>HYPERLINK("https://app.ntsb.gov/pdfgenerator/ReportGeneratorFile.ashx?EventID=20160926X01659&amp;AKey=1&amp;Rtype=Final&amp;IType=LA","PDF Report")</f>
        <v>PDF Report</v>
      </c>
    </row>
    <row r="1050" spans="1:22" x14ac:dyDescent="0.25">
      <c r="A1050" t="s">
        <v>4074</v>
      </c>
      <c r="B1050">
        <v>1</v>
      </c>
      <c r="C1050" s="5">
        <v>42636</v>
      </c>
      <c r="D1050" t="s">
        <v>4075</v>
      </c>
      <c r="E1050" t="s">
        <v>4076</v>
      </c>
      <c r="F1050" t="s">
        <v>4077</v>
      </c>
      <c r="G1050" t="s">
        <v>1026</v>
      </c>
      <c r="H1050" t="s">
        <v>33</v>
      </c>
      <c r="K1050" t="s">
        <v>34</v>
      </c>
      <c r="L1050" t="s">
        <v>35</v>
      </c>
      <c r="M1050" t="s">
        <v>36</v>
      </c>
      <c r="Q1050" t="s">
        <v>37</v>
      </c>
      <c r="R1050" t="s">
        <v>38</v>
      </c>
      <c r="S1050" t="s">
        <v>39</v>
      </c>
      <c r="T1050" t="s">
        <v>61</v>
      </c>
      <c r="U1050" t="s">
        <v>41</v>
      </c>
      <c r="V1050" s="9" t="str">
        <f>HYPERLINK("https://app.ntsb.gov/pdfgenerator/ReportGeneratorFile.ashx?EventID=20160926X44236&amp;AKey=1&amp;Rtype=Final&amp;IType=LA","PDF Report")</f>
        <v>PDF Report</v>
      </c>
    </row>
    <row r="1051" spans="1:22" x14ac:dyDescent="0.25">
      <c r="A1051" t="s">
        <v>4078</v>
      </c>
      <c r="B1051">
        <v>1</v>
      </c>
      <c r="C1051" s="5">
        <v>42636</v>
      </c>
      <c r="D1051" t="s">
        <v>4079</v>
      </c>
      <c r="E1051" t="s">
        <v>4080</v>
      </c>
      <c r="F1051" t="s">
        <v>295</v>
      </c>
      <c r="G1051" t="s">
        <v>401</v>
      </c>
      <c r="H1051" t="s">
        <v>33</v>
      </c>
      <c r="K1051" t="s">
        <v>47</v>
      </c>
      <c r="L1051" t="s">
        <v>35</v>
      </c>
      <c r="M1051" t="s">
        <v>36</v>
      </c>
      <c r="Q1051" t="s">
        <v>37</v>
      </c>
      <c r="R1051" t="s">
        <v>38</v>
      </c>
      <c r="S1051" t="s">
        <v>39</v>
      </c>
      <c r="T1051" t="s">
        <v>61</v>
      </c>
      <c r="U1051" t="s">
        <v>41</v>
      </c>
      <c r="V1051" s="9" t="str">
        <f>HYPERLINK("https://app.ntsb.gov/pdfgenerator/ReportGeneratorFile.ashx?EventID=20160930X54139&amp;AKey=1&amp;Rtype=Final&amp;IType=LA","PDF Report")</f>
        <v>PDF Report</v>
      </c>
    </row>
    <row r="1052" spans="1:22" x14ac:dyDescent="0.25">
      <c r="A1052" t="s">
        <v>4081</v>
      </c>
      <c r="B1052">
        <v>1</v>
      </c>
      <c r="C1052" s="5">
        <v>42637</v>
      </c>
      <c r="D1052" t="s">
        <v>4082</v>
      </c>
      <c r="E1052" t="s">
        <v>4083</v>
      </c>
      <c r="F1052" t="s">
        <v>4084</v>
      </c>
      <c r="G1052" t="s">
        <v>54</v>
      </c>
      <c r="H1052" t="s">
        <v>33</v>
      </c>
      <c r="K1052" t="s">
        <v>47</v>
      </c>
      <c r="L1052" t="s">
        <v>35</v>
      </c>
      <c r="M1052" t="s">
        <v>36</v>
      </c>
      <c r="Q1052" t="s">
        <v>37</v>
      </c>
      <c r="R1052" t="s">
        <v>38</v>
      </c>
      <c r="S1052" t="s">
        <v>191</v>
      </c>
      <c r="T1052" t="s">
        <v>73</v>
      </c>
      <c r="U1052" t="s">
        <v>41</v>
      </c>
      <c r="V1052" s="9" t="str">
        <f>HYPERLINK("https://app.ntsb.gov/pdfgenerator/ReportGeneratorFile.ashx?EventID=20160926X45103&amp;AKey=1&amp;Rtype=Final&amp;IType=CA","PDF Report")</f>
        <v>PDF Report</v>
      </c>
    </row>
    <row r="1053" spans="1:22" x14ac:dyDescent="0.25">
      <c r="A1053" t="s">
        <v>4085</v>
      </c>
      <c r="B1053">
        <v>1</v>
      </c>
      <c r="C1053" s="5">
        <v>42637</v>
      </c>
      <c r="D1053" t="s">
        <v>4086</v>
      </c>
      <c r="E1053" t="s">
        <v>4087</v>
      </c>
      <c r="F1053" t="s">
        <v>4088</v>
      </c>
      <c r="G1053" t="s">
        <v>46</v>
      </c>
      <c r="H1053" t="s">
        <v>33</v>
      </c>
      <c r="K1053" t="s">
        <v>34</v>
      </c>
      <c r="L1053" t="s">
        <v>35</v>
      </c>
      <c r="M1053" t="s">
        <v>103</v>
      </c>
      <c r="N1053" t="s">
        <v>57</v>
      </c>
      <c r="O1053" t="s">
        <v>58</v>
      </c>
      <c r="P1053" t="s">
        <v>59</v>
      </c>
      <c r="Q1053" t="s">
        <v>37</v>
      </c>
      <c r="S1053" t="s">
        <v>196</v>
      </c>
      <c r="T1053" t="s">
        <v>79</v>
      </c>
      <c r="U1053" t="s">
        <v>41</v>
      </c>
      <c r="V1053" s="9" t="str">
        <f>HYPERLINK("https://app.ntsb.gov/pdfgenerator/ReportGeneratorFile.ashx?EventID=20160927X51937&amp;AKey=1&amp;Rtype=Final&amp;IType=CA","PDF Report")</f>
        <v>PDF Report</v>
      </c>
    </row>
    <row r="1054" spans="1:22" x14ac:dyDescent="0.25">
      <c r="A1054" t="s">
        <v>4089</v>
      </c>
      <c r="B1054">
        <v>1</v>
      </c>
      <c r="C1054" s="5">
        <v>42637</v>
      </c>
      <c r="D1054" t="s">
        <v>4090</v>
      </c>
      <c r="E1054" t="s">
        <v>4091</v>
      </c>
      <c r="F1054" t="s">
        <v>776</v>
      </c>
      <c r="G1054" t="s">
        <v>96</v>
      </c>
      <c r="H1054" t="s">
        <v>33</v>
      </c>
      <c r="J1054">
        <v>1</v>
      </c>
      <c r="K1054" t="s">
        <v>55</v>
      </c>
      <c r="L1054" t="s">
        <v>35</v>
      </c>
      <c r="M1054" t="s">
        <v>36</v>
      </c>
      <c r="Q1054" t="s">
        <v>37</v>
      </c>
      <c r="R1054" t="s">
        <v>38</v>
      </c>
      <c r="S1054" t="s">
        <v>39</v>
      </c>
      <c r="T1054" t="s">
        <v>143</v>
      </c>
      <c r="U1054" t="s">
        <v>41</v>
      </c>
      <c r="V1054" s="9" t="str">
        <f>HYPERLINK("https://app.ntsb.gov/pdfgenerator/ReportGeneratorFile.ashx?EventID=20161006X20121&amp;AKey=1&amp;Rtype=Final&amp;IType=LA","PDF Report")</f>
        <v>PDF Report</v>
      </c>
    </row>
    <row r="1055" spans="1:22" x14ac:dyDescent="0.25">
      <c r="A1055" t="s">
        <v>4092</v>
      </c>
      <c r="B1055">
        <v>1</v>
      </c>
      <c r="C1055" s="5">
        <v>42637</v>
      </c>
      <c r="D1055" t="s">
        <v>4093</v>
      </c>
      <c r="E1055" t="s">
        <v>4094</v>
      </c>
      <c r="F1055" t="s">
        <v>4095</v>
      </c>
      <c r="G1055" t="s">
        <v>115</v>
      </c>
      <c r="H1055" t="s">
        <v>33</v>
      </c>
      <c r="K1055" t="s">
        <v>34</v>
      </c>
      <c r="L1055" t="s">
        <v>35</v>
      </c>
      <c r="M1055" t="s">
        <v>36</v>
      </c>
      <c r="Q1055" t="s">
        <v>2775</v>
      </c>
      <c r="R1055" t="s">
        <v>38</v>
      </c>
      <c r="S1055" t="s">
        <v>191</v>
      </c>
      <c r="T1055" t="s">
        <v>49</v>
      </c>
      <c r="U1055" t="s">
        <v>41</v>
      </c>
      <c r="V1055" s="9" t="str">
        <f>HYPERLINK("https://app.ntsb.gov/pdfgenerator/ReportGeneratorFile.ashx?EventID=20161024X40139&amp;AKey=1&amp;Rtype=Final&amp;IType=CA","PDF Report")</f>
        <v>PDF Report</v>
      </c>
    </row>
    <row r="1056" spans="1:22" x14ac:dyDescent="0.25">
      <c r="A1056" t="s">
        <v>4096</v>
      </c>
      <c r="B1056">
        <v>1</v>
      </c>
      <c r="C1056" s="5">
        <v>42638</v>
      </c>
      <c r="D1056" t="s">
        <v>4097</v>
      </c>
      <c r="E1056" t="s">
        <v>4098</v>
      </c>
      <c r="F1056" t="s">
        <v>4099</v>
      </c>
      <c r="G1056" t="s">
        <v>322</v>
      </c>
      <c r="H1056" t="s">
        <v>33</v>
      </c>
      <c r="I1056">
        <v>3</v>
      </c>
      <c r="K1056" t="s">
        <v>90</v>
      </c>
      <c r="L1056" t="s">
        <v>110</v>
      </c>
      <c r="M1056" t="s">
        <v>36</v>
      </c>
      <c r="Q1056" t="s">
        <v>37</v>
      </c>
      <c r="R1056" t="s">
        <v>38</v>
      </c>
      <c r="S1056" t="s">
        <v>433</v>
      </c>
      <c r="T1056" t="s">
        <v>61</v>
      </c>
      <c r="U1056" t="s">
        <v>41</v>
      </c>
      <c r="V1056" s="9" t="str">
        <f>HYPERLINK("https://app.ntsb.gov/pdfgenerator/ReportGeneratorFile.ashx?EventID=20160926X05138&amp;AKey=1&amp;Rtype=Final&amp;IType=FA","PDF Report")</f>
        <v>PDF Report</v>
      </c>
    </row>
    <row r="1057" spans="1:22" x14ac:dyDescent="0.25">
      <c r="A1057" t="s">
        <v>4096</v>
      </c>
      <c r="B1057">
        <v>2</v>
      </c>
      <c r="C1057" s="5">
        <v>42638</v>
      </c>
      <c r="D1057" t="s">
        <v>4097</v>
      </c>
      <c r="E1057" t="s">
        <v>4098</v>
      </c>
      <c r="F1057" t="s">
        <v>4099</v>
      </c>
      <c r="G1057" t="s">
        <v>322</v>
      </c>
      <c r="H1057" t="s">
        <v>33</v>
      </c>
      <c r="I1057">
        <v>3</v>
      </c>
      <c r="K1057" t="s">
        <v>90</v>
      </c>
      <c r="L1057" t="s">
        <v>110</v>
      </c>
      <c r="M1057" t="s">
        <v>36</v>
      </c>
      <c r="Q1057" t="s">
        <v>37</v>
      </c>
      <c r="R1057" t="s">
        <v>38</v>
      </c>
      <c r="S1057" t="s">
        <v>433</v>
      </c>
      <c r="T1057" t="s">
        <v>61</v>
      </c>
      <c r="U1057" t="s">
        <v>41</v>
      </c>
      <c r="V1057" s="9" t="str">
        <f>HYPERLINK("https://app.ntsb.gov/pdfgenerator/ReportGeneratorFile.ashx?EventID=20160926X05138&amp;AKey=2&amp;Rtype=Final&amp;IType=FA","PDF Report")</f>
        <v>PDF Report</v>
      </c>
    </row>
    <row r="1058" spans="1:22" x14ac:dyDescent="0.25">
      <c r="A1058" t="s">
        <v>4100</v>
      </c>
      <c r="B1058">
        <v>1</v>
      </c>
      <c r="C1058" s="5">
        <v>42638</v>
      </c>
      <c r="D1058" t="s">
        <v>4101</v>
      </c>
      <c r="E1058" t="s">
        <v>4102</v>
      </c>
      <c r="F1058" t="s">
        <v>4103</v>
      </c>
      <c r="G1058" t="s">
        <v>211</v>
      </c>
      <c r="H1058" t="s">
        <v>33</v>
      </c>
      <c r="I1058">
        <v>2</v>
      </c>
      <c r="K1058" t="s">
        <v>90</v>
      </c>
      <c r="L1058" t="s">
        <v>35</v>
      </c>
      <c r="M1058" t="s">
        <v>36</v>
      </c>
      <c r="Q1058" t="s">
        <v>37</v>
      </c>
      <c r="R1058" t="s">
        <v>38</v>
      </c>
      <c r="S1058" t="s">
        <v>48</v>
      </c>
      <c r="T1058" t="s">
        <v>143</v>
      </c>
      <c r="U1058" t="s">
        <v>41</v>
      </c>
      <c r="V1058" s="9" t="str">
        <f>HYPERLINK("https://app.ntsb.gov/pdfgenerator/ReportGeneratorFile.ashx?EventID=20160926X05905&amp;AKey=1&amp;Rtype=Final&amp;IType=FA","PDF Report")</f>
        <v>PDF Report</v>
      </c>
    </row>
    <row r="1059" spans="1:22" x14ac:dyDescent="0.25">
      <c r="A1059" t="s">
        <v>4104</v>
      </c>
      <c r="B1059">
        <v>1</v>
      </c>
      <c r="C1059" s="5">
        <v>42638</v>
      </c>
      <c r="D1059" t="s">
        <v>2854</v>
      </c>
      <c r="E1059" t="s">
        <v>4105</v>
      </c>
      <c r="F1059" t="s">
        <v>1845</v>
      </c>
      <c r="G1059" t="s">
        <v>120</v>
      </c>
      <c r="H1059" t="s">
        <v>33</v>
      </c>
      <c r="K1059" t="s">
        <v>34</v>
      </c>
      <c r="L1059" t="s">
        <v>35</v>
      </c>
      <c r="M1059" t="s">
        <v>36</v>
      </c>
      <c r="Q1059" t="s">
        <v>37</v>
      </c>
      <c r="R1059" t="s">
        <v>38</v>
      </c>
      <c r="S1059" t="s">
        <v>131</v>
      </c>
      <c r="T1059" t="s">
        <v>73</v>
      </c>
      <c r="U1059" t="s">
        <v>41</v>
      </c>
      <c r="V1059" s="9" t="str">
        <f>HYPERLINK("https://app.ntsb.gov/pdfgenerator/ReportGeneratorFile.ashx?EventID=20160927X64619&amp;AKey=1&amp;Rtype=Final&amp;IType=CA","PDF Report")</f>
        <v>PDF Report</v>
      </c>
    </row>
    <row r="1060" spans="1:22" x14ac:dyDescent="0.25">
      <c r="A1060" t="s">
        <v>4106</v>
      </c>
      <c r="B1060">
        <v>1</v>
      </c>
      <c r="C1060" s="5">
        <v>42638</v>
      </c>
      <c r="D1060" t="s">
        <v>4107</v>
      </c>
      <c r="E1060" t="s">
        <v>4108</v>
      </c>
      <c r="F1060" t="s">
        <v>4109</v>
      </c>
      <c r="G1060" t="s">
        <v>54</v>
      </c>
      <c r="H1060" t="s">
        <v>33</v>
      </c>
      <c r="K1060" t="s">
        <v>34</v>
      </c>
      <c r="L1060" t="s">
        <v>35</v>
      </c>
      <c r="M1060" t="s">
        <v>36</v>
      </c>
      <c r="Q1060" t="s">
        <v>37</v>
      </c>
      <c r="R1060" t="s">
        <v>274</v>
      </c>
      <c r="S1060" t="s">
        <v>455</v>
      </c>
      <c r="T1060" t="s">
        <v>73</v>
      </c>
      <c r="U1060" t="s">
        <v>41</v>
      </c>
      <c r="V1060" s="9" t="str">
        <f>HYPERLINK("https://app.ntsb.gov/pdfgenerator/ReportGeneratorFile.ashx?EventID=20160928X15757&amp;AKey=1&amp;Rtype=Final&amp;IType=CA","PDF Report")</f>
        <v>PDF Report</v>
      </c>
    </row>
    <row r="1061" spans="1:22" x14ac:dyDescent="0.25">
      <c r="A1061" t="s">
        <v>4110</v>
      </c>
      <c r="B1061">
        <v>1</v>
      </c>
      <c r="C1061" s="5">
        <v>42638</v>
      </c>
      <c r="D1061" t="s">
        <v>4111</v>
      </c>
      <c r="E1061" t="s">
        <v>4112</v>
      </c>
      <c r="F1061" t="s">
        <v>4113</v>
      </c>
      <c r="G1061" t="s">
        <v>54</v>
      </c>
      <c r="H1061" t="s">
        <v>33</v>
      </c>
      <c r="K1061" t="s">
        <v>34</v>
      </c>
      <c r="L1061" t="s">
        <v>35</v>
      </c>
      <c r="M1061" t="s">
        <v>56</v>
      </c>
      <c r="N1061" t="s">
        <v>510</v>
      </c>
      <c r="O1061" t="s">
        <v>58</v>
      </c>
      <c r="P1061" t="s">
        <v>162</v>
      </c>
      <c r="Q1061" t="s">
        <v>37</v>
      </c>
      <c r="S1061" t="s">
        <v>191</v>
      </c>
      <c r="T1061" t="s">
        <v>49</v>
      </c>
      <c r="U1061" t="s">
        <v>41</v>
      </c>
      <c r="V1061" s="9" t="str">
        <f>HYPERLINK("https://app.ntsb.gov/pdfgenerator/ReportGeneratorFile.ashx?EventID=20160928X65149&amp;AKey=1&amp;Rtype=Final&amp;IType=LA","PDF Report")</f>
        <v>PDF Report</v>
      </c>
    </row>
    <row r="1062" spans="1:22" x14ac:dyDescent="0.25">
      <c r="A1062" t="s">
        <v>4114</v>
      </c>
      <c r="B1062">
        <v>1</v>
      </c>
      <c r="C1062" s="5">
        <v>42638</v>
      </c>
      <c r="D1062" t="s">
        <v>4115</v>
      </c>
      <c r="E1062" t="s">
        <v>4116</v>
      </c>
      <c r="F1062" t="s">
        <v>4117</v>
      </c>
      <c r="G1062" t="s">
        <v>636</v>
      </c>
      <c r="H1062" t="s">
        <v>33</v>
      </c>
      <c r="J1062">
        <v>1</v>
      </c>
      <c r="K1062" t="s">
        <v>55</v>
      </c>
      <c r="L1062" t="s">
        <v>35</v>
      </c>
      <c r="M1062" t="s">
        <v>36</v>
      </c>
      <c r="Q1062" t="s">
        <v>37</v>
      </c>
      <c r="R1062" t="s">
        <v>130</v>
      </c>
      <c r="S1062" t="s">
        <v>48</v>
      </c>
      <c r="T1062" t="s">
        <v>73</v>
      </c>
      <c r="U1062" t="s">
        <v>41</v>
      </c>
      <c r="V1062" s="9" t="str">
        <f>HYPERLINK("https://app.ntsb.gov/pdfgenerator/ReportGeneratorFile.ashx?EventID=20160928X95034&amp;AKey=1&amp;Rtype=Final&amp;IType=CA","PDF Report")</f>
        <v>PDF Report</v>
      </c>
    </row>
    <row r="1063" spans="1:22" x14ac:dyDescent="0.25">
      <c r="A1063" t="s">
        <v>4118</v>
      </c>
      <c r="B1063">
        <v>1</v>
      </c>
      <c r="C1063" s="5">
        <v>42639</v>
      </c>
      <c r="D1063" t="s">
        <v>4119</v>
      </c>
      <c r="E1063" t="s">
        <v>4120</v>
      </c>
      <c r="F1063" t="s">
        <v>531</v>
      </c>
      <c r="G1063" t="s">
        <v>54</v>
      </c>
      <c r="H1063" t="s">
        <v>33</v>
      </c>
      <c r="K1063" t="s">
        <v>34</v>
      </c>
      <c r="L1063" t="s">
        <v>35</v>
      </c>
      <c r="M1063" t="s">
        <v>36</v>
      </c>
      <c r="Q1063" t="s">
        <v>37</v>
      </c>
      <c r="R1063" t="s">
        <v>38</v>
      </c>
      <c r="S1063" t="s">
        <v>196</v>
      </c>
      <c r="T1063" t="s">
        <v>73</v>
      </c>
      <c r="U1063" t="s">
        <v>41</v>
      </c>
      <c r="V1063" s="9" t="str">
        <f>HYPERLINK("https://app.ntsb.gov/pdfgenerator/ReportGeneratorFile.ashx?EventID=20160928X65756&amp;AKey=1&amp;Rtype=Final&amp;IType=LA","PDF Report")</f>
        <v>PDF Report</v>
      </c>
    </row>
    <row r="1064" spans="1:22" x14ac:dyDescent="0.25">
      <c r="A1064" t="s">
        <v>4121</v>
      </c>
      <c r="B1064">
        <v>1</v>
      </c>
      <c r="C1064" s="5">
        <v>42639</v>
      </c>
      <c r="D1064" t="s">
        <v>4122</v>
      </c>
      <c r="E1064" t="s">
        <v>4123</v>
      </c>
      <c r="F1064" t="s">
        <v>4124</v>
      </c>
      <c r="G1064" t="s">
        <v>683</v>
      </c>
      <c r="H1064" t="s">
        <v>33</v>
      </c>
      <c r="K1064" t="s">
        <v>34</v>
      </c>
      <c r="L1064" t="s">
        <v>35</v>
      </c>
      <c r="M1064" t="s">
        <v>36</v>
      </c>
      <c r="Q1064" t="s">
        <v>37</v>
      </c>
      <c r="R1064" t="s">
        <v>38</v>
      </c>
      <c r="S1064" t="s">
        <v>48</v>
      </c>
      <c r="T1064" t="s">
        <v>143</v>
      </c>
      <c r="U1064" t="s">
        <v>41</v>
      </c>
      <c r="V1064" s="9" t="str">
        <f>HYPERLINK("https://app.ntsb.gov/pdfgenerator/ReportGeneratorFile.ashx?EventID=20160928X85811&amp;AKey=1&amp;Rtype=Final&amp;IType=CA","PDF Report")</f>
        <v>PDF Report</v>
      </c>
    </row>
    <row r="1065" spans="1:22" x14ac:dyDescent="0.25">
      <c r="A1065" t="s">
        <v>4125</v>
      </c>
      <c r="B1065">
        <v>1</v>
      </c>
      <c r="C1065" s="5">
        <v>42640</v>
      </c>
      <c r="D1065" t="s">
        <v>4126</v>
      </c>
      <c r="E1065" t="s">
        <v>4127</v>
      </c>
      <c r="F1065" t="s">
        <v>4128</v>
      </c>
      <c r="G1065" t="s">
        <v>883</v>
      </c>
      <c r="H1065" t="s">
        <v>33</v>
      </c>
      <c r="I1065">
        <v>1</v>
      </c>
      <c r="K1065" t="s">
        <v>90</v>
      </c>
      <c r="L1065" t="s">
        <v>110</v>
      </c>
      <c r="M1065" t="s">
        <v>36</v>
      </c>
      <c r="Q1065" t="s">
        <v>37</v>
      </c>
      <c r="R1065" t="s">
        <v>38</v>
      </c>
      <c r="S1065" t="s">
        <v>48</v>
      </c>
      <c r="T1065" t="s">
        <v>958</v>
      </c>
      <c r="U1065" t="s">
        <v>41</v>
      </c>
      <c r="V1065" s="9" t="str">
        <f>HYPERLINK("https://app.ntsb.gov/pdfgenerator/ReportGeneratorFile.ashx?EventID=20160927X94824&amp;AKey=1&amp;Rtype=Final&amp;IType=FA","PDF Report")</f>
        <v>PDF Report</v>
      </c>
    </row>
    <row r="1066" spans="1:22" x14ac:dyDescent="0.25">
      <c r="A1066" t="s">
        <v>4129</v>
      </c>
      <c r="B1066">
        <v>1</v>
      </c>
      <c r="C1066" s="5">
        <v>42640</v>
      </c>
      <c r="D1066" t="s">
        <v>4130</v>
      </c>
      <c r="E1066" t="s">
        <v>4131</v>
      </c>
      <c r="F1066" t="s">
        <v>4132</v>
      </c>
      <c r="G1066" t="s">
        <v>1416</v>
      </c>
      <c r="H1066" t="s">
        <v>33</v>
      </c>
      <c r="J1066">
        <v>1</v>
      </c>
      <c r="K1066" t="s">
        <v>55</v>
      </c>
      <c r="L1066" t="s">
        <v>110</v>
      </c>
      <c r="M1066" t="s">
        <v>36</v>
      </c>
      <c r="Q1066" t="s">
        <v>185</v>
      </c>
      <c r="R1066" t="s">
        <v>38</v>
      </c>
      <c r="S1066" t="s">
        <v>834</v>
      </c>
      <c r="T1066" t="s">
        <v>143</v>
      </c>
      <c r="U1066" t="s">
        <v>41</v>
      </c>
      <c r="V1066" s="9" t="str">
        <f>HYPERLINK("https://app.ntsb.gov/pdfgenerator/ReportGeneratorFile.ashx?EventID=20160928X92308&amp;AKey=1&amp;Rtype=Final&amp;IType=LA","PDF Report")</f>
        <v>PDF Report</v>
      </c>
    </row>
    <row r="1067" spans="1:22" x14ac:dyDescent="0.25">
      <c r="A1067" t="s">
        <v>4133</v>
      </c>
      <c r="B1067">
        <v>1</v>
      </c>
      <c r="C1067" s="5">
        <v>42640</v>
      </c>
      <c r="D1067" t="s">
        <v>4134</v>
      </c>
      <c r="E1067" t="s">
        <v>4135</v>
      </c>
      <c r="F1067" t="s">
        <v>4136</v>
      </c>
      <c r="G1067" t="s">
        <v>46</v>
      </c>
      <c r="H1067" t="s">
        <v>33</v>
      </c>
      <c r="K1067" t="s">
        <v>34</v>
      </c>
      <c r="L1067" t="s">
        <v>35</v>
      </c>
      <c r="M1067" t="s">
        <v>36</v>
      </c>
      <c r="Q1067" t="s">
        <v>37</v>
      </c>
      <c r="R1067" t="s">
        <v>38</v>
      </c>
      <c r="S1067" t="s">
        <v>39</v>
      </c>
      <c r="T1067" t="s">
        <v>61</v>
      </c>
      <c r="U1067" t="s">
        <v>41</v>
      </c>
      <c r="V1067" s="9" t="str">
        <f>HYPERLINK("https://app.ntsb.gov/pdfgenerator/ReportGeneratorFile.ashx?EventID=20161014X34716&amp;AKey=1&amp;Rtype=Final&amp;IType=LA","PDF Report")</f>
        <v>PDF Report</v>
      </c>
    </row>
    <row r="1068" spans="1:22" x14ac:dyDescent="0.25">
      <c r="A1068" t="s">
        <v>4137</v>
      </c>
      <c r="B1068">
        <v>1</v>
      </c>
      <c r="C1068" s="5">
        <v>42641</v>
      </c>
      <c r="D1068" t="s">
        <v>4138</v>
      </c>
      <c r="E1068" t="s">
        <v>4139</v>
      </c>
      <c r="F1068" t="s">
        <v>4140</v>
      </c>
      <c r="G1068" t="s">
        <v>78</v>
      </c>
      <c r="H1068" t="s">
        <v>33</v>
      </c>
      <c r="K1068" t="s">
        <v>34</v>
      </c>
      <c r="L1068" t="s">
        <v>35</v>
      </c>
      <c r="M1068" t="s">
        <v>36</v>
      </c>
      <c r="Q1068" t="s">
        <v>37</v>
      </c>
      <c r="R1068" t="s">
        <v>38</v>
      </c>
      <c r="S1068" t="s">
        <v>396</v>
      </c>
      <c r="T1068" t="s">
        <v>73</v>
      </c>
      <c r="U1068" t="s">
        <v>41</v>
      </c>
      <c r="V1068" s="9" t="str">
        <f>HYPERLINK("https://app.ntsb.gov/pdfgenerator/ReportGeneratorFile.ashx?EventID=20160929X31339&amp;AKey=1&amp;Rtype=Final&amp;IType=CA","PDF Report")</f>
        <v>PDF Report</v>
      </c>
    </row>
    <row r="1069" spans="1:22" x14ac:dyDescent="0.25">
      <c r="A1069" t="s">
        <v>4141</v>
      </c>
      <c r="B1069">
        <v>1</v>
      </c>
      <c r="C1069" s="5">
        <v>42642</v>
      </c>
      <c r="D1069" t="s">
        <v>4142</v>
      </c>
      <c r="E1069" t="s">
        <v>4143</v>
      </c>
      <c r="F1069" t="s">
        <v>4144</v>
      </c>
      <c r="G1069" t="s">
        <v>237</v>
      </c>
      <c r="H1069" t="s">
        <v>33</v>
      </c>
      <c r="J1069">
        <v>1</v>
      </c>
      <c r="K1069" t="s">
        <v>55</v>
      </c>
      <c r="L1069" t="s">
        <v>35</v>
      </c>
      <c r="M1069" t="s">
        <v>56</v>
      </c>
      <c r="N1069" t="s">
        <v>57</v>
      </c>
      <c r="O1069" t="s">
        <v>58</v>
      </c>
      <c r="P1069" t="s">
        <v>162</v>
      </c>
      <c r="Q1069" t="s">
        <v>185</v>
      </c>
      <c r="S1069" t="s">
        <v>48</v>
      </c>
      <c r="T1069" t="s">
        <v>73</v>
      </c>
      <c r="U1069" t="s">
        <v>41</v>
      </c>
      <c r="V1069" s="9" t="str">
        <f>HYPERLINK("https://app.ntsb.gov/pdfgenerator/ReportGeneratorFile.ashx?EventID=20160929X02931&amp;AKey=1&amp;Rtype=Final&amp;IType=LA","PDF Report")</f>
        <v>PDF Report</v>
      </c>
    </row>
    <row r="1070" spans="1:22" x14ac:dyDescent="0.25">
      <c r="A1070" t="s">
        <v>4145</v>
      </c>
      <c r="B1070">
        <v>1</v>
      </c>
      <c r="C1070" s="5">
        <v>42642</v>
      </c>
      <c r="D1070" t="s">
        <v>4146</v>
      </c>
      <c r="E1070" t="s">
        <v>4147</v>
      </c>
      <c r="F1070" t="s">
        <v>3997</v>
      </c>
      <c r="G1070" t="s">
        <v>66</v>
      </c>
      <c r="H1070" t="s">
        <v>33</v>
      </c>
      <c r="K1070" t="s">
        <v>34</v>
      </c>
      <c r="L1070" t="s">
        <v>35</v>
      </c>
      <c r="M1070" t="s">
        <v>36</v>
      </c>
      <c r="Q1070" t="s">
        <v>37</v>
      </c>
      <c r="R1070" t="s">
        <v>957</v>
      </c>
      <c r="S1070" t="s">
        <v>455</v>
      </c>
      <c r="T1070" t="s">
        <v>73</v>
      </c>
      <c r="U1070" t="s">
        <v>41</v>
      </c>
      <c r="V1070" s="9" t="str">
        <f>HYPERLINK("https://app.ntsb.gov/pdfgenerator/ReportGeneratorFile.ashx?EventID=20160930X21328&amp;AKey=1&amp;Rtype=Final&amp;IType=CA","PDF Report")</f>
        <v>PDF Report</v>
      </c>
    </row>
    <row r="1071" spans="1:22" x14ac:dyDescent="0.25">
      <c r="A1071" t="s">
        <v>4148</v>
      </c>
      <c r="B1071">
        <v>1</v>
      </c>
      <c r="C1071" s="5">
        <v>42642</v>
      </c>
      <c r="D1071" t="s">
        <v>4149</v>
      </c>
      <c r="E1071" t="s">
        <v>4150</v>
      </c>
      <c r="F1071" t="s">
        <v>147</v>
      </c>
      <c r="G1071" t="s">
        <v>148</v>
      </c>
      <c r="H1071" t="s">
        <v>33</v>
      </c>
      <c r="K1071" t="s">
        <v>34</v>
      </c>
      <c r="L1071" t="s">
        <v>35</v>
      </c>
      <c r="M1071" t="s">
        <v>36</v>
      </c>
      <c r="Q1071" t="s">
        <v>185</v>
      </c>
      <c r="R1071" t="s">
        <v>137</v>
      </c>
      <c r="S1071" t="s">
        <v>396</v>
      </c>
      <c r="T1071" t="s">
        <v>73</v>
      </c>
      <c r="U1071" t="s">
        <v>41</v>
      </c>
      <c r="V1071" s="9" t="str">
        <f>HYPERLINK("https://app.ntsb.gov/pdfgenerator/ReportGeneratorFile.ashx?EventID=20161005X73536&amp;AKey=1&amp;Rtype=Final&amp;IType=CA","PDF Report")</f>
        <v>PDF Report</v>
      </c>
    </row>
    <row r="1072" spans="1:22" x14ac:dyDescent="0.25">
      <c r="A1072" t="s">
        <v>4151</v>
      </c>
      <c r="B1072">
        <v>1</v>
      </c>
      <c r="C1072" s="5">
        <v>42643</v>
      </c>
      <c r="D1072" t="s">
        <v>4152</v>
      </c>
      <c r="E1072" t="s">
        <v>4153</v>
      </c>
      <c r="F1072" t="s">
        <v>4154</v>
      </c>
      <c r="G1072" t="s">
        <v>32</v>
      </c>
      <c r="H1072" t="s">
        <v>33</v>
      </c>
      <c r="J1072">
        <v>2</v>
      </c>
      <c r="K1072" t="s">
        <v>55</v>
      </c>
      <c r="L1072" t="s">
        <v>35</v>
      </c>
      <c r="M1072" t="s">
        <v>56</v>
      </c>
      <c r="N1072" t="s">
        <v>57</v>
      </c>
      <c r="O1072" t="s">
        <v>58</v>
      </c>
      <c r="P1072" t="s">
        <v>59</v>
      </c>
      <c r="Q1072" t="s">
        <v>37</v>
      </c>
      <c r="S1072" t="s">
        <v>91</v>
      </c>
      <c r="T1072" t="s">
        <v>61</v>
      </c>
      <c r="U1072" t="s">
        <v>41</v>
      </c>
      <c r="V1072" s="9" t="str">
        <f>HYPERLINK("https://app.ntsb.gov/pdfgenerator/ReportGeneratorFile.ashx?EventID=20160921X20513&amp;AKey=1&amp;Rtype=Final&amp;IType=LA","PDF Report")</f>
        <v>PDF Report</v>
      </c>
    </row>
    <row r="1073" spans="1:22" x14ac:dyDescent="0.25">
      <c r="A1073" t="s">
        <v>4155</v>
      </c>
      <c r="B1073">
        <v>1</v>
      </c>
      <c r="C1073" s="5">
        <v>42643</v>
      </c>
      <c r="D1073" t="s">
        <v>4156</v>
      </c>
      <c r="E1073" t="s">
        <v>4157</v>
      </c>
      <c r="F1073" t="s">
        <v>4158</v>
      </c>
      <c r="G1073" t="s">
        <v>789</v>
      </c>
      <c r="H1073" t="s">
        <v>33</v>
      </c>
      <c r="K1073" t="s">
        <v>47</v>
      </c>
      <c r="L1073" t="s">
        <v>35</v>
      </c>
      <c r="M1073" t="s">
        <v>36</v>
      </c>
      <c r="Q1073" t="s">
        <v>37</v>
      </c>
      <c r="R1073" t="s">
        <v>38</v>
      </c>
      <c r="S1073" t="s">
        <v>39</v>
      </c>
      <c r="T1073" t="s">
        <v>61</v>
      </c>
      <c r="U1073" t="s">
        <v>41</v>
      </c>
      <c r="V1073" s="9" t="str">
        <f>HYPERLINK("https://app.ntsb.gov/pdfgenerator/ReportGeneratorFile.ashx?EventID=20161003X11501&amp;AKey=1&amp;Rtype=Final&amp;IType=LA","PDF Report")</f>
        <v>PDF Report</v>
      </c>
    </row>
    <row r="1074" spans="1:22" x14ac:dyDescent="0.25">
      <c r="A1074" t="s">
        <v>4159</v>
      </c>
      <c r="B1074">
        <v>1</v>
      </c>
      <c r="C1074" s="5">
        <v>42643</v>
      </c>
      <c r="D1074" t="s">
        <v>4160</v>
      </c>
      <c r="E1074" t="s">
        <v>4161</v>
      </c>
      <c r="F1074" t="s">
        <v>4162</v>
      </c>
      <c r="G1074" t="s">
        <v>645</v>
      </c>
      <c r="H1074" t="s">
        <v>33</v>
      </c>
      <c r="K1074" t="s">
        <v>47</v>
      </c>
      <c r="L1074" t="s">
        <v>35</v>
      </c>
      <c r="M1074" t="s">
        <v>36</v>
      </c>
      <c r="Q1074" t="s">
        <v>37</v>
      </c>
      <c r="R1074" t="s">
        <v>38</v>
      </c>
      <c r="S1074" t="s">
        <v>396</v>
      </c>
      <c r="T1074" t="s">
        <v>73</v>
      </c>
      <c r="U1074" t="s">
        <v>41</v>
      </c>
      <c r="V1074" s="9" t="str">
        <f>HYPERLINK("https://app.ntsb.gov/pdfgenerator/ReportGeneratorFile.ashx?EventID=20161005X02044&amp;AKey=1&amp;Rtype=Final&amp;IType=CA","PDF Report")</f>
        <v>PDF Report</v>
      </c>
    </row>
    <row r="1075" spans="1:22" x14ac:dyDescent="0.25">
      <c r="A1075" t="s">
        <v>4163</v>
      </c>
      <c r="B1075">
        <v>1</v>
      </c>
      <c r="C1075" s="5">
        <v>42643</v>
      </c>
      <c r="D1075" t="s">
        <v>4164</v>
      </c>
      <c r="E1075" t="s">
        <v>4165</v>
      </c>
      <c r="F1075" t="s">
        <v>4166</v>
      </c>
      <c r="G1075" t="s">
        <v>538</v>
      </c>
      <c r="H1075" t="s">
        <v>33</v>
      </c>
      <c r="K1075" t="s">
        <v>34</v>
      </c>
      <c r="L1075" t="s">
        <v>35</v>
      </c>
      <c r="M1075" t="s">
        <v>36</v>
      </c>
      <c r="Q1075" t="s">
        <v>37</v>
      </c>
      <c r="R1075" t="s">
        <v>38</v>
      </c>
      <c r="S1075" t="s">
        <v>39</v>
      </c>
      <c r="T1075" t="s">
        <v>61</v>
      </c>
      <c r="U1075" t="s">
        <v>41</v>
      </c>
      <c r="V1075" s="9" t="str">
        <f>HYPERLINK("https://app.ntsb.gov/pdfgenerator/ReportGeneratorFile.ashx?EventID=20161005X22545&amp;AKey=1&amp;Rtype=Final&amp;IType=LA","PDF Report")</f>
        <v>PDF Report</v>
      </c>
    </row>
    <row r="1076" spans="1:22" x14ac:dyDescent="0.25">
      <c r="A1076" t="s">
        <v>4167</v>
      </c>
      <c r="B1076">
        <v>1</v>
      </c>
      <c r="C1076" s="5">
        <v>42644</v>
      </c>
      <c r="D1076" t="s">
        <v>4168</v>
      </c>
      <c r="E1076" t="s">
        <v>4169</v>
      </c>
      <c r="F1076" t="s">
        <v>2790</v>
      </c>
      <c r="G1076" t="s">
        <v>102</v>
      </c>
      <c r="H1076" t="s">
        <v>33</v>
      </c>
      <c r="I1076">
        <v>1</v>
      </c>
      <c r="K1076" t="s">
        <v>90</v>
      </c>
      <c r="L1076" t="s">
        <v>110</v>
      </c>
      <c r="M1076" t="s">
        <v>36</v>
      </c>
      <c r="Q1076" t="s">
        <v>37</v>
      </c>
      <c r="R1076" t="s">
        <v>38</v>
      </c>
      <c r="S1076" t="s">
        <v>39</v>
      </c>
      <c r="T1076" t="s">
        <v>40</v>
      </c>
      <c r="U1076" t="s">
        <v>41</v>
      </c>
      <c r="V1076" s="9" t="str">
        <f>HYPERLINK("https://app.ntsb.gov/pdfgenerator/ReportGeneratorFile.ashx?EventID=20161001X44216&amp;AKey=1&amp;Rtype=Final&amp;IType=FA","PDF Report")</f>
        <v>PDF Report</v>
      </c>
    </row>
    <row r="1077" spans="1:22" x14ac:dyDescent="0.25">
      <c r="A1077" t="s">
        <v>4170</v>
      </c>
      <c r="B1077">
        <v>1</v>
      </c>
      <c r="C1077" s="5">
        <v>42644</v>
      </c>
      <c r="D1077" t="s">
        <v>4171</v>
      </c>
      <c r="E1077" t="s">
        <v>4172</v>
      </c>
      <c r="F1077" t="s">
        <v>4173</v>
      </c>
      <c r="G1077" t="s">
        <v>169</v>
      </c>
      <c r="H1077" t="s">
        <v>33</v>
      </c>
      <c r="J1077">
        <v>1</v>
      </c>
      <c r="K1077" t="s">
        <v>55</v>
      </c>
      <c r="L1077" t="s">
        <v>35</v>
      </c>
      <c r="M1077" t="s">
        <v>36</v>
      </c>
      <c r="Q1077" t="s">
        <v>37</v>
      </c>
      <c r="R1077" t="s">
        <v>38</v>
      </c>
      <c r="S1077" t="s">
        <v>48</v>
      </c>
      <c r="T1077" t="s">
        <v>49</v>
      </c>
      <c r="U1077" t="s">
        <v>41</v>
      </c>
      <c r="V1077" s="9" t="str">
        <f>HYPERLINK("https://app.ntsb.gov/pdfgenerator/ReportGeneratorFile.ashx?EventID=20161003X51648&amp;AKey=1&amp;Rtype=Final&amp;IType=LA","PDF Report")</f>
        <v>PDF Report</v>
      </c>
    </row>
    <row r="1078" spans="1:22" x14ac:dyDescent="0.25">
      <c r="A1078" t="s">
        <v>4174</v>
      </c>
      <c r="B1078">
        <v>1</v>
      </c>
      <c r="C1078" s="5">
        <v>42644</v>
      </c>
      <c r="D1078" t="s">
        <v>4175</v>
      </c>
      <c r="E1078" t="s">
        <v>4176</v>
      </c>
      <c r="F1078" t="s">
        <v>1123</v>
      </c>
      <c r="G1078" t="s">
        <v>96</v>
      </c>
      <c r="H1078" t="s">
        <v>33</v>
      </c>
      <c r="J1078">
        <v>2</v>
      </c>
      <c r="K1078" t="s">
        <v>55</v>
      </c>
      <c r="L1078" t="s">
        <v>110</v>
      </c>
      <c r="M1078" t="s">
        <v>36</v>
      </c>
      <c r="Q1078" t="s">
        <v>37</v>
      </c>
      <c r="R1078" t="s">
        <v>38</v>
      </c>
      <c r="S1078" t="s">
        <v>97</v>
      </c>
      <c r="T1078" t="s">
        <v>79</v>
      </c>
      <c r="U1078" t="s">
        <v>41</v>
      </c>
      <c r="V1078" s="9" t="str">
        <f>HYPERLINK("https://app.ntsb.gov/pdfgenerator/ReportGeneratorFile.ashx?EventID=20161003X64122&amp;AKey=1&amp;Rtype=Final&amp;IType=LA","PDF Report")</f>
        <v>PDF Report</v>
      </c>
    </row>
    <row r="1079" spans="1:22" x14ac:dyDescent="0.25">
      <c r="A1079" t="s">
        <v>4177</v>
      </c>
      <c r="B1079">
        <v>1</v>
      </c>
      <c r="C1079" s="5">
        <v>42644</v>
      </c>
      <c r="D1079" t="s">
        <v>4178</v>
      </c>
      <c r="E1079" t="s">
        <v>4179</v>
      </c>
      <c r="F1079" t="s">
        <v>2027</v>
      </c>
      <c r="G1079" t="s">
        <v>54</v>
      </c>
      <c r="H1079" t="s">
        <v>33</v>
      </c>
      <c r="K1079" t="s">
        <v>47</v>
      </c>
      <c r="L1079" t="s">
        <v>35</v>
      </c>
      <c r="M1079" t="s">
        <v>36</v>
      </c>
      <c r="Q1079" t="s">
        <v>37</v>
      </c>
      <c r="R1079" t="s">
        <v>38</v>
      </c>
      <c r="S1079" t="s">
        <v>131</v>
      </c>
      <c r="T1079" t="s">
        <v>73</v>
      </c>
      <c r="U1079" t="s">
        <v>41</v>
      </c>
      <c r="V1079" s="9" t="str">
        <f>HYPERLINK("https://app.ntsb.gov/pdfgenerator/ReportGeneratorFile.ashx?EventID=20161003X64427&amp;AKey=1&amp;Rtype=Final&amp;IType=CA","PDF Report")</f>
        <v>PDF Report</v>
      </c>
    </row>
    <row r="1080" spans="1:22" x14ac:dyDescent="0.25">
      <c r="A1080" t="s">
        <v>4180</v>
      </c>
      <c r="B1080">
        <v>1</v>
      </c>
      <c r="C1080" s="5">
        <v>42644</v>
      </c>
      <c r="D1080" t="s">
        <v>4181</v>
      </c>
      <c r="E1080" t="s">
        <v>4182</v>
      </c>
      <c r="F1080" t="s">
        <v>4183</v>
      </c>
      <c r="G1080" t="s">
        <v>264</v>
      </c>
      <c r="H1080" t="s">
        <v>33</v>
      </c>
      <c r="K1080" t="s">
        <v>47</v>
      </c>
      <c r="L1080" t="s">
        <v>35</v>
      </c>
      <c r="M1080" t="s">
        <v>36</v>
      </c>
      <c r="Q1080" t="s">
        <v>37</v>
      </c>
      <c r="R1080" t="s">
        <v>38</v>
      </c>
      <c r="S1080" t="s">
        <v>39</v>
      </c>
      <c r="T1080" t="s">
        <v>61</v>
      </c>
      <c r="U1080" t="s">
        <v>41</v>
      </c>
      <c r="V1080" s="9" t="str">
        <f>HYPERLINK("https://app.ntsb.gov/pdfgenerator/ReportGeneratorFile.ashx?EventID=20161004X23836&amp;AKey=1&amp;Rtype=Final&amp;IType=LA","PDF Report")</f>
        <v>PDF Report</v>
      </c>
    </row>
    <row r="1081" spans="1:22" x14ac:dyDescent="0.25">
      <c r="A1081" t="s">
        <v>4184</v>
      </c>
      <c r="B1081">
        <v>1</v>
      </c>
      <c r="C1081" s="5">
        <v>42644</v>
      </c>
      <c r="D1081" t="s">
        <v>4185</v>
      </c>
      <c r="E1081" t="s">
        <v>4186</v>
      </c>
      <c r="F1081" t="s">
        <v>4187</v>
      </c>
      <c r="G1081" t="s">
        <v>264</v>
      </c>
      <c r="H1081" t="s">
        <v>33</v>
      </c>
      <c r="K1081" t="s">
        <v>34</v>
      </c>
      <c r="L1081" t="s">
        <v>35</v>
      </c>
      <c r="M1081" t="s">
        <v>36</v>
      </c>
      <c r="Q1081" t="s">
        <v>37</v>
      </c>
      <c r="R1081" t="s">
        <v>130</v>
      </c>
      <c r="S1081" t="s">
        <v>396</v>
      </c>
      <c r="T1081" t="s">
        <v>73</v>
      </c>
      <c r="U1081" t="s">
        <v>41</v>
      </c>
      <c r="V1081" s="9" t="str">
        <f>HYPERLINK("https://app.ntsb.gov/pdfgenerator/ReportGeneratorFile.ashx?EventID=20161006X65219&amp;AKey=1&amp;Rtype=Final&amp;IType=CA","PDF Report")</f>
        <v>PDF Report</v>
      </c>
    </row>
    <row r="1082" spans="1:22" x14ac:dyDescent="0.25">
      <c r="A1082" t="s">
        <v>4188</v>
      </c>
      <c r="B1082">
        <v>1</v>
      </c>
      <c r="C1082" s="5">
        <v>42644</v>
      </c>
      <c r="D1082" t="s">
        <v>4189</v>
      </c>
      <c r="E1082" t="s">
        <v>4190</v>
      </c>
      <c r="F1082" t="s">
        <v>1908</v>
      </c>
      <c r="G1082" t="s">
        <v>1026</v>
      </c>
      <c r="H1082" t="s">
        <v>33</v>
      </c>
      <c r="K1082" t="s">
        <v>34</v>
      </c>
      <c r="L1082" t="s">
        <v>35</v>
      </c>
      <c r="M1082" t="s">
        <v>36</v>
      </c>
      <c r="Q1082" t="s">
        <v>37</v>
      </c>
      <c r="R1082" t="s">
        <v>38</v>
      </c>
      <c r="S1082" t="s">
        <v>39</v>
      </c>
      <c r="T1082" t="s">
        <v>79</v>
      </c>
      <c r="U1082" t="s">
        <v>41</v>
      </c>
      <c r="V1082" s="9" t="str">
        <f>HYPERLINK("https://app.ntsb.gov/pdfgenerator/ReportGeneratorFile.ashx?EventID=20161007X04645&amp;AKey=1&amp;Rtype=Final&amp;IType=LA","PDF Report")</f>
        <v>PDF Report</v>
      </c>
    </row>
    <row r="1083" spans="1:22" x14ac:dyDescent="0.25">
      <c r="A1083" t="s">
        <v>4191</v>
      </c>
      <c r="B1083">
        <v>1</v>
      </c>
      <c r="C1083" s="5">
        <v>42644</v>
      </c>
      <c r="D1083" t="s">
        <v>4192</v>
      </c>
      <c r="E1083" t="s">
        <v>4193</v>
      </c>
      <c r="F1083" t="s">
        <v>3439</v>
      </c>
      <c r="G1083" t="s">
        <v>115</v>
      </c>
      <c r="H1083" t="s">
        <v>33</v>
      </c>
      <c r="K1083" t="s">
        <v>34</v>
      </c>
      <c r="L1083" t="s">
        <v>35</v>
      </c>
      <c r="M1083" t="s">
        <v>36</v>
      </c>
      <c r="Q1083" t="s">
        <v>37</v>
      </c>
      <c r="R1083" t="s">
        <v>38</v>
      </c>
      <c r="S1083" t="s">
        <v>84</v>
      </c>
      <c r="T1083" t="s">
        <v>73</v>
      </c>
      <c r="U1083" t="s">
        <v>41</v>
      </c>
      <c r="V1083" s="9" t="str">
        <f>HYPERLINK("https://app.ntsb.gov/pdfgenerator/ReportGeneratorFile.ashx?EventID=20161021X40716&amp;AKey=1&amp;Rtype=Final&amp;IType=LA","PDF Report")</f>
        <v>PDF Report</v>
      </c>
    </row>
    <row r="1084" spans="1:22" x14ac:dyDescent="0.25">
      <c r="A1084" t="s">
        <v>4194</v>
      </c>
      <c r="B1084">
        <v>1</v>
      </c>
      <c r="C1084" s="5">
        <v>42645</v>
      </c>
      <c r="D1084" t="s">
        <v>4195</v>
      </c>
      <c r="E1084" t="s">
        <v>4196</v>
      </c>
      <c r="F1084" t="s">
        <v>4197</v>
      </c>
      <c r="G1084" t="s">
        <v>54</v>
      </c>
      <c r="H1084" t="s">
        <v>33</v>
      </c>
      <c r="I1084">
        <v>3</v>
      </c>
      <c r="K1084" t="s">
        <v>90</v>
      </c>
      <c r="L1084" t="s">
        <v>110</v>
      </c>
      <c r="M1084" t="s">
        <v>56</v>
      </c>
      <c r="N1084" t="s">
        <v>57</v>
      </c>
      <c r="O1084" t="s">
        <v>58</v>
      </c>
      <c r="P1084" t="s">
        <v>59</v>
      </c>
      <c r="Q1084" t="s">
        <v>37</v>
      </c>
      <c r="S1084" t="s">
        <v>91</v>
      </c>
      <c r="T1084" t="s">
        <v>61</v>
      </c>
      <c r="U1084" t="s">
        <v>41</v>
      </c>
      <c r="V1084" s="9" t="str">
        <f>HYPERLINK("https://app.ntsb.gov/pdfgenerator/ReportGeneratorFile.ashx?EventID=20161002X25827&amp;AKey=1&amp;Rtype=Final&amp;IType=MA","PDF Report")</f>
        <v>PDF Report</v>
      </c>
    </row>
    <row r="1085" spans="1:22" x14ac:dyDescent="0.25">
      <c r="A1085" t="s">
        <v>4198</v>
      </c>
      <c r="B1085">
        <v>1</v>
      </c>
      <c r="C1085" s="5">
        <v>42645</v>
      </c>
      <c r="D1085" t="s">
        <v>4199</v>
      </c>
      <c r="E1085" t="s">
        <v>4200</v>
      </c>
      <c r="F1085" t="s">
        <v>65</v>
      </c>
      <c r="G1085" t="s">
        <v>66</v>
      </c>
      <c r="H1085" t="s">
        <v>33</v>
      </c>
      <c r="K1085" t="s">
        <v>34</v>
      </c>
      <c r="L1085" t="s">
        <v>35</v>
      </c>
      <c r="M1085" t="s">
        <v>36</v>
      </c>
      <c r="Q1085" t="s">
        <v>37</v>
      </c>
      <c r="R1085" t="s">
        <v>38</v>
      </c>
      <c r="S1085" t="s">
        <v>196</v>
      </c>
      <c r="T1085" t="s">
        <v>49</v>
      </c>
      <c r="U1085" t="s">
        <v>41</v>
      </c>
      <c r="V1085" s="9" t="str">
        <f>HYPERLINK("https://app.ntsb.gov/pdfgenerator/ReportGeneratorFile.ashx?EventID=20161003X35157&amp;AKey=1&amp;Rtype=Final&amp;IType=CA","PDF Report")</f>
        <v>PDF Report</v>
      </c>
    </row>
    <row r="1086" spans="1:22" x14ac:dyDescent="0.25">
      <c r="A1086" t="s">
        <v>4201</v>
      </c>
      <c r="B1086">
        <v>1</v>
      </c>
      <c r="C1086" s="5">
        <v>42645</v>
      </c>
      <c r="D1086" t="s">
        <v>4202</v>
      </c>
      <c r="E1086" t="s">
        <v>4203</v>
      </c>
      <c r="F1086" t="s">
        <v>4204</v>
      </c>
      <c r="G1086" t="s">
        <v>264</v>
      </c>
      <c r="H1086" t="s">
        <v>33</v>
      </c>
      <c r="K1086" t="s">
        <v>34</v>
      </c>
      <c r="L1086" t="s">
        <v>35</v>
      </c>
      <c r="M1086" t="s">
        <v>36</v>
      </c>
      <c r="Q1086" t="s">
        <v>37</v>
      </c>
      <c r="R1086" t="s">
        <v>38</v>
      </c>
      <c r="S1086" t="s">
        <v>131</v>
      </c>
      <c r="T1086" t="s">
        <v>73</v>
      </c>
      <c r="U1086" t="s">
        <v>41</v>
      </c>
      <c r="V1086" s="9" t="str">
        <f>HYPERLINK("https://app.ntsb.gov/pdfgenerator/ReportGeneratorFile.ashx?EventID=20161004X52719&amp;AKey=1&amp;Rtype=Final&amp;IType=CA","PDF Report")</f>
        <v>PDF Report</v>
      </c>
    </row>
    <row r="1087" spans="1:22" x14ac:dyDescent="0.25">
      <c r="A1087" t="s">
        <v>4205</v>
      </c>
      <c r="B1087">
        <v>1</v>
      </c>
      <c r="C1087" s="5">
        <v>42645</v>
      </c>
      <c r="D1087" t="s">
        <v>4206</v>
      </c>
      <c r="E1087" t="s">
        <v>4207</v>
      </c>
      <c r="F1087" t="s">
        <v>4208</v>
      </c>
      <c r="G1087" t="s">
        <v>148</v>
      </c>
      <c r="H1087" t="s">
        <v>33</v>
      </c>
      <c r="K1087" t="s">
        <v>34</v>
      </c>
      <c r="L1087" t="s">
        <v>110</v>
      </c>
      <c r="M1087" t="s">
        <v>36</v>
      </c>
      <c r="Q1087" t="s">
        <v>37</v>
      </c>
      <c r="R1087" t="s">
        <v>38</v>
      </c>
      <c r="S1087" t="s">
        <v>48</v>
      </c>
      <c r="T1087" t="s">
        <v>73</v>
      </c>
      <c r="U1087" t="s">
        <v>41</v>
      </c>
      <c r="V1087" s="9" t="str">
        <f>HYPERLINK("https://app.ntsb.gov/pdfgenerator/ReportGeneratorFile.ashx?EventID=20161004X54838&amp;AKey=1&amp;Rtype=Final&amp;IType=LA","PDF Report")</f>
        <v>PDF Report</v>
      </c>
    </row>
    <row r="1088" spans="1:22" x14ac:dyDescent="0.25">
      <c r="A1088" t="s">
        <v>4209</v>
      </c>
      <c r="B1088">
        <v>1</v>
      </c>
      <c r="C1088" s="5">
        <v>42645</v>
      </c>
      <c r="D1088" t="s">
        <v>4210</v>
      </c>
      <c r="E1088" t="s">
        <v>4211</v>
      </c>
      <c r="F1088" t="s">
        <v>4212</v>
      </c>
      <c r="G1088" t="s">
        <v>136</v>
      </c>
      <c r="H1088" t="s">
        <v>33</v>
      </c>
      <c r="J1088">
        <v>1</v>
      </c>
      <c r="K1088" t="s">
        <v>55</v>
      </c>
      <c r="L1088" t="s">
        <v>35</v>
      </c>
      <c r="M1088" t="s">
        <v>36</v>
      </c>
      <c r="Q1088" t="s">
        <v>547</v>
      </c>
      <c r="R1088" t="s">
        <v>38</v>
      </c>
      <c r="S1088" t="s">
        <v>48</v>
      </c>
      <c r="T1088" t="s">
        <v>79</v>
      </c>
      <c r="U1088" t="s">
        <v>41</v>
      </c>
      <c r="V1088" s="9" t="str">
        <f>HYPERLINK("https://app.ntsb.gov/pdfgenerator/ReportGeneratorFile.ashx?EventID=20161005X14725&amp;AKey=1&amp;Rtype=Final&amp;IType=CA","PDF Report")</f>
        <v>PDF Report</v>
      </c>
    </row>
    <row r="1089" spans="1:22" x14ac:dyDescent="0.25">
      <c r="A1089" t="s">
        <v>4213</v>
      </c>
      <c r="B1089">
        <v>1</v>
      </c>
      <c r="C1089" s="5">
        <v>42645</v>
      </c>
      <c r="D1089" t="s">
        <v>4214</v>
      </c>
      <c r="E1089" t="s">
        <v>4215</v>
      </c>
      <c r="F1089" t="s">
        <v>4216</v>
      </c>
      <c r="G1089" t="s">
        <v>96</v>
      </c>
      <c r="H1089" t="s">
        <v>33</v>
      </c>
      <c r="K1089" t="s">
        <v>47</v>
      </c>
      <c r="L1089" t="s">
        <v>35</v>
      </c>
      <c r="M1089" t="s">
        <v>36</v>
      </c>
      <c r="Q1089" t="s">
        <v>37</v>
      </c>
      <c r="R1089" t="s">
        <v>38</v>
      </c>
      <c r="S1089" t="s">
        <v>39</v>
      </c>
      <c r="T1089" t="s">
        <v>61</v>
      </c>
      <c r="U1089" t="s">
        <v>41</v>
      </c>
      <c r="V1089" s="9" t="str">
        <f>HYPERLINK("https://app.ntsb.gov/pdfgenerator/ReportGeneratorFile.ashx?EventID=20161005X54209&amp;AKey=1&amp;Rtype=Final&amp;IType=LA","PDF Report")</f>
        <v>PDF Report</v>
      </c>
    </row>
    <row r="1090" spans="1:22" x14ac:dyDescent="0.25">
      <c r="A1090" t="s">
        <v>4217</v>
      </c>
      <c r="B1090">
        <v>1</v>
      </c>
      <c r="C1090" s="5">
        <v>42645</v>
      </c>
      <c r="D1090" t="s">
        <v>4218</v>
      </c>
      <c r="E1090" t="s">
        <v>4219</v>
      </c>
      <c r="F1090" t="s">
        <v>736</v>
      </c>
      <c r="G1090" t="s">
        <v>666</v>
      </c>
      <c r="H1090" t="s">
        <v>33</v>
      </c>
      <c r="K1090" t="s">
        <v>47</v>
      </c>
      <c r="L1090" t="s">
        <v>35</v>
      </c>
      <c r="M1090" t="s">
        <v>36</v>
      </c>
      <c r="Q1090" t="s">
        <v>523</v>
      </c>
      <c r="R1090" t="s">
        <v>38</v>
      </c>
      <c r="S1090" t="s">
        <v>396</v>
      </c>
      <c r="T1090" t="s">
        <v>73</v>
      </c>
      <c r="U1090" t="s">
        <v>41</v>
      </c>
      <c r="V1090" s="9" t="str">
        <f>HYPERLINK("https://app.ntsb.gov/pdfgenerator/ReportGeneratorFile.ashx?EventID=20161010X95159&amp;AKey=1&amp;Rtype=Final&amp;IType=CA","PDF Report")</f>
        <v>PDF Report</v>
      </c>
    </row>
    <row r="1091" spans="1:22" x14ac:dyDescent="0.25">
      <c r="A1091" t="s">
        <v>4220</v>
      </c>
      <c r="B1091">
        <v>1</v>
      </c>
      <c r="C1091" s="5">
        <v>42646</v>
      </c>
      <c r="D1091" t="s">
        <v>4221</v>
      </c>
      <c r="E1091" t="s">
        <v>4222</v>
      </c>
      <c r="F1091" t="s">
        <v>4223</v>
      </c>
      <c r="G1091" t="s">
        <v>1416</v>
      </c>
      <c r="H1091" t="s">
        <v>33</v>
      </c>
      <c r="K1091" t="s">
        <v>34</v>
      </c>
      <c r="L1091" t="s">
        <v>35</v>
      </c>
      <c r="M1091" t="s">
        <v>36</v>
      </c>
      <c r="Q1091" t="s">
        <v>37</v>
      </c>
      <c r="R1091" t="s">
        <v>38</v>
      </c>
      <c r="S1091" t="s">
        <v>131</v>
      </c>
      <c r="T1091" t="s">
        <v>73</v>
      </c>
      <c r="U1091" t="s">
        <v>41</v>
      </c>
      <c r="V1091" s="9" t="str">
        <f>HYPERLINK("https://app.ntsb.gov/pdfgenerator/ReportGeneratorFile.ashx?EventID=20161005X31133&amp;AKey=1&amp;Rtype=Final&amp;IType=CA","PDF Report")</f>
        <v>PDF Report</v>
      </c>
    </row>
    <row r="1092" spans="1:22" x14ac:dyDescent="0.25">
      <c r="A1092" t="s">
        <v>4224</v>
      </c>
      <c r="B1092">
        <v>1</v>
      </c>
      <c r="C1092" s="5">
        <v>42646</v>
      </c>
      <c r="D1092" t="s">
        <v>4225</v>
      </c>
      <c r="E1092" t="s">
        <v>4226</v>
      </c>
      <c r="F1092" t="s">
        <v>4227</v>
      </c>
      <c r="G1092" t="s">
        <v>96</v>
      </c>
      <c r="H1092" t="s">
        <v>33</v>
      </c>
      <c r="K1092" t="s">
        <v>34</v>
      </c>
      <c r="L1092" t="s">
        <v>35</v>
      </c>
      <c r="M1092" t="s">
        <v>36</v>
      </c>
      <c r="Q1092" t="s">
        <v>37</v>
      </c>
      <c r="R1092" t="s">
        <v>505</v>
      </c>
      <c r="S1092" t="s">
        <v>39</v>
      </c>
      <c r="T1092" t="s">
        <v>143</v>
      </c>
      <c r="U1092" t="s">
        <v>41</v>
      </c>
      <c r="V1092" s="9" t="str">
        <f>HYPERLINK("https://app.ntsb.gov/pdfgenerator/ReportGeneratorFile.ashx?EventID=20161006X61204&amp;AKey=1&amp;Rtype=Final&amp;IType=LA","PDF Report")</f>
        <v>PDF Report</v>
      </c>
    </row>
    <row r="1093" spans="1:22" x14ac:dyDescent="0.25">
      <c r="A1093" t="s">
        <v>4228</v>
      </c>
      <c r="B1093">
        <v>1</v>
      </c>
      <c r="C1093" s="5">
        <v>42646</v>
      </c>
      <c r="D1093" t="s">
        <v>4229</v>
      </c>
      <c r="E1093" t="s">
        <v>4230</v>
      </c>
      <c r="F1093" t="s">
        <v>607</v>
      </c>
      <c r="G1093" t="s">
        <v>66</v>
      </c>
      <c r="H1093" t="s">
        <v>33</v>
      </c>
      <c r="K1093" t="s">
        <v>34</v>
      </c>
      <c r="L1093" t="s">
        <v>35</v>
      </c>
      <c r="M1093" t="s">
        <v>36</v>
      </c>
      <c r="Q1093" t="s">
        <v>37</v>
      </c>
      <c r="R1093" t="s">
        <v>130</v>
      </c>
      <c r="S1093" t="s">
        <v>84</v>
      </c>
      <c r="T1093" t="s">
        <v>73</v>
      </c>
      <c r="U1093" t="s">
        <v>41</v>
      </c>
      <c r="V1093" s="9" t="str">
        <f>HYPERLINK("https://app.ntsb.gov/pdfgenerator/ReportGeneratorFile.ashx?EventID=20161019X24718&amp;AKey=1&amp;Rtype=Final&amp;IType=CA","PDF Report")</f>
        <v>PDF Report</v>
      </c>
    </row>
    <row r="1094" spans="1:22" x14ac:dyDescent="0.25">
      <c r="A1094" t="s">
        <v>4231</v>
      </c>
      <c r="B1094">
        <v>1</v>
      </c>
      <c r="C1094" s="5">
        <v>42647</v>
      </c>
      <c r="D1094" t="s">
        <v>4232</v>
      </c>
      <c r="E1094" t="s">
        <v>4233</v>
      </c>
      <c r="F1094" t="s">
        <v>4234</v>
      </c>
      <c r="G1094" t="s">
        <v>96</v>
      </c>
      <c r="H1094" t="s">
        <v>33</v>
      </c>
      <c r="I1094">
        <v>1</v>
      </c>
      <c r="J1094">
        <v>1</v>
      </c>
      <c r="K1094" t="s">
        <v>90</v>
      </c>
      <c r="L1094" t="s">
        <v>110</v>
      </c>
      <c r="M1094" t="s">
        <v>36</v>
      </c>
      <c r="Q1094" t="s">
        <v>37</v>
      </c>
      <c r="R1094" t="s">
        <v>130</v>
      </c>
      <c r="S1094" t="s">
        <v>48</v>
      </c>
      <c r="T1094" t="s">
        <v>40</v>
      </c>
      <c r="U1094" t="s">
        <v>41</v>
      </c>
      <c r="V1094" s="9" t="str">
        <f>HYPERLINK("https://app.ntsb.gov/pdfgenerator/ReportGeneratorFile.ashx?EventID=20161004X34956&amp;AKey=1&amp;Rtype=Final&amp;IType=FA","PDF Report")</f>
        <v>PDF Report</v>
      </c>
    </row>
    <row r="1095" spans="1:22" x14ac:dyDescent="0.25">
      <c r="A1095" t="s">
        <v>4235</v>
      </c>
      <c r="B1095">
        <v>1</v>
      </c>
      <c r="C1095" s="5">
        <v>42647</v>
      </c>
      <c r="D1095" t="s">
        <v>4236</v>
      </c>
      <c r="E1095" t="s">
        <v>4237</v>
      </c>
      <c r="F1095" t="s">
        <v>4238</v>
      </c>
      <c r="G1095" t="s">
        <v>395</v>
      </c>
      <c r="H1095" t="s">
        <v>33</v>
      </c>
      <c r="K1095" t="s">
        <v>34</v>
      </c>
      <c r="L1095" t="s">
        <v>35</v>
      </c>
      <c r="M1095" t="s">
        <v>36</v>
      </c>
      <c r="Q1095" t="s">
        <v>37</v>
      </c>
      <c r="R1095" t="s">
        <v>38</v>
      </c>
      <c r="S1095" t="s">
        <v>39</v>
      </c>
      <c r="T1095" t="s">
        <v>40</v>
      </c>
      <c r="U1095" t="s">
        <v>41</v>
      </c>
      <c r="V1095" s="9" t="str">
        <f>HYPERLINK("https://app.ntsb.gov/pdfgenerator/ReportGeneratorFile.ashx?EventID=20161005X10124&amp;AKey=1&amp;Rtype=Final&amp;IType=LA","PDF Report")</f>
        <v>PDF Report</v>
      </c>
    </row>
    <row r="1096" spans="1:22" x14ac:dyDescent="0.25">
      <c r="A1096" t="s">
        <v>4239</v>
      </c>
      <c r="B1096">
        <v>1</v>
      </c>
      <c r="C1096" s="5">
        <v>42647</v>
      </c>
      <c r="D1096" t="s">
        <v>4240</v>
      </c>
      <c r="E1096" t="s">
        <v>4241</v>
      </c>
      <c r="F1096" t="s">
        <v>4242</v>
      </c>
      <c r="G1096" t="s">
        <v>401</v>
      </c>
      <c r="H1096" t="s">
        <v>33</v>
      </c>
      <c r="K1096" t="s">
        <v>34</v>
      </c>
      <c r="L1096" t="s">
        <v>35</v>
      </c>
      <c r="M1096" t="s">
        <v>36</v>
      </c>
      <c r="Q1096" t="s">
        <v>37</v>
      </c>
      <c r="R1096" t="s">
        <v>274</v>
      </c>
      <c r="S1096" t="s">
        <v>84</v>
      </c>
      <c r="T1096" t="s">
        <v>73</v>
      </c>
      <c r="U1096" t="s">
        <v>41</v>
      </c>
      <c r="V1096" s="9" t="str">
        <f>HYPERLINK("https://app.ntsb.gov/pdfgenerator/ReportGeneratorFile.ashx?EventID=20161006X24138&amp;AKey=1&amp;Rtype=Final&amp;IType=CA","PDF Report")</f>
        <v>PDF Report</v>
      </c>
    </row>
    <row r="1097" spans="1:22" x14ac:dyDescent="0.25">
      <c r="A1097" t="s">
        <v>4243</v>
      </c>
      <c r="B1097">
        <v>1</v>
      </c>
      <c r="C1097" s="5">
        <v>42647</v>
      </c>
      <c r="D1097" t="s">
        <v>4244</v>
      </c>
      <c r="E1097" t="s">
        <v>4245</v>
      </c>
      <c r="F1097" t="s">
        <v>4246</v>
      </c>
      <c r="G1097" t="s">
        <v>232</v>
      </c>
      <c r="H1097" t="s">
        <v>33</v>
      </c>
      <c r="K1097" t="s">
        <v>34</v>
      </c>
      <c r="L1097" t="s">
        <v>35</v>
      </c>
      <c r="M1097" t="s">
        <v>56</v>
      </c>
      <c r="N1097" t="s">
        <v>57</v>
      </c>
      <c r="O1097" t="s">
        <v>58</v>
      </c>
      <c r="P1097" t="s">
        <v>162</v>
      </c>
      <c r="Q1097" t="s">
        <v>185</v>
      </c>
      <c r="S1097" t="s">
        <v>243</v>
      </c>
      <c r="T1097" t="s">
        <v>143</v>
      </c>
      <c r="U1097" t="s">
        <v>41</v>
      </c>
      <c r="V1097" s="9" t="str">
        <f>HYPERLINK("https://app.ntsb.gov/pdfgenerator/ReportGeneratorFile.ashx?EventID=20161012X62544&amp;AKey=1&amp;Rtype=Final&amp;IType=LA","PDF Report")</f>
        <v>PDF Report</v>
      </c>
    </row>
    <row r="1098" spans="1:22" x14ac:dyDescent="0.25">
      <c r="A1098" t="s">
        <v>4247</v>
      </c>
      <c r="B1098">
        <v>1</v>
      </c>
      <c r="C1098" s="5">
        <v>42647</v>
      </c>
      <c r="D1098" t="s">
        <v>4248</v>
      </c>
      <c r="E1098" t="s">
        <v>4249</v>
      </c>
      <c r="F1098" t="s">
        <v>4250</v>
      </c>
      <c r="G1098" t="s">
        <v>1416</v>
      </c>
      <c r="H1098" t="s">
        <v>33</v>
      </c>
      <c r="K1098" t="s">
        <v>34</v>
      </c>
      <c r="L1098" t="s">
        <v>35</v>
      </c>
      <c r="M1098" t="s">
        <v>36</v>
      </c>
      <c r="Q1098" t="s">
        <v>37</v>
      </c>
      <c r="R1098" t="s">
        <v>38</v>
      </c>
      <c r="S1098" t="s">
        <v>455</v>
      </c>
      <c r="T1098" t="s">
        <v>73</v>
      </c>
      <c r="U1098" t="s">
        <v>41</v>
      </c>
      <c r="V1098" s="9" t="str">
        <f>HYPERLINK("https://app.ntsb.gov/pdfgenerator/ReportGeneratorFile.ashx?EventID=20161031X03313&amp;AKey=1&amp;Rtype=Final&amp;IType=CA","PDF Report")</f>
        <v>PDF Report</v>
      </c>
    </row>
    <row r="1099" spans="1:22" x14ac:dyDescent="0.25">
      <c r="A1099" t="s">
        <v>4251</v>
      </c>
      <c r="B1099">
        <v>1</v>
      </c>
      <c r="C1099" s="5">
        <v>42648</v>
      </c>
      <c r="D1099" t="s">
        <v>4252</v>
      </c>
      <c r="E1099" t="s">
        <v>4253</v>
      </c>
      <c r="F1099" t="s">
        <v>4254</v>
      </c>
      <c r="G1099" t="s">
        <v>287</v>
      </c>
      <c r="H1099" t="s">
        <v>33</v>
      </c>
      <c r="K1099" t="s">
        <v>34</v>
      </c>
      <c r="L1099" t="s">
        <v>35</v>
      </c>
      <c r="M1099" t="s">
        <v>767</v>
      </c>
      <c r="Q1099" t="s">
        <v>185</v>
      </c>
      <c r="R1099" t="s">
        <v>768</v>
      </c>
      <c r="S1099" t="s">
        <v>48</v>
      </c>
      <c r="T1099" t="s">
        <v>40</v>
      </c>
      <c r="U1099" t="s">
        <v>41</v>
      </c>
      <c r="V1099" s="9" t="str">
        <f>HYPERLINK("https://app.ntsb.gov/pdfgenerator/ReportGeneratorFile.ashx?EventID=20161005X45137&amp;AKey=1&amp;Rtype=Final&amp;IType=LA","PDF Report")</f>
        <v>PDF Report</v>
      </c>
    </row>
    <row r="1100" spans="1:22" x14ac:dyDescent="0.25">
      <c r="A1100" t="s">
        <v>4255</v>
      </c>
      <c r="B1100">
        <v>1</v>
      </c>
      <c r="C1100" s="5">
        <v>42648</v>
      </c>
      <c r="D1100" t="s">
        <v>4256</v>
      </c>
      <c r="E1100" t="s">
        <v>4257</v>
      </c>
      <c r="F1100" t="s">
        <v>4258</v>
      </c>
      <c r="G1100" t="s">
        <v>32</v>
      </c>
      <c r="H1100" t="s">
        <v>33</v>
      </c>
      <c r="K1100" t="s">
        <v>34</v>
      </c>
      <c r="L1100" t="s">
        <v>35</v>
      </c>
      <c r="M1100" t="s">
        <v>36</v>
      </c>
      <c r="Q1100" t="s">
        <v>37</v>
      </c>
      <c r="R1100" t="s">
        <v>38</v>
      </c>
      <c r="S1100" t="s">
        <v>131</v>
      </c>
      <c r="T1100" t="s">
        <v>49</v>
      </c>
      <c r="U1100" t="s">
        <v>41</v>
      </c>
      <c r="V1100" s="9" t="str">
        <f>HYPERLINK("https://app.ntsb.gov/pdfgenerator/ReportGeneratorFile.ashx?EventID=20161010X14758&amp;AKey=1&amp;Rtype=Final&amp;IType=CA","PDF Report")</f>
        <v>PDF Report</v>
      </c>
    </row>
    <row r="1101" spans="1:22" x14ac:dyDescent="0.25">
      <c r="A1101" t="s">
        <v>4259</v>
      </c>
      <c r="B1101">
        <v>1</v>
      </c>
      <c r="C1101" s="5">
        <v>42648</v>
      </c>
      <c r="D1101" t="s">
        <v>4260</v>
      </c>
      <c r="E1101" t="s">
        <v>4261</v>
      </c>
      <c r="F1101" t="s">
        <v>1286</v>
      </c>
      <c r="G1101" t="s">
        <v>206</v>
      </c>
      <c r="H1101" t="s">
        <v>33</v>
      </c>
      <c r="J1101">
        <v>1</v>
      </c>
      <c r="K1101" t="s">
        <v>55</v>
      </c>
      <c r="L1101" t="s">
        <v>34</v>
      </c>
      <c r="M1101" t="s">
        <v>103</v>
      </c>
      <c r="N1101" t="s">
        <v>57</v>
      </c>
      <c r="O1101" t="s">
        <v>58</v>
      </c>
      <c r="P1101" t="s">
        <v>59</v>
      </c>
      <c r="Q1101" t="s">
        <v>37</v>
      </c>
      <c r="S1101" t="s">
        <v>2486</v>
      </c>
      <c r="T1101" t="s">
        <v>164</v>
      </c>
      <c r="U1101" t="s">
        <v>41</v>
      </c>
      <c r="V1101" s="9" t="str">
        <f>HYPERLINK("https://app.ntsb.gov/pdfgenerator/ReportGeneratorFile.ashx?EventID=20161011X51744&amp;AKey=1&amp;Rtype=Final&amp;IType=CA","PDF Report")</f>
        <v>PDF Report</v>
      </c>
    </row>
    <row r="1102" spans="1:22" x14ac:dyDescent="0.25">
      <c r="A1102" t="s">
        <v>4262</v>
      </c>
      <c r="B1102">
        <v>1</v>
      </c>
      <c r="C1102" s="5">
        <v>42648</v>
      </c>
      <c r="D1102" t="s">
        <v>4263</v>
      </c>
      <c r="E1102" t="s">
        <v>4264</v>
      </c>
      <c r="F1102" t="s">
        <v>1082</v>
      </c>
      <c r="G1102" t="s">
        <v>54</v>
      </c>
      <c r="H1102" t="s">
        <v>33</v>
      </c>
      <c r="K1102" t="s">
        <v>34</v>
      </c>
      <c r="L1102" t="s">
        <v>35</v>
      </c>
      <c r="M1102" t="s">
        <v>36</v>
      </c>
      <c r="Q1102" t="s">
        <v>37</v>
      </c>
      <c r="R1102" t="s">
        <v>38</v>
      </c>
      <c r="S1102" t="s">
        <v>84</v>
      </c>
      <c r="T1102" t="s">
        <v>73</v>
      </c>
      <c r="U1102" t="s">
        <v>41</v>
      </c>
      <c r="V1102" s="9" t="str">
        <f>HYPERLINK("https://app.ntsb.gov/pdfgenerator/ReportGeneratorFile.ashx?EventID=20161017X23525&amp;AKey=1&amp;Rtype=Final&amp;IType=CA","PDF Report")</f>
        <v>PDF Report</v>
      </c>
    </row>
    <row r="1103" spans="1:22" x14ac:dyDescent="0.25">
      <c r="A1103" t="s">
        <v>4265</v>
      </c>
      <c r="B1103">
        <v>1</v>
      </c>
      <c r="C1103" s="5">
        <v>42648</v>
      </c>
      <c r="D1103" t="s">
        <v>4266</v>
      </c>
      <c r="E1103" t="s">
        <v>4267</v>
      </c>
      <c r="F1103" t="s">
        <v>4268</v>
      </c>
      <c r="G1103" t="s">
        <v>232</v>
      </c>
      <c r="H1103" t="s">
        <v>33</v>
      </c>
      <c r="K1103" t="s">
        <v>34</v>
      </c>
      <c r="L1103" t="s">
        <v>35</v>
      </c>
      <c r="M1103" t="s">
        <v>36</v>
      </c>
      <c r="Q1103" t="s">
        <v>37</v>
      </c>
      <c r="R1103" t="s">
        <v>38</v>
      </c>
      <c r="S1103" t="s">
        <v>84</v>
      </c>
      <c r="T1103" t="s">
        <v>73</v>
      </c>
      <c r="U1103" t="s">
        <v>41</v>
      </c>
      <c r="V1103" s="9" t="str">
        <f>HYPERLINK("https://app.ntsb.gov/pdfgenerator/ReportGeneratorFile.ashx?EventID=20161017X25411&amp;AKey=1&amp;Rtype=Final&amp;IType=CA","PDF Report")</f>
        <v>PDF Report</v>
      </c>
    </row>
    <row r="1104" spans="1:22" x14ac:dyDescent="0.25">
      <c r="A1104" t="s">
        <v>4269</v>
      </c>
      <c r="B1104">
        <v>1</v>
      </c>
      <c r="C1104" s="5">
        <v>42649</v>
      </c>
      <c r="D1104" t="s">
        <v>4270</v>
      </c>
      <c r="E1104" t="s">
        <v>4271</v>
      </c>
      <c r="F1104" t="s">
        <v>3449</v>
      </c>
      <c r="G1104" t="s">
        <v>538</v>
      </c>
      <c r="H1104" t="s">
        <v>33</v>
      </c>
      <c r="I1104">
        <v>2</v>
      </c>
      <c r="K1104" t="s">
        <v>90</v>
      </c>
      <c r="L1104" t="s">
        <v>110</v>
      </c>
      <c r="M1104" t="s">
        <v>36</v>
      </c>
      <c r="Q1104" t="s">
        <v>185</v>
      </c>
      <c r="R1104" t="s">
        <v>38</v>
      </c>
      <c r="S1104" t="s">
        <v>48</v>
      </c>
      <c r="T1104" t="s">
        <v>61</v>
      </c>
      <c r="U1104" t="s">
        <v>41</v>
      </c>
      <c r="V1104" s="9" t="str">
        <f>HYPERLINK("https://app.ntsb.gov/pdfgenerator/ReportGeneratorFile.ashx?EventID=20161006X22914&amp;AKey=1&amp;Rtype=Final&amp;IType=FA","PDF Report")</f>
        <v>PDF Report</v>
      </c>
    </row>
    <row r="1105" spans="1:22" x14ac:dyDescent="0.25">
      <c r="A1105" t="s">
        <v>4272</v>
      </c>
      <c r="B1105">
        <v>1</v>
      </c>
      <c r="C1105" s="5">
        <v>42649</v>
      </c>
      <c r="D1105" t="s">
        <v>4273</v>
      </c>
      <c r="E1105" t="s">
        <v>4274</v>
      </c>
      <c r="F1105" t="s">
        <v>4275</v>
      </c>
      <c r="G1105" t="s">
        <v>66</v>
      </c>
      <c r="H1105" t="s">
        <v>33</v>
      </c>
      <c r="K1105" t="s">
        <v>34</v>
      </c>
      <c r="L1105" t="s">
        <v>35</v>
      </c>
      <c r="M1105" t="s">
        <v>36</v>
      </c>
      <c r="Q1105" t="s">
        <v>37</v>
      </c>
      <c r="R1105" t="s">
        <v>38</v>
      </c>
      <c r="S1105" t="s">
        <v>84</v>
      </c>
      <c r="T1105" t="s">
        <v>378</v>
      </c>
      <c r="U1105" t="s">
        <v>41</v>
      </c>
      <c r="V1105" s="9" t="str">
        <f>HYPERLINK("https://app.ntsb.gov/pdfgenerator/ReportGeneratorFile.ashx?EventID=20161007X20912&amp;AKey=1&amp;Rtype=Final&amp;IType=CA","PDF Report")</f>
        <v>PDF Report</v>
      </c>
    </row>
    <row r="1106" spans="1:22" x14ac:dyDescent="0.25">
      <c r="A1106" t="s">
        <v>4276</v>
      </c>
      <c r="B1106">
        <v>1</v>
      </c>
      <c r="C1106" s="5">
        <v>42649</v>
      </c>
      <c r="D1106" t="s">
        <v>4277</v>
      </c>
      <c r="E1106" t="s">
        <v>4278</v>
      </c>
      <c r="F1106" t="s">
        <v>4279</v>
      </c>
      <c r="G1106" t="s">
        <v>180</v>
      </c>
      <c r="H1106" t="s">
        <v>33</v>
      </c>
      <c r="K1106" t="s">
        <v>34</v>
      </c>
      <c r="L1106" t="s">
        <v>35</v>
      </c>
      <c r="M1106" t="s">
        <v>36</v>
      </c>
      <c r="Q1106" t="s">
        <v>37</v>
      </c>
      <c r="R1106" t="s">
        <v>130</v>
      </c>
      <c r="S1106" t="s">
        <v>39</v>
      </c>
      <c r="T1106" t="s">
        <v>61</v>
      </c>
      <c r="U1106" t="s">
        <v>41</v>
      </c>
      <c r="V1106" s="9" t="str">
        <f>HYPERLINK("https://app.ntsb.gov/pdfgenerator/ReportGeneratorFile.ashx?EventID=20161010X03513&amp;AKey=1&amp;Rtype=Final&amp;IType=LA","PDF Report")</f>
        <v>PDF Report</v>
      </c>
    </row>
    <row r="1107" spans="1:22" x14ac:dyDescent="0.25">
      <c r="A1107" t="s">
        <v>4280</v>
      </c>
      <c r="B1107">
        <v>1</v>
      </c>
      <c r="C1107" s="5">
        <v>42649</v>
      </c>
      <c r="D1107" t="s">
        <v>4281</v>
      </c>
      <c r="E1107" t="s">
        <v>4282</v>
      </c>
      <c r="F1107" t="s">
        <v>635</v>
      </c>
      <c r="G1107" t="s">
        <v>683</v>
      </c>
      <c r="H1107" t="s">
        <v>33</v>
      </c>
      <c r="J1107">
        <v>1</v>
      </c>
      <c r="K1107" t="s">
        <v>55</v>
      </c>
      <c r="L1107" t="s">
        <v>35</v>
      </c>
      <c r="M1107" t="s">
        <v>36</v>
      </c>
      <c r="Q1107" t="s">
        <v>37</v>
      </c>
      <c r="R1107" t="s">
        <v>38</v>
      </c>
      <c r="S1107" t="s">
        <v>39</v>
      </c>
      <c r="T1107" t="s">
        <v>61</v>
      </c>
      <c r="U1107" t="s">
        <v>41</v>
      </c>
      <c r="V1107" s="9" t="str">
        <f>HYPERLINK("https://app.ntsb.gov/pdfgenerator/ReportGeneratorFile.ashx?EventID=20161010X04452&amp;AKey=1&amp;Rtype=Final&amp;IType=LA","PDF Report")</f>
        <v>PDF Report</v>
      </c>
    </row>
    <row r="1108" spans="1:22" x14ac:dyDescent="0.25">
      <c r="A1108" t="s">
        <v>4283</v>
      </c>
      <c r="B1108">
        <v>1</v>
      </c>
      <c r="C1108" s="5">
        <v>42649</v>
      </c>
      <c r="D1108" t="s">
        <v>4284</v>
      </c>
      <c r="E1108" t="s">
        <v>4285</v>
      </c>
      <c r="F1108" t="s">
        <v>291</v>
      </c>
      <c r="G1108" t="s">
        <v>287</v>
      </c>
      <c r="H1108" t="s">
        <v>33</v>
      </c>
      <c r="K1108" t="s">
        <v>34</v>
      </c>
      <c r="L1108" t="s">
        <v>35</v>
      </c>
      <c r="M1108" t="s">
        <v>36</v>
      </c>
      <c r="Q1108" t="s">
        <v>37</v>
      </c>
      <c r="R1108" t="s">
        <v>130</v>
      </c>
      <c r="S1108" t="s">
        <v>396</v>
      </c>
      <c r="T1108" t="s">
        <v>49</v>
      </c>
      <c r="U1108" t="s">
        <v>41</v>
      </c>
      <c r="V1108" s="9" t="str">
        <f>HYPERLINK("https://app.ntsb.gov/pdfgenerator/ReportGeneratorFile.ashx?EventID=20161011X65711&amp;AKey=1&amp;Rtype=Final&amp;IType=CA","PDF Report")</f>
        <v>PDF Report</v>
      </c>
    </row>
    <row r="1109" spans="1:22" x14ac:dyDescent="0.25">
      <c r="A1109" t="s">
        <v>4286</v>
      </c>
      <c r="B1109">
        <v>1</v>
      </c>
      <c r="C1109" s="5">
        <v>42649</v>
      </c>
      <c r="D1109" t="s">
        <v>4287</v>
      </c>
      <c r="E1109" t="s">
        <v>4288</v>
      </c>
      <c r="F1109" t="s">
        <v>4289</v>
      </c>
      <c r="G1109" t="s">
        <v>206</v>
      </c>
      <c r="H1109" t="s">
        <v>33</v>
      </c>
      <c r="K1109" t="s">
        <v>34</v>
      </c>
      <c r="L1109" t="s">
        <v>35</v>
      </c>
      <c r="M1109" t="s">
        <v>36</v>
      </c>
      <c r="Q1109" t="s">
        <v>37</v>
      </c>
      <c r="R1109" t="s">
        <v>38</v>
      </c>
      <c r="S1109" t="s">
        <v>131</v>
      </c>
      <c r="T1109" t="s">
        <v>73</v>
      </c>
      <c r="U1109" t="s">
        <v>41</v>
      </c>
      <c r="V1109" s="9" t="str">
        <f>HYPERLINK("https://app.ntsb.gov/pdfgenerator/ReportGeneratorFile.ashx?EventID=20161011X92521&amp;AKey=1&amp;Rtype=Final&amp;IType=CA","PDF Report")</f>
        <v>PDF Report</v>
      </c>
    </row>
    <row r="1110" spans="1:22" x14ac:dyDescent="0.25">
      <c r="A1110" t="s">
        <v>4290</v>
      </c>
      <c r="B1110">
        <v>1</v>
      </c>
      <c r="C1110" s="5">
        <v>42649</v>
      </c>
      <c r="D1110" t="s">
        <v>4291</v>
      </c>
      <c r="E1110" t="s">
        <v>4292</v>
      </c>
      <c r="F1110" t="s">
        <v>4293</v>
      </c>
      <c r="G1110" t="s">
        <v>322</v>
      </c>
      <c r="H1110" t="s">
        <v>33</v>
      </c>
      <c r="K1110" t="s">
        <v>34</v>
      </c>
      <c r="L1110" t="s">
        <v>35</v>
      </c>
      <c r="M1110" t="s">
        <v>36</v>
      </c>
      <c r="Q1110" t="s">
        <v>37</v>
      </c>
      <c r="R1110" t="s">
        <v>38</v>
      </c>
      <c r="S1110" t="s">
        <v>163</v>
      </c>
      <c r="T1110" t="s">
        <v>164</v>
      </c>
      <c r="U1110" t="s">
        <v>41</v>
      </c>
      <c r="V1110" s="9" t="str">
        <f>HYPERLINK("https://app.ntsb.gov/pdfgenerator/ReportGeneratorFile.ashx?EventID=20161012X23559&amp;AKey=1&amp;Rtype=Final&amp;IType=CA","PDF Report")</f>
        <v>PDF Report</v>
      </c>
    </row>
    <row r="1111" spans="1:22" x14ac:dyDescent="0.25">
      <c r="A1111" t="s">
        <v>4294</v>
      </c>
      <c r="B1111">
        <v>1</v>
      </c>
      <c r="C1111" s="5">
        <v>42649</v>
      </c>
      <c r="D1111" t="s">
        <v>4295</v>
      </c>
      <c r="E1111" t="s">
        <v>4296</v>
      </c>
      <c r="F1111" t="s">
        <v>4297</v>
      </c>
      <c r="G1111" t="s">
        <v>109</v>
      </c>
      <c r="H1111" t="s">
        <v>33</v>
      </c>
      <c r="K1111" t="s">
        <v>34</v>
      </c>
      <c r="L1111" t="s">
        <v>35</v>
      </c>
      <c r="M1111" t="s">
        <v>36</v>
      </c>
      <c r="Q1111" t="s">
        <v>37</v>
      </c>
      <c r="R1111" t="s">
        <v>274</v>
      </c>
      <c r="S1111" t="s">
        <v>131</v>
      </c>
      <c r="T1111" t="s">
        <v>73</v>
      </c>
      <c r="U1111" t="s">
        <v>41</v>
      </c>
      <c r="V1111" s="9" t="str">
        <f>HYPERLINK("https://app.ntsb.gov/pdfgenerator/ReportGeneratorFile.ashx?EventID=20161013X93614&amp;AKey=1&amp;Rtype=Final&amp;IType=CA","PDF Report")</f>
        <v>PDF Report</v>
      </c>
    </row>
    <row r="1112" spans="1:22" x14ac:dyDescent="0.25">
      <c r="A1112" t="s">
        <v>4298</v>
      </c>
      <c r="B1112">
        <v>1</v>
      </c>
      <c r="C1112" s="5">
        <v>42650</v>
      </c>
      <c r="D1112" t="s">
        <v>4299</v>
      </c>
      <c r="E1112" t="s">
        <v>4300</v>
      </c>
      <c r="F1112" t="s">
        <v>4301</v>
      </c>
      <c r="G1112" t="s">
        <v>46</v>
      </c>
      <c r="H1112" t="s">
        <v>33</v>
      </c>
      <c r="J1112">
        <v>2</v>
      </c>
      <c r="K1112" t="s">
        <v>55</v>
      </c>
      <c r="L1112" t="s">
        <v>35</v>
      </c>
      <c r="M1112" t="s">
        <v>36</v>
      </c>
      <c r="Q1112" t="s">
        <v>37</v>
      </c>
      <c r="R1112" t="s">
        <v>38</v>
      </c>
      <c r="S1112" t="s">
        <v>91</v>
      </c>
      <c r="T1112" t="s">
        <v>61</v>
      </c>
      <c r="U1112" t="s">
        <v>41</v>
      </c>
      <c r="V1112" s="9" t="str">
        <f>HYPERLINK("https://app.ntsb.gov/pdfgenerator/ReportGeneratorFile.ashx?EventID=20161010X05611&amp;AKey=1&amp;Rtype=Final&amp;IType=CA","PDF Report")</f>
        <v>PDF Report</v>
      </c>
    </row>
    <row r="1113" spans="1:22" x14ac:dyDescent="0.25">
      <c r="A1113" t="s">
        <v>4302</v>
      </c>
      <c r="B1113">
        <v>1</v>
      </c>
      <c r="C1113" s="5">
        <v>42650</v>
      </c>
      <c r="D1113" t="s">
        <v>4303</v>
      </c>
      <c r="E1113" t="s">
        <v>4304</v>
      </c>
      <c r="F1113" t="s">
        <v>3838</v>
      </c>
      <c r="G1113" t="s">
        <v>96</v>
      </c>
      <c r="H1113" t="s">
        <v>33</v>
      </c>
      <c r="K1113" t="s">
        <v>34</v>
      </c>
      <c r="L1113" t="s">
        <v>35</v>
      </c>
      <c r="M1113" t="s">
        <v>36</v>
      </c>
      <c r="Q1113" t="s">
        <v>37</v>
      </c>
      <c r="R1113" t="s">
        <v>38</v>
      </c>
      <c r="S1113" t="s">
        <v>131</v>
      </c>
      <c r="T1113" t="s">
        <v>73</v>
      </c>
      <c r="U1113" t="s">
        <v>41</v>
      </c>
      <c r="V1113" s="9" t="str">
        <f>HYPERLINK("https://app.ntsb.gov/pdfgenerator/ReportGeneratorFile.ashx?EventID=20161011X30638&amp;AKey=1&amp;Rtype=Final&amp;IType=CA","PDF Report")</f>
        <v>PDF Report</v>
      </c>
    </row>
    <row r="1114" spans="1:22" x14ac:dyDescent="0.25">
      <c r="A1114" t="s">
        <v>4305</v>
      </c>
      <c r="B1114">
        <v>1</v>
      </c>
      <c r="C1114" s="5">
        <v>42650</v>
      </c>
      <c r="D1114" t="s">
        <v>4306</v>
      </c>
      <c r="E1114" t="s">
        <v>1764</v>
      </c>
      <c r="F1114" t="s">
        <v>1765</v>
      </c>
      <c r="G1114" t="s">
        <v>206</v>
      </c>
      <c r="H1114" t="s">
        <v>33</v>
      </c>
      <c r="K1114" t="s">
        <v>34</v>
      </c>
      <c r="L1114" t="s">
        <v>35</v>
      </c>
      <c r="M1114" t="s">
        <v>36</v>
      </c>
      <c r="Q1114" t="s">
        <v>37</v>
      </c>
      <c r="R1114" t="s">
        <v>38</v>
      </c>
      <c r="S1114" t="s">
        <v>72</v>
      </c>
      <c r="T1114" t="s">
        <v>73</v>
      </c>
      <c r="U1114" t="s">
        <v>41</v>
      </c>
      <c r="V1114" s="9" t="str">
        <f>HYPERLINK("https://app.ntsb.gov/pdfgenerator/ReportGeneratorFile.ashx?EventID=20161011X93141&amp;AKey=1&amp;Rtype=Final&amp;IType=CA","PDF Report")</f>
        <v>PDF Report</v>
      </c>
    </row>
    <row r="1115" spans="1:22" x14ac:dyDescent="0.25">
      <c r="A1115" t="s">
        <v>4307</v>
      </c>
      <c r="B1115">
        <v>1</v>
      </c>
      <c r="C1115" s="5">
        <v>42650</v>
      </c>
      <c r="D1115" t="s">
        <v>4308</v>
      </c>
      <c r="E1115" t="s">
        <v>4309</v>
      </c>
      <c r="F1115" t="s">
        <v>4310</v>
      </c>
      <c r="G1115" t="s">
        <v>96</v>
      </c>
      <c r="H1115" t="s">
        <v>33</v>
      </c>
      <c r="K1115" t="s">
        <v>34</v>
      </c>
      <c r="L1115" t="s">
        <v>35</v>
      </c>
      <c r="M1115" t="s">
        <v>36</v>
      </c>
      <c r="Q1115" t="s">
        <v>37</v>
      </c>
      <c r="R1115" t="s">
        <v>38</v>
      </c>
      <c r="S1115" t="s">
        <v>39</v>
      </c>
      <c r="T1115" t="s">
        <v>79</v>
      </c>
      <c r="U1115" t="s">
        <v>41</v>
      </c>
      <c r="V1115" s="9" t="str">
        <f>HYPERLINK("https://app.ntsb.gov/pdfgenerator/ReportGeneratorFile.ashx?EventID=20161012X54219&amp;AKey=1&amp;Rtype=Final&amp;IType=LA","PDF Report")</f>
        <v>PDF Report</v>
      </c>
    </row>
    <row r="1116" spans="1:22" x14ac:dyDescent="0.25">
      <c r="A1116" t="s">
        <v>4311</v>
      </c>
      <c r="B1116">
        <v>1</v>
      </c>
      <c r="C1116" s="5">
        <v>42651</v>
      </c>
      <c r="D1116" t="s">
        <v>4312</v>
      </c>
      <c r="E1116" t="s">
        <v>4313</v>
      </c>
      <c r="F1116" t="s">
        <v>4314</v>
      </c>
      <c r="G1116" t="s">
        <v>1026</v>
      </c>
      <c r="H1116" t="s">
        <v>33</v>
      </c>
      <c r="K1116" t="s">
        <v>34</v>
      </c>
      <c r="L1116" t="s">
        <v>35</v>
      </c>
      <c r="M1116" t="s">
        <v>36</v>
      </c>
      <c r="Q1116" t="s">
        <v>37</v>
      </c>
      <c r="R1116" t="s">
        <v>38</v>
      </c>
      <c r="S1116" t="s">
        <v>48</v>
      </c>
      <c r="T1116" t="s">
        <v>73</v>
      </c>
      <c r="U1116" t="s">
        <v>41</v>
      </c>
      <c r="V1116" s="9" t="str">
        <f>HYPERLINK("https://app.ntsb.gov/pdfgenerator/ReportGeneratorFile.ashx?EventID=20161011X22742&amp;AKey=1&amp;Rtype=Final&amp;IType=CA","PDF Report")</f>
        <v>PDF Report</v>
      </c>
    </row>
    <row r="1117" spans="1:22" x14ac:dyDescent="0.25">
      <c r="A1117" t="s">
        <v>4315</v>
      </c>
      <c r="B1117">
        <v>1</v>
      </c>
      <c r="C1117" s="5">
        <v>42651</v>
      </c>
      <c r="D1117" t="s">
        <v>4316</v>
      </c>
      <c r="E1117" t="s">
        <v>4317</v>
      </c>
      <c r="F1117" t="s">
        <v>4318</v>
      </c>
      <c r="G1117" t="s">
        <v>96</v>
      </c>
      <c r="H1117" t="s">
        <v>33</v>
      </c>
      <c r="K1117" t="s">
        <v>34</v>
      </c>
      <c r="L1117" t="s">
        <v>35</v>
      </c>
      <c r="M1117" t="s">
        <v>36</v>
      </c>
      <c r="Q1117" t="s">
        <v>37</v>
      </c>
      <c r="R1117" t="s">
        <v>130</v>
      </c>
      <c r="S1117" t="s">
        <v>39</v>
      </c>
      <c r="T1117" t="s">
        <v>61</v>
      </c>
      <c r="U1117" t="s">
        <v>41</v>
      </c>
      <c r="V1117" s="9" t="str">
        <f>HYPERLINK("https://app.ntsb.gov/pdfgenerator/ReportGeneratorFile.ashx?EventID=20161012X11542&amp;AKey=1&amp;Rtype=Final&amp;IType=LA","PDF Report")</f>
        <v>PDF Report</v>
      </c>
    </row>
    <row r="1118" spans="1:22" x14ac:dyDescent="0.25">
      <c r="A1118" t="s">
        <v>4319</v>
      </c>
      <c r="B1118">
        <v>1</v>
      </c>
      <c r="C1118" s="5">
        <v>42651</v>
      </c>
      <c r="D1118" t="s">
        <v>4320</v>
      </c>
      <c r="E1118" t="s">
        <v>4321</v>
      </c>
      <c r="F1118" t="s">
        <v>4322</v>
      </c>
      <c r="G1118" t="s">
        <v>322</v>
      </c>
      <c r="H1118" t="s">
        <v>33</v>
      </c>
      <c r="K1118" t="s">
        <v>47</v>
      </c>
      <c r="L1118" t="s">
        <v>35</v>
      </c>
      <c r="M1118" t="s">
        <v>36</v>
      </c>
      <c r="Q1118" t="s">
        <v>37</v>
      </c>
      <c r="R1118" t="s">
        <v>38</v>
      </c>
      <c r="S1118" t="s">
        <v>131</v>
      </c>
      <c r="T1118" t="s">
        <v>73</v>
      </c>
      <c r="U1118" t="s">
        <v>41</v>
      </c>
      <c r="V1118" s="9" t="str">
        <f>HYPERLINK("https://app.ntsb.gov/pdfgenerator/ReportGeneratorFile.ashx?EventID=20161012X61220&amp;AKey=1&amp;Rtype=Final&amp;IType=CA","PDF Report")</f>
        <v>PDF Report</v>
      </c>
    </row>
    <row r="1119" spans="1:22" x14ac:dyDescent="0.25">
      <c r="A1119" t="s">
        <v>4323</v>
      </c>
      <c r="B1119">
        <v>1</v>
      </c>
      <c r="C1119" s="5">
        <v>42652</v>
      </c>
      <c r="D1119" t="s">
        <v>4324</v>
      </c>
      <c r="E1119" t="s">
        <v>4325</v>
      </c>
      <c r="F1119" t="s">
        <v>4326</v>
      </c>
      <c r="G1119" t="s">
        <v>450</v>
      </c>
      <c r="H1119" t="s">
        <v>33</v>
      </c>
      <c r="K1119" t="s">
        <v>47</v>
      </c>
      <c r="L1119" t="s">
        <v>35</v>
      </c>
      <c r="M1119" t="s">
        <v>36</v>
      </c>
      <c r="Q1119" t="s">
        <v>37</v>
      </c>
      <c r="R1119" t="s">
        <v>38</v>
      </c>
      <c r="S1119" t="s">
        <v>39</v>
      </c>
      <c r="T1119" t="s">
        <v>61</v>
      </c>
      <c r="U1119" t="s">
        <v>41</v>
      </c>
      <c r="V1119" s="9" t="str">
        <f>HYPERLINK("https://app.ntsb.gov/pdfgenerator/ReportGeneratorFile.ashx?EventID=20161012X13615&amp;AKey=1&amp;Rtype=Final&amp;IType=LA","PDF Report")</f>
        <v>PDF Report</v>
      </c>
    </row>
    <row r="1120" spans="1:22" x14ac:dyDescent="0.25">
      <c r="A1120" t="s">
        <v>4327</v>
      </c>
      <c r="B1120">
        <v>1</v>
      </c>
      <c r="C1120" s="5">
        <v>42652</v>
      </c>
      <c r="D1120" t="s">
        <v>4328</v>
      </c>
      <c r="E1120" t="s">
        <v>4329</v>
      </c>
      <c r="F1120" t="s">
        <v>4330</v>
      </c>
      <c r="G1120" t="s">
        <v>142</v>
      </c>
      <c r="H1120" t="s">
        <v>33</v>
      </c>
      <c r="K1120" t="s">
        <v>34</v>
      </c>
      <c r="L1120" t="s">
        <v>35</v>
      </c>
      <c r="M1120" t="s">
        <v>36</v>
      </c>
      <c r="Q1120" t="s">
        <v>37</v>
      </c>
      <c r="R1120" t="s">
        <v>38</v>
      </c>
      <c r="S1120" t="s">
        <v>39</v>
      </c>
      <c r="T1120" t="s">
        <v>61</v>
      </c>
      <c r="U1120" t="s">
        <v>41</v>
      </c>
      <c r="V1120" s="9" t="str">
        <f>HYPERLINK("https://app.ntsb.gov/pdfgenerator/ReportGeneratorFile.ashx?EventID=20161018X55428&amp;AKey=1&amp;Rtype=Final&amp;IType=LA","PDF Report")</f>
        <v>PDF Report</v>
      </c>
    </row>
    <row r="1121" spans="1:22" x14ac:dyDescent="0.25">
      <c r="A1121" t="s">
        <v>4331</v>
      </c>
      <c r="B1121">
        <v>1</v>
      </c>
      <c r="C1121" s="5">
        <v>42653</v>
      </c>
      <c r="D1121" t="s">
        <v>4332</v>
      </c>
      <c r="E1121" t="s">
        <v>4333</v>
      </c>
      <c r="F1121" t="s">
        <v>1119</v>
      </c>
      <c r="G1121" t="s">
        <v>115</v>
      </c>
      <c r="H1121" t="s">
        <v>33</v>
      </c>
      <c r="K1121" t="s">
        <v>34</v>
      </c>
      <c r="L1121" t="s">
        <v>35</v>
      </c>
      <c r="M1121" t="s">
        <v>36</v>
      </c>
      <c r="Q1121" t="s">
        <v>37</v>
      </c>
      <c r="R1121" t="s">
        <v>38</v>
      </c>
      <c r="S1121" t="s">
        <v>97</v>
      </c>
      <c r="T1121" t="s">
        <v>61</v>
      </c>
      <c r="U1121" t="s">
        <v>41</v>
      </c>
      <c r="V1121" s="9" t="str">
        <f>HYPERLINK("https://app.ntsb.gov/pdfgenerator/ReportGeneratorFile.ashx?EventID=20161013X50634&amp;AKey=1&amp;Rtype=Final&amp;IType=CA","PDF Report")</f>
        <v>PDF Report</v>
      </c>
    </row>
    <row r="1122" spans="1:22" x14ac:dyDescent="0.25">
      <c r="A1122" t="s">
        <v>4334</v>
      </c>
      <c r="B1122">
        <v>1</v>
      </c>
      <c r="C1122" s="5">
        <v>42654</v>
      </c>
      <c r="D1122" t="s">
        <v>4335</v>
      </c>
      <c r="E1122" t="s">
        <v>4336</v>
      </c>
      <c r="F1122" t="s">
        <v>4337</v>
      </c>
      <c r="G1122" t="s">
        <v>683</v>
      </c>
      <c r="H1122" t="s">
        <v>33</v>
      </c>
      <c r="I1122">
        <v>1</v>
      </c>
      <c r="J1122">
        <v>1</v>
      </c>
      <c r="K1122" t="s">
        <v>90</v>
      </c>
      <c r="L1122" t="s">
        <v>110</v>
      </c>
      <c r="M1122" t="s">
        <v>36</v>
      </c>
      <c r="Q1122" t="s">
        <v>37</v>
      </c>
      <c r="R1122" t="s">
        <v>130</v>
      </c>
      <c r="S1122" t="s">
        <v>4338</v>
      </c>
      <c r="T1122" t="s">
        <v>243</v>
      </c>
      <c r="U1122" t="s">
        <v>1953</v>
      </c>
      <c r="V1122" s="9" t="str">
        <f>HYPERLINK("https://app.ntsb.gov/pdfgenerator/ReportGeneratorFile.ashx?EventID=20161011X64047&amp;AKey=1&amp;Rtype=Final&amp;IType=FA","PDF Report")</f>
        <v>PDF Report</v>
      </c>
    </row>
    <row r="1123" spans="1:22" x14ac:dyDescent="0.25">
      <c r="A1123" t="s">
        <v>4339</v>
      </c>
      <c r="B1123">
        <v>1</v>
      </c>
      <c r="C1123" s="5">
        <v>42654</v>
      </c>
      <c r="D1123" t="s">
        <v>4340</v>
      </c>
      <c r="E1123" t="s">
        <v>4341</v>
      </c>
      <c r="F1123" t="s">
        <v>2415</v>
      </c>
      <c r="G1123" t="s">
        <v>142</v>
      </c>
      <c r="H1123" t="s">
        <v>33</v>
      </c>
      <c r="K1123" t="s">
        <v>47</v>
      </c>
      <c r="L1123" t="s">
        <v>35</v>
      </c>
      <c r="M1123" t="s">
        <v>36</v>
      </c>
      <c r="Q1123" t="s">
        <v>37</v>
      </c>
      <c r="R1123" t="s">
        <v>38</v>
      </c>
      <c r="S1123" t="s">
        <v>201</v>
      </c>
      <c r="T1123" t="s">
        <v>61</v>
      </c>
      <c r="U1123" t="s">
        <v>41</v>
      </c>
      <c r="V1123" s="9" t="str">
        <f>HYPERLINK("https://app.ntsb.gov/pdfgenerator/ReportGeneratorFile.ashx?EventID=20161012X54411&amp;AKey=1&amp;Rtype=Final&amp;IType=CA","PDF Report")</f>
        <v>PDF Report</v>
      </c>
    </row>
    <row r="1124" spans="1:22" x14ac:dyDescent="0.25">
      <c r="A1124" t="s">
        <v>4342</v>
      </c>
      <c r="B1124">
        <v>1</v>
      </c>
      <c r="C1124" s="5">
        <v>42654</v>
      </c>
      <c r="D1124" t="s">
        <v>4343</v>
      </c>
      <c r="E1124" t="s">
        <v>4344</v>
      </c>
      <c r="F1124" t="s">
        <v>4345</v>
      </c>
      <c r="G1124" t="s">
        <v>115</v>
      </c>
      <c r="H1124" t="s">
        <v>33</v>
      </c>
      <c r="J1124">
        <v>1</v>
      </c>
      <c r="K1124" t="s">
        <v>55</v>
      </c>
      <c r="L1124" t="s">
        <v>35</v>
      </c>
      <c r="M1124" t="s">
        <v>36</v>
      </c>
      <c r="Q1124" t="s">
        <v>37</v>
      </c>
      <c r="R1124" t="s">
        <v>38</v>
      </c>
      <c r="S1124" t="s">
        <v>84</v>
      </c>
      <c r="T1124" t="s">
        <v>73</v>
      </c>
      <c r="U1124" t="s">
        <v>41</v>
      </c>
      <c r="V1124" s="9" t="str">
        <f>HYPERLINK("https://app.ntsb.gov/pdfgenerator/ReportGeneratorFile.ashx?EventID=20161012X61628&amp;AKey=1&amp;Rtype=Final&amp;IType=CA","PDF Report")</f>
        <v>PDF Report</v>
      </c>
    </row>
    <row r="1125" spans="1:22" x14ac:dyDescent="0.25">
      <c r="A1125" t="s">
        <v>4346</v>
      </c>
      <c r="B1125">
        <v>1</v>
      </c>
      <c r="C1125" s="5">
        <v>42654</v>
      </c>
      <c r="D1125" t="s">
        <v>4347</v>
      </c>
      <c r="E1125" t="s">
        <v>4348</v>
      </c>
      <c r="F1125" t="s">
        <v>4349</v>
      </c>
      <c r="G1125" t="s">
        <v>491</v>
      </c>
      <c r="H1125" t="s">
        <v>33</v>
      </c>
      <c r="K1125" t="s">
        <v>34</v>
      </c>
      <c r="L1125" t="s">
        <v>35</v>
      </c>
      <c r="M1125" t="s">
        <v>36</v>
      </c>
      <c r="Q1125" t="s">
        <v>37</v>
      </c>
      <c r="R1125" t="s">
        <v>38</v>
      </c>
      <c r="S1125" t="s">
        <v>48</v>
      </c>
      <c r="T1125" t="s">
        <v>49</v>
      </c>
      <c r="U1125" t="s">
        <v>41</v>
      </c>
      <c r="V1125" s="9" t="str">
        <f>HYPERLINK("https://app.ntsb.gov/pdfgenerator/ReportGeneratorFile.ashx?EventID=20161013X10712&amp;AKey=1&amp;Rtype=Final&amp;IType=CA","PDF Report")</f>
        <v>PDF Report</v>
      </c>
    </row>
    <row r="1126" spans="1:22" x14ac:dyDescent="0.25">
      <c r="A1126" t="s">
        <v>4350</v>
      </c>
      <c r="B1126">
        <v>1</v>
      </c>
      <c r="C1126" s="5">
        <v>42655</v>
      </c>
      <c r="D1126" t="s">
        <v>4351</v>
      </c>
      <c r="E1126" t="s">
        <v>4352</v>
      </c>
      <c r="F1126" t="s">
        <v>291</v>
      </c>
      <c r="G1126" t="s">
        <v>287</v>
      </c>
      <c r="H1126" t="s">
        <v>33</v>
      </c>
      <c r="J1126">
        <v>2</v>
      </c>
      <c r="K1126" t="s">
        <v>55</v>
      </c>
      <c r="L1126" t="s">
        <v>35</v>
      </c>
      <c r="M1126" t="s">
        <v>36</v>
      </c>
      <c r="Q1126" t="s">
        <v>37</v>
      </c>
      <c r="R1126" t="s">
        <v>38</v>
      </c>
      <c r="S1126" t="s">
        <v>39</v>
      </c>
      <c r="T1126" t="s">
        <v>61</v>
      </c>
      <c r="U1126" t="s">
        <v>41</v>
      </c>
      <c r="V1126" s="9" t="str">
        <f>HYPERLINK("https://app.ntsb.gov/pdfgenerator/ReportGeneratorFile.ashx?EventID=20161012X61755&amp;AKey=1&amp;Rtype=Final&amp;IType=LA","PDF Report")</f>
        <v>PDF Report</v>
      </c>
    </row>
    <row r="1127" spans="1:22" x14ac:dyDescent="0.25">
      <c r="A1127" t="s">
        <v>4353</v>
      </c>
      <c r="B1127">
        <v>1</v>
      </c>
      <c r="C1127" s="5">
        <v>42655</v>
      </c>
      <c r="D1127" t="s">
        <v>4354</v>
      </c>
      <c r="E1127" t="s">
        <v>4355</v>
      </c>
      <c r="F1127" t="s">
        <v>4356</v>
      </c>
      <c r="G1127" t="s">
        <v>645</v>
      </c>
      <c r="H1127" t="s">
        <v>33</v>
      </c>
      <c r="K1127" t="s">
        <v>47</v>
      </c>
      <c r="L1127" t="s">
        <v>35</v>
      </c>
      <c r="M1127" t="s">
        <v>36</v>
      </c>
      <c r="Q1127" t="s">
        <v>37</v>
      </c>
      <c r="R1127" t="s">
        <v>38</v>
      </c>
      <c r="S1127" t="s">
        <v>131</v>
      </c>
      <c r="T1127" t="s">
        <v>73</v>
      </c>
      <c r="U1127" t="s">
        <v>41</v>
      </c>
      <c r="V1127" s="9" t="str">
        <f>HYPERLINK("https://app.ntsb.gov/pdfgenerator/ReportGeneratorFile.ashx?EventID=20161013X23652&amp;AKey=1&amp;Rtype=Final&amp;IType=CA","PDF Report")</f>
        <v>PDF Report</v>
      </c>
    </row>
    <row r="1128" spans="1:22" x14ac:dyDescent="0.25">
      <c r="A1128" t="s">
        <v>4357</v>
      </c>
      <c r="B1128">
        <v>1</v>
      </c>
      <c r="C1128" s="5">
        <v>42655</v>
      </c>
      <c r="D1128" t="s">
        <v>4358</v>
      </c>
      <c r="E1128" t="s">
        <v>4359</v>
      </c>
      <c r="F1128" t="s">
        <v>4360</v>
      </c>
      <c r="G1128" t="s">
        <v>102</v>
      </c>
      <c r="H1128" t="s">
        <v>33</v>
      </c>
      <c r="K1128" t="s">
        <v>47</v>
      </c>
      <c r="L1128" t="s">
        <v>35</v>
      </c>
      <c r="M1128" t="s">
        <v>36</v>
      </c>
      <c r="Q1128" t="s">
        <v>37</v>
      </c>
      <c r="R1128" t="s">
        <v>38</v>
      </c>
      <c r="S1128" t="s">
        <v>84</v>
      </c>
      <c r="T1128" t="s">
        <v>73</v>
      </c>
      <c r="U1128" t="s">
        <v>41</v>
      </c>
      <c r="V1128" s="9" t="str">
        <f>HYPERLINK("https://app.ntsb.gov/pdfgenerator/ReportGeneratorFile.ashx?EventID=20161019X95333&amp;AKey=1&amp;Rtype=Final&amp;IType=CA","PDF Report")</f>
        <v>PDF Report</v>
      </c>
    </row>
    <row r="1129" spans="1:22" x14ac:dyDescent="0.25">
      <c r="A1129" t="s">
        <v>4361</v>
      </c>
      <c r="B1129">
        <v>1</v>
      </c>
      <c r="C1129" s="5">
        <v>42656</v>
      </c>
      <c r="D1129" t="s">
        <v>4362</v>
      </c>
      <c r="E1129" t="s">
        <v>4363</v>
      </c>
      <c r="F1129" t="s">
        <v>4364</v>
      </c>
      <c r="G1129" t="s">
        <v>428</v>
      </c>
      <c r="H1129" t="s">
        <v>33</v>
      </c>
      <c r="K1129" t="s">
        <v>34</v>
      </c>
      <c r="L1129" t="s">
        <v>35</v>
      </c>
      <c r="M1129" t="s">
        <v>36</v>
      </c>
      <c r="Q1129" t="s">
        <v>37</v>
      </c>
      <c r="R1129" t="s">
        <v>274</v>
      </c>
      <c r="S1129" t="s">
        <v>72</v>
      </c>
      <c r="T1129" t="s">
        <v>73</v>
      </c>
      <c r="U1129" t="s">
        <v>41</v>
      </c>
      <c r="V1129" s="9" t="str">
        <f>HYPERLINK("https://app.ntsb.gov/pdfgenerator/ReportGeneratorFile.ashx?EventID=20161013X35806&amp;AKey=1&amp;Rtype=Final&amp;IType=LA","PDF Report")</f>
        <v>PDF Report</v>
      </c>
    </row>
    <row r="1130" spans="1:22" x14ac:dyDescent="0.25">
      <c r="A1130" t="s">
        <v>4365</v>
      </c>
      <c r="B1130">
        <v>1</v>
      </c>
      <c r="C1130" s="5">
        <v>42656</v>
      </c>
      <c r="D1130" t="s">
        <v>4366</v>
      </c>
      <c r="E1130" t="s">
        <v>4367</v>
      </c>
      <c r="F1130" t="s">
        <v>1082</v>
      </c>
      <c r="G1130" t="s">
        <v>54</v>
      </c>
      <c r="H1130" t="s">
        <v>33</v>
      </c>
      <c r="K1130" t="s">
        <v>47</v>
      </c>
      <c r="L1130" t="s">
        <v>35</v>
      </c>
      <c r="M1130" t="s">
        <v>36</v>
      </c>
      <c r="Q1130" t="s">
        <v>37</v>
      </c>
      <c r="R1130" t="s">
        <v>38</v>
      </c>
      <c r="S1130" t="s">
        <v>84</v>
      </c>
      <c r="T1130" t="s">
        <v>73</v>
      </c>
      <c r="U1130" t="s">
        <v>41</v>
      </c>
      <c r="V1130" s="9" t="str">
        <f>HYPERLINK("https://app.ntsb.gov/pdfgenerator/ReportGeneratorFile.ashx?EventID=20161018X34142&amp;AKey=1&amp;Rtype=Final&amp;IType=CA","PDF Report")</f>
        <v>PDF Report</v>
      </c>
    </row>
    <row r="1131" spans="1:22" x14ac:dyDescent="0.25">
      <c r="A1131" t="s">
        <v>4368</v>
      </c>
      <c r="B1131">
        <v>1</v>
      </c>
      <c r="C1131" s="5">
        <v>42657</v>
      </c>
      <c r="D1131" t="s">
        <v>4369</v>
      </c>
      <c r="E1131" t="s">
        <v>4370</v>
      </c>
      <c r="F1131" t="s">
        <v>4371</v>
      </c>
      <c r="G1131" t="s">
        <v>468</v>
      </c>
      <c r="H1131" t="s">
        <v>33</v>
      </c>
      <c r="J1131">
        <v>1</v>
      </c>
      <c r="K1131" t="s">
        <v>55</v>
      </c>
      <c r="L1131" t="s">
        <v>35</v>
      </c>
      <c r="M1131" t="s">
        <v>36</v>
      </c>
      <c r="Q1131" t="s">
        <v>37</v>
      </c>
      <c r="R1131" t="s">
        <v>38</v>
      </c>
      <c r="S1131" t="s">
        <v>48</v>
      </c>
      <c r="T1131" t="s">
        <v>73</v>
      </c>
      <c r="U1131" t="s">
        <v>41</v>
      </c>
      <c r="V1131" s="9" t="str">
        <f>HYPERLINK("https://app.ntsb.gov/pdfgenerator/ReportGeneratorFile.ashx?EventID=20161017X64917&amp;AKey=1&amp;Rtype=Final&amp;IType=CA","PDF Report")</f>
        <v>PDF Report</v>
      </c>
    </row>
    <row r="1132" spans="1:22" x14ac:dyDescent="0.25">
      <c r="A1132" t="s">
        <v>4372</v>
      </c>
      <c r="B1132">
        <v>1</v>
      </c>
      <c r="C1132" s="5">
        <v>42657</v>
      </c>
      <c r="D1132" t="s">
        <v>4373</v>
      </c>
      <c r="E1132" t="s">
        <v>4374</v>
      </c>
      <c r="F1132" t="s">
        <v>4375</v>
      </c>
      <c r="G1132" t="s">
        <v>115</v>
      </c>
      <c r="H1132" t="s">
        <v>33</v>
      </c>
      <c r="I1132">
        <v>1</v>
      </c>
      <c r="K1132" t="s">
        <v>90</v>
      </c>
      <c r="L1132" t="s">
        <v>35</v>
      </c>
      <c r="M1132" t="s">
        <v>36</v>
      </c>
      <c r="Q1132" t="s">
        <v>37</v>
      </c>
      <c r="R1132" t="s">
        <v>1132</v>
      </c>
      <c r="S1132" t="s">
        <v>191</v>
      </c>
      <c r="T1132" t="s">
        <v>61</v>
      </c>
      <c r="U1132" t="s">
        <v>41</v>
      </c>
      <c r="V1132" s="9" t="str">
        <f>HYPERLINK("https://app.ntsb.gov/pdfgenerator/ReportGeneratorFile.ashx?EventID=20161018X25339&amp;AKey=1&amp;Rtype=Final&amp;IType=LA","PDF Report")</f>
        <v>PDF Report</v>
      </c>
    </row>
    <row r="1133" spans="1:22" x14ac:dyDescent="0.25">
      <c r="A1133" t="s">
        <v>4376</v>
      </c>
      <c r="B1133">
        <v>1</v>
      </c>
      <c r="C1133" s="5">
        <v>42657</v>
      </c>
      <c r="D1133" t="s">
        <v>4377</v>
      </c>
      <c r="E1133" t="s">
        <v>4378</v>
      </c>
      <c r="F1133" t="s">
        <v>3339</v>
      </c>
      <c r="G1133" t="s">
        <v>54</v>
      </c>
      <c r="H1133" t="s">
        <v>33</v>
      </c>
      <c r="K1133" t="s">
        <v>34</v>
      </c>
      <c r="L1133" t="s">
        <v>35</v>
      </c>
      <c r="M1133" t="s">
        <v>36</v>
      </c>
      <c r="Q1133" t="s">
        <v>37</v>
      </c>
      <c r="R1133" t="s">
        <v>130</v>
      </c>
      <c r="S1133" t="s">
        <v>191</v>
      </c>
      <c r="T1133" t="s">
        <v>49</v>
      </c>
      <c r="U1133" t="s">
        <v>41</v>
      </c>
      <c r="V1133" s="9" t="str">
        <f>HYPERLINK("https://app.ntsb.gov/pdfgenerator/ReportGeneratorFile.ashx?EventID=20161031X91445&amp;AKey=1&amp;Rtype=Final&amp;IType=CA","PDF Report")</f>
        <v>PDF Report</v>
      </c>
    </row>
    <row r="1134" spans="1:22" x14ac:dyDescent="0.25">
      <c r="A1134" t="s">
        <v>4379</v>
      </c>
      <c r="B1134">
        <v>1</v>
      </c>
      <c r="C1134" s="5">
        <v>42658</v>
      </c>
      <c r="D1134" t="s">
        <v>4380</v>
      </c>
      <c r="E1134" t="s">
        <v>4381</v>
      </c>
      <c r="F1134" t="s">
        <v>4382</v>
      </c>
      <c r="G1134" t="s">
        <v>468</v>
      </c>
      <c r="H1134" t="s">
        <v>33</v>
      </c>
      <c r="J1134">
        <v>1</v>
      </c>
      <c r="K1134" t="s">
        <v>55</v>
      </c>
      <c r="L1134" t="s">
        <v>35</v>
      </c>
      <c r="M1134" t="s">
        <v>36</v>
      </c>
      <c r="Q1134" t="s">
        <v>37</v>
      </c>
      <c r="R1134" t="s">
        <v>38</v>
      </c>
      <c r="S1134" t="s">
        <v>39</v>
      </c>
      <c r="T1134" t="s">
        <v>61</v>
      </c>
      <c r="U1134" t="s">
        <v>41</v>
      </c>
      <c r="V1134" s="9" t="str">
        <f>HYPERLINK("https://app.ntsb.gov/pdfgenerator/ReportGeneratorFile.ashx?EventID=20161017X51539&amp;AKey=1&amp;Rtype=Final&amp;IType=LA","PDF Report")</f>
        <v>PDF Report</v>
      </c>
    </row>
    <row r="1135" spans="1:22" x14ac:dyDescent="0.25">
      <c r="A1135" t="s">
        <v>4383</v>
      </c>
      <c r="B1135">
        <v>1</v>
      </c>
      <c r="C1135" s="5">
        <v>42658</v>
      </c>
      <c r="D1135" t="s">
        <v>4384</v>
      </c>
      <c r="E1135" t="s">
        <v>4385</v>
      </c>
      <c r="F1135" t="s">
        <v>1176</v>
      </c>
      <c r="G1135" t="s">
        <v>96</v>
      </c>
      <c r="H1135" t="s">
        <v>33</v>
      </c>
      <c r="K1135" t="s">
        <v>47</v>
      </c>
      <c r="L1135" t="s">
        <v>35</v>
      </c>
      <c r="M1135" t="s">
        <v>36</v>
      </c>
      <c r="Q1135" t="s">
        <v>37</v>
      </c>
      <c r="R1135" t="s">
        <v>38</v>
      </c>
      <c r="S1135" t="s">
        <v>39</v>
      </c>
      <c r="T1135" t="s">
        <v>61</v>
      </c>
      <c r="U1135" t="s">
        <v>41</v>
      </c>
      <c r="V1135" s="9" t="str">
        <f>HYPERLINK("https://app.ntsb.gov/pdfgenerator/ReportGeneratorFile.ashx?EventID=20161018X62339&amp;AKey=1&amp;Rtype=Final&amp;IType=LA","PDF Report")</f>
        <v>PDF Report</v>
      </c>
    </row>
    <row r="1136" spans="1:22" x14ac:dyDescent="0.25">
      <c r="A1136" t="s">
        <v>4386</v>
      </c>
      <c r="B1136">
        <v>1</v>
      </c>
      <c r="C1136" s="5">
        <v>42658</v>
      </c>
      <c r="D1136" t="s">
        <v>4387</v>
      </c>
      <c r="E1136" t="s">
        <v>4388</v>
      </c>
      <c r="F1136" t="s">
        <v>3801</v>
      </c>
      <c r="G1136" t="s">
        <v>66</v>
      </c>
      <c r="H1136" t="s">
        <v>33</v>
      </c>
      <c r="I1136">
        <v>1</v>
      </c>
      <c r="K1136" t="s">
        <v>90</v>
      </c>
      <c r="L1136" t="s">
        <v>110</v>
      </c>
      <c r="M1136" t="s">
        <v>36</v>
      </c>
      <c r="Q1136" t="s">
        <v>37</v>
      </c>
      <c r="R1136" t="s">
        <v>38</v>
      </c>
      <c r="S1136" t="s">
        <v>48</v>
      </c>
      <c r="T1136" t="s">
        <v>61</v>
      </c>
      <c r="U1136" t="s">
        <v>41</v>
      </c>
      <c r="V1136" s="9" t="str">
        <f>HYPERLINK("https://app.ntsb.gov/pdfgenerator/ReportGeneratorFile.ashx?EventID=20161019X10935&amp;AKey=1&amp;Rtype=Final&amp;IType=FA","PDF Report")</f>
        <v>PDF Report</v>
      </c>
    </row>
    <row r="1137" spans="1:22" x14ac:dyDescent="0.25">
      <c r="A1137" t="s">
        <v>4389</v>
      </c>
      <c r="B1137">
        <v>1</v>
      </c>
      <c r="C1137" s="5">
        <v>42658</v>
      </c>
      <c r="D1137" t="s">
        <v>4390</v>
      </c>
      <c r="E1137" t="s">
        <v>4391</v>
      </c>
      <c r="F1137" t="s">
        <v>2411</v>
      </c>
      <c r="G1137" t="s">
        <v>96</v>
      </c>
      <c r="H1137" t="s">
        <v>33</v>
      </c>
      <c r="K1137" t="s">
        <v>34</v>
      </c>
      <c r="L1137" t="s">
        <v>35</v>
      </c>
      <c r="M1137" t="s">
        <v>36</v>
      </c>
      <c r="Q1137" t="s">
        <v>37</v>
      </c>
      <c r="R1137" t="s">
        <v>38</v>
      </c>
      <c r="S1137" t="s">
        <v>84</v>
      </c>
      <c r="T1137" t="s">
        <v>73</v>
      </c>
      <c r="U1137" t="s">
        <v>41</v>
      </c>
      <c r="V1137" s="9" t="str">
        <f>HYPERLINK("https://app.ntsb.gov/pdfgenerator/ReportGeneratorFile.ashx?EventID=20161020X94935&amp;AKey=1&amp;Rtype=Final&amp;IType=CA","PDF Report")</f>
        <v>PDF Report</v>
      </c>
    </row>
    <row r="1138" spans="1:22" x14ac:dyDescent="0.25">
      <c r="A1138" t="s">
        <v>4392</v>
      </c>
      <c r="B1138">
        <v>1</v>
      </c>
      <c r="C1138" s="5">
        <v>42658</v>
      </c>
      <c r="D1138" t="s">
        <v>4393</v>
      </c>
      <c r="E1138" t="s">
        <v>4394</v>
      </c>
      <c r="F1138" t="s">
        <v>4395</v>
      </c>
      <c r="G1138" t="s">
        <v>312</v>
      </c>
      <c r="H1138" t="s">
        <v>33</v>
      </c>
      <c r="K1138" t="s">
        <v>47</v>
      </c>
      <c r="L1138" t="s">
        <v>35</v>
      </c>
      <c r="M1138" t="s">
        <v>36</v>
      </c>
      <c r="Q1138" t="s">
        <v>37</v>
      </c>
      <c r="R1138" t="s">
        <v>38</v>
      </c>
      <c r="S1138" t="s">
        <v>84</v>
      </c>
      <c r="T1138" t="s">
        <v>73</v>
      </c>
      <c r="U1138" t="s">
        <v>41</v>
      </c>
      <c r="V1138" s="9" t="str">
        <f>HYPERLINK("https://app.ntsb.gov/pdfgenerator/ReportGeneratorFile.ashx?EventID=20161024X30343&amp;AKey=1&amp;Rtype=Final&amp;IType=CA","PDF Report")</f>
        <v>PDF Report</v>
      </c>
    </row>
    <row r="1139" spans="1:22" x14ac:dyDescent="0.25">
      <c r="A1139" t="s">
        <v>4396</v>
      </c>
      <c r="B1139">
        <v>1</v>
      </c>
      <c r="C1139" s="5">
        <v>42658</v>
      </c>
      <c r="D1139" t="s">
        <v>4397</v>
      </c>
      <c r="E1139" t="s">
        <v>4398</v>
      </c>
      <c r="F1139" t="s">
        <v>2434</v>
      </c>
      <c r="G1139" t="s">
        <v>312</v>
      </c>
      <c r="H1139" t="s">
        <v>33</v>
      </c>
      <c r="K1139" t="s">
        <v>34</v>
      </c>
      <c r="L1139" t="s">
        <v>35</v>
      </c>
      <c r="M1139" t="s">
        <v>36</v>
      </c>
      <c r="Q1139" t="s">
        <v>37</v>
      </c>
      <c r="R1139" t="s">
        <v>38</v>
      </c>
      <c r="S1139" t="s">
        <v>84</v>
      </c>
      <c r="T1139" t="s">
        <v>73</v>
      </c>
      <c r="U1139" t="s">
        <v>41</v>
      </c>
      <c r="V1139" s="9" t="str">
        <f>HYPERLINK("https://app.ntsb.gov/pdfgenerator/ReportGeneratorFile.ashx?EventID=20161026X95159&amp;AKey=1&amp;Rtype=Final&amp;IType=CA","PDF Report")</f>
        <v>PDF Report</v>
      </c>
    </row>
    <row r="1140" spans="1:22" x14ac:dyDescent="0.25">
      <c r="A1140" t="s">
        <v>4399</v>
      </c>
      <c r="B1140">
        <v>1</v>
      </c>
      <c r="C1140" s="5">
        <v>42659</v>
      </c>
      <c r="D1140" t="s">
        <v>4400</v>
      </c>
      <c r="E1140" t="s">
        <v>4401</v>
      </c>
      <c r="F1140" t="s">
        <v>4402</v>
      </c>
      <c r="G1140" t="s">
        <v>136</v>
      </c>
      <c r="H1140" t="s">
        <v>33</v>
      </c>
      <c r="J1140">
        <v>2</v>
      </c>
      <c r="K1140" t="s">
        <v>55</v>
      </c>
      <c r="L1140" t="s">
        <v>35</v>
      </c>
      <c r="M1140" t="s">
        <v>36</v>
      </c>
      <c r="Q1140" t="s">
        <v>37</v>
      </c>
      <c r="R1140" t="s">
        <v>38</v>
      </c>
      <c r="S1140" t="s">
        <v>48</v>
      </c>
      <c r="T1140" t="s">
        <v>143</v>
      </c>
      <c r="U1140" t="s">
        <v>41</v>
      </c>
      <c r="V1140" s="9" t="str">
        <f>HYPERLINK("https://app.ntsb.gov/pdfgenerator/ReportGeneratorFile.ashx?EventID=20161016X51930&amp;AKey=1&amp;Rtype=Final&amp;IType=LA","PDF Report")</f>
        <v>PDF Report</v>
      </c>
    </row>
    <row r="1141" spans="1:22" x14ac:dyDescent="0.25">
      <c r="A1141" t="s">
        <v>4403</v>
      </c>
      <c r="B1141">
        <v>1</v>
      </c>
      <c r="C1141" s="5">
        <v>42659</v>
      </c>
      <c r="D1141" t="s">
        <v>4404</v>
      </c>
      <c r="E1141" t="s">
        <v>4405</v>
      </c>
      <c r="F1141" t="s">
        <v>4406</v>
      </c>
      <c r="G1141" t="s">
        <v>312</v>
      </c>
      <c r="H1141" t="s">
        <v>33</v>
      </c>
      <c r="I1141">
        <v>2</v>
      </c>
      <c r="K1141" t="s">
        <v>90</v>
      </c>
      <c r="L1141" t="s">
        <v>110</v>
      </c>
      <c r="M1141" t="s">
        <v>36</v>
      </c>
      <c r="Q1141" t="s">
        <v>37</v>
      </c>
      <c r="R1141" t="s">
        <v>38</v>
      </c>
      <c r="S1141" t="s">
        <v>201</v>
      </c>
      <c r="T1141" t="s">
        <v>40</v>
      </c>
      <c r="U1141" t="s">
        <v>41</v>
      </c>
      <c r="V1141" s="9" t="str">
        <f>HYPERLINK("https://app.ntsb.gov/pdfgenerator/ReportGeneratorFile.ashx?EventID=20161016X94347&amp;AKey=1&amp;Rtype=Final&amp;IType=FA","PDF Report")</f>
        <v>PDF Report</v>
      </c>
    </row>
    <row r="1142" spans="1:22" x14ac:dyDescent="0.25">
      <c r="A1142" t="s">
        <v>4407</v>
      </c>
      <c r="B1142">
        <v>1</v>
      </c>
      <c r="C1142" s="5">
        <v>42659</v>
      </c>
      <c r="D1142" t="s">
        <v>4408</v>
      </c>
      <c r="E1142" t="s">
        <v>4409</v>
      </c>
      <c r="F1142" t="s">
        <v>4410</v>
      </c>
      <c r="G1142" t="s">
        <v>46</v>
      </c>
      <c r="H1142" t="s">
        <v>33</v>
      </c>
      <c r="K1142" t="s">
        <v>47</v>
      </c>
      <c r="L1142" t="s">
        <v>35</v>
      </c>
      <c r="M1142" t="s">
        <v>36</v>
      </c>
      <c r="Q1142" t="s">
        <v>37</v>
      </c>
      <c r="R1142" t="s">
        <v>38</v>
      </c>
      <c r="S1142" t="s">
        <v>131</v>
      </c>
      <c r="T1142" t="s">
        <v>73</v>
      </c>
      <c r="U1142" t="s">
        <v>41</v>
      </c>
      <c r="V1142" s="9" t="str">
        <f>HYPERLINK("https://app.ntsb.gov/pdfgenerator/ReportGeneratorFile.ashx?EventID=20161017X23753&amp;AKey=1&amp;Rtype=Final&amp;IType=CA","PDF Report")</f>
        <v>PDF Report</v>
      </c>
    </row>
    <row r="1143" spans="1:22" x14ac:dyDescent="0.25">
      <c r="A1143" t="s">
        <v>4411</v>
      </c>
      <c r="B1143">
        <v>1</v>
      </c>
      <c r="C1143" s="5">
        <v>42659</v>
      </c>
      <c r="D1143" t="s">
        <v>4412</v>
      </c>
      <c r="E1143" t="s">
        <v>4413</v>
      </c>
      <c r="F1143" t="s">
        <v>4414</v>
      </c>
      <c r="G1143" t="s">
        <v>237</v>
      </c>
      <c r="H1143" t="s">
        <v>33</v>
      </c>
      <c r="J1143">
        <v>2</v>
      </c>
      <c r="K1143" t="s">
        <v>55</v>
      </c>
      <c r="L1143" t="s">
        <v>35</v>
      </c>
      <c r="M1143" t="s">
        <v>36</v>
      </c>
      <c r="Q1143" t="s">
        <v>37</v>
      </c>
      <c r="R1143" t="s">
        <v>130</v>
      </c>
      <c r="S1143" t="s">
        <v>97</v>
      </c>
      <c r="T1143" t="s">
        <v>61</v>
      </c>
      <c r="U1143" t="s">
        <v>41</v>
      </c>
      <c r="V1143" s="9" t="str">
        <f>HYPERLINK("https://app.ntsb.gov/pdfgenerator/ReportGeneratorFile.ashx?EventID=20161018X30518&amp;AKey=1&amp;Rtype=Final&amp;IType=LA","PDF Report")</f>
        <v>PDF Report</v>
      </c>
    </row>
    <row r="1144" spans="1:22" x14ac:dyDescent="0.25">
      <c r="A1144" t="s">
        <v>4415</v>
      </c>
      <c r="B1144">
        <v>1</v>
      </c>
      <c r="C1144" s="5">
        <v>42659</v>
      </c>
      <c r="D1144" t="s">
        <v>4416</v>
      </c>
      <c r="E1144" t="s">
        <v>4417</v>
      </c>
      <c r="F1144" t="s">
        <v>4418</v>
      </c>
      <c r="G1144" t="s">
        <v>237</v>
      </c>
      <c r="H1144" t="s">
        <v>33</v>
      </c>
      <c r="K1144" t="s">
        <v>34</v>
      </c>
      <c r="L1144" t="s">
        <v>35</v>
      </c>
      <c r="M1144" t="s">
        <v>36</v>
      </c>
      <c r="Q1144" t="s">
        <v>37</v>
      </c>
      <c r="R1144" t="s">
        <v>38</v>
      </c>
      <c r="S1144" t="s">
        <v>131</v>
      </c>
      <c r="T1144" t="s">
        <v>73</v>
      </c>
      <c r="U1144" t="s">
        <v>41</v>
      </c>
      <c r="V1144" s="9" t="str">
        <f>HYPERLINK("https://app.ntsb.gov/pdfgenerator/ReportGeneratorFile.ashx?EventID=20161024X24541&amp;AKey=1&amp;Rtype=Final&amp;IType=CA","PDF Report")</f>
        <v>PDF Report</v>
      </c>
    </row>
    <row r="1145" spans="1:22" x14ac:dyDescent="0.25">
      <c r="A1145" t="s">
        <v>4419</v>
      </c>
      <c r="B1145">
        <v>1</v>
      </c>
      <c r="C1145" s="5">
        <v>42660</v>
      </c>
      <c r="D1145" t="s">
        <v>4420</v>
      </c>
      <c r="E1145" t="s">
        <v>4421</v>
      </c>
      <c r="F1145" t="s">
        <v>4422</v>
      </c>
      <c r="G1145" t="s">
        <v>136</v>
      </c>
      <c r="H1145" t="s">
        <v>33</v>
      </c>
      <c r="K1145" t="s">
        <v>47</v>
      </c>
      <c r="L1145" t="s">
        <v>35</v>
      </c>
      <c r="M1145" t="s">
        <v>36</v>
      </c>
      <c r="Q1145" t="s">
        <v>37</v>
      </c>
      <c r="R1145" t="s">
        <v>130</v>
      </c>
      <c r="S1145" t="s">
        <v>39</v>
      </c>
      <c r="T1145" t="s">
        <v>49</v>
      </c>
      <c r="U1145" t="s">
        <v>41</v>
      </c>
      <c r="V1145" s="9" t="str">
        <f>HYPERLINK("https://app.ntsb.gov/pdfgenerator/ReportGeneratorFile.ashx?EventID=20161019X85330&amp;AKey=1&amp;Rtype=Final&amp;IType=LA","PDF Report")</f>
        <v>PDF Report</v>
      </c>
    </row>
    <row r="1146" spans="1:22" x14ac:dyDescent="0.25">
      <c r="A1146" t="s">
        <v>4423</v>
      </c>
      <c r="B1146">
        <v>1</v>
      </c>
      <c r="C1146" s="5">
        <v>42660</v>
      </c>
      <c r="D1146" t="s">
        <v>4424</v>
      </c>
      <c r="E1146" t="s">
        <v>3538</v>
      </c>
      <c r="F1146" t="s">
        <v>411</v>
      </c>
      <c r="G1146" t="s">
        <v>115</v>
      </c>
      <c r="H1146" t="s">
        <v>33</v>
      </c>
      <c r="K1146" t="s">
        <v>34</v>
      </c>
      <c r="L1146" t="s">
        <v>35</v>
      </c>
      <c r="M1146" t="s">
        <v>36</v>
      </c>
      <c r="Q1146" t="s">
        <v>37</v>
      </c>
      <c r="R1146" t="s">
        <v>130</v>
      </c>
      <c r="S1146" t="s">
        <v>131</v>
      </c>
      <c r="T1146" t="s">
        <v>49</v>
      </c>
      <c r="U1146" t="s">
        <v>41</v>
      </c>
      <c r="V1146" s="9" t="str">
        <f>HYPERLINK("https://app.ntsb.gov/pdfgenerator/ReportGeneratorFile.ashx?EventID=20161024X63722&amp;AKey=1&amp;Rtype=Final&amp;IType=CA","PDF Report")</f>
        <v>PDF Report</v>
      </c>
    </row>
    <row r="1147" spans="1:22" x14ac:dyDescent="0.25">
      <c r="A1147" t="s">
        <v>4425</v>
      </c>
      <c r="B1147">
        <v>1</v>
      </c>
      <c r="C1147" s="5">
        <v>42660</v>
      </c>
      <c r="D1147" t="s">
        <v>4426</v>
      </c>
      <c r="E1147" t="s">
        <v>4427</v>
      </c>
      <c r="F1147" t="s">
        <v>4428</v>
      </c>
      <c r="G1147" t="s">
        <v>597</v>
      </c>
      <c r="H1147" t="s">
        <v>4429</v>
      </c>
      <c r="I1147">
        <v>3</v>
      </c>
      <c r="K1147" t="s">
        <v>90</v>
      </c>
      <c r="L1147" t="s">
        <v>35</v>
      </c>
      <c r="M1147" t="s">
        <v>599</v>
      </c>
      <c r="Q1147" t="s">
        <v>37</v>
      </c>
      <c r="S1147" t="s">
        <v>396</v>
      </c>
      <c r="T1147" t="s">
        <v>79</v>
      </c>
      <c r="U1147" t="s">
        <v>41</v>
      </c>
      <c r="V1147" s="9" t="str">
        <f>HYPERLINK("https://app.ntsb.gov/pdfgenerator/ReportGeneratorFile.ashx?EventID=20170114X90241&amp;AKey=1&amp;Rtype=Final&amp;IType=WA","PDF Report")</f>
        <v>PDF Report</v>
      </c>
    </row>
    <row r="1148" spans="1:22" x14ac:dyDescent="0.25">
      <c r="A1148" t="s">
        <v>4430</v>
      </c>
      <c r="B1148">
        <v>1</v>
      </c>
      <c r="C1148" s="5">
        <v>42661</v>
      </c>
      <c r="D1148" t="s">
        <v>4431</v>
      </c>
      <c r="E1148" t="s">
        <v>4432</v>
      </c>
      <c r="F1148" t="s">
        <v>4433</v>
      </c>
      <c r="G1148" t="s">
        <v>491</v>
      </c>
      <c r="H1148" t="s">
        <v>33</v>
      </c>
      <c r="K1148" t="s">
        <v>47</v>
      </c>
      <c r="L1148" t="s">
        <v>35</v>
      </c>
      <c r="M1148" t="s">
        <v>767</v>
      </c>
      <c r="Q1148" t="s">
        <v>37</v>
      </c>
      <c r="R1148" t="s">
        <v>768</v>
      </c>
      <c r="S1148" t="s">
        <v>48</v>
      </c>
      <c r="T1148" t="s">
        <v>40</v>
      </c>
      <c r="U1148" t="s">
        <v>41</v>
      </c>
      <c r="V1148" s="9" t="str">
        <f>HYPERLINK("https://app.ntsb.gov/pdfgenerator/ReportGeneratorFile.ashx?EventID=20161019X75457&amp;AKey=1&amp;Rtype=Final&amp;IType=CA","PDF Report")</f>
        <v>PDF Report</v>
      </c>
    </row>
    <row r="1149" spans="1:22" x14ac:dyDescent="0.25">
      <c r="A1149" t="s">
        <v>4434</v>
      </c>
      <c r="B1149">
        <v>1</v>
      </c>
      <c r="C1149" s="5">
        <v>42661</v>
      </c>
      <c r="D1149" t="s">
        <v>4435</v>
      </c>
      <c r="E1149" t="s">
        <v>4436</v>
      </c>
      <c r="F1149" t="s">
        <v>861</v>
      </c>
      <c r="G1149" t="s">
        <v>96</v>
      </c>
      <c r="H1149" t="s">
        <v>33</v>
      </c>
      <c r="K1149" t="s">
        <v>34</v>
      </c>
      <c r="L1149" t="s">
        <v>35</v>
      </c>
      <c r="M1149" t="s">
        <v>36</v>
      </c>
      <c r="Q1149" t="s">
        <v>37</v>
      </c>
      <c r="R1149" t="s">
        <v>38</v>
      </c>
      <c r="S1149" t="s">
        <v>84</v>
      </c>
      <c r="T1149" t="s">
        <v>73</v>
      </c>
      <c r="U1149" t="s">
        <v>41</v>
      </c>
      <c r="V1149" s="9" t="str">
        <f>HYPERLINK("https://app.ntsb.gov/pdfgenerator/ReportGeneratorFile.ashx?EventID=20161021X20519&amp;AKey=1&amp;Rtype=Final&amp;IType=LA","PDF Report")</f>
        <v>PDF Report</v>
      </c>
    </row>
    <row r="1150" spans="1:22" x14ac:dyDescent="0.25">
      <c r="A1150" t="s">
        <v>4437</v>
      </c>
      <c r="B1150">
        <v>1</v>
      </c>
      <c r="C1150" s="5">
        <v>42661</v>
      </c>
      <c r="D1150" t="s">
        <v>4435</v>
      </c>
      <c r="E1150" t="s">
        <v>4438</v>
      </c>
      <c r="F1150" t="s">
        <v>2644</v>
      </c>
      <c r="G1150" t="s">
        <v>96</v>
      </c>
      <c r="H1150" t="s">
        <v>33</v>
      </c>
      <c r="K1150" t="s">
        <v>34</v>
      </c>
      <c r="L1150" t="s">
        <v>35</v>
      </c>
      <c r="M1150" t="s">
        <v>36</v>
      </c>
      <c r="Q1150" t="s">
        <v>37</v>
      </c>
      <c r="R1150" t="s">
        <v>38</v>
      </c>
      <c r="S1150" t="s">
        <v>131</v>
      </c>
      <c r="T1150" t="s">
        <v>73</v>
      </c>
      <c r="U1150" t="s">
        <v>41</v>
      </c>
      <c r="V1150" s="9" t="str">
        <f>HYPERLINK("https://app.ntsb.gov/pdfgenerator/ReportGeneratorFile.ashx?EventID=20161021X62322&amp;AKey=1&amp;Rtype=Final&amp;IType=LA","PDF Report")</f>
        <v>PDF Report</v>
      </c>
    </row>
    <row r="1151" spans="1:22" x14ac:dyDescent="0.25">
      <c r="A1151" t="s">
        <v>4439</v>
      </c>
      <c r="B1151">
        <v>1</v>
      </c>
      <c r="C1151" s="5">
        <v>42662</v>
      </c>
      <c r="D1151" t="s">
        <v>4440</v>
      </c>
      <c r="E1151" t="s">
        <v>4441</v>
      </c>
      <c r="F1151" t="s">
        <v>1144</v>
      </c>
      <c r="G1151" t="s">
        <v>450</v>
      </c>
      <c r="H1151" t="s">
        <v>33</v>
      </c>
      <c r="K1151" t="s">
        <v>34</v>
      </c>
      <c r="L1151" t="s">
        <v>35</v>
      </c>
      <c r="M1151" t="s">
        <v>36</v>
      </c>
      <c r="Q1151" t="s">
        <v>185</v>
      </c>
      <c r="R1151" t="s">
        <v>38</v>
      </c>
      <c r="S1151" t="s">
        <v>39</v>
      </c>
      <c r="T1151" t="s">
        <v>49</v>
      </c>
      <c r="U1151" t="s">
        <v>41</v>
      </c>
      <c r="V1151" s="9" t="str">
        <f>HYPERLINK("https://app.ntsb.gov/pdfgenerator/ReportGeneratorFile.ashx?EventID=20161019X35516&amp;AKey=1&amp;Rtype=Final&amp;IType=LA","PDF Report")</f>
        <v>PDF Report</v>
      </c>
    </row>
    <row r="1152" spans="1:22" x14ac:dyDescent="0.25">
      <c r="A1152" t="s">
        <v>4442</v>
      </c>
      <c r="B1152">
        <v>1</v>
      </c>
      <c r="C1152" s="5">
        <v>42662</v>
      </c>
      <c r="D1152" t="s">
        <v>4443</v>
      </c>
      <c r="E1152" t="s">
        <v>4444</v>
      </c>
      <c r="F1152" t="s">
        <v>4445</v>
      </c>
      <c r="G1152" t="s">
        <v>211</v>
      </c>
      <c r="H1152" t="s">
        <v>33</v>
      </c>
      <c r="J1152">
        <v>2</v>
      </c>
      <c r="K1152" t="s">
        <v>55</v>
      </c>
      <c r="L1152" t="s">
        <v>35</v>
      </c>
      <c r="M1152" t="s">
        <v>36</v>
      </c>
      <c r="Q1152" t="s">
        <v>37</v>
      </c>
      <c r="R1152" t="s">
        <v>38</v>
      </c>
      <c r="S1152" t="s">
        <v>97</v>
      </c>
      <c r="T1152" t="s">
        <v>61</v>
      </c>
      <c r="U1152" t="s">
        <v>41</v>
      </c>
      <c r="V1152" s="9" t="str">
        <f>HYPERLINK("https://app.ntsb.gov/pdfgenerator/ReportGeneratorFile.ashx?EventID=20161019X50142&amp;AKey=1&amp;Rtype=Final&amp;IType=LA","PDF Report")</f>
        <v>PDF Report</v>
      </c>
    </row>
    <row r="1153" spans="1:22" x14ac:dyDescent="0.25">
      <c r="A1153" t="s">
        <v>4446</v>
      </c>
      <c r="B1153">
        <v>1</v>
      </c>
      <c r="C1153" s="5">
        <v>42662</v>
      </c>
      <c r="D1153" t="s">
        <v>4447</v>
      </c>
      <c r="E1153" t="s">
        <v>4448</v>
      </c>
      <c r="F1153" t="s">
        <v>4449</v>
      </c>
      <c r="G1153" t="s">
        <v>115</v>
      </c>
      <c r="H1153" t="s">
        <v>33</v>
      </c>
      <c r="K1153" t="s">
        <v>47</v>
      </c>
      <c r="L1153" t="s">
        <v>35</v>
      </c>
      <c r="M1153" t="s">
        <v>36</v>
      </c>
      <c r="Q1153" t="s">
        <v>37</v>
      </c>
      <c r="R1153" t="s">
        <v>38</v>
      </c>
      <c r="S1153" t="s">
        <v>48</v>
      </c>
      <c r="T1153" t="s">
        <v>40</v>
      </c>
      <c r="U1153" t="s">
        <v>41</v>
      </c>
      <c r="V1153" s="9" t="str">
        <f>HYPERLINK("https://app.ntsb.gov/pdfgenerator/ReportGeneratorFile.ashx?EventID=20161019X52417&amp;AKey=1&amp;Rtype=Final&amp;IType=LA","PDF Report")</f>
        <v>PDF Report</v>
      </c>
    </row>
    <row r="1154" spans="1:22" x14ac:dyDescent="0.25">
      <c r="A1154" t="s">
        <v>4450</v>
      </c>
      <c r="B1154">
        <v>1</v>
      </c>
      <c r="C1154" s="5">
        <v>42662</v>
      </c>
      <c r="D1154" t="s">
        <v>4451</v>
      </c>
      <c r="E1154" t="s">
        <v>4452</v>
      </c>
      <c r="F1154" t="s">
        <v>4453</v>
      </c>
      <c r="G1154" t="s">
        <v>120</v>
      </c>
      <c r="H1154" t="s">
        <v>33</v>
      </c>
      <c r="K1154" t="s">
        <v>47</v>
      </c>
      <c r="L1154" t="s">
        <v>35</v>
      </c>
      <c r="M1154" t="s">
        <v>36</v>
      </c>
      <c r="Q1154" t="s">
        <v>37</v>
      </c>
      <c r="R1154" t="s">
        <v>2521</v>
      </c>
      <c r="S1154" t="s">
        <v>243</v>
      </c>
      <c r="T1154" t="s">
        <v>49</v>
      </c>
      <c r="U1154" t="s">
        <v>41</v>
      </c>
      <c r="V1154" s="9" t="str">
        <f>HYPERLINK("https://app.ntsb.gov/pdfgenerator/ReportGeneratorFile.ashx?EventID=20161020X81350&amp;AKey=1&amp;Rtype=Final&amp;IType=CA","PDF Report")</f>
        <v>PDF Report</v>
      </c>
    </row>
    <row r="1155" spans="1:22" x14ac:dyDescent="0.25">
      <c r="A1155" t="s">
        <v>4454</v>
      </c>
      <c r="B1155">
        <v>1</v>
      </c>
      <c r="C1155" s="5">
        <v>42662</v>
      </c>
      <c r="D1155" t="s">
        <v>4455</v>
      </c>
      <c r="E1155" t="s">
        <v>4456</v>
      </c>
      <c r="F1155" t="s">
        <v>156</v>
      </c>
      <c r="G1155" t="s">
        <v>66</v>
      </c>
      <c r="H1155" t="s">
        <v>33</v>
      </c>
      <c r="K1155" t="s">
        <v>47</v>
      </c>
      <c r="L1155" t="s">
        <v>35</v>
      </c>
      <c r="M1155" t="s">
        <v>36</v>
      </c>
      <c r="Q1155" t="s">
        <v>37</v>
      </c>
      <c r="R1155" t="s">
        <v>38</v>
      </c>
      <c r="S1155" t="s">
        <v>48</v>
      </c>
      <c r="T1155" t="s">
        <v>73</v>
      </c>
      <c r="U1155" t="s">
        <v>41</v>
      </c>
      <c r="V1155" s="9" t="str">
        <f>HYPERLINK("https://app.ntsb.gov/pdfgenerator/ReportGeneratorFile.ashx?EventID=20161024X95534&amp;AKey=1&amp;Rtype=Final&amp;IType=CA","PDF Report")</f>
        <v>PDF Report</v>
      </c>
    </row>
    <row r="1156" spans="1:22" x14ac:dyDescent="0.25">
      <c r="A1156" t="s">
        <v>4457</v>
      </c>
      <c r="B1156">
        <v>1</v>
      </c>
      <c r="C1156" s="5">
        <v>42663</v>
      </c>
      <c r="D1156" t="s">
        <v>4458</v>
      </c>
      <c r="E1156" t="s">
        <v>4459</v>
      </c>
      <c r="F1156" t="s">
        <v>1334</v>
      </c>
      <c r="G1156" t="s">
        <v>136</v>
      </c>
      <c r="H1156" t="s">
        <v>33</v>
      </c>
      <c r="K1156" t="s">
        <v>34</v>
      </c>
      <c r="L1156" t="s">
        <v>35</v>
      </c>
      <c r="M1156" t="s">
        <v>36</v>
      </c>
      <c r="Q1156" t="s">
        <v>37</v>
      </c>
      <c r="R1156" t="s">
        <v>38</v>
      </c>
      <c r="S1156" t="s">
        <v>97</v>
      </c>
      <c r="T1156" t="s">
        <v>61</v>
      </c>
      <c r="U1156" t="s">
        <v>41</v>
      </c>
      <c r="V1156" s="9" t="str">
        <f>HYPERLINK("https://app.ntsb.gov/pdfgenerator/ReportGeneratorFile.ashx?EventID=20161020X70606&amp;AKey=1&amp;Rtype=Final&amp;IType=CA","PDF Report")</f>
        <v>PDF Report</v>
      </c>
    </row>
    <row r="1157" spans="1:22" x14ac:dyDescent="0.25">
      <c r="A1157" t="s">
        <v>4460</v>
      </c>
      <c r="B1157">
        <v>1</v>
      </c>
      <c r="C1157" s="5">
        <v>42663</v>
      </c>
      <c r="D1157" t="s">
        <v>4461</v>
      </c>
      <c r="E1157" t="s">
        <v>4462</v>
      </c>
      <c r="F1157" t="s">
        <v>4463</v>
      </c>
      <c r="G1157" t="s">
        <v>538</v>
      </c>
      <c r="H1157" t="s">
        <v>33</v>
      </c>
      <c r="J1157">
        <v>1</v>
      </c>
      <c r="K1157" t="s">
        <v>55</v>
      </c>
      <c r="L1157" t="s">
        <v>35</v>
      </c>
      <c r="M1157" t="s">
        <v>36</v>
      </c>
      <c r="Q1157" t="s">
        <v>37</v>
      </c>
      <c r="R1157" t="s">
        <v>38</v>
      </c>
      <c r="S1157" t="s">
        <v>39</v>
      </c>
      <c r="T1157" t="s">
        <v>143</v>
      </c>
      <c r="U1157" t="s">
        <v>41</v>
      </c>
      <c r="V1157" s="9" t="str">
        <f>HYPERLINK("https://app.ntsb.gov/pdfgenerator/ReportGeneratorFile.ashx?EventID=20161020X84659&amp;AKey=1&amp;Rtype=Final&amp;IType=LA","PDF Report")</f>
        <v>PDF Report</v>
      </c>
    </row>
    <row r="1158" spans="1:22" x14ac:dyDescent="0.25">
      <c r="A1158" t="s">
        <v>4464</v>
      </c>
      <c r="B1158">
        <v>1</v>
      </c>
      <c r="C1158" s="5">
        <v>42663</v>
      </c>
      <c r="D1158" t="s">
        <v>4465</v>
      </c>
      <c r="E1158" t="s">
        <v>4466</v>
      </c>
      <c r="F1158" t="s">
        <v>4467</v>
      </c>
      <c r="G1158" t="s">
        <v>712</v>
      </c>
      <c r="H1158" t="s">
        <v>33</v>
      </c>
      <c r="K1158" t="s">
        <v>34</v>
      </c>
      <c r="L1158" t="s">
        <v>35</v>
      </c>
      <c r="M1158" t="s">
        <v>36</v>
      </c>
      <c r="Q1158" t="s">
        <v>37</v>
      </c>
      <c r="R1158" t="s">
        <v>38</v>
      </c>
      <c r="S1158" t="s">
        <v>60</v>
      </c>
      <c r="T1158" t="s">
        <v>61</v>
      </c>
      <c r="U1158" t="s">
        <v>41</v>
      </c>
      <c r="V1158" s="9" t="str">
        <f>HYPERLINK("https://app.ntsb.gov/pdfgenerator/ReportGeneratorFile.ashx?EventID=20161024X01230&amp;AKey=1&amp;Rtype=Final&amp;IType=CA","PDF Report")</f>
        <v>PDF Report</v>
      </c>
    </row>
    <row r="1159" spans="1:22" x14ac:dyDescent="0.25">
      <c r="A1159" t="s">
        <v>4468</v>
      </c>
      <c r="B1159">
        <v>1</v>
      </c>
      <c r="C1159" s="5">
        <v>42663</v>
      </c>
      <c r="D1159" t="s">
        <v>4469</v>
      </c>
      <c r="E1159" t="s">
        <v>4470</v>
      </c>
      <c r="F1159" t="s">
        <v>518</v>
      </c>
      <c r="G1159" t="s">
        <v>120</v>
      </c>
      <c r="H1159" t="s">
        <v>33</v>
      </c>
      <c r="K1159" t="s">
        <v>34</v>
      </c>
      <c r="L1159" t="s">
        <v>35</v>
      </c>
      <c r="M1159" t="s">
        <v>36</v>
      </c>
      <c r="Q1159" t="s">
        <v>547</v>
      </c>
      <c r="R1159" t="s">
        <v>130</v>
      </c>
      <c r="S1159" t="s">
        <v>131</v>
      </c>
      <c r="T1159" t="s">
        <v>164</v>
      </c>
      <c r="U1159" t="s">
        <v>41</v>
      </c>
      <c r="V1159" s="9" t="str">
        <f>HYPERLINK("https://app.ntsb.gov/pdfgenerator/ReportGeneratorFile.ashx?EventID=20161024X32755&amp;AKey=1&amp;Rtype=Final&amp;IType=CA","PDF Report")</f>
        <v>PDF Report</v>
      </c>
    </row>
    <row r="1160" spans="1:22" x14ac:dyDescent="0.25">
      <c r="A1160" t="s">
        <v>4471</v>
      </c>
      <c r="B1160">
        <v>1</v>
      </c>
      <c r="C1160" s="5">
        <v>42663</v>
      </c>
      <c r="D1160" t="s">
        <v>4472</v>
      </c>
      <c r="E1160" t="s">
        <v>4473</v>
      </c>
      <c r="F1160" t="s">
        <v>531</v>
      </c>
      <c r="G1160" t="s">
        <v>54</v>
      </c>
      <c r="H1160" t="s">
        <v>33</v>
      </c>
      <c r="K1160" t="s">
        <v>34</v>
      </c>
      <c r="L1160" t="s">
        <v>35</v>
      </c>
      <c r="M1160" t="s">
        <v>36</v>
      </c>
      <c r="Q1160" t="s">
        <v>37</v>
      </c>
      <c r="R1160" t="s">
        <v>137</v>
      </c>
      <c r="S1160" t="s">
        <v>131</v>
      </c>
      <c r="T1160" t="s">
        <v>73</v>
      </c>
      <c r="U1160" t="s">
        <v>41</v>
      </c>
      <c r="V1160" s="9" t="str">
        <f>HYPERLINK("https://app.ntsb.gov/pdfgenerator/ReportGeneratorFile.ashx?EventID=20161024X44236&amp;AKey=1&amp;Rtype=Final&amp;IType=CA","PDF Report")</f>
        <v>PDF Report</v>
      </c>
    </row>
    <row r="1161" spans="1:22" x14ac:dyDescent="0.25">
      <c r="A1161" t="s">
        <v>4474</v>
      </c>
      <c r="B1161">
        <v>1</v>
      </c>
      <c r="C1161" s="5">
        <v>42663</v>
      </c>
      <c r="D1161" t="s">
        <v>4475</v>
      </c>
      <c r="E1161" t="s">
        <v>4476</v>
      </c>
      <c r="F1161" t="s">
        <v>4477</v>
      </c>
      <c r="G1161" t="s">
        <v>120</v>
      </c>
      <c r="H1161" t="s">
        <v>33</v>
      </c>
      <c r="K1161" t="s">
        <v>47</v>
      </c>
      <c r="L1161" t="s">
        <v>35</v>
      </c>
      <c r="M1161" t="s">
        <v>36</v>
      </c>
      <c r="Q1161" t="s">
        <v>37</v>
      </c>
      <c r="R1161" t="s">
        <v>274</v>
      </c>
      <c r="S1161" t="s">
        <v>39</v>
      </c>
      <c r="T1161" t="s">
        <v>61</v>
      </c>
      <c r="U1161" t="s">
        <v>41</v>
      </c>
      <c r="V1161" s="9" t="str">
        <f>HYPERLINK("https://app.ntsb.gov/pdfgenerator/ReportGeneratorFile.ashx?EventID=20161025X10743&amp;AKey=1&amp;Rtype=Final&amp;IType=LA","PDF Report")</f>
        <v>PDF Report</v>
      </c>
    </row>
    <row r="1162" spans="1:22" x14ac:dyDescent="0.25">
      <c r="A1162" t="s">
        <v>4478</v>
      </c>
      <c r="B1162">
        <v>1</v>
      </c>
      <c r="C1162" s="5">
        <v>42664</v>
      </c>
      <c r="D1162" t="s">
        <v>4479</v>
      </c>
      <c r="E1162" t="s">
        <v>4480</v>
      </c>
      <c r="F1162" t="s">
        <v>4481</v>
      </c>
      <c r="G1162" t="s">
        <v>136</v>
      </c>
      <c r="H1162" t="s">
        <v>33</v>
      </c>
      <c r="I1162">
        <v>1</v>
      </c>
      <c r="K1162" t="s">
        <v>90</v>
      </c>
      <c r="L1162" t="s">
        <v>35</v>
      </c>
      <c r="M1162" t="s">
        <v>36</v>
      </c>
      <c r="Q1162" t="s">
        <v>37</v>
      </c>
      <c r="R1162" t="s">
        <v>38</v>
      </c>
      <c r="S1162" t="s">
        <v>433</v>
      </c>
      <c r="T1162" t="s">
        <v>40</v>
      </c>
      <c r="U1162" t="s">
        <v>41</v>
      </c>
      <c r="V1162" s="9" t="str">
        <f>HYPERLINK("https://app.ntsb.gov/pdfgenerator/ReportGeneratorFile.ashx?EventID=20161021X72937&amp;AKey=1&amp;Rtype=Final&amp;IType=FA","PDF Report")</f>
        <v>PDF Report</v>
      </c>
    </row>
    <row r="1163" spans="1:22" x14ac:dyDescent="0.25">
      <c r="A1163" t="s">
        <v>4478</v>
      </c>
      <c r="B1163">
        <v>2</v>
      </c>
      <c r="C1163" s="5">
        <v>42664</v>
      </c>
      <c r="D1163" t="s">
        <v>4479</v>
      </c>
      <c r="E1163" t="s">
        <v>4480</v>
      </c>
      <c r="F1163" t="s">
        <v>4481</v>
      </c>
      <c r="G1163" t="s">
        <v>136</v>
      </c>
      <c r="H1163" t="s">
        <v>33</v>
      </c>
      <c r="I1163">
        <v>1</v>
      </c>
      <c r="K1163" t="s">
        <v>90</v>
      </c>
      <c r="L1163" t="s">
        <v>47</v>
      </c>
      <c r="M1163" t="s">
        <v>36</v>
      </c>
      <c r="Q1163" t="s">
        <v>37</v>
      </c>
      <c r="R1163" t="s">
        <v>130</v>
      </c>
      <c r="S1163" t="s">
        <v>433</v>
      </c>
      <c r="T1163" t="s">
        <v>40</v>
      </c>
      <c r="U1163" t="s">
        <v>41</v>
      </c>
      <c r="V1163" s="9" t="str">
        <f>HYPERLINK("https://app.ntsb.gov/pdfgenerator/ReportGeneratorFile.ashx?EventID=20161021X72937&amp;AKey=2&amp;Rtype=Final&amp;IType=FA","PDF Report")</f>
        <v>PDF Report</v>
      </c>
    </row>
    <row r="1164" spans="1:22" x14ac:dyDescent="0.25">
      <c r="A1164" t="s">
        <v>4482</v>
      </c>
      <c r="B1164">
        <v>1</v>
      </c>
      <c r="C1164" s="5">
        <v>42664</v>
      </c>
      <c r="D1164" t="s">
        <v>4483</v>
      </c>
      <c r="E1164" t="s">
        <v>4484</v>
      </c>
      <c r="F1164" t="s">
        <v>2652</v>
      </c>
      <c r="G1164" t="s">
        <v>96</v>
      </c>
      <c r="H1164" t="s">
        <v>33</v>
      </c>
      <c r="K1164" t="s">
        <v>34</v>
      </c>
      <c r="L1164" t="s">
        <v>35</v>
      </c>
      <c r="M1164" t="s">
        <v>36</v>
      </c>
      <c r="Q1164" t="s">
        <v>37</v>
      </c>
      <c r="R1164" t="s">
        <v>38</v>
      </c>
      <c r="S1164" t="s">
        <v>131</v>
      </c>
      <c r="T1164" t="s">
        <v>73</v>
      </c>
      <c r="U1164" t="s">
        <v>41</v>
      </c>
      <c r="V1164" s="9" t="str">
        <f>HYPERLINK("https://app.ntsb.gov/pdfgenerator/ReportGeneratorFile.ashx?EventID=20161031X23024&amp;AKey=1&amp;Rtype=Final&amp;IType=CA","PDF Report")</f>
        <v>PDF Report</v>
      </c>
    </row>
    <row r="1165" spans="1:22" x14ac:dyDescent="0.25">
      <c r="A1165" t="s">
        <v>4485</v>
      </c>
      <c r="B1165">
        <v>1</v>
      </c>
      <c r="C1165" s="5">
        <v>42664</v>
      </c>
      <c r="D1165" t="s">
        <v>1702</v>
      </c>
      <c r="E1165" t="s">
        <v>1703</v>
      </c>
      <c r="F1165" t="s">
        <v>1448</v>
      </c>
      <c r="G1165" t="s">
        <v>287</v>
      </c>
      <c r="H1165" t="s">
        <v>33</v>
      </c>
      <c r="K1165" t="s">
        <v>34</v>
      </c>
      <c r="L1165" t="s">
        <v>35</v>
      </c>
      <c r="M1165" t="s">
        <v>36</v>
      </c>
      <c r="Q1165" t="s">
        <v>37</v>
      </c>
      <c r="R1165" t="s">
        <v>38</v>
      </c>
      <c r="S1165" t="s">
        <v>48</v>
      </c>
      <c r="T1165" t="s">
        <v>143</v>
      </c>
      <c r="U1165" t="s">
        <v>41</v>
      </c>
      <c r="V1165" s="9" t="str">
        <f>HYPERLINK("https://app.ntsb.gov/pdfgenerator/ReportGeneratorFile.ashx?EventID=20161101X12233&amp;AKey=1&amp;Rtype=Final&amp;IType=LA","PDF Report")</f>
        <v>PDF Report</v>
      </c>
    </row>
    <row r="1166" spans="1:22" x14ac:dyDescent="0.25">
      <c r="A1166" t="s">
        <v>4486</v>
      </c>
      <c r="B1166">
        <v>1</v>
      </c>
      <c r="C1166" s="5">
        <v>42665</v>
      </c>
      <c r="D1166" t="s">
        <v>4487</v>
      </c>
      <c r="E1166" t="s">
        <v>4488</v>
      </c>
      <c r="F1166" t="s">
        <v>4489</v>
      </c>
      <c r="G1166" t="s">
        <v>348</v>
      </c>
      <c r="H1166" t="s">
        <v>33</v>
      </c>
      <c r="I1166">
        <v>2</v>
      </c>
      <c r="K1166" t="s">
        <v>90</v>
      </c>
      <c r="L1166" t="s">
        <v>35</v>
      </c>
      <c r="M1166" t="s">
        <v>36</v>
      </c>
      <c r="Q1166" t="s">
        <v>37</v>
      </c>
      <c r="R1166" t="s">
        <v>38</v>
      </c>
      <c r="S1166" t="s">
        <v>48</v>
      </c>
      <c r="T1166" t="s">
        <v>143</v>
      </c>
      <c r="U1166" t="s">
        <v>41</v>
      </c>
      <c r="V1166" s="9" t="str">
        <f>HYPERLINK("https://app.ntsb.gov/pdfgenerator/ReportGeneratorFile.ashx?EventID=20161022X83618&amp;AKey=1&amp;Rtype=Final&amp;IType=FA","PDF Report")</f>
        <v>PDF Report</v>
      </c>
    </row>
    <row r="1167" spans="1:22" x14ac:dyDescent="0.25">
      <c r="A1167" t="s">
        <v>4490</v>
      </c>
      <c r="B1167">
        <v>1</v>
      </c>
      <c r="C1167" s="5">
        <v>42665</v>
      </c>
      <c r="D1167" t="s">
        <v>4491</v>
      </c>
      <c r="E1167" t="s">
        <v>4492</v>
      </c>
      <c r="F1167" t="s">
        <v>4493</v>
      </c>
      <c r="G1167" t="s">
        <v>66</v>
      </c>
      <c r="H1167" t="s">
        <v>33</v>
      </c>
      <c r="K1167" t="s">
        <v>34</v>
      </c>
      <c r="L1167" t="s">
        <v>35</v>
      </c>
      <c r="M1167" t="s">
        <v>36</v>
      </c>
      <c r="Q1167" t="s">
        <v>37</v>
      </c>
      <c r="R1167" t="s">
        <v>38</v>
      </c>
      <c r="S1167" t="s">
        <v>97</v>
      </c>
      <c r="T1167" t="s">
        <v>61</v>
      </c>
      <c r="U1167" t="s">
        <v>41</v>
      </c>
      <c r="V1167" s="9" t="str">
        <f>HYPERLINK("https://app.ntsb.gov/pdfgenerator/ReportGeneratorFile.ashx?EventID=20161023X42431&amp;AKey=1&amp;Rtype=Final&amp;IType=LA","PDF Report")</f>
        <v>PDF Report</v>
      </c>
    </row>
    <row r="1168" spans="1:22" x14ac:dyDescent="0.25">
      <c r="A1168" t="s">
        <v>4494</v>
      </c>
      <c r="B1168">
        <v>1</v>
      </c>
      <c r="C1168" s="5">
        <v>42665</v>
      </c>
      <c r="D1168" t="s">
        <v>4495</v>
      </c>
      <c r="E1168" t="s">
        <v>4496</v>
      </c>
      <c r="F1168" t="s">
        <v>2958</v>
      </c>
      <c r="G1168" t="s">
        <v>115</v>
      </c>
      <c r="H1168" t="s">
        <v>33</v>
      </c>
      <c r="K1168" t="s">
        <v>34</v>
      </c>
      <c r="L1168" t="s">
        <v>35</v>
      </c>
      <c r="M1168" t="s">
        <v>36</v>
      </c>
      <c r="Q1168" t="s">
        <v>37</v>
      </c>
      <c r="R1168" t="s">
        <v>38</v>
      </c>
      <c r="S1168" t="s">
        <v>131</v>
      </c>
      <c r="T1168" t="s">
        <v>73</v>
      </c>
      <c r="U1168" t="s">
        <v>41</v>
      </c>
      <c r="V1168" s="9" t="str">
        <f>HYPERLINK("https://app.ntsb.gov/pdfgenerator/ReportGeneratorFile.ashx?EventID=20161024X65605&amp;AKey=1&amp;Rtype=Final&amp;IType=CA","PDF Report")</f>
        <v>PDF Report</v>
      </c>
    </row>
    <row r="1169" spans="1:22" x14ac:dyDescent="0.25">
      <c r="A1169" t="s">
        <v>4497</v>
      </c>
      <c r="B1169">
        <v>1</v>
      </c>
      <c r="C1169" s="5">
        <v>42665</v>
      </c>
      <c r="D1169" t="s">
        <v>4498</v>
      </c>
      <c r="E1169" t="s">
        <v>4499</v>
      </c>
      <c r="F1169" t="s">
        <v>4500</v>
      </c>
      <c r="G1169" t="s">
        <v>102</v>
      </c>
      <c r="H1169" t="s">
        <v>33</v>
      </c>
      <c r="J1169">
        <v>1</v>
      </c>
      <c r="K1169" t="s">
        <v>55</v>
      </c>
      <c r="L1169" t="s">
        <v>47</v>
      </c>
      <c r="M1169" t="s">
        <v>36</v>
      </c>
      <c r="Q1169" t="s">
        <v>523</v>
      </c>
      <c r="R1169" t="s">
        <v>186</v>
      </c>
      <c r="S1169" t="s">
        <v>84</v>
      </c>
      <c r="T1169" t="s">
        <v>73</v>
      </c>
      <c r="U1169" t="s">
        <v>41</v>
      </c>
      <c r="V1169" s="9" t="str">
        <f>HYPERLINK("https://app.ntsb.gov/pdfgenerator/ReportGeneratorFile.ashx?EventID=20161027X95255&amp;AKey=1&amp;Rtype=Final&amp;IType=LA","PDF Report")</f>
        <v>PDF Report</v>
      </c>
    </row>
    <row r="1170" spans="1:22" x14ac:dyDescent="0.25">
      <c r="A1170" t="s">
        <v>4501</v>
      </c>
      <c r="B1170">
        <v>1</v>
      </c>
      <c r="C1170" s="5">
        <v>42665</v>
      </c>
      <c r="D1170" t="s">
        <v>4502</v>
      </c>
      <c r="E1170" t="s">
        <v>4503</v>
      </c>
      <c r="F1170" t="s">
        <v>4504</v>
      </c>
      <c r="G1170" t="s">
        <v>264</v>
      </c>
      <c r="H1170" t="s">
        <v>33</v>
      </c>
      <c r="K1170" t="s">
        <v>34</v>
      </c>
      <c r="L1170" t="s">
        <v>35</v>
      </c>
      <c r="M1170" t="s">
        <v>36</v>
      </c>
      <c r="Q1170" t="s">
        <v>37</v>
      </c>
      <c r="R1170" t="s">
        <v>38</v>
      </c>
      <c r="S1170" t="s">
        <v>163</v>
      </c>
      <c r="T1170" t="s">
        <v>73</v>
      </c>
      <c r="U1170" t="s">
        <v>41</v>
      </c>
      <c r="V1170" s="9" t="str">
        <f>HYPERLINK("https://app.ntsb.gov/pdfgenerator/ReportGeneratorFile.ashx?EventID=20161101X11028&amp;AKey=1&amp;Rtype=Final&amp;IType=CA","PDF Report")</f>
        <v>PDF Report</v>
      </c>
    </row>
    <row r="1171" spans="1:22" x14ac:dyDescent="0.25">
      <c r="A1171" t="s">
        <v>4501</v>
      </c>
      <c r="B1171">
        <v>2</v>
      </c>
      <c r="C1171" s="5">
        <v>42665</v>
      </c>
      <c r="D1171" t="s">
        <v>4502</v>
      </c>
      <c r="E1171" t="s">
        <v>4503</v>
      </c>
      <c r="F1171" t="s">
        <v>4504</v>
      </c>
      <c r="G1171" t="s">
        <v>264</v>
      </c>
      <c r="H1171" t="s">
        <v>33</v>
      </c>
      <c r="K1171" t="s">
        <v>34</v>
      </c>
      <c r="L1171" t="s">
        <v>35</v>
      </c>
      <c r="M1171" t="s">
        <v>36</v>
      </c>
      <c r="Q1171" t="s">
        <v>37</v>
      </c>
      <c r="R1171" t="s">
        <v>38</v>
      </c>
      <c r="S1171" t="s">
        <v>163</v>
      </c>
      <c r="T1171" t="s">
        <v>164</v>
      </c>
      <c r="U1171" t="s">
        <v>41</v>
      </c>
      <c r="V1171" s="9" t="str">
        <f>HYPERLINK("https://app.ntsb.gov/pdfgenerator/ReportGeneratorFile.ashx?EventID=20161101X11028&amp;AKey=2&amp;Rtype=Final&amp;IType=CA","PDF Report")</f>
        <v>PDF Report</v>
      </c>
    </row>
    <row r="1172" spans="1:22" x14ac:dyDescent="0.25">
      <c r="A1172" t="s">
        <v>4505</v>
      </c>
      <c r="B1172">
        <v>1</v>
      </c>
      <c r="C1172" s="5">
        <v>42666</v>
      </c>
      <c r="D1172" t="s">
        <v>4506</v>
      </c>
      <c r="E1172" t="s">
        <v>4507</v>
      </c>
      <c r="F1172" t="s">
        <v>4508</v>
      </c>
      <c r="G1172" t="s">
        <v>66</v>
      </c>
      <c r="H1172" t="s">
        <v>33</v>
      </c>
      <c r="K1172" t="s">
        <v>34</v>
      </c>
      <c r="L1172" t="s">
        <v>35</v>
      </c>
      <c r="M1172" t="s">
        <v>36</v>
      </c>
      <c r="Q1172" t="s">
        <v>37</v>
      </c>
      <c r="R1172" t="s">
        <v>38</v>
      </c>
      <c r="S1172" t="s">
        <v>48</v>
      </c>
      <c r="T1172" t="s">
        <v>73</v>
      </c>
      <c r="U1172" t="s">
        <v>41</v>
      </c>
      <c r="V1172" s="9" t="str">
        <f>HYPERLINK("https://app.ntsb.gov/pdfgenerator/ReportGeneratorFile.ashx?EventID=20161023X04439&amp;AKey=1&amp;Rtype=Final&amp;IType=CA","PDF Report")</f>
        <v>PDF Report</v>
      </c>
    </row>
    <row r="1173" spans="1:22" x14ac:dyDescent="0.25">
      <c r="A1173" t="s">
        <v>4509</v>
      </c>
      <c r="B1173">
        <v>1</v>
      </c>
      <c r="C1173" s="5">
        <v>42666</v>
      </c>
      <c r="D1173" t="s">
        <v>4510</v>
      </c>
      <c r="E1173" t="s">
        <v>4511</v>
      </c>
      <c r="F1173" t="s">
        <v>4512</v>
      </c>
      <c r="G1173" t="s">
        <v>109</v>
      </c>
      <c r="H1173" t="s">
        <v>33</v>
      </c>
      <c r="J1173">
        <v>1</v>
      </c>
      <c r="K1173" t="s">
        <v>55</v>
      </c>
      <c r="L1173" t="s">
        <v>35</v>
      </c>
      <c r="M1173" t="s">
        <v>36</v>
      </c>
      <c r="Q1173" t="s">
        <v>37</v>
      </c>
      <c r="R1173" t="s">
        <v>38</v>
      </c>
      <c r="S1173" t="s">
        <v>131</v>
      </c>
      <c r="T1173" t="s">
        <v>49</v>
      </c>
      <c r="U1173" t="s">
        <v>41</v>
      </c>
      <c r="V1173" s="9" t="str">
        <f>HYPERLINK("https://app.ntsb.gov/pdfgenerator/ReportGeneratorFile.ashx?EventID=20161024X11610&amp;AKey=1&amp;Rtype=Final&amp;IType=LA","PDF Report")</f>
        <v>PDF Report</v>
      </c>
    </row>
    <row r="1174" spans="1:22" x14ac:dyDescent="0.25">
      <c r="A1174" t="s">
        <v>4513</v>
      </c>
      <c r="B1174">
        <v>1</v>
      </c>
      <c r="C1174" s="5">
        <v>42666</v>
      </c>
      <c r="D1174" t="s">
        <v>4514</v>
      </c>
      <c r="E1174" t="s">
        <v>4515</v>
      </c>
      <c r="F1174" t="s">
        <v>4516</v>
      </c>
      <c r="G1174" t="s">
        <v>115</v>
      </c>
      <c r="H1174" t="s">
        <v>33</v>
      </c>
      <c r="K1174" t="s">
        <v>34</v>
      </c>
      <c r="L1174" t="s">
        <v>35</v>
      </c>
      <c r="M1174" t="s">
        <v>36</v>
      </c>
      <c r="Q1174" t="s">
        <v>37</v>
      </c>
      <c r="R1174" t="s">
        <v>957</v>
      </c>
      <c r="S1174" t="s">
        <v>48</v>
      </c>
      <c r="T1174" t="s">
        <v>73</v>
      </c>
      <c r="U1174" t="s">
        <v>41</v>
      </c>
      <c r="V1174" s="9" t="str">
        <f>HYPERLINK("https://app.ntsb.gov/pdfgenerator/ReportGeneratorFile.ashx?EventID=20161024X42222&amp;AKey=1&amp;Rtype=Final&amp;IType=CA","PDF Report")</f>
        <v>PDF Report</v>
      </c>
    </row>
    <row r="1175" spans="1:22" x14ac:dyDescent="0.25">
      <c r="A1175" t="s">
        <v>4517</v>
      </c>
      <c r="B1175">
        <v>1</v>
      </c>
      <c r="C1175" s="5">
        <v>42666</v>
      </c>
      <c r="D1175" t="s">
        <v>2164</v>
      </c>
      <c r="E1175" t="s">
        <v>2165</v>
      </c>
      <c r="F1175" t="s">
        <v>2166</v>
      </c>
      <c r="G1175" t="s">
        <v>666</v>
      </c>
      <c r="H1175" t="s">
        <v>33</v>
      </c>
      <c r="K1175" t="s">
        <v>34</v>
      </c>
      <c r="L1175" t="s">
        <v>35</v>
      </c>
      <c r="M1175" t="s">
        <v>36</v>
      </c>
      <c r="Q1175" t="s">
        <v>37</v>
      </c>
      <c r="R1175" t="s">
        <v>38</v>
      </c>
      <c r="S1175" t="s">
        <v>131</v>
      </c>
      <c r="T1175" t="s">
        <v>73</v>
      </c>
      <c r="U1175" t="s">
        <v>41</v>
      </c>
      <c r="V1175" s="9" t="str">
        <f>HYPERLINK("https://app.ntsb.gov/pdfgenerator/ReportGeneratorFile.ashx?EventID=20161024X71359&amp;AKey=1&amp;Rtype=Final&amp;IType=CA","PDF Report")</f>
        <v>PDF Report</v>
      </c>
    </row>
    <row r="1176" spans="1:22" x14ac:dyDescent="0.25">
      <c r="A1176" t="s">
        <v>4518</v>
      </c>
      <c r="B1176">
        <v>1</v>
      </c>
      <c r="C1176" s="5">
        <v>42666</v>
      </c>
      <c r="D1176" t="s">
        <v>4519</v>
      </c>
      <c r="E1176" t="s">
        <v>4520</v>
      </c>
      <c r="F1176" t="s">
        <v>4521</v>
      </c>
      <c r="G1176" t="s">
        <v>348</v>
      </c>
      <c r="H1176" t="s">
        <v>33</v>
      </c>
      <c r="K1176" t="s">
        <v>34</v>
      </c>
      <c r="L1176" t="s">
        <v>35</v>
      </c>
      <c r="M1176" t="s">
        <v>36</v>
      </c>
      <c r="Q1176" t="s">
        <v>37</v>
      </c>
      <c r="R1176" t="s">
        <v>274</v>
      </c>
      <c r="S1176" t="s">
        <v>131</v>
      </c>
      <c r="T1176" t="s">
        <v>73</v>
      </c>
      <c r="U1176" t="s">
        <v>41</v>
      </c>
      <c r="V1176" s="9" t="str">
        <f>HYPERLINK("https://app.ntsb.gov/pdfgenerator/ReportGeneratorFile.ashx?EventID=20161025X01520&amp;AKey=1&amp;Rtype=Final&amp;IType=CA","PDF Report")</f>
        <v>PDF Report</v>
      </c>
    </row>
    <row r="1177" spans="1:22" x14ac:dyDescent="0.25">
      <c r="A1177" t="s">
        <v>4522</v>
      </c>
      <c r="B1177">
        <v>1</v>
      </c>
      <c r="C1177" s="5">
        <v>42667</v>
      </c>
      <c r="D1177" t="s">
        <v>4523</v>
      </c>
      <c r="E1177" t="s">
        <v>4524</v>
      </c>
      <c r="F1177" t="s">
        <v>4525</v>
      </c>
      <c r="G1177" t="s">
        <v>66</v>
      </c>
      <c r="H1177" t="s">
        <v>33</v>
      </c>
      <c r="K1177" t="s">
        <v>34</v>
      </c>
      <c r="L1177" t="s">
        <v>35</v>
      </c>
      <c r="M1177" t="s">
        <v>36</v>
      </c>
      <c r="Q1177" t="s">
        <v>37</v>
      </c>
      <c r="R1177" t="s">
        <v>130</v>
      </c>
      <c r="S1177" t="s">
        <v>131</v>
      </c>
      <c r="T1177" t="s">
        <v>73</v>
      </c>
      <c r="U1177" t="s">
        <v>41</v>
      </c>
      <c r="V1177" s="9" t="str">
        <f>HYPERLINK("https://app.ntsb.gov/pdfgenerator/ReportGeneratorFile.ashx?EventID=20161027X85502&amp;AKey=1&amp;Rtype=Final&amp;IType=CA","PDF Report")</f>
        <v>PDF Report</v>
      </c>
    </row>
    <row r="1178" spans="1:22" x14ac:dyDescent="0.25">
      <c r="A1178" t="s">
        <v>4526</v>
      </c>
      <c r="B1178">
        <v>1</v>
      </c>
      <c r="C1178" s="5">
        <v>42668</v>
      </c>
      <c r="D1178" t="s">
        <v>4527</v>
      </c>
      <c r="E1178" t="s">
        <v>4528</v>
      </c>
      <c r="F1178" t="s">
        <v>4529</v>
      </c>
      <c r="G1178" t="s">
        <v>66</v>
      </c>
      <c r="H1178" t="s">
        <v>33</v>
      </c>
      <c r="I1178">
        <v>2</v>
      </c>
      <c r="K1178" t="s">
        <v>90</v>
      </c>
      <c r="L1178" t="s">
        <v>110</v>
      </c>
      <c r="M1178" t="s">
        <v>36</v>
      </c>
      <c r="Q1178" t="s">
        <v>37</v>
      </c>
      <c r="R1178" t="s">
        <v>38</v>
      </c>
      <c r="S1178" t="s">
        <v>243</v>
      </c>
      <c r="T1178" t="s">
        <v>61</v>
      </c>
      <c r="U1178" t="s">
        <v>41</v>
      </c>
      <c r="V1178" s="9" t="str">
        <f>HYPERLINK("https://app.ntsb.gov/pdfgenerator/ReportGeneratorFile.ashx?EventID=20161025X71815&amp;AKey=1&amp;Rtype=Final&amp;IType=FA","PDF Report")</f>
        <v>PDF Report</v>
      </c>
    </row>
    <row r="1179" spans="1:22" x14ac:dyDescent="0.25">
      <c r="A1179" t="s">
        <v>4530</v>
      </c>
      <c r="B1179">
        <v>1</v>
      </c>
      <c r="C1179" s="5">
        <v>42668</v>
      </c>
      <c r="D1179" t="s">
        <v>4531</v>
      </c>
      <c r="E1179" t="s">
        <v>4532</v>
      </c>
      <c r="F1179" t="s">
        <v>95</v>
      </c>
      <c r="G1179" t="s">
        <v>96</v>
      </c>
      <c r="H1179" t="s">
        <v>33</v>
      </c>
      <c r="K1179" t="s">
        <v>34</v>
      </c>
      <c r="L1179" t="s">
        <v>35</v>
      </c>
      <c r="M1179" t="s">
        <v>36</v>
      </c>
      <c r="Q1179" t="s">
        <v>37</v>
      </c>
      <c r="R1179" t="s">
        <v>38</v>
      </c>
      <c r="S1179" t="s">
        <v>48</v>
      </c>
      <c r="T1179" t="s">
        <v>49</v>
      </c>
      <c r="U1179" t="s">
        <v>41</v>
      </c>
      <c r="V1179" s="9" t="str">
        <f>HYPERLINK("https://app.ntsb.gov/pdfgenerator/ReportGeneratorFile.ashx?EventID=20161101X00309&amp;AKey=1&amp;Rtype=Final&amp;IType=LA","PDF Report")</f>
        <v>PDF Report</v>
      </c>
    </row>
    <row r="1180" spans="1:22" x14ac:dyDescent="0.25">
      <c r="A1180" t="s">
        <v>4533</v>
      </c>
      <c r="B1180">
        <v>1</v>
      </c>
      <c r="C1180" s="5">
        <v>42668</v>
      </c>
      <c r="D1180" t="s">
        <v>4534</v>
      </c>
      <c r="E1180" t="s">
        <v>4535</v>
      </c>
      <c r="F1180" t="s">
        <v>4536</v>
      </c>
      <c r="G1180" t="s">
        <v>120</v>
      </c>
      <c r="H1180" t="s">
        <v>33</v>
      </c>
      <c r="K1180" t="s">
        <v>34</v>
      </c>
      <c r="L1180" t="s">
        <v>35</v>
      </c>
      <c r="M1180" t="s">
        <v>36</v>
      </c>
      <c r="Q1180" t="s">
        <v>37</v>
      </c>
      <c r="R1180" t="s">
        <v>38</v>
      </c>
      <c r="S1180" t="s">
        <v>131</v>
      </c>
      <c r="T1180" t="s">
        <v>73</v>
      </c>
      <c r="U1180" t="s">
        <v>41</v>
      </c>
      <c r="V1180" s="9" t="str">
        <f>HYPERLINK("https://app.ntsb.gov/pdfgenerator/ReportGeneratorFile.ashx?EventID=20161102X75459&amp;AKey=1&amp;Rtype=Final&amp;IType=CA","PDF Report")</f>
        <v>PDF Report</v>
      </c>
    </row>
    <row r="1181" spans="1:22" x14ac:dyDescent="0.25">
      <c r="A1181" t="s">
        <v>4537</v>
      </c>
      <c r="B1181">
        <v>1</v>
      </c>
      <c r="C1181" s="5">
        <v>42668</v>
      </c>
      <c r="D1181" t="s">
        <v>4538</v>
      </c>
      <c r="E1181" t="s">
        <v>4539</v>
      </c>
      <c r="F1181" t="s">
        <v>2400</v>
      </c>
      <c r="G1181" t="s">
        <v>468</v>
      </c>
      <c r="H1181" t="s">
        <v>33</v>
      </c>
      <c r="K1181" t="s">
        <v>34</v>
      </c>
      <c r="L1181" t="s">
        <v>35</v>
      </c>
      <c r="M1181" t="s">
        <v>56</v>
      </c>
      <c r="N1181" t="s">
        <v>57</v>
      </c>
      <c r="O1181" t="s">
        <v>58</v>
      </c>
      <c r="P1181" t="s">
        <v>162</v>
      </c>
      <c r="Q1181" t="s">
        <v>37</v>
      </c>
      <c r="S1181" t="s">
        <v>84</v>
      </c>
      <c r="T1181" t="s">
        <v>73</v>
      </c>
      <c r="U1181" t="s">
        <v>41</v>
      </c>
      <c r="V1181" s="9" t="str">
        <f>HYPERLINK("https://app.ntsb.gov/pdfgenerator/ReportGeneratorFile.ashx?EventID=20161122X01429&amp;AKey=1&amp;Rtype=Final&amp;IType=CA","PDF Report")</f>
        <v>PDF Report</v>
      </c>
    </row>
    <row r="1182" spans="1:22" x14ac:dyDescent="0.25">
      <c r="A1182" t="s">
        <v>4540</v>
      </c>
      <c r="B1182">
        <v>1</v>
      </c>
      <c r="C1182" s="5">
        <v>42668</v>
      </c>
      <c r="D1182" t="s">
        <v>4541</v>
      </c>
      <c r="E1182" t="s">
        <v>4542</v>
      </c>
      <c r="F1182" t="s">
        <v>4543</v>
      </c>
      <c r="G1182" t="s">
        <v>161</v>
      </c>
      <c r="H1182" t="s">
        <v>33</v>
      </c>
      <c r="K1182" t="s">
        <v>34</v>
      </c>
      <c r="L1182" t="s">
        <v>35</v>
      </c>
      <c r="M1182" t="s">
        <v>36</v>
      </c>
      <c r="Q1182" t="s">
        <v>185</v>
      </c>
      <c r="R1182" t="s">
        <v>130</v>
      </c>
      <c r="S1182" t="s">
        <v>84</v>
      </c>
      <c r="T1182" t="s">
        <v>958</v>
      </c>
      <c r="U1182" t="s">
        <v>41</v>
      </c>
      <c r="V1182" s="9" t="str">
        <f>HYPERLINK("https://app.ntsb.gov/pdfgenerator/ReportGeneratorFile.ashx?EventID=20161125X10532&amp;AKey=1&amp;Rtype=Final&amp;IType=CA","PDF Report")</f>
        <v>PDF Report</v>
      </c>
    </row>
    <row r="1183" spans="1:22" x14ac:dyDescent="0.25">
      <c r="A1183" t="s">
        <v>4544</v>
      </c>
      <c r="B1183">
        <v>1</v>
      </c>
      <c r="C1183" s="5">
        <v>42669</v>
      </c>
      <c r="D1183" t="s">
        <v>4545</v>
      </c>
      <c r="E1183" t="s">
        <v>4546</v>
      </c>
      <c r="F1183" t="s">
        <v>776</v>
      </c>
      <c r="G1183" t="s">
        <v>96</v>
      </c>
      <c r="H1183" t="s">
        <v>33</v>
      </c>
      <c r="I1183">
        <v>1</v>
      </c>
      <c r="K1183" t="s">
        <v>90</v>
      </c>
      <c r="L1183" t="s">
        <v>35</v>
      </c>
      <c r="M1183" t="s">
        <v>36</v>
      </c>
      <c r="Q1183" t="s">
        <v>37</v>
      </c>
      <c r="R1183" t="s">
        <v>38</v>
      </c>
      <c r="S1183" t="s">
        <v>48</v>
      </c>
      <c r="T1183" t="s">
        <v>49</v>
      </c>
      <c r="U1183" t="s">
        <v>41</v>
      </c>
      <c r="V1183" s="9" t="str">
        <f>HYPERLINK("https://app.ntsb.gov/pdfgenerator/ReportGeneratorFile.ashx?EventID=20161026X95948&amp;AKey=1&amp;Rtype=Final&amp;IType=FA","PDF Report")</f>
        <v>PDF Report</v>
      </c>
    </row>
    <row r="1184" spans="1:22" x14ac:dyDescent="0.25">
      <c r="A1184" t="s">
        <v>4547</v>
      </c>
      <c r="B1184">
        <v>1</v>
      </c>
      <c r="C1184" s="5">
        <v>42669</v>
      </c>
      <c r="D1184" t="s">
        <v>4548</v>
      </c>
      <c r="E1184" t="s">
        <v>4549</v>
      </c>
      <c r="F1184" t="s">
        <v>1411</v>
      </c>
      <c r="G1184" t="s">
        <v>66</v>
      </c>
      <c r="H1184" t="s">
        <v>33</v>
      </c>
      <c r="K1184" t="s">
        <v>34</v>
      </c>
      <c r="L1184" t="s">
        <v>35</v>
      </c>
      <c r="M1184" t="s">
        <v>36</v>
      </c>
      <c r="Q1184" t="s">
        <v>37</v>
      </c>
      <c r="R1184" t="s">
        <v>38</v>
      </c>
      <c r="S1184" t="s">
        <v>84</v>
      </c>
      <c r="T1184" t="s">
        <v>73</v>
      </c>
      <c r="U1184" t="s">
        <v>41</v>
      </c>
      <c r="V1184" s="9" t="str">
        <f>HYPERLINK("https://app.ntsb.gov/pdfgenerator/ReportGeneratorFile.ashx?EventID=20161027X33846&amp;AKey=1&amp;Rtype=Final&amp;IType=CA","PDF Report")</f>
        <v>PDF Report</v>
      </c>
    </row>
    <row r="1185" spans="1:22" x14ac:dyDescent="0.25">
      <c r="A1185" t="s">
        <v>4550</v>
      </c>
      <c r="B1185">
        <v>1</v>
      </c>
      <c r="C1185" s="5">
        <v>42670</v>
      </c>
      <c r="D1185" t="s">
        <v>4551</v>
      </c>
      <c r="E1185" t="s">
        <v>4552</v>
      </c>
      <c r="F1185" t="s">
        <v>4553</v>
      </c>
      <c r="G1185" t="s">
        <v>96</v>
      </c>
      <c r="H1185" t="s">
        <v>33</v>
      </c>
      <c r="J1185">
        <v>1</v>
      </c>
      <c r="K1185" t="s">
        <v>55</v>
      </c>
      <c r="L1185" t="s">
        <v>35</v>
      </c>
      <c r="M1185" t="s">
        <v>767</v>
      </c>
      <c r="Q1185" t="s">
        <v>37</v>
      </c>
      <c r="R1185" t="s">
        <v>768</v>
      </c>
      <c r="S1185" t="s">
        <v>191</v>
      </c>
      <c r="T1185" t="s">
        <v>40</v>
      </c>
      <c r="U1185" t="s">
        <v>41</v>
      </c>
      <c r="V1185" s="9" t="str">
        <f>HYPERLINK("https://app.ntsb.gov/pdfgenerator/ReportGeneratorFile.ashx?EventID=20161027X43340&amp;AKey=1&amp;Rtype=Final&amp;IType=LA","PDF Report")</f>
        <v>PDF Report</v>
      </c>
    </row>
    <row r="1186" spans="1:22" x14ac:dyDescent="0.25">
      <c r="A1186" t="s">
        <v>4554</v>
      </c>
      <c r="B1186">
        <v>1</v>
      </c>
      <c r="C1186" s="5">
        <v>42670</v>
      </c>
      <c r="D1186" t="s">
        <v>4555</v>
      </c>
      <c r="E1186" t="s">
        <v>4556</v>
      </c>
      <c r="F1186" t="s">
        <v>4557</v>
      </c>
      <c r="G1186" t="s">
        <v>348</v>
      </c>
      <c r="H1186" t="s">
        <v>33</v>
      </c>
      <c r="K1186" t="s">
        <v>34</v>
      </c>
      <c r="L1186" t="s">
        <v>35</v>
      </c>
      <c r="M1186" t="s">
        <v>36</v>
      </c>
      <c r="Q1186" t="s">
        <v>37</v>
      </c>
      <c r="R1186" t="s">
        <v>38</v>
      </c>
      <c r="S1186" t="s">
        <v>39</v>
      </c>
      <c r="T1186" t="s">
        <v>49</v>
      </c>
      <c r="U1186" t="s">
        <v>41</v>
      </c>
      <c r="V1186" s="9" t="str">
        <f>HYPERLINK("https://app.ntsb.gov/pdfgenerator/ReportGeneratorFile.ashx?EventID=20161031X82443&amp;AKey=1&amp;Rtype=Final&amp;IType=LA","PDF Report")</f>
        <v>PDF Report</v>
      </c>
    </row>
    <row r="1187" spans="1:22" x14ac:dyDescent="0.25">
      <c r="A1187" t="s">
        <v>4558</v>
      </c>
      <c r="B1187">
        <v>1</v>
      </c>
      <c r="C1187" s="5">
        <v>42670</v>
      </c>
      <c r="D1187" t="s">
        <v>4559</v>
      </c>
      <c r="E1187" t="s">
        <v>4560</v>
      </c>
      <c r="F1187" t="s">
        <v>4561</v>
      </c>
      <c r="G1187" t="s">
        <v>597</v>
      </c>
      <c r="H1187" t="s">
        <v>3616</v>
      </c>
      <c r="I1187">
        <v>1</v>
      </c>
      <c r="K1187" t="s">
        <v>90</v>
      </c>
      <c r="L1187" t="s">
        <v>35</v>
      </c>
      <c r="M1187" t="s">
        <v>599</v>
      </c>
      <c r="Q1187" t="s">
        <v>37</v>
      </c>
      <c r="S1187" t="s">
        <v>48</v>
      </c>
      <c r="T1187" t="s">
        <v>79</v>
      </c>
      <c r="U1187" t="s">
        <v>41</v>
      </c>
      <c r="V1187" s="9" t="str">
        <f>HYPERLINK("https://app.ntsb.gov/pdfgenerator/ReportGeneratorFile.ashx?EventID=20170126X60748&amp;AKey=1&amp;Rtype=Final&amp;IType=WA","PDF Report")</f>
        <v>PDF Report</v>
      </c>
    </row>
    <row r="1188" spans="1:22" x14ac:dyDescent="0.25">
      <c r="A1188" t="s">
        <v>4562</v>
      </c>
      <c r="B1188">
        <v>1</v>
      </c>
      <c r="C1188" s="5">
        <v>42671</v>
      </c>
      <c r="D1188" t="s">
        <v>4563</v>
      </c>
      <c r="E1188" t="s">
        <v>4564</v>
      </c>
      <c r="F1188" t="s">
        <v>4565</v>
      </c>
      <c r="G1188" t="s">
        <v>401</v>
      </c>
      <c r="H1188" t="s">
        <v>33</v>
      </c>
      <c r="J1188">
        <v>1</v>
      </c>
      <c r="K1188" t="s">
        <v>55</v>
      </c>
      <c r="L1188" t="s">
        <v>35</v>
      </c>
      <c r="M1188" t="s">
        <v>103</v>
      </c>
      <c r="N1188" t="s">
        <v>57</v>
      </c>
      <c r="O1188" t="s">
        <v>58</v>
      </c>
      <c r="P1188" t="s">
        <v>59</v>
      </c>
      <c r="Q1188" t="s">
        <v>37</v>
      </c>
      <c r="S1188" t="s">
        <v>39</v>
      </c>
      <c r="T1188" t="s">
        <v>49</v>
      </c>
      <c r="U1188" t="s">
        <v>41</v>
      </c>
      <c r="V1188" s="9" t="str">
        <f>HYPERLINK("https://app.ntsb.gov/pdfgenerator/ReportGeneratorFile.ashx?EventID=20161028X72837&amp;AKey=1&amp;Rtype=Final&amp;IType=FA","PDF Report")</f>
        <v>PDF Report</v>
      </c>
    </row>
    <row r="1189" spans="1:22" x14ac:dyDescent="0.25">
      <c r="A1189" t="s">
        <v>4566</v>
      </c>
      <c r="B1189">
        <v>1</v>
      </c>
      <c r="C1189" s="5">
        <v>42671</v>
      </c>
      <c r="D1189" t="s">
        <v>4567</v>
      </c>
      <c r="E1189" t="s">
        <v>4568</v>
      </c>
      <c r="F1189" t="s">
        <v>3439</v>
      </c>
      <c r="G1189" t="s">
        <v>115</v>
      </c>
      <c r="H1189" t="s">
        <v>33</v>
      </c>
      <c r="K1189" t="s">
        <v>34</v>
      </c>
      <c r="L1189" t="s">
        <v>35</v>
      </c>
      <c r="M1189" t="s">
        <v>103</v>
      </c>
      <c r="N1189" t="s">
        <v>510</v>
      </c>
      <c r="O1189" t="s">
        <v>58</v>
      </c>
      <c r="P1189" t="s">
        <v>162</v>
      </c>
      <c r="Q1189" t="s">
        <v>37</v>
      </c>
      <c r="S1189" t="s">
        <v>84</v>
      </c>
      <c r="T1189" t="s">
        <v>73</v>
      </c>
      <c r="U1189" t="s">
        <v>41</v>
      </c>
      <c r="V1189" s="9" t="str">
        <f>HYPERLINK("https://app.ntsb.gov/pdfgenerator/ReportGeneratorFile.ashx?EventID=20161028X93712&amp;AKey=1&amp;Rtype=Final&amp;IType=MA","PDF Report")</f>
        <v>PDF Report</v>
      </c>
    </row>
    <row r="1190" spans="1:22" x14ac:dyDescent="0.25">
      <c r="A1190" t="s">
        <v>4569</v>
      </c>
      <c r="B1190">
        <v>1</v>
      </c>
      <c r="C1190" s="5">
        <v>42671</v>
      </c>
      <c r="D1190" t="s">
        <v>4570</v>
      </c>
      <c r="E1190" t="s">
        <v>4571</v>
      </c>
      <c r="F1190" t="s">
        <v>990</v>
      </c>
      <c r="G1190" t="s">
        <v>96</v>
      </c>
      <c r="H1190" t="s">
        <v>33</v>
      </c>
      <c r="I1190">
        <v>1</v>
      </c>
      <c r="K1190" t="s">
        <v>90</v>
      </c>
      <c r="L1190" t="s">
        <v>110</v>
      </c>
      <c r="M1190" t="s">
        <v>36</v>
      </c>
      <c r="Q1190" t="s">
        <v>37</v>
      </c>
      <c r="R1190" t="s">
        <v>38</v>
      </c>
      <c r="S1190" t="s">
        <v>48</v>
      </c>
      <c r="T1190" t="s">
        <v>79</v>
      </c>
      <c r="U1190" t="s">
        <v>41</v>
      </c>
      <c r="V1190" s="9" t="str">
        <f>HYPERLINK("https://app.ntsb.gov/pdfgenerator/ReportGeneratorFile.ashx?EventID=20161029X32021&amp;AKey=1&amp;Rtype=Final&amp;IType=FA","PDF Report")</f>
        <v>PDF Report</v>
      </c>
    </row>
    <row r="1191" spans="1:22" x14ac:dyDescent="0.25">
      <c r="A1191" t="s">
        <v>4572</v>
      </c>
      <c r="B1191">
        <v>1</v>
      </c>
      <c r="C1191" s="5">
        <v>42671</v>
      </c>
      <c r="D1191" t="s">
        <v>4573</v>
      </c>
      <c r="E1191" t="s">
        <v>4574</v>
      </c>
      <c r="F1191" t="s">
        <v>1388</v>
      </c>
      <c r="G1191" t="s">
        <v>54</v>
      </c>
      <c r="H1191" t="s">
        <v>33</v>
      </c>
      <c r="I1191">
        <v>1</v>
      </c>
      <c r="K1191" t="s">
        <v>90</v>
      </c>
      <c r="L1191" t="s">
        <v>35</v>
      </c>
      <c r="M1191" t="s">
        <v>36</v>
      </c>
      <c r="Q1191" t="s">
        <v>37</v>
      </c>
      <c r="R1191" t="s">
        <v>38</v>
      </c>
      <c r="S1191" t="s">
        <v>243</v>
      </c>
      <c r="T1191" t="s">
        <v>61</v>
      </c>
      <c r="U1191" t="s">
        <v>41</v>
      </c>
      <c r="V1191" s="9" t="str">
        <f>HYPERLINK("https://app.ntsb.gov/pdfgenerator/ReportGeneratorFile.ashx?EventID=20161031X30541&amp;AKey=1&amp;Rtype=Final&amp;IType=FA","PDF Report")</f>
        <v>PDF Report</v>
      </c>
    </row>
    <row r="1192" spans="1:22" x14ac:dyDescent="0.25">
      <c r="A1192" t="s">
        <v>4575</v>
      </c>
      <c r="B1192">
        <v>1</v>
      </c>
      <c r="C1192" s="5">
        <v>42671</v>
      </c>
      <c r="D1192" t="s">
        <v>4576</v>
      </c>
      <c r="E1192" t="s">
        <v>4577</v>
      </c>
      <c r="F1192" t="s">
        <v>4578</v>
      </c>
      <c r="G1192" t="s">
        <v>32</v>
      </c>
      <c r="H1192" t="s">
        <v>33</v>
      </c>
      <c r="K1192" t="s">
        <v>34</v>
      </c>
      <c r="L1192" t="s">
        <v>35</v>
      </c>
      <c r="M1192" t="s">
        <v>767</v>
      </c>
      <c r="Q1192" t="s">
        <v>185</v>
      </c>
      <c r="R1192" t="s">
        <v>768</v>
      </c>
      <c r="S1192" t="s">
        <v>39</v>
      </c>
      <c r="T1192" t="s">
        <v>40</v>
      </c>
      <c r="U1192" t="s">
        <v>41</v>
      </c>
      <c r="V1192" s="9" t="str">
        <f>HYPERLINK("https://app.ntsb.gov/pdfgenerator/ReportGeneratorFile.ashx?EventID=20161031X33238&amp;AKey=1&amp;Rtype=Final&amp;IType=LA","PDF Report")</f>
        <v>PDF Report</v>
      </c>
    </row>
    <row r="1193" spans="1:22" x14ac:dyDescent="0.25">
      <c r="A1193" t="s">
        <v>4579</v>
      </c>
      <c r="B1193">
        <v>1</v>
      </c>
      <c r="C1193" s="5">
        <v>42671</v>
      </c>
      <c r="D1193" t="s">
        <v>4580</v>
      </c>
      <c r="E1193" t="s">
        <v>4581</v>
      </c>
      <c r="F1193" t="s">
        <v>4582</v>
      </c>
      <c r="G1193" t="s">
        <v>666</v>
      </c>
      <c r="H1193" t="s">
        <v>33</v>
      </c>
      <c r="K1193" t="s">
        <v>34</v>
      </c>
      <c r="L1193" t="s">
        <v>35</v>
      </c>
      <c r="M1193" t="s">
        <v>36</v>
      </c>
      <c r="Q1193" t="s">
        <v>37</v>
      </c>
      <c r="R1193" t="s">
        <v>38</v>
      </c>
      <c r="S1193" t="s">
        <v>39</v>
      </c>
      <c r="T1193" t="s">
        <v>61</v>
      </c>
      <c r="U1193" t="s">
        <v>41</v>
      </c>
      <c r="V1193" s="9" t="str">
        <f>HYPERLINK("https://app.ntsb.gov/pdfgenerator/ReportGeneratorFile.ashx?EventID=20161031X53717&amp;AKey=1&amp;Rtype=Final&amp;IType=LA","PDF Report")</f>
        <v>PDF Report</v>
      </c>
    </row>
    <row r="1194" spans="1:22" x14ac:dyDescent="0.25">
      <c r="A1194" t="s">
        <v>4583</v>
      </c>
      <c r="B1194">
        <v>1</v>
      </c>
      <c r="C1194" s="5">
        <v>42671</v>
      </c>
      <c r="D1194" t="s">
        <v>4584</v>
      </c>
      <c r="E1194" t="s">
        <v>4585</v>
      </c>
      <c r="F1194" t="s">
        <v>4586</v>
      </c>
      <c r="G1194" t="s">
        <v>96</v>
      </c>
      <c r="H1194" t="s">
        <v>33</v>
      </c>
      <c r="K1194" t="s">
        <v>34</v>
      </c>
      <c r="L1194" t="s">
        <v>35</v>
      </c>
      <c r="M1194" t="s">
        <v>36</v>
      </c>
      <c r="Q1194" t="s">
        <v>185</v>
      </c>
      <c r="R1194" t="s">
        <v>170</v>
      </c>
      <c r="S1194" t="s">
        <v>39</v>
      </c>
      <c r="T1194" t="s">
        <v>40</v>
      </c>
      <c r="U1194" t="s">
        <v>41</v>
      </c>
      <c r="V1194" s="9" t="str">
        <f>HYPERLINK("https://app.ntsb.gov/pdfgenerator/ReportGeneratorFile.ashx?EventID=20170206X01446&amp;AKey=1&amp;Rtype=Final&amp;IType=LA","PDF Report")</f>
        <v>PDF Report</v>
      </c>
    </row>
    <row r="1195" spans="1:22" x14ac:dyDescent="0.25">
      <c r="A1195" t="s">
        <v>4587</v>
      </c>
      <c r="B1195">
        <v>1</v>
      </c>
      <c r="C1195" s="5">
        <v>42672</v>
      </c>
      <c r="D1195" t="s">
        <v>4588</v>
      </c>
      <c r="E1195" t="s">
        <v>4589</v>
      </c>
      <c r="F1195" t="s">
        <v>1082</v>
      </c>
      <c r="G1195" t="s">
        <v>54</v>
      </c>
      <c r="H1195" t="s">
        <v>33</v>
      </c>
      <c r="I1195">
        <v>1</v>
      </c>
      <c r="K1195" t="s">
        <v>90</v>
      </c>
      <c r="L1195" t="s">
        <v>35</v>
      </c>
      <c r="M1195" t="s">
        <v>36</v>
      </c>
      <c r="Q1195" t="s">
        <v>37</v>
      </c>
      <c r="R1195" t="s">
        <v>38</v>
      </c>
      <c r="S1195" t="s">
        <v>48</v>
      </c>
      <c r="T1195" t="s">
        <v>40</v>
      </c>
      <c r="U1195" t="s">
        <v>41</v>
      </c>
      <c r="V1195" s="9" t="str">
        <f>HYPERLINK("https://app.ntsb.gov/pdfgenerator/ReportGeneratorFile.ashx?EventID=20161030X10526&amp;AKey=1&amp;Rtype=Final&amp;IType=FA","PDF Report")</f>
        <v>PDF Report</v>
      </c>
    </row>
    <row r="1196" spans="1:22" x14ac:dyDescent="0.25">
      <c r="A1196" t="s">
        <v>4590</v>
      </c>
      <c r="B1196">
        <v>1</v>
      </c>
      <c r="C1196" s="5">
        <v>42672</v>
      </c>
      <c r="D1196" t="s">
        <v>4591</v>
      </c>
      <c r="E1196" t="s">
        <v>4592</v>
      </c>
      <c r="F1196" t="s">
        <v>4593</v>
      </c>
      <c r="G1196" t="s">
        <v>102</v>
      </c>
      <c r="H1196" t="s">
        <v>33</v>
      </c>
      <c r="K1196" t="s">
        <v>47</v>
      </c>
      <c r="L1196" t="s">
        <v>35</v>
      </c>
      <c r="M1196" t="s">
        <v>36</v>
      </c>
      <c r="Q1196" t="s">
        <v>37</v>
      </c>
      <c r="R1196" t="s">
        <v>38</v>
      </c>
      <c r="S1196" t="s">
        <v>48</v>
      </c>
      <c r="T1196" t="s">
        <v>40</v>
      </c>
      <c r="U1196" t="s">
        <v>41</v>
      </c>
      <c r="V1196" s="9" t="str">
        <f>HYPERLINK("https://app.ntsb.gov/pdfgenerator/ReportGeneratorFile.ashx?EventID=20161030X80201&amp;AKey=1&amp;Rtype=Final&amp;IType=LA","PDF Report")</f>
        <v>PDF Report</v>
      </c>
    </row>
    <row r="1197" spans="1:22" x14ac:dyDescent="0.25">
      <c r="A1197" t="s">
        <v>4594</v>
      </c>
      <c r="B1197">
        <v>1</v>
      </c>
      <c r="C1197" s="5">
        <v>42672</v>
      </c>
      <c r="D1197" t="s">
        <v>4595</v>
      </c>
      <c r="E1197" t="s">
        <v>4596</v>
      </c>
      <c r="F1197" t="s">
        <v>423</v>
      </c>
      <c r="G1197" t="s">
        <v>96</v>
      </c>
      <c r="H1197" t="s">
        <v>33</v>
      </c>
      <c r="K1197" t="s">
        <v>34</v>
      </c>
      <c r="L1197" t="s">
        <v>35</v>
      </c>
      <c r="M1197" t="s">
        <v>36</v>
      </c>
      <c r="Q1197" t="s">
        <v>37</v>
      </c>
      <c r="R1197" t="s">
        <v>1628</v>
      </c>
      <c r="S1197" t="s">
        <v>196</v>
      </c>
      <c r="T1197" t="s">
        <v>40</v>
      </c>
      <c r="U1197" t="s">
        <v>41</v>
      </c>
      <c r="V1197" s="9" t="str">
        <f>HYPERLINK("https://app.ntsb.gov/pdfgenerator/ReportGeneratorFile.ashx?EventID=20161101X52651&amp;AKey=1&amp;Rtype=Final&amp;IType=LA","PDF Report")</f>
        <v>PDF Report</v>
      </c>
    </row>
    <row r="1198" spans="1:22" x14ac:dyDescent="0.25">
      <c r="A1198" t="s">
        <v>4597</v>
      </c>
      <c r="B1198">
        <v>1</v>
      </c>
      <c r="C1198" s="5">
        <v>42672</v>
      </c>
      <c r="D1198" t="s">
        <v>4598</v>
      </c>
      <c r="E1198" t="s">
        <v>4484</v>
      </c>
      <c r="F1198" t="s">
        <v>2652</v>
      </c>
      <c r="G1198" t="s">
        <v>96</v>
      </c>
      <c r="H1198" t="s">
        <v>33</v>
      </c>
      <c r="K1198" t="s">
        <v>34</v>
      </c>
      <c r="L1198" t="s">
        <v>35</v>
      </c>
      <c r="M1198" t="s">
        <v>36</v>
      </c>
      <c r="Q1198" t="s">
        <v>37</v>
      </c>
      <c r="R1198" t="s">
        <v>130</v>
      </c>
      <c r="S1198" t="s">
        <v>84</v>
      </c>
      <c r="T1198" t="s">
        <v>73</v>
      </c>
      <c r="U1198" t="s">
        <v>41</v>
      </c>
      <c r="V1198" s="9" t="str">
        <f>HYPERLINK("https://app.ntsb.gov/pdfgenerator/ReportGeneratorFile.ashx?EventID=20170517X72827&amp;AKey=1&amp;Rtype=Final&amp;IType=CA","PDF Report")</f>
        <v>PDF Report</v>
      </c>
    </row>
    <row r="1199" spans="1:22" x14ac:dyDescent="0.25">
      <c r="A1199" t="s">
        <v>4599</v>
      </c>
      <c r="B1199">
        <v>1</v>
      </c>
      <c r="C1199" s="5">
        <v>42673</v>
      </c>
      <c r="D1199" t="s">
        <v>4600</v>
      </c>
      <c r="E1199" t="s">
        <v>4601</v>
      </c>
      <c r="F1199" t="s">
        <v>4602</v>
      </c>
      <c r="G1199" t="s">
        <v>46</v>
      </c>
      <c r="H1199" t="s">
        <v>33</v>
      </c>
      <c r="K1199" t="s">
        <v>47</v>
      </c>
      <c r="L1199" t="s">
        <v>35</v>
      </c>
      <c r="M1199" t="s">
        <v>36</v>
      </c>
      <c r="Q1199" t="s">
        <v>37</v>
      </c>
      <c r="R1199" t="s">
        <v>38</v>
      </c>
      <c r="S1199" t="s">
        <v>84</v>
      </c>
      <c r="T1199" t="s">
        <v>73</v>
      </c>
      <c r="U1199" t="s">
        <v>41</v>
      </c>
      <c r="V1199" s="9" t="str">
        <f>HYPERLINK("https://app.ntsb.gov/pdfgenerator/ReportGeneratorFile.ashx?EventID=20160726X83922&amp;AKey=1&amp;Rtype=Final&amp;IType=CA","PDF Report")</f>
        <v>PDF Report</v>
      </c>
    </row>
    <row r="1200" spans="1:22" x14ac:dyDescent="0.25">
      <c r="A1200" t="s">
        <v>4603</v>
      </c>
      <c r="B1200">
        <v>1</v>
      </c>
      <c r="C1200" s="5">
        <v>42673</v>
      </c>
      <c r="D1200" t="s">
        <v>4604</v>
      </c>
      <c r="E1200" t="s">
        <v>4605</v>
      </c>
      <c r="F1200" t="s">
        <v>4606</v>
      </c>
      <c r="G1200" t="s">
        <v>645</v>
      </c>
      <c r="H1200" t="s">
        <v>33</v>
      </c>
      <c r="K1200" t="s">
        <v>34</v>
      </c>
      <c r="L1200" t="s">
        <v>35</v>
      </c>
      <c r="M1200" t="s">
        <v>36</v>
      </c>
      <c r="Q1200" t="s">
        <v>37</v>
      </c>
      <c r="R1200" t="s">
        <v>38</v>
      </c>
      <c r="S1200" t="s">
        <v>72</v>
      </c>
      <c r="T1200" t="s">
        <v>49</v>
      </c>
      <c r="U1200" t="s">
        <v>41</v>
      </c>
      <c r="V1200" s="9" t="str">
        <f>HYPERLINK("https://app.ntsb.gov/pdfgenerator/ReportGeneratorFile.ashx?EventID=20161031X10800&amp;AKey=1&amp;Rtype=Final&amp;IType=LA","PDF Report")</f>
        <v>PDF Report</v>
      </c>
    </row>
    <row r="1201" spans="1:22" x14ac:dyDescent="0.25">
      <c r="A1201" t="s">
        <v>4607</v>
      </c>
      <c r="B1201">
        <v>1</v>
      </c>
      <c r="C1201" s="5">
        <v>42674</v>
      </c>
      <c r="D1201" t="s">
        <v>4608</v>
      </c>
      <c r="E1201" t="s">
        <v>4609</v>
      </c>
      <c r="F1201" t="s">
        <v>4610</v>
      </c>
      <c r="G1201" t="s">
        <v>322</v>
      </c>
      <c r="H1201" t="s">
        <v>33</v>
      </c>
      <c r="K1201" t="s">
        <v>34</v>
      </c>
      <c r="L1201" t="s">
        <v>35</v>
      </c>
      <c r="M1201" t="s">
        <v>36</v>
      </c>
      <c r="Q1201" t="s">
        <v>37</v>
      </c>
      <c r="R1201" t="s">
        <v>38</v>
      </c>
      <c r="S1201" t="s">
        <v>84</v>
      </c>
      <c r="T1201" t="s">
        <v>73</v>
      </c>
      <c r="U1201" t="s">
        <v>41</v>
      </c>
      <c r="V1201" s="9" t="str">
        <f>HYPERLINK("https://app.ntsb.gov/pdfgenerator/ReportGeneratorFile.ashx?EventID=20161101X45636&amp;AKey=1&amp;Rtype=Final&amp;IType=LA","PDF Report")</f>
        <v>PDF Report</v>
      </c>
    </row>
    <row r="1202" spans="1:22" x14ac:dyDescent="0.25">
      <c r="A1202" t="s">
        <v>4611</v>
      </c>
      <c r="B1202">
        <v>1</v>
      </c>
      <c r="C1202" s="5">
        <v>42674</v>
      </c>
      <c r="D1202" t="s">
        <v>4612</v>
      </c>
      <c r="E1202" t="s">
        <v>4613</v>
      </c>
      <c r="F1202" t="s">
        <v>2798</v>
      </c>
      <c r="G1202" t="s">
        <v>115</v>
      </c>
      <c r="H1202" t="s">
        <v>33</v>
      </c>
      <c r="K1202" t="s">
        <v>34</v>
      </c>
      <c r="L1202" t="s">
        <v>35</v>
      </c>
      <c r="M1202" t="s">
        <v>36</v>
      </c>
      <c r="Q1202" t="s">
        <v>37</v>
      </c>
      <c r="R1202" t="s">
        <v>38</v>
      </c>
      <c r="S1202" t="s">
        <v>39</v>
      </c>
      <c r="T1202" t="s">
        <v>79</v>
      </c>
      <c r="U1202" t="s">
        <v>41</v>
      </c>
      <c r="V1202" s="9" t="str">
        <f>HYPERLINK("https://app.ntsb.gov/pdfgenerator/ReportGeneratorFile.ashx?EventID=20161103X34437&amp;AKey=1&amp;Rtype=Final&amp;IType=LA","PDF Report")</f>
        <v>PDF Report</v>
      </c>
    </row>
    <row r="1203" spans="1:22" x14ac:dyDescent="0.25">
      <c r="A1203" t="s">
        <v>4614</v>
      </c>
      <c r="B1203">
        <v>1</v>
      </c>
      <c r="C1203" s="5">
        <v>42674</v>
      </c>
      <c r="D1203" t="s">
        <v>4615</v>
      </c>
      <c r="E1203" t="s">
        <v>4616</v>
      </c>
      <c r="F1203" t="s">
        <v>168</v>
      </c>
      <c r="G1203" t="s">
        <v>169</v>
      </c>
      <c r="H1203" t="s">
        <v>33</v>
      </c>
      <c r="K1203" t="s">
        <v>34</v>
      </c>
      <c r="L1203" t="s">
        <v>35</v>
      </c>
      <c r="M1203" t="s">
        <v>36</v>
      </c>
      <c r="Q1203" t="s">
        <v>37</v>
      </c>
      <c r="R1203" t="s">
        <v>274</v>
      </c>
      <c r="S1203" t="s">
        <v>584</v>
      </c>
      <c r="T1203" t="s">
        <v>164</v>
      </c>
      <c r="U1203" t="s">
        <v>41</v>
      </c>
      <c r="V1203" s="9" t="str">
        <f>HYPERLINK("https://app.ntsb.gov/pdfgenerator/ReportGeneratorFile.ashx?EventID=20161103X50742&amp;AKey=1&amp;Rtype=Final&amp;IType=LA","PDF Report")</f>
        <v>PDF Report</v>
      </c>
    </row>
    <row r="1204" spans="1:22" x14ac:dyDescent="0.25">
      <c r="A1204" t="s">
        <v>4617</v>
      </c>
      <c r="B1204">
        <v>1</v>
      </c>
      <c r="C1204" s="5">
        <v>42675</v>
      </c>
      <c r="D1204" t="s">
        <v>4618</v>
      </c>
      <c r="E1204" t="s">
        <v>4619</v>
      </c>
      <c r="F1204" t="s">
        <v>4620</v>
      </c>
      <c r="G1204" t="s">
        <v>102</v>
      </c>
      <c r="H1204" t="s">
        <v>33</v>
      </c>
      <c r="K1204" t="s">
        <v>47</v>
      </c>
      <c r="L1204" t="s">
        <v>35</v>
      </c>
      <c r="M1204" t="s">
        <v>767</v>
      </c>
      <c r="Q1204" t="s">
        <v>185</v>
      </c>
      <c r="R1204" t="s">
        <v>768</v>
      </c>
      <c r="S1204" t="s">
        <v>196</v>
      </c>
      <c r="T1204" t="s">
        <v>143</v>
      </c>
      <c r="U1204" t="s">
        <v>41</v>
      </c>
      <c r="V1204" s="9" t="str">
        <f>HYPERLINK("https://app.ntsb.gov/pdfgenerator/ReportGeneratorFile.ashx?EventID=20161101X35334&amp;AKey=1&amp;Rtype=Final&amp;IType=LA","PDF Report")</f>
        <v>PDF Report</v>
      </c>
    </row>
    <row r="1205" spans="1:22" x14ac:dyDescent="0.25">
      <c r="A1205" t="s">
        <v>4621</v>
      </c>
      <c r="B1205">
        <v>1</v>
      </c>
      <c r="C1205" s="5">
        <v>42675</v>
      </c>
      <c r="D1205" t="s">
        <v>4622</v>
      </c>
      <c r="E1205" t="s">
        <v>1627</v>
      </c>
      <c r="F1205" t="s">
        <v>661</v>
      </c>
      <c r="G1205" t="s">
        <v>136</v>
      </c>
      <c r="H1205" t="s">
        <v>33</v>
      </c>
      <c r="K1205" t="s">
        <v>34</v>
      </c>
      <c r="L1205" t="s">
        <v>35</v>
      </c>
      <c r="M1205" t="s">
        <v>36</v>
      </c>
      <c r="Q1205" t="s">
        <v>37</v>
      </c>
      <c r="R1205" t="s">
        <v>38</v>
      </c>
      <c r="S1205" t="s">
        <v>72</v>
      </c>
      <c r="T1205" t="s">
        <v>73</v>
      </c>
      <c r="U1205" t="s">
        <v>41</v>
      </c>
      <c r="V1205" s="9" t="str">
        <f>HYPERLINK("https://app.ntsb.gov/pdfgenerator/ReportGeneratorFile.ashx?EventID=20161116X91827&amp;AKey=1&amp;Rtype=Final&amp;IType=CA","PDF Report")</f>
        <v>PDF Report</v>
      </c>
    </row>
    <row r="1206" spans="1:22" x14ac:dyDescent="0.25">
      <c r="A1206" t="s">
        <v>4623</v>
      </c>
      <c r="B1206">
        <v>1</v>
      </c>
      <c r="C1206" s="5">
        <v>42676</v>
      </c>
      <c r="D1206" t="s">
        <v>4624</v>
      </c>
      <c r="E1206" t="s">
        <v>4625</v>
      </c>
      <c r="F1206" t="s">
        <v>4626</v>
      </c>
      <c r="G1206" t="s">
        <v>115</v>
      </c>
      <c r="H1206" t="s">
        <v>33</v>
      </c>
      <c r="K1206" t="s">
        <v>34</v>
      </c>
      <c r="L1206" t="s">
        <v>35</v>
      </c>
      <c r="M1206" t="s">
        <v>36</v>
      </c>
      <c r="Q1206" t="s">
        <v>37</v>
      </c>
      <c r="R1206" t="s">
        <v>2521</v>
      </c>
      <c r="S1206" t="s">
        <v>396</v>
      </c>
      <c r="T1206" t="s">
        <v>73</v>
      </c>
      <c r="U1206" t="s">
        <v>41</v>
      </c>
      <c r="V1206" s="9" t="str">
        <f>HYPERLINK("https://app.ntsb.gov/pdfgenerator/ReportGeneratorFile.ashx?EventID=20161108X11644&amp;AKey=1&amp;Rtype=Final&amp;IType=LA","PDF Report")</f>
        <v>PDF Report</v>
      </c>
    </row>
    <row r="1207" spans="1:22" x14ac:dyDescent="0.25">
      <c r="A1207" t="s">
        <v>4627</v>
      </c>
      <c r="B1207">
        <v>1</v>
      </c>
      <c r="C1207" s="5">
        <v>42678</v>
      </c>
      <c r="D1207" t="s">
        <v>4628</v>
      </c>
      <c r="E1207" t="s">
        <v>4629</v>
      </c>
      <c r="F1207" t="s">
        <v>4630</v>
      </c>
      <c r="G1207" t="s">
        <v>264</v>
      </c>
      <c r="H1207" t="s">
        <v>33</v>
      </c>
      <c r="K1207" t="s">
        <v>47</v>
      </c>
      <c r="L1207" t="s">
        <v>35</v>
      </c>
      <c r="M1207" t="s">
        <v>36</v>
      </c>
      <c r="Q1207" t="s">
        <v>37</v>
      </c>
      <c r="R1207" t="s">
        <v>38</v>
      </c>
      <c r="S1207" t="s">
        <v>131</v>
      </c>
      <c r="T1207" t="s">
        <v>73</v>
      </c>
      <c r="U1207" t="s">
        <v>41</v>
      </c>
      <c r="V1207" s="9" t="str">
        <f>HYPERLINK("https://app.ntsb.gov/pdfgenerator/ReportGeneratorFile.ashx?EventID=20161108X95143&amp;AKey=1&amp;Rtype=Final&amp;IType=CA","PDF Report")</f>
        <v>PDF Report</v>
      </c>
    </row>
    <row r="1208" spans="1:22" x14ac:dyDescent="0.25">
      <c r="A1208" t="s">
        <v>4631</v>
      </c>
      <c r="B1208">
        <v>1</v>
      </c>
      <c r="C1208" s="5">
        <v>42678</v>
      </c>
      <c r="D1208" t="s">
        <v>4632</v>
      </c>
      <c r="E1208" t="s">
        <v>4633</v>
      </c>
      <c r="F1208" t="s">
        <v>974</v>
      </c>
      <c r="G1208" t="s">
        <v>1508</v>
      </c>
      <c r="H1208" t="s">
        <v>33</v>
      </c>
      <c r="K1208" t="s">
        <v>34</v>
      </c>
      <c r="L1208" t="s">
        <v>35</v>
      </c>
      <c r="M1208" t="s">
        <v>36</v>
      </c>
      <c r="Q1208" t="s">
        <v>37</v>
      </c>
      <c r="R1208" t="s">
        <v>130</v>
      </c>
      <c r="S1208" t="s">
        <v>84</v>
      </c>
      <c r="T1208" t="s">
        <v>73</v>
      </c>
      <c r="U1208" t="s">
        <v>41</v>
      </c>
      <c r="V1208" s="9" t="str">
        <f>HYPERLINK("https://app.ntsb.gov/pdfgenerator/ReportGeneratorFile.ashx?EventID=20161116X03939&amp;AKey=1&amp;Rtype=Final&amp;IType=CA","PDF Report")</f>
        <v>PDF Report</v>
      </c>
    </row>
    <row r="1209" spans="1:22" x14ac:dyDescent="0.25">
      <c r="A1209" t="s">
        <v>4634</v>
      </c>
      <c r="B1209">
        <v>1</v>
      </c>
      <c r="C1209" s="5">
        <v>42679</v>
      </c>
      <c r="D1209" t="s">
        <v>4635</v>
      </c>
      <c r="E1209" t="s">
        <v>4636</v>
      </c>
      <c r="F1209" t="s">
        <v>4637</v>
      </c>
      <c r="G1209" t="s">
        <v>109</v>
      </c>
      <c r="H1209" t="s">
        <v>33</v>
      </c>
      <c r="I1209">
        <v>1</v>
      </c>
      <c r="K1209" t="s">
        <v>90</v>
      </c>
      <c r="L1209" t="s">
        <v>110</v>
      </c>
      <c r="M1209" t="s">
        <v>36</v>
      </c>
      <c r="Q1209" t="s">
        <v>37</v>
      </c>
      <c r="R1209" t="s">
        <v>505</v>
      </c>
      <c r="S1209" t="s">
        <v>196</v>
      </c>
      <c r="T1209" t="s">
        <v>49</v>
      </c>
      <c r="U1209" t="s">
        <v>41</v>
      </c>
      <c r="V1209" s="9" t="str">
        <f>HYPERLINK("https://app.ntsb.gov/pdfgenerator/ReportGeneratorFile.ashx?EventID=20161105X23019&amp;AKey=1&amp;Rtype=Final&amp;IType=FA","PDF Report")</f>
        <v>PDF Report</v>
      </c>
    </row>
    <row r="1210" spans="1:22" x14ac:dyDescent="0.25">
      <c r="A1210" t="s">
        <v>4638</v>
      </c>
      <c r="B1210">
        <v>1</v>
      </c>
      <c r="C1210" s="5">
        <v>42679</v>
      </c>
      <c r="D1210" t="s">
        <v>4639</v>
      </c>
      <c r="E1210" t="s">
        <v>4640</v>
      </c>
      <c r="F1210" t="s">
        <v>4028</v>
      </c>
      <c r="G1210" t="s">
        <v>66</v>
      </c>
      <c r="H1210" t="s">
        <v>33</v>
      </c>
      <c r="K1210" t="s">
        <v>34</v>
      </c>
      <c r="L1210" t="s">
        <v>35</v>
      </c>
      <c r="M1210" t="s">
        <v>36</v>
      </c>
      <c r="Q1210" t="s">
        <v>37</v>
      </c>
      <c r="R1210" t="s">
        <v>130</v>
      </c>
      <c r="S1210" t="s">
        <v>131</v>
      </c>
      <c r="T1210" t="s">
        <v>49</v>
      </c>
      <c r="U1210" t="s">
        <v>41</v>
      </c>
      <c r="V1210" s="9" t="str">
        <f>HYPERLINK("https://app.ntsb.gov/pdfgenerator/ReportGeneratorFile.ashx?EventID=20161107X21301&amp;AKey=1&amp;Rtype=Final&amp;IType=CA","PDF Report")</f>
        <v>PDF Report</v>
      </c>
    </row>
    <row r="1211" spans="1:22" x14ac:dyDescent="0.25">
      <c r="A1211" t="s">
        <v>4641</v>
      </c>
      <c r="B1211">
        <v>1</v>
      </c>
      <c r="C1211" s="5">
        <v>42679</v>
      </c>
      <c r="D1211" t="s">
        <v>4642</v>
      </c>
      <c r="E1211" t="s">
        <v>4643</v>
      </c>
      <c r="F1211" t="s">
        <v>4644</v>
      </c>
      <c r="G1211" t="s">
        <v>136</v>
      </c>
      <c r="H1211" t="s">
        <v>33</v>
      </c>
      <c r="K1211" t="s">
        <v>34</v>
      </c>
      <c r="L1211" t="s">
        <v>35</v>
      </c>
      <c r="M1211" t="s">
        <v>36</v>
      </c>
      <c r="Q1211" t="s">
        <v>37</v>
      </c>
      <c r="R1211" t="s">
        <v>38</v>
      </c>
      <c r="S1211" t="s">
        <v>97</v>
      </c>
      <c r="T1211" t="s">
        <v>61</v>
      </c>
      <c r="U1211" t="s">
        <v>41</v>
      </c>
      <c r="V1211" s="9" t="str">
        <f>HYPERLINK("https://app.ntsb.gov/pdfgenerator/ReportGeneratorFile.ashx?EventID=20161107X85939&amp;AKey=1&amp;Rtype=Final&amp;IType=CA","PDF Report")</f>
        <v>PDF Report</v>
      </c>
    </row>
    <row r="1212" spans="1:22" x14ac:dyDescent="0.25">
      <c r="A1212" t="s">
        <v>4645</v>
      </c>
      <c r="B1212">
        <v>1</v>
      </c>
      <c r="C1212" s="5">
        <v>42679</v>
      </c>
      <c r="D1212" t="s">
        <v>4646</v>
      </c>
      <c r="E1212" t="s">
        <v>4647</v>
      </c>
      <c r="F1212" t="s">
        <v>4648</v>
      </c>
      <c r="G1212" t="s">
        <v>468</v>
      </c>
      <c r="H1212" t="s">
        <v>33</v>
      </c>
      <c r="J1212">
        <v>1</v>
      </c>
      <c r="K1212" t="s">
        <v>55</v>
      </c>
      <c r="L1212" t="s">
        <v>34</v>
      </c>
      <c r="M1212" t="s">
        <v>36</v>
      </c>
      <c r="Q1212" t="s">
        <v>874</v>
      </c>
      <c r="R1212" t="s">
        <v>38</v>
      </c>
      <c r="S1212" t="s">
        <v>932</v>
      </c>
      <c r="T1212" t="s">
        <v>73</v>
      </c>
      <c r="U1212" t="s">
        <v>41</v>
      </c>
      <c r="V1212" s="9" t="str">
        <f>HYPERLINK("https://app.ntsb.gov/pdfgenerator/ReportGeneratorFile.ashx?EventID=20161114X85551&amp;AKey=1&amp;Rtype=Final&amp;IType=CA","PDF Report")</f>
        <v>PDF Report</v>
      </c>
    </row>
    <row r="1213" spans="1:22" x14ac:dyDescent="0.25">
      <c r="A1213" t="s">
        <v>4649</v>
      </c>
      <c r="B1213">
        <v>1</v>
      </c>
      <c r="C1213" s="5">
        <v>42679</v>
      </c>
      <c r="D1213" t="s">
        <v>4650</v>
      </c>
      <c r="E1213" t="s">
        <v>4651</v>
      </c>
      <c r="F1213" t="s">
        <v>4610</v>
      </c>
      <c r="G1213" t="s">
        <v>395</v>
      </c>
      <c r="H1213" t="s">
        <v>33</v>
      </c>
      <c r="K1213" t="s">
        <v>34</v>
      </c>
      <c r="L1213" t="s">
        <v>35</v>
      </c>
      <c r="M1213" t="s">
        <v>36</v>
      </c>
      <c r="Q1213" t="s">
        <v>37</v>
      </c>
      <c r="R1213" t="s">
        <v>38</v>
      </c>
      <c r="S1213" t="s">
        <v>191</v>
      </c>
      <c r="T1213" t="s">
        <v>79</v>
      </c>
      <c r="U1213" t="s">
        <v>41</v>
      </c>
      <c r="V1213" s="9" t="str">
        <f>HYPERLINK("https://app.ntsb.gov/pdfgenerator/ReportGeneratorFile.ashx?EventID=20161207X64658&amp;AKey=1&amp;Rtype=Final&amp;IType=LA","PDF Report")</f>
        <v>PDF Report</v>
      </c>
    </row>
    <row r="1214" spans="1:22" x14ac:dyDescent="0.25">
      <c r="A1214" t="s">
        <v>4652</v>
      </c>
      <c r="B1214">
        <v>1</v>
      </c>
      <c r="C1214" s="5">
        <v>42680</v>
      </c>
      <c r="D1214" t="s">
        <v>4653</v>
      </c>
      <c r="E1214" t="s">
        <v>4654</v>
      </c>
      <c r="F1214" t="s">
        <v>4655</v>
      </c>
      <c r="G1214" t="s">
        <v>54</v>
      </c>
      <c r="H1214" t="s">
        <v>33</v>
      </c>
      <c r="K1214" t="s">
        <v>34</v>
      </c>
      <c r="L1214" t="s">
        <v>35</v>
      </c>
      <c r="M1214" t="s">
        <v>36</v>
      </c>
      <c r="Q1214" t="s">
        <v>37</v>
      </c>
      <c r="R1214" t="s">
        <v>38</v>
      </c>
      <c r="S1214" t="s">
        <v>48</v>
      </c>
      <c r="T1214" t="s">
        <v>49</v>
      </c>
      <c r="U1214" t="s">
        <v>41</v>
      </c>
      <c r="V1214" s="9" t="str">
        <f>HYPERLINK("https://app.ntsb.gov/pdfgenerator/ReportGeneratorFile.ashx?EventID=20161107X25248&amp;AKey=1&amp;Rtype=Final&amp;IType=CA","PDF Report")</f>
        <v>PDF Report</v>
      </c>
    </row>
    <row r="1215" spans="1:22" x14ac:dyDescent="0.25">
      <c r="A1215" t="s">
        <v>4656</v>
      </c>
      <c r="B1215">
        <v>1</v>
      </c>
      <c r="C1215" s="5">
        <v>42680</v>
      </c>
      <c r="D1215" t="s">
        <v>4657</v>
      </c>
      <c r="E1215" t="s">
        <v>4658</v>
      </c>
      <c r="F1215" t="s">
        <v>4659</v>
      </c>
      <c r="G1215" t="s">
        <v>96</v>
      </c>
      <c r="H1215" t="s">
        <v>33</v>
      </c>
      <c r="K1215" t="s">
        <v>47</v>
      </c>
      <c r="L1215" t="s">
        <v>35</v>
      </c>
      <c r="M1215" t="s">
        <v>36</v>
      </c>
      <c r="Q1215" t="s">
        <v>37</v>
      </c>
      <c r="R1215" t="s">
        <v>38</v>
      </c>
      <c r="S1215" t="s">
        <v>97</v>
      </c>
      <c r="T1215" t="s">
        <v>143</v>
      </c>
      <c r="U1215" t="s">
        <v>41</v>
      </c>
      <c r="V1215" s="9" t="str">
        <f>HYPERLINK("https://app.ntsb.gov/pdfgenerator/ReportGeneratorFile.ashx?EventID=20161107X41554&amp;AKey=1&amp;Rtype=Final&amp;IType=LA","PDF Report")</f>
        <v>PDF Report</v>
      </c>
    </row>
    <row r="1216" spans="1:22" x14ac:dyDescent="0.25">
      <c r="A1216" t="s">
        <v>4660</v>
      </c>
      <c r="B1216">
        <v>1</v>
      </c>
      <c r="C1216" s="5">
        <v>42680</v>
      </c>
      <c r="D1216" t="s">
        <v>4661</v>
      </c>
      <c r="E1216" t="s">
        <v>4662</v>
      </c>
      <c r="F1216" t="s">
        <v>4663</v>
      </c>
      <c r="G1216" t="s">
        <v>395</v>
      </c>
      <c r="H1216" t="s">
        <v>33</v>
      </c>
      <c r="K1216" t="s">
        <v>47</v>
      </c>
      <c r="L1216" t="s">
        <v>110</v>
      </c>
      <c r="M1216" t="s">
        <v>36</v>
      </c>
      <c r="Q1216" t="s">
        <v>37</v>
      </c>
      <c r="R1216" t="s">
        <v>38</v>
      </c>
      <c r="S1216" t="s">
        <v>48</v>
      </c>
      <c r="T1216" t="s">
        <v>79</v>
      </c>
      <c r="U1216" t="s">
        <v>41</v>
      </c>
      <c r="V1216" s="9" t="str">
        <f>HYPERLINK("https://app.ntsb.gov/pdfgenerator/ReportGeneratorFile.ashx?EventID=20161107X55147&amp;AKey=1&amp;Rtype=Final&amp;IType=LA","PDF Report")</f>
        <v>PDF Report</v>
      </c>
    </row>
    <row r="1217" spans="1:22" x14ac:dyDescent="0.25">
      <c r="A1217" t="s">
        <v>4664</v>
      </c>
      <c r="B1217">
        <v>1</v>
      </c>
      <c r="C1217" s="5">
        <v>42680</v>
      </c>
      <c r="D1217" t="s">
        <v>4665</v>
      </c>
      <c r="E1217" t="s">
        <v>4666</v>
      </c>
      <c r="F1217" t="s">
        <v>4667</v>
      </c>
      <c r="G1217" t="s">
        <v>206</v>
      </c>
      <c r="H1217" t="s">
        <v>33</v>
      </c>
      <c r="K1217" t="s">
        <v>34</v>
      </c>
      <c r="L1217" t="s">
        <v>35</v>
      </c>
      <c r="M1217" t="s">
        <v>36</v>
      </c>
      <c r="Q1217" t="s">
        <v>37</v>
      </c>
      <c r="R1217" t="s">
        <v>38</v>
      </c>
      <c r="S1217" t="s">
        <v>171</v>
      </c>
      <c r="T1217" t="s">
        <v>61</v>
      </c>
      <c r="U1217" t="s">
        <v>41</v>
      </c>
      <c r="V1217" s="9" t="str">
        <f>HYPERLINK("https://app.ntsb.gov/pdfgenerator/ReportGeneratorFile.ashx?EventID=20161109X02142&amp;AKey=1&amp;Rtype=Final&amp;IType=CA","PDF Report")</f>
        <v>PDF Report</v>
      </c>
    </row>
    <row r="1218" spans="1:22" x14ac:dyDescent="0.25">
      <c r="A1218" t="s">
        <v>4668</v>
      </c>
      <c r="B1218">
        <v>1</v>
      </c>
      <c r="C1218" s="5">
        <v>42682</v>
      </c>
      <c r="D1218" t="s">
        <v>4669</v>
      </c>
      <c r="E1218" t="s">
        <v>4670</v>
      </c>
      <c r="F1218" t="s">
        <v>4671</v>
      </c>
      <c r="G1218" t="s">
        <v>712</v>
      </c>
      <c r="H1218" t="s">
        <v>33</v>
      </c>
      <c r="K1218" t="s">
        <v>34</v>
      </c>
      <c r="L1218" t="s">
        <v>35</v>
      </c>
      <c r="M1218" t="s">
        <v>36</v>
      </c>
      <c r="Q1218" t="s">
        <v>37</v>
      </c>
      <c r="R1218" t="s">
        <v>38</v>
      </c>
      <c r="S1218" t="s">
        <v>97</v>
      </c>
      <c r="T1218" t="s">
        <v>79</v>
      </c>
      <c r="U1218" t="s">
        <v>41</v>
      </c>
      <c r="V1218" s="9" t="str">
        <f>HYPERLINK("https://app.ntsb.gov/pdfgenerator/ReportGeneratorFile.ashx?EventID=20161109X21610&amp;AKey=1&amp;Rtype=Final&amp;IType=CA","PDF Report")</f>
        <v>PDF Report</v>
      </c>
    </row>
    <row r="1219" spans="1:22" x14ac:dyDescent="0.25">
      <c r="A1219" t="s">
        <v>4672</v>
      </c>
      <c r="B1219">
        <v>1</v>
      </c>
      <c r="C1219" s="5">
        <v>42682</v>
      </c>
      <c r="D1219" t="s">
        <v>4673</v>
      </c>
      <c r="E1219" t="s">
        <v>4674</v>
      </c>
      <c r="F1219" t="s">
        <v>4675</v>
      </c>
      <c r="G1219" t="s">
        <v>428</v>
      </c>
      <c r="H1219" t="s">
        <v>33</v>
      </c>
      <c r="K1219" t="s">
        <v>34</v>
      </c>
      <c r="L1219" t="s">
        <v>35</v>
      </c>
      <c r="M1219" t="s">
        <v>36</v>
      </c>
      <c r="Q1219" t="s">
        <v>37</v>
      </c>
      <c r="R1219" t="s">
        <v>38</v>
      </c>
      <c r="S1219" t="s">
        <v>97</v>
      </c>
      <c r="T1219" t="s">
        <v>61</v>
      </c>
      <c r="U1219" t="s">
        <v>41</v>
      </c>
      <c r="V1219" s="9" t="str">
        <f>HYPERLINK("https://app.ntsb.gov/pdfgenerator/ReportGeneratorFile.ashx?EventID=20161109X24004&amp;AKey=1&amp;Rtype=Final&amp;IType=LA","PDF Report")</f>
        <v>PDF Report</v>
      </c>
    </row>
    <row r="1220" spans="1:22" x14ac:dyDescent="0.25">
      <c r="A1220" t="s">
        <v>4676</v>
      </c>
      <c r="B1220">
        <v>1</v>
      </c>
      <c r="C1220" s="5">
        <v>42682</v>
      </c>
      <c r="D1220" t="s">
        <v>2472</v>
      </c>
      <c r="E1220" t="s">
        <v>2473</v>
      </c>
      <c r="F1220" t="s">
        <v>2474</v>
      </c>
      <c r="G1220" t="s">
        <v>636</v>
      </c>
      <c r="H1220" t="s">
        <v>33</v>
      </c>
      <c r="K1220" t="s">
        <v>34</v>
      </c>
      <c r="L1220" t="s">
        <v>35</v>
      </c>
      <c r="M1220" t="s">
        <v>36</v>
      </c>
      <c r="Q1220" t="s">
        <v>37</v>
      </c>
      <c r="R1220" t="s">
        <v>38</v>
      </c>
      <c r="S1220" t="s">
        <v>131</v>
      </c>
      <c r="T1220" t="s">
        <v>73</v>
      </c>
      <c r="U1220" t="s">
        <v>41</v>
      </c>
      <c r="V1220" s="9" t="str">
        <f>HYPERLINK("https://app.ntsb.gov/pdfgenerator/ReportGeneratorFile.ashx?EventID=20161109X55733&amp;AKey=1&amp;Rtype=Final&amp;IType=CA","PDF Report")</f>
        <v>PDF Report</v>
      </c>
    </row>
    <row r="1221" spans="1:22" x14ac:dyDescent="0.25">
      <c r="A1221" t="s">
        <v>4677</v>
      </c>
      <c r="B1221">
        <v>1</v>
      </c>
      <c r="C1221" s="5">
        <v>42682</v>
      </c>
      <c r="D1221" t="s">
        <v>4678</v>
      </c>
      <c r="E1221" t="s">
        <v>4679</v>
      </c>
      <c r="F1221" t="s">
        <v>4680</v>
      </c>
      <c r="G1221" t="s">
        <v>115</v>
      </c>
      <c r="H1221" t="s">
        <v>33</v>
      </c>
      <c r="K1221" t="s">
        <v>34</v>
      </c>
      <c r="L1221" t="s">
        <v>35</v>
      </c>
      <c r="M1221" t="s">
        <v>36</v>
      </c>
      <c r="Q1221" t="s">
        <v>37</v>
      </c>
      <c r="R1221" t="s">
        <v>130</v>
      </c>
      <c r="S1221" t="s">
        <v>84</v>
      </c>
      <c r="T1221" t="s">
        <v>73</v>
      </c>
      <c r="U1221" t="s">
        <v>41</v>
      </c>
      <c r="V1221" s="9" t="str">
        <f>HYPERLINK("https://app.ntsb.gov/pdfgenerator/ReportGeneratorFile.ashx?EventID=20161115X33744&amp;AKey=1&amp;Rtype=Final&amp;IType=CA","PDF Report")</f>
        <v>PDF Report</v>
      </c>
    </row>
    <row r="1222" spans="1:22" x14ac:dyDescent="0.25">
      <c r="A1222" t="s">
        <v>4681</v>
      </c>
      <c r="B1222">
        <v>1</v>
      </c>
      <c r="C1222" s="5">
        <v>42682</v>
      </c>
      <c r="D1222" t="s">
        <v>4682</v>
      </c>
      <c r="E1222" t="s">
        <v>4683</v>
      </c>
      <c r="F1222" t="s">
        <v>2615</v>
      </c>
      <c r="G1222" t="s">
        <v>450</v>
      </c>
      <c r="H1222" t="s">
        <v>33</v>
      </c>
      <c r="K1222" t="s">
        <v>34</v>
      </c>
      <c r="L1222" t="s">
        <v>35</v>
      </c>
      <c r="M1222" t="s">
        <v>56</v>
      </c>
      <c r="N1222" t="s">
        <v>510</v>
      </c>
      <c r="O1222" t="s">
        <v>58</v>
      </c>
      <c r="P1222" t="s">
        <v>162</v>
      </c>
      <c r="Q1222" t="s">
        <v>37</v>
      </c>
      <c r="S1222" t="s">
        <v>84</v>
      </c>
      <c r="T1222" t="s">
        <v>49</v>
      </c>
      <c r="U1222" t="s">
        <v>41</v>
      </c>
      <c r="V1222" s="9" t="str">
        <f>HYPERLINK("https://app.ntsb.gov/pdfgenerator/ReportGeneratorFile.ashx?EventID=20161123X24110&amp;AKey=1&amp;Rtype=Final&amp;IType=CA","PDF Report")</f>
        <v>PDF Report</v>
      </c>
    </row>
    <row r="1223" spans="1:22" x14ac:dyDescent="0.25">
      <c r="A1223" t="s">
        <v>4684</v>
      </c>
      <c r="B1223">
        <v>1</v>
      </c>
      <c r="C1223" s="5">
        <v>42683</v>
      </c>
      <c r="D1223" t="s">
        <v>4685</v>
      </c>
      <c r="E1223" t="s">
        <v>4686</v>
      </c>
      <c r="F1223" t="s">
        <v>4687</v>
      </c>
      <c r="G1223" t="s">
        <v>115</v>
      </c>
      <c r="H1223" t="s">
        <v>33</v>
      </c>
      <c r="I1223">
        <v>2</v>
      </c>
      <c r="K1223" t="s">
        <v>90</v>
      </c>
      <c r="L1223" t="s">
        <v>110</v>
      </c>
      <c r="M1223" t="s">
        <v>36</v>
      </c>
      <c r="Q1223" t="s">
        <v>37</v>
      </c>
      <c r="R1223" t="s">
        <v>130</v>
      </c>
      <c r="S1223" t="s">
        <v>196</v>
      </c>
      <c r="T1223" t="s">
        <v>40</v>
      </c>
      <c r="U1223" t="s">
        <v>41</v>
      </c>
      <c r="V1223" s="9" t="str">
        <f>HYPERLINK("https://app.ntsb.gov/pdfgenerator/ReportGeneratorFile.ashx?EventID=20161109X11027&amp;AKey=1&amp;Rtype=Final&amp;IType=FA","PDF Report")</f>
        <v>PDF Report</v>
      </c>
    </row>
    <row r="1224" spans="1:22" x14ac:dyDescent="0.25">
      <c r="A1224" t="s">
        <v>4688</v>
      </c>
      <c r="B1224">
        <v>1</v>
      </c>
      <c r="C1224" s="5">
        <v>42683</v>
      </c>
      <c r="D1224" t="s">
        <v>4689</v>
      </c>
      <c r="E1224" t="s">
        <v>4690</v>
      </c>
      <c r="F1224" t="s">
        <v>4691</v>
      </c>
      <c r="G1224" t="s">
        <v>115</v>
      </c>
      <c r="H1224" t="s">
        <v>33</v>
      </c>
      <c r="J1224">
        <v>2</v>
      </c>
      <c r="K1224" t="s">
        <v>55</v>
      </c>
      <c r="L1224" t="s">
        <v>110</v>
      </c>
      <c r="M1224" t="s">
        <v>36</v>
      </c>
      <c r="Q1224" t="s">
        <v>37</v>
      </c>
      <c r="R1224" t="s">
        <v>38</v>
      </c>
      <c r="S1224" t="s">
        <v>48</v>
      </c>
      <c r="T1224" t="s">
        <v>61</v>
      </c>
      <c r="U1224" t="s">
        <v>41</v>
      </c>
      <c r="V1224" s="9" t="str">
        <f>HYPERLINK("https://app.ntsb.gov/pdfgenerator/ReportGeneratorFile.ashx?EventID=20161109X60427&amp;AKey=1&amp;Rtype=Final&amp;IType=LA","PDF Report")</f>
        <v>PDF Report</v>
      </c>
    </row>
    <row r="1225" spans="1:22" x14ac:dyDescent="0.25">
      <c r="A1225" t="s">
        <v>4692</v>
      </c>
      <c r="B1225">
        <v>1</v>
      </c>
      <c r="C1225" s="5">
        <v>42684</v>
      </c>
      <c r="D1225" t="s">
        <v>4693</v>
      </c>
      <c r="E1225" t="s">
        <v>4694</v>
      </c>
      <c r="F1225" t="s">
        <v>4695</v>
      </c>
      <c r="G1225" t="s">
        <v>66</v>
      </c>
      <c r="H1225" t="s">
        <v>33</v>
      </c>
      <c r="K1225" t="s">
        <v>34</v>
      </c>
      <c r="L1225" t="s">
        <v>35</v>
      </c>
      <c r="M1225" t="s">
        <v>36</v>
      </c>
      <c r="Q1225" t="s">
        <v>37</v>
      </c>
      <c r="R1225" t="s">
        <v>38</v>
      </c>
      <c r="S1225" t="s">
        <v>97</v>
      </c>
      <c r="T1225" t="s">
        <v>61</v>
      </c>
      <c r="U1225" t="s">
        <v>41</v>
      </c>
      <c r="V1225" s="9" t="str">
        <f>HYPERLINK("https://app.ntsb.gov/pdfgenerator/ReportGeneratorFile.ashx?EventID=20161111X63737&amp;AKey=1&amp;Rtype=Final&amp;IType=LA","PDF Report")</f>
        <v>PDF Report</v>
      </c>
    </row>
    <row r="1226" spans="1:22" x14ac:dyDescent="0.25">
      <c r="A1226" t="s">
        <v>4696</v>
      </c>
      <c r="B1226">
        <v>1</v>
      </c>
      <c r="C1226" s="5">
        <v>42684</v>
      </c>
      <c r="D1226" t="s">
        <v>4697</v>
      </c>
      <c r="E1226" t="s">
        <v>4698</v>
      </c>
      <c r="F1226" t="s">
        <v>2532</v>
      </c>
      <c r="G1226" t="s">
        <v>287</v>
      </c>
      <c r="H1226" t="s">
        <v>33</v>
      </c>
      <c r="J1226">
        <v>1</v>
      </c>
      <c r="K1226" t="s">
        <v>55</v>
      </c>
      <c r="L1226" t="s">
        <v>35</v>
      </c>
      <c r="M1226" t="s">
        <v>767</v>
      </c>
      <c r="Q1226" t="s">
        <v>185</v>
      </c>
      <c r="R1226" t="s">
        <v>768</v>
      </c>
      <c r="S1226" t="s">
        <v>131</v>
      </c>
      <c r="T1226" t="s">
        <v>49</v>
      </c>
      <c r="U1226" t="s">
        <v>41</v>
      </c>
      <c r="V1226" s="9" t="str">
        <f>HYPERLINK("https://app.ntsb.gov/pdfgenerator/ReportGeneratorFile.ashx?EventID=20161111X71332&amp;AKey=1&amp;Rtype=Final&amp;IType=LA","PDF Report")</f>
        <v>PDF Report</v>
      </c>
    </row>
    <row r="1227" spans="1:22" x14ac:dyDescent="0.25">
      <c r="A1227" t="s">
        <v>4699</v>
      </c>
      <c r="B1227">
        <v>1</v>
      </c>
      <c r="C1227" s="5">
        <v>42684</v>
      </c>
      <c r="D1227" t="s">
        <v>3989</v>
      </c>
      <c r="E1227" t="s">
        <v>3990</v>
      </c>
      <c r="F1227" t="s">
        <v>1837</v>
      </c>
      <c r="G1227" t="s">
        <v>211</v>
      </c>
      <c r="H1227" t="s">
        <v>33</v>
      </c>
      <c r="I1227">
        <v>1</v>
      </c>
      <c r="K1227" t="s">
        <v>90</v>
      </c>
      <c r="L1227" t="s">
        <v>35</v>
      </c>
      <c r="M1227" t="s">
        <v>36</v>
      </c>
      <c r="Q1227" t="s">
        <v>37</v>
      </c>
      <c r="R1227" t="s">
        <v>957</v>
      </c>
      <c r="S1227" t="s">
        <v>131</v>
      </c>
      <c r="T1227" t="s">
        <v>164</v>
      </c>
      <c r="U1227" t="s">
        <v>41</v>
      </c>
      <c r="V1227" s="9" t="str">
        <f>HYPERLINK("https://app.ntsb.gov/pdfgenerator/ReportGeneratorFile.ashx?EventID=20161111X91241&amp;AKey=1&amp;Rtype=Final&amp;IType=LA","PDF Report")</f>
        <v>PDF Report</v>
      </c>
    </row>
    <row r="1228" spans="1:22" x14ac:dyDescent="0.25">
      <c r="A1228" t="s">
        <v>4700</v>
      </c>
      <c r="B1228">
        <v>1</v>
      </c>
      <c r="C1228" s="5">
        <v>42684</v>
      </c>
      <c r="D1228" t="s">
        <v>4701</v>
      </c>
      <c r="E1228" t="s">
        <v>4702</v>
      </c>
      <c r="F1228" t="s">
        <v>4223</v>
      </c>
      <c r="G1228" t="s">
        <v>1416</v>
      </c>
      <c r="H1228" t="s">
        <v>33</v>
      </c>
      <c r="K1228" t="s">
        <v>34</v>
      </c>
      <c r="L1228" t="s">
        <v>35</v>
      </c>
      <c r="M1228" t="s">
        <v>36</v>
      </c>
      <c r="Q1228" t="s">
        <v>37</v>
      </c>
      <c r="R1228" t="s">
        <v>38</v>
      </c>
      <c r="S1228" t="s">
        <v>84</v>
      </c>
      <c r="T1228" t="s">
        <v>73</v>
      </c>
      <c r="U1228" t="s">
        <v>41</v>
      </c>
      <c r="V1228" s="9" t="str">
        <f>HYPERLINK("https://app.ntsb.gov/pdfgenerator/ReportGeneratorFile.ashx?EventID=20161115X44229&amp;AKey=1&amp;Rtype=Final&amp;IType=CA","PDF Report")</f>
        <v>PDF Report</v>
      </c>
    </row>
    <row r="1229" spans="1:22" x14ac:dyDescent="0.25">
      <c r="A1229" t="s">
        <v>4703</v>
      </c>
      <c r="B1229">
        <v>1</v>
      </c>
      <c r="C1229" s="5">
        <v>42684</v>
      </c>
      <c r="D1229" t="s">
        <v>4704</v>
      </c>
      <c r="E1229" t="s">
        <v>4705</v>
      </c>
      <c r="F1229" t="s">
        <v>4706</v>
      </c>
      <c r="G1229" t="s">
        <v>96</v>
      </c>
      <c r="H1229" t="s">
        <v>33</v>
      </c>
      <c r="K1229" t="s">
        <v>34</v>
      </c>
      <c r="L1229" t="s">
        <v>35</v>
      </c>
      <c r="M1229" t="s">
        <v>36</v>
      </c>
      <c r="Q1229" t="s">
        <v>37</v>
      </c>
      <c r="R1229" t="s">
        <v>38</v>
      </c>
      <c r="S1229" t="s">
        <v>131</v>
      </c>
      <c r="T1229" t="s">
        <v>73</v>
      </c>
      <c r="U1229" t="s">
        <v>41</v>
      </c>
      <c r="V1229" s="9" t="str">
        <f>HYPERLINK("https://app.ntsb.gov/pdfgenerator/ReportGeneratorFile.ashx?EventID=20161115X51714&amp;AKey=1&amp;Rtype=Final&amp;IType=CA","PDF Report")</f>
        <v>PDF Report</v>
      </c>
    </row>
    <row r="1230" spans="1:22" x14ac:dyDescent="0.25">
      <c r="A1230" t="s">
        <v>4707</v>
      </c>
      <c r="B1230">
        <v>1</v>
      </c>
      <c r="C1230" s="5">
        <v>42684</v>
      </c>
      <c r="D1230" t="s">
        <v>4708</v>
      </c>
      <c r="E1230" t="s">
        <v>4709</v>
      </c>
      <c r="F1230" t="s">
        <v>4710</v>
      </c>
      <c r="G1230" t="s">
        <v>102</v>
      </c>
      <c r="H1230" t="s">
        <v>33</v>
      </c>
      <c r="K1230" t="s">
        <v>34</v>
      </c>
      <c r="L1230" t="s">
        <v>35</v>
      </c>
      <c r="M1230" t="s">
        <v>36</v>
      </c>
      <c r="Q1230" t="s">
        <v>37</v>
      </c>
      <c r="R1230" t="s">
        <v>38</v>
      </c>
      <c r="S1230" t="s">
        <v>39</v>
      </c>
      <c r="T1230" t="s">
        <v>61</v>
      </c>
      <c r="U1230" t="s">
        <v>41</v>
      </c>
      <c r="V1230" s="9" t="str">
        <f>HYPERLINK("https://app.ntsb.gov/pdfgenerator/ReportGeneratorFile.ashx?EventID=20161115X52315&amp;AKey=1&amp;Rtype=Final&amp;IType=LA","PDF Report")</f>
        <v>PDF Report</v>
      </c>
    </row>
    <row r="1231" spans="1:22" x14ac:dyDescent="0.25">
      <c r="A1231" t="s">
        <v>4711</v>
      </c>
      <c r="B1231">
        <v>1</v>
      </c>
      <c r="C1231" s="5">
        <v>42684</v>
      </c>
      <c r="D1231" t="s">
        <v>4712</v>
      </c>
      <c r="E1231" t="s">
        <v>4713</v>
      </c>
      <c r="F1231" t="s">
        <v>219</v>
      </c>
      <c r="G1231" t="s">
        <v>597</v>
      </c>
      <c r="H1231" t="s">
        <v>4714</v>
      </c>
      <c r="I1231">
        <v>3</v>
      </c>
      <c r="K1231" t="s">
        <v>90</v>
      </c>
      <c r="L1231" t="s">
        <v>110</v>
      </c>
      <c r="M1231" t="s">
        <v>599</v>
      </c>
      <c r="Q1231" t="s">
        <v>37</v>
      </c>
      <c r="S1231" t="s">
        <v>243</v>
      </c>
      <c r="T1231" t="s">
        <v>243</v>
      </c>
      <c r="U1231" t="s">
        <v>41</v>
      </c>
      <c r="V1231" s="9" t="str">
        <f>HYPERLINK("https://app.ntsb.gov/pdfgenerator/ReportGeneratorFile.ashx?EventID=20161117X82925&amp;AKey=1&amp;Rtype=Final&amp;IType=WA","PDF Report")</f>
        <v>PDF Report</v>
      </c>
    </row>
    <row r="1232" spans="1:22" x14ac:dyDescent="0.25">
      <c r="A1232" t="s">
        <v>4715</v>
      </c>
      <c r="B1232">
        <v>1</v>
      </c>
      <c r="C1232" s="5">
        <v>42684</v>
      </c>
      <c r="D1232" t="s">
        <v>4716</v>
      </c>
      <c r="E1232" t="s">
        <v>4717</v>
      </c>
      <c r="F1232" t="s">
        <v>4718</v>
      </c>
      <c r="G1232" t="s">
        <v>242</v>
      </c>
      <c r="H1232" t="s">
        <v>33</v>
      </c>
      <c r="K1232" t="s">
        <v>34</v>
      </c>
      <c r="L1232" t="s">
        <v>35</v>
      </c>
      <c r="M1232" t="s">
        <v>36</v>
      </c>
      <c r="Q1232" t="s">
        <v>37</v>
      </c>
      <c r="R1232" t="s">
        <v>38</v>
      </c>
      <c r="S1232" t="s">
        <v>131</v>
      </c>
      <c r="T1232" t="s">
        <v>49</v>
      </c>
      <c r="U1232" t="s">
        <v>41</v>
      </c>
      <c r="V1232" s="9" t="str">
        <f>HYPERLINK("https://app.ntsb.gov/pdfgenerator/ReportGeneratorFile.ashx?EventID=20161121X24021&amp;AKey=1&amp;Rtype=Final&amp;IType=CA","PDF Report")</f>
        <v>PDF Report</v>
      </c>
    </row>
    <row r="1233" spans="1:22" x14ac:dyDescent="0.25">
      <c r="A1233" t="s">
        <v>4719</v>
      </c>
      <c r="B1233">
        <v>1</v>
      </c>
      <c r="C1233" s="5">
        <v>42685</v>
      </c>
      <c r="D1233" t="s">
        <v>4720</v>
      </c>
      <c r="E1233" t="s">
        <v>4721</v>
      </c>
      <c r="F1233" t="s">
        <v>4722</v>
      </c>
      <c r="G1233" t="s">
        <v>54</v>
      </c>
      <c r="H1233" t="s">
        <v>33</v>
      </c>
      <c r="K1233" t="s">
        <v>47</v>
      </c>
      <c r="L1233" t="s">
        <v>35</v>
      </c>
      <c r="M1233" t="s">
        <v>473</v>
      </c>
      <c r="Q1233" t="s">
        <v>37</v>
      </c>
      <c r="R1233" t="s">
        <v>1219</v>
      </c>
      <c r="S1233" t="s">
        <v>196</v>
      </c>
      <c r="T1233" t="s">
        <v>164</v>
      </c>
      <c r="U1233" t="s">
        <v>41</v>
      </c>
      <c r="V1233" s="9" t="str">
        <f>HYPERLINK("https://app.ntsb.gov/pdfgenerator/ReportGeneratorFile.ashx?EventID=20161114X33155&amp;AKey=1&amp;Rtype=Final&amp;IType=LA","PDF Report")</f>
        <v>PDF Report</v>
      </c>
    </row>
    <row r="1234" spans="1:22" x14ac:dyDescent="0.25">
      <c r="A1234" t="s">
        <v>4723</v>
      </c>
      <c r="B1234">
        <v>1</v>
      </c>
      <c r="C1234" s="5">
        <v>42685</v>
      </c>
      <c r="D1234" t="s">
        <v>4724</v>
      </c>
      <c r="E1234" t="s">
        <v>4725</v>
      </c>
      <c r="F1234" t="s">
        <v>4726</v>
      </c>
      <c r="G1234" t="s">
        <v>32</v>
      </c>
      <c r="H1234" t="s">
        <v>33</v>
      </c>
      <c r="K1234" t="s">
        <v>34</v>
      </c>
      <c r="L1234" t="s">
        <v>35</v>
      </c>
      <c r="M1234" t="s">
        <v>36</v>
      </c>
      <c r="Q1234" t="s">
        <v>37</v>
      </c>
      <c r="R1234" t="s">
        <v>38</v>
      </c>
      <c r="S1234" t="s">
        <v>60</v>
      </c>
      <c r="T1234" t="s">
        <v>79</v>
      </c>
      <c r="U1234" t="s">
        <v>41</v>
      </c>
      <c r="V1234" s="9" t="str">
        <f>HYPERLINK("https://app.ntsb.gov/pdfgenerator/ReportGeneratorFile.ashx?EventID=20161117X31658&amp;AKey=1&amp;Rtype=Final&amp;IType=CA","PDF Report")</f>
        <v>PDF Report</v>
      </c>
    </row>
    <row r="1235" spans="1:22" x14ac:dyDescent="0.25">
      <c r="A1235" t="s">
        <v>4727</v>
      </c>
      <c r="B1235">
        <v>1</v>
      </c>
      <c r="C1235" s="5">
        <v>42686</v>
      </c>
      <c r="D1235" t="s">
        <v>4728</v>
      </c>
      <c r="E1235" t="s">
        <v>4729</v>
      </c>
      <c r="F1235" t="s">
        <v>4730</v>
      </c>
      <c r="G1235" t="s">
        <v>96</v>
      </c>
      <c r="H1235" t="s">
        <v>33</v>
      </c>
      <c r="K1235" t="s">
        <v>34</v>
      </c>
      <c r="L1235" t="s">
        <v>35</v>
      </c>
      <c r="M1235" t="s">
        <v>767</v>
      </c>
      <c r="Q1235" t="s">
        <v>37</v>
      </c>
      <c r="R1235" t="s">
        <v>768</v>
      </c>
      <c r="S1235" t="s">
        <v>39</v>
      </c>
      <c r="T1235" t="s">
        <v>40</v>
      </c>
      <c r="U1235" t="s">
        <v>41</v>
      </c>
      <c r="V1235" s="9" t="str">
        <f>HYPERLINK("https://app.ntsb.gov/pdfgenerator/ReportGeneratorFile.ashx?EventID=20161114X22408&amp;AKey=1&amp;Rtype=Final&amp;IType=LA","PDF Report")</f>
        <v>PDF Report</v>
      </c>
    </row>
    <row r="1236" spans="1:22" x14ac:dyDescent="0.25">
      <c r="A1236" t="s">
        <v>4731</v>
      </c>
      <c r="B1236">
        <v>1</v>
      </c>
      <c r="C1236" s="5">
        <v>42686</v>
      </c>
      <c r="D1236" t="s">
        <v>4732</v>
      </c>
      <c r="E1236" t="s">
        <v>4733</v>
      </c>
      <c r="F1236" t="s">
        <v>4734</v>
      </c>
      <c r="G1236" t="s">
        <v>54</v>
      </c>
      <c r="H1236" t="s">
        <v>33</v>
      </c>
      <c r="K1236" t="s">
        <v>34</v>
      </c>
      <c r="L1236" t="s">
        <v>35</v>
      </c>
      <c r="M1236" t="s">
        <v>36</v>
      </c>
      <c r="Q1236" t="s">
        <v>37</v>
      </c>
      <c r="R1236" t="s">
        <v>38</v>
      </c>
      <c r="S1236" t="s">
        <v>196</v>
      </c>
      <c r="T1236" t="s">
        <v>73</v>
      </c>
      <c r="U1236" t="s">
        <v>41</v>
      </c>
      <c r="V1236" s="9" t="str">
        <f>HYPERLINK("https://app.ntsb.gov/pdfgenerator/ReportGeneratorFile.ashx?EventID=20161114X40126&amp;AKey=1&amp;Rtype=Final&amp;IType=LA","PDF Report")</f>
        <v>PDF Report</v>
      </c>
    </row>
    <row r="1237" spans="1:22" x14ac:dyDescent="0.25">
      <c r="A1237" t="s">
        <v>4735</v>
      </c>
      <c r="B1237">
        <v>1</v>
      </c>
      <c r="C1237" s="5">
        <v>42686</v>
      </c>
      <c r="D1237" t="s">
        <v>4736</v>
      </c>
      <c r="E1237" t="s">
        <v>4737</v>
      </c>
      <c r="F1237" t="s">
        <v>1123</v>
      </c>
      <c r="G1237" t="s">
        <v>287</v>
      </c>
      <c r="H1237" t="s">
        <v>33</v>
      </c>
      <c r="K1237" t="s">
        <v>34</v>
      </c>
      <c r="L1237" t="s">
        <v>35</v>
      </c>
      <c r="M1237" t="s">
        <v>36</v>
      </c>
      <c r="Q1237" t="s">
        <v>37</v>
      </c>
      <c r="R1237" t="s">
        <v>130</v>
      </c>
      <c r="S1237" t="s">
        <v>39</v>
      </c>
      <c r="T1237" t="s">
        <v>40</v>
      </c>
      <c r="U1237" t="s">
        <v>41</v>
      </c>
      <c r="V1237" s="9" t="str">
        <f>HYPERLINK("https://app.ntsb.gov/pdfgenerator/ReportGeneratorFile.ashx?EventID=20161114X41943&amp;AKey=1&amp;Rtype=Final&amp;IType=LA","PDF Report")</f>
        <v>PDF Report</v>
      </c>
    </row>
    <row r="1238" spans="1:22" x14ac:dyDescent="0.25">
      <c r="A1238" t="s">
        <v>4738</v>
      </c>
      <c r="B1238">
        <v>1</v>
      </c>
      <c r="C1238" s="5">
        <v>42686</v>
      </c>
      <c r="D1238" t="s">
        <v>4739</v>
      </c>
      <c r="E1238" t="s">
        <v>4740</v>
      </c>
      <c r="F1238" t="s">
        <v>4741</v>
      </c>
      <c r="G1238" t="s">
        <v>491</v>
      </c>
      <c r="H1238" t="s">
        <v>33</v>
      </c>
      <c r="K1238" t="s">
        <v>34</v>
      </c>
      <c r="L1238" t="s">
        <v>35</v>
      </c>
      <c r="M1238" t="s">
        <v>36</v>
      </c>
      <c r="Q1238" t="s">
        <v>37</v>
      </c>
      <c r="R1238" t="s">
        <v>38</v>
      </c>
      <c r="S1238" t="s">
        <v>131</v>
      </c>
      <c r="T1238" t="s">
        <v>73</v>
      </c>
      <c r="U1238" t="s">
        <v>41</v>
      </c>
      <c r="V1238" s="9" t="str">
        <f>HYPERLINK("https://app.ntsb.gov/pdfgenerator/ReportGeneratorFile.ashx?EventID=20161115X41202&amp;AKey=1&amp;Rtype=Final&amp;IType=CA","PDF Report")</f>
        <v>PDF Report</v>
      </c>
    </row>
    <row r="1239" spans="1:22" x14ac:dyDescent="0.25">
      <c r="A1239" t="s">
        <v>4742</v>
      </c>
      <c r="B1239">
        <v>1</v>
      </c>
      <c r="C1239" s="5">
        <v>42686</v>
      </c>
      <c r="D1239" t="s">
        <v>4743</v>
      </c>
      <c r="E1239" t="s">
        <v>4744</v>
      </c>
      <c r="F1239" t="s">
        <v>4745</v>
      </c>
      <c r="G1239" t="s">
        <v>96</v>
      </c>
      <c r="H1239" t="s">
        <v>33</v>
      </c>
      <c r="J1239">
        <v>1</v>
      </c>
      <c r="K1239" t="s">
        <v>55</v>
      </c>
      <c r="L1239" t="s">
        <v>35</v>
      </c>
      <c r="M1239" t="s">
        <v>36</v>
      </c>
      <c r="Q1239" t="s">
        <v>37</v>
      </c>
      <c r="R1239" t="s">
        <v>38</v>
      </c>
      <c r="S1239" t="s">
        <v>196</v>
      </c>
      <c r="T1239" t="s">
        <v>61</v>
      </c>
      <c r="U1239" t="s">
        <v>41</v>
      </c>
      <c r="V1239" s="9" t="str">
        <f>HYPERLINK("https://app.ntsb.gov/pdfgenerator/ReportGeneratorFile.ashx?EventID=20161116X04207&amp;AKey=1&amp;Rtype=Final&amp;IType=LA","PDF Report")</f>
        <v>PDF Report</v>
      </c>
    </row>
    <row r="1240" spans="1:22" x14ac:dyDescent="0.25">
      <c r="A1240" t="s">
        <v>4746</v>
      </c>
      <c r="B1240">
        <v>1</v>
      </c>
      <c r="C1240" s="5">
        <v>42686</v>
      </c>
      <c r="D1240" t="s">
        <v>4747</v>
      </c>
      <c r="E1240" t="s">
        <v>4748</v>
      </c>
      <c r="F1240" t="s">
        <v>4749</v>
      </c>
      <c r="G1240" t="s">
        <v>395</v>
      </c>
      <c r="H1240" t="s">
        <v>33</v>
      </c>
      <c r="K1240" t="s">
        <v>47</v>
      </c>
      <c r="L1240" t="s">
        <v>35</v>
      </c>
      <c r="M1240" t="s">
        <v>36</v>
      </c>
      <c r="Q1240" t="s">
        <v>185</v>
      </c>
      <c r="R1240" t="s">
        <v>38</v>
      </c>
      <c r="S1240" t="s">
        <v>48</v>
      </c>
      <c r="T1240" t="s">
        <v>49</v>
      </c>
      <c r="U1240" t="s">
        <v>41</v>
      </c>
      <c r="V1240" s="9" t="str">
        <f>HYPERLINK("https://app.ntsb.gov/pdfgenerator/ReportGeneratorFile.ashx?EventID=20161116X11042&amp;AKey=1&amp;Rtype=Final&amp;IType=CA","PDF Report")</f>
        <v>PDF Report</v>
      </c>
    </row>
    <row r="1241" spans="1:22" x14ac:dyDescent="0.25">
      <c r="A1241" t="s">
        <v>4750</v>
      </c>
      <c r="B1241">
        <v>1</v>
      </c>
      <c r="C1241" s="5">
        <v>42687</v>
      </c>
      <c r="D1241" t="s">
        <v>4751</v>
      </c>
      <c r="E1241" t="s">
        <v>4752</v>
      </c>
      <c r="F1241" t="s">
        <v>411</v>
      </c>
      <c r="G1241" t="s">
        <v>115</v>
      </c>
      <c r="H1241" t="s">
        <v>33</v>
      </c>
      <c r="K1241" t="s">
        <v>34</v>
      </c>
      <c r="L1241" t="s">
        <v>35</v>
      </c>
      <c r="M1241" t="s">
        <v>36</v>
      </c>
      <c r="Q1241" t="s">
        <v>37</v>
      </c>
      <c r="R1241" t="s">
        <v>130</v>
      </c>
      <c r="S1241" t="s">
        <v>39</v>
      </c>
      <c r="T1241" t="s">
        <v>61</v>
      </c>
      <c r="U1241" t="s">
        <v>41</v>
      </c>
      <c r="V1241" s="9" t="str">
        <f>HYPERLINK("https://app.ntsb.gov/pdfgenerator/ReportGeneratorFile.ashx?EventID=20161115X91001&amp;AKey=1&amp;Rtype=Final&amp;IType=LA","PDF Report")</f>
        <v>PDF Report</v>
      </c>
    </row>
    <row r="1242" spans="1:22" x14ac:dyDescent="0.25">
      <c r="A1242" t="s">
        <v>4753</v>
      </c>
      <c r="B1242">
        <v>1</v>
      </c>
      <c r="C1242" s="5">
        <v>42687</v>
      </c>
      <c r="D1242" t="s">
        <v>4754</v>
      </c>
      <c r="E1242" t="s">
        <v>1209</v>
      </c>
      <c r="F1242" t="s">
        <v>4755</v>
      </c>
      <c r="G1242" t="s">
        <v>169</v>
      </c>
      <c r="H1242" t="s">
        <v>33</v>
      </c>
      <c r="K1242" t="s">
        <v>34</v>
      </c>
      <c r="L1242" t="s">
        <v>35</v>
      </c>
      <c r="M1242" t="s">
        <v>36</v>
      </c>
      <c r="Q1242" t="s">
        <v>37</v>
      </c>
      <c r="R1242" t="s">
        <v>38</v>
      </c>
      <c r="S1242" t="s">
        <v>243</v>
      </c>
      <c r="T1242" t="s">
        <v>143</v>
      </c>
      <c r="U1242" t="s">
        <v>41</v>
      </c>
      <c r="V1242" s="9" t="str">
        <f>HYPERLINK("https://app.ntsb.gov/pdfgenerator/ReportGeneratorFile.ashx?EventID=20161116X62135&amp;AKey=1&amp;Rtype=Final&amp;IType=LA","PDF Report")</f>
        <v>PDF Report</v>
      </c>
    </row>
    <row r="1243" spans="1:22" x14ac:dyDescent="0.25">
      <c r="A1243" t="s">
        <v>4756</v>
      </c>
      <c r="B1243">
        <v>1</v>
      </c>
      <c r="C1243" s="5">
        <v>42688</v>
      </c>
      <c r="D1243" t="s">
        <v>3926</v>
      </c>
      <c r="E1243" t="s">
        <v>4757</v>
      </c>
      <c r="F1243" t="s">
        <v>4758</v>
      </c>
      <c r="G1243" t="s">
        <v>322</v>
      </c>
      <c r="H1243" t="s">
        <v>33</v>
      </c>
      <c r="K1243" t="s">
        <v>34</v>
      </c>
      <c r="L1243" t="s">
        <v>35</v>
      </c>
      <c r="M1243" t="s">
        <v>36</v>
      </c>
      <c r="Q1243" t="s">
        <v>37</v>
      </c>
      <c r="R1243" t="s">
        <v>130</v>
      </c>
      <c r="S1243" t="s">
        <v>48</v>
      </c>
      <c r="T1243" t="s">
        <v>79</v>
      </c>
      <c r="U1243" t="s">
        <v>41</v>
      </c>
      <c r="V1243" s="9" t="str">
        <f>HYPERLINK("https://app.ntsb.gov/pdfgenerator/ReportGeneratorFile.ashx?EventID=20161109X50545&amp;AKey=1&amp;Rtype=Final&amp;IType=CA","PDF Report")</f>
        <v>PDF Report</v>
      </c>
    </row>
    <row r="1244" spans="1:22" x14ac:dyDescent="0.25">
      <c r="A1244" t="s">
        <v>4759</v>
      </c>
      <c r="B1244">
        <v>1</v>
      </c>
      <c r="C1244" s="5">
        <v>42688</v>
      </c>
      <c r="D1244" t="s">
        <v>4760</v>
      </c>
      <c r="E1244" t="s">
        <v>4761</v>
      </c>
      <c r="F1244" t="s">
        <v>4762</v>
      </c>
      <c r="G1244" t="s">
        <v>66</v>
      </c>
      <c r="H1244" t="s">
        <v>33</v>
      </c>
      <c r="K1244" t="s">
        <v>34</v>
      </c>
      <c r="L1244" t="s">
        <v>35</v>
      </c>
      <c r="M1244" t="s">
        <v>36</v>
      </c>
      <c r="Q1244" t="s">
        <v>37</v>
      </c>
      <c r="R1244" t="s">
        <v>38</v>
      </c>
      <c r="S1244" t="s">
        <v>131</v>
      </c>
      <c r="T1244" t="s">
        <v>73</v>
      </c>
      <c r="U1244" t="s">
        <v>41</v>
      </c>
      <c r="V1244" s="9" t="str">
        <f>HYPERLINK("https://app.ntsb.gov/pdfgenerator/ReportGeneratorFile.ashx?EventID=20161117X21648&amp;AKey=1&amp;Rtype=Final&amp;IType=CA","PDF Report")</f>
        <v>PDF Report</v>
      </c>
    </row>
    <row r="1245" spans="1:22" x14ac:dyDescent="0.25">
      <c r="A1245" t="s">
        <v>4763</v>
      </c>
      <c r="B1245">
        <v>1</v>
      </c>
      <c r="C1245" s="5">
        <v>42688</v>
      </c>
      <c r="D1245" t="s">
        <v>4764</v>
      </c>
      <c r="E1245" t="s">
        <v>4765</v>
      </c>
      <c r="F1245" t="s">
        <v>4766</v>
      </c>
      <c r="G1245" t="s">
        <v>66</v>
      </c>
      <c r="H1245" t="s">
        <v>33</v>
      </c>
      <c r="J1245">
        <v>1</v>
      </c>
      <c r="K1245" t="s">
        <v>55</v>
      </c>
      <c r="L1245" t="s">
        <v>34</v>
      </c>
      <c r="M1245" t="s">
        <v>36</v>
      </c>
      <c r="Q1245" t="s">
        <v>523</v>
      </c>
      <c r="R1245" t="s">
        <v>170</v>
      </c>
      <c r="S1245" t="s">
        <v>131</v>
      </c>
      <c r="T1245" t="s">
        <v>164</v>
      </c>
      <c r="U1245" t="s">
        <v>41</v>
      </c>
      <c r="V1245" s="9" t="str">
        <f>HYPERLINK("https://app.ntsb.gov/pdfgenerator/ReportGeneratorFile.ashx?EventID=20161129X51159&amp;AKey=1&amp;Rtype=Final&amp;IType=CA","PDF Report")</f>
        <v>PDF Report</v>
      </c>
    </row>
    <row r="1246" spans="1:22" x14ac:dyDescent="0.25">
      <c r="A1246" t="s">
        <v>4767</v>
      </c>
      <c r="B1246">
        <v>1</v>
      </c>
      <c r="C1246" s="5">
        <v>42689</v>
      </c>
      <c r="D1246" t="s">
        <v>4768</v>
      </c>
      <c r="E1246" t="s">
        <v>4769</v>
      </c>
      <c r="F1246" t="s">
        <v>4770</v>
      </c>
      <c r="G1246" t="s">
        <v>232</v>
      </c>
      <c r="H1246" t="s">
        <v>33</v>
      </c>
      <c r="I1246">
        <v>2</v>
      </c>
      <c r="K1246" t="s">
        <v>90</v>
      </c>
      <c r="L1246" t="s">
        <v>110</v>
      </c>
      <c r="M1246" t="s">
        <v>36</v>
      </c>
      <c r="Q1246" t="s">
        <v>185</v>
      </c>
      <c r="R1246" t="s">
        <v>38</v>
      </c>
      <c r="S1246" t="s">
        <v>91</v>
      </c>
      <c r="T1246" t="s">
        <v>79</v>
      </c>
      <c r="U1246" t="s">
        <v>41</v>
      </c>
      <c r="V1246" s="9" t="str">
        <f>HYPERLINK("https://app.ntsb.gov/pdfgenerator/ReportGeneratorFile.ashx?EventID=20161116X00108&amp;AKey=1&amp;Rtype=Final&amp;IType=FA","PDF Report")</f>
        <v>PDF Report</v>
      </c>
    </row>
    <row r="1247" spans="1:22" x14ac:dyDescent="0.25">
      <c r="A1247" t="s">
        <v>4771</v>
      </c>
      <c r="B1247">
        <v>1</v>
      </c>
      <c r="C1247" s="5">
        <v>42689</v>
      </c>
      <c r="D1247" t="s">
        <v>4772</v>
      </c>
      <c r="E1247" t="s">
        <v>4773</v>
      </c>
      <c r="F1247" t="s">
        <v>4774</v>
      </c>
      <c r="G1247" t="s">
        <v>468</v>
      </c>
      <c r="H1247" t="s">
        <v>33</v>
      </c>
      <c r="K1247" t="s">
        <v>34</v>
      </c>
      <c r="L1247" t="s">
        <v>35</v>
      </c>
      <c r="M1247" t="s">
        <v>36</v>
      </c>
      <c r="Q1247" t="s">
        <v>185</v>
      </c>
      <c r="R1247" t="s">
        <v>130</v>
      </c>
      <c r="S1247" t="s">
        <v>84</v>
      </c>
      <c r="T1247" t="s">
        <v>73</v>
      </c>
      <c r="U1247" t="s">
        <v>41</v>
      </c>
      <c r="V1247" s="9" t="str">
        <f>HYPERLINK("https://app.ntsb.gov/pdfgenerator/ReportGeneratorFile.ashx?EventID=20161116X71341&amp;AKey=1&amp;Rtype=Final&amp;IType=LA","PDF Report")</f>
        <v>PDF Report</v>
      </c>
    </row>
    <row r="1248" spans="1:22" x14ac:dyDescent="0.25">
      <c r="A1248" t="s">
        <v>4775</v>
      </c>
      <c r="B1248">
        <v>1</v>
      </c>
      <c r="C1248" s="5">
        <v>42690</v>
      </c>
      <c r="D1248" t="s">
        <v>4776</v>
      </c>
      <c r="E1248" t="s">
        <v>3109</v>
      </c>
      <c r="F1248" t="s">
        <v>4463</v>
      </c>
      <c r="G1248" t="s">
        <v>211</v>
      </c>
      <c r="H1248" t="s">
        <v>33</v>
      </c>
      <c r="K1248" t="s">
        <v>34</v>
      </c>
      <c r="L1248" t="s">
        <v>35</v>
      </c>
      <c r="M1248" t="s">
        <v>36</v>
      </c>
      <c r="Q1248" t="s">
        <v>37</v>
      </c>
      <c r="R1248" t="s">
        <v>38</v>
      </c>
      <c r="S1248" t="s">
        <v>196</v>
      </c>
      <c r="T1248" t="s">
        <v>73</v>
      </c>
      <c r="U1248" t="s">
        <v>41</v>
      </c>
      <c r="V1248" s="9" t="str">
        <f>HYPERLINK("https://app.ntsb.gov/pdfgenerator/ReportGeneratorFile.ashx?EventID=20161123X43330&amp;AKey=1&amp;Rtype=Final&amp;IType=LA","PDF Report")</f>
        <v>PDF Report</v>
      </c>
    </row>
    <row r="1249" spans="1:22" x14ac:dyDescent="0.25">
      <c r="A1249" t="s">
        <v>4777</v>
      </c>
      <c r="B1249">
        <v>1</v>
      </c>
      <c r="C1249" s="5">
        <v>42691</v>
      </c>
      <c r="D1249" t="s">
        <v>4778</v>
      </c>
      <c r="E1249" t="s">
        <v>4779</v>
      </c>
      <c r="F1249" t="s">
        <v>4780</v>
      </c>
      <c r="G1249" t="s">
        <v>136</v>
      </c>
      <c r="H1249" t="s">
        <v>33</v>
      </c>
      <c r="I1249">
        <v>2</v>
      </c>
      <c r="K1249" t="s">
        <v>90</v>
      </c>
      <c r="L1249" t="s">
        <v>110</v>
      </c>
      <c r="M1249" t="s">
        <v>36</v>
      </c>
      <c r="Q1249" t="s">
        <v>37</v>
      </c>
      <c r="R1249" t="s">
        <v>38</v>
      </c>
      <c r="S1249" t="s">
        <v>196</v>
      </c>
      <c r="T1249" t="s">
        <v>143</v>
      </c>
      <c r="U1249" t="s">
        <v>41</v>
      </c>
      <c r="V1249" s="9" t="str">
        <f>HYPERLINK("https://app.ntsb.gov/pdfgenerator/ReportGeneratorFile.ashx?EventID=20161117X33619&amp;AKey=1&amp;Rtype=Final&amp;IType=FA","PDF Report")</f>
        <v>PDF Report</v>
      </c>
    </row>
    <row r="1250" spans="1:22" x14ac:dyDescent="0.25">
      <c r="A1250" t="s">
        <v>4781</v>
      </c>
      <c r="B1250">
        <v>1</v>
      </c>
      <c r="C1250" s="5">
        <v>42691</v>
      </c>
      <c r="D1250" t="s">
        <v>4782</v>
      </c>
      <c r="E1250" t="s">
        <v>4783</v>
      </c>
      <c r="F1250" t="s">
        <v>4784</v>
      </c>
      <c r="G1250" t="s">
        <v>142</v>
      </c>
      <c r="H1250" t="s">
        <v>33</v>
      </c>
      <c r="J1250">
        <v>1</v>
      </c>
      <c r="K1250" t="s">
        <v>55</v>
      </c>
      <c r="L1250" t="s">
        <v>35</v>
      </c>
      <c r="M1250" t="s">
        <v>36</v>
      </c>
      <c r="Q1250" t="s">
        <v>874</v>
      </c>
      <c r="R1250" t="s">
        <v>38</v>
      </c>
      <c r="S1250" t="s">
        <v>48</v>
      </c>
      <c r="T1250" t="s">
        <v>79</v>
      </c>
      <c r="U1250" t="s">
        <v>41</v>
      </c>
      <c r="V1250" s="9" t="str">
        <f>HYPERLINK("https://app.ntsb.gov/pdfgenerator/ReportGeneratorFile.ashx?EventID=20161117X82522&amp;AKey=1&amp;Rtype=Final&amp;IType=LA","PDF Report")</f>
        <v>PDF Report</v>
      </c>
    </row>
    <row r="1251" spans="1:22" x14ac:dyDescent="0.25">
      <c r="A1251" t="s">
        <v>4785</v>
      </c>
      <c r="B1251">
        <v>1</v>
      </c>
      <c r="C1251" s="5">
        <v>42691</v>
      </c>
      <c r="D1251" t="s">
        <v>4786</v>
      </c>
      <c r="E1251" t="s">
        <v>4787</v>
      </c>
      <c r="F1251" t="s">
        <v>482</v>
      </c>
      <c r="G1251" t="s">
        <v>115</v>
      </c>
      <c r="H1251" t="s">
        <v>33</v>
      </c>
      <c r="K1251" t="s">
        <v>34</v>
      </c>
      <c r="L1251" t="s">
        <v>35</v>
      </c>
      <c r="M1251" t="s">
        <v>36</v>
      </c>
      <c r="Q1251" t="s">
        <v>37</v>
      </c>
      <c r="R1251" t="s">
        <v>130</v>
      </c>
      <c r="S1251" t="s">
        <v>131</v>
      </c>
      <c r="T1251" t="s">
        <v>49</v>
      </c>
      <c r="U1251" t="s">
        <v>41</v>
      </c>
      <c r="V1251" s="9" t="str">
        <f>HYPERLINK("https://app.ntsb.gov/pdfgenerator/ReportGeneratorFile.ashx?EventID=20161129X50731&amp;AKey=1&amp;Rtype=Final&amp;IType=CA","PDF Report")</f>
        <v>PDF Report</v>
      </c>
    </row>
    <row r="1252" spans="1:22" x14ac:dyDescent="0.25">
      <c r="A1252" t="s">
        <v>4788</v>
      </c>
      <c r="B1252">
        <v>1</v>
      </c>
      <c r="C1252" s="5">
        <v>42692</v>
      </c>
      <c r="D1252" t="s">
        <v>4789</v>
      </c>
      <c r="E1252" t="s">
        <v>4790</v>
      </c>
      <c r="F1252" t="s">
        <v>4791</v>
      </c>
      <c r="G1252" t="s">
        <v>66</v>
      </c>
      <c r="H1252" t="s">
        <v>33</v>
      </c>
      <c r="I1252">
        <v>1</v>
      </c>
      <c r="J1252">
        <v>1</v>
      </c>
      <c r="K1252" t="s">
        <v>90</v>
      </c>
      <c r="L1252" t="s">
        <v>35</v>
      </c>
      <c r="M1252" t="s">
        <v>36</v>
      </c>
      <c r="Q1252" t="s">
        <v>37</v>
      </c>
      <c r="R1252" t="s">
        <v>38</v>
      </c>
      <c r="S1252" t="s">
        <v>104</v>
      </c>
      <c r="T1252" t="s">
        <v>79</v>
      </c>
      <c r="U1252" t="s">
        <v>41</v>
      </c>
      <c r="V1252" s="9" t="str">
        <f>HYPERLINK("https://app.ntsb.gov/pdfgenerator/ReportGeneratorFile.ashx?EventID=20161118X60539&amp;AKey=1&amp;Rtype=Final&amp;IType=FA","PDF Report")</f>
        <v>PDF Report</v>
      </c>
    </row>
    <row r="1253" spans="1:22" x14ac:dyDescent="0.25">
      <c r="A1253" t="s">
        <v>4792</v>
      </c>
      <c r="B1253">
        <v>1</v>
      </c>
      <c r="C1253" s="5">
        <v>42692</v>
      </c>
      <c r="D1253" t="s">
        <v>4793</v>
      </c>
      <c r="E1253" t="s">
        <v>4794</v>
      </c>
      <c r="F1253" t="s">
        <v>4795</v>
      </c>
      <c r="G1253" t="s">
        <v>120</v>
      </c>
      <c r="H1253" t="s">
        <v>33</v>
      </c>
      <c r="I1253">
        <v>4</v>
      </c>
      <c r="K1253" t="s">
        <v>90</v>
      </c>
      <c r="L1253" t="s">
        <v>110</v>
      </c>
      <c r="M1253" t="s">
        <v>56</v>
      </c>
      <c r="N1253" t="s">
        <v>57</v>
      </c>
      <c r="O1253" t="s">
        <v>58</v>
      </c>
      <c r="P1253" t="s">
        <v>162</v>
      </c>
      <c r="Q1253" t="s">
        <v>37</v>
      </c>
      <c r="S1253" t="s">
        <v>39</v>
      </c>
      <c r="T1253" t="s">
        <v>143</v>
      </c>
      <c r="U1253" t="s">
        <v>41</v>
      </c>
      <c r="V1253" s="9" t="str">
        <f>HYPERLINK("https://app.ntsb.gov/pdfgenerator/ReportGeneratorFile.ashx?EventID=20161119X04951&amp;AKey=1&amp;Rtype=Final&amp;IType=FA","PDF Report")</f>
        <v>PDF Report</v>
      </c>
    </row>
    <row r="1254" spans="1:22" x14ac:dyDescent="0.25">
      <c r="A1254" t="s">
        <v>4796</v>
      </c>
      <c r="B1254">
        <v>1</v>
      </c>
      <c r="C1254" s="5">
        <v>42692</v>
      </c>
      <c r="D1254" t="s">
        <v>4797</v>
      </c>
      <c r="E1254" t="s">
        <v>4798</v>
      </c>
      <c r="F1254" t="s">
        <v>4799</v>
      </c>
      <c r="G1254" t="s">
        <v>115</v>
      </c>
      <c r="H1254" t="s">
        <v>33</v>
      </c>
      <c r="K1254" t="s">
        <v>47</v>
      </c>
      <c r="L1254" t="s">
        <v>35</v>
      </c>
      <c r="M1254" t="s">
        <v>36</v>
      </c>
      <c r="Q1254" t="s">
        <v>37</v>
      </c>
      <c r="R1254" t="s">
        <v>170</v>
      </c>
      <c r="S1254" t="s">
        <v>171</v>
      </c>
      <c r="T1254" t="s">
        <v>61</v>
      </c>
      <c r="U1254" t="s">
        <v>41</v>
      </c>
      <c r="V1254" s="9" t="str">
        <f>HYPERLINK("https://app.ntsb.gov/pdfgenerator/ReportGeneratorFile.ashx?EventID=20161205X03722&amp;AKey=1&amp;Rtype=Final&amp;IType=CA","PDF Report")</f>
        <v>PDF Report</v>
      </c>
    </row>
    <row r="1255" spans="1:22" x14ac:dyDescent="0.25">
      <c r="A1255" t="s">
        <v>4800</v>
      </c>
      <c r="B1255">
        <v>1</v>
      </c>
      <c r="C1255" s="5">
        <v>42692</v>
      </c>
      <c r="D1255" t="s">
        <v>4801</v>
      </c>
      <c r="E1255" t="s">
        <v>4802</v>
      </c>
      <c r="F1255" t="s">
        <v>1634</v>
      </c>
      <c r="G1255" t="s">
        <v>468</v>
      </c>
      <c r="H1255" t="s">
        <v>33</v>
      </c>
      <c r="K1255" t="s">
        <v>34</v>
      </c>
      <c r="L1255" t="s">
        <v>35</v>
      </c>
      <c r="M1255" t="s">
        <v>36</v>
      </c>
      <c r="Q1255" t="s">
        <v>402</v>
      </c>
      <c r="R1255" t="s">
        <v>38</v>
      </c>
      <c r="S1255" t="s">
        <v>131</v>
      </c>
      <c r="T1255" t="s">
        <v>73</v>
      </c>
      <c r="U1255" t="s">
        <v>41</v>
      </c>
      <c r="V1255" s="9" t="str">
        <f>HYPERLINK("https://app.ntsb.gov/pdfgenerator/ReportGeneratorFile.ashx?EventID=20161212X52458&amp;AKey=1&amp;Rtype=Final&amp;IType=CA","PDF Report")</f>
        <v>PDF Report</v>
      </c>
    </row>
    <row r="1256" spans="1:22" x14ac:dyDescent="0.25">
      <c r="A1256" t="s">
        <v>4803</v>
      </c>
      <c r="B1256">
        <v>1</v>
      </c>
      <c r="C1256" s="5">
        <v>42693</v>
      </c>
      <c r="D1256" t="s">
        <v>4804</v>
      </c>
      <c r="E1256" t="s">
        <v>4805</v>
      </c>
      <c r="F1256" t="s">
        <v>4806</v>
      </c>
      <c r="G1256" t="s">
        <v>211</v>
      </c>
      <c r="H1256" t="s">
        <v>33</v>
      </c>
      <c r="I1256">
        <v>1</v>
      </c>
      <c r="K1256" t="s">
        <v>90</v>
      </c>
      <c r="L1256" t="s">
        <v>35</v>
      </c>
      <c r="M1256" t="s">
        <v>36</v>
      </c>
      <c r="Q1256" t="s">
        <v>37</v>
      </c>
      <c r="R1256" t="s">
        <v>38</v>
      </c>
      <c r="S1256" t="s">
        <v>1278</v>
      </c>
      <c r="T1256" t="s">
        <v>61</v>
      </c>
      <c r="U1256" t="s">
        <v>41</v>
      </c>
      <c r="V1256" s="9" t="str">
        <f>HYPERLINK("https://app.ntsb.gov/pdfgenerator/ReportGeneratorFile.ashx?EventID=20161120X44929&amp;AKey=1&amp;Rtype=Final&amp;IType=FA","PDF Report")</f>
        <v>PDF Report</v>
      </c>
    </row>
    <row r="1257" spans="1:22" x14ac:dyDescent="0.25">
      <c r="A1257" t="s">
        <v>4807</v>
      </c>
      <c r="B1257">
        <v>1</v>
      </c>
      <c r="C1257" s="5">
        <v>42693</v>
      </c>
      <c r="D1257" t="s">
        <v>4808</v>
      </c>
      <c r="E1257" t="s">
        <v>4809</v>
      </c>
      <c r="F1257" t="s">
        <v>4810</v>
      </c>
      <c r="G1257" t="s">
        <v>597</v>
      </c>
      <c r="H1257" t="s">
        <v>4811</v>
      </c>
      <c r="I1257">
        <v>1</v>
      </c>
      <c r="J1257">
        <v>2</v>
      </c>
      <c r="K1257" t="s">
        <v>90</v>
      </c>
      <c r="L1257" t="s">
        <v>110</v>
      </c>
      <c r="M1257" t="s">
        <v>599</v>
      </c>
      <c r="Q1257" t="s">
        <v>185</v>
      </c>
      <c r="R1257" t="s">
        <v>2361</v>
      </c>
      <c r="S1257" t="s">
        <v>60</v>
      </c>
      <c r="T1257" t="s">
        <v>61</v>
      </c>
      <c r="U1257" t="s">
        <v>41</v>
      </c>
      <c r="V1257" s="9" t="str">
        <f>HYPERLINK("https://app.ntsb.gov/pdfgenerator/ReportGeneratorFile.ashx?EventID=20161128X10058&amp;AKey=1&amp;Rtype=Final&amp;IType=WA","PDF Report")</f>
        <v>PDF Report</v>
      </c>
    </row>
    <row r="1258" spans="1:22" x14ac:dyDescent="0.25">
      <c r="A1258" t="s">
        <v>4812</v>
      </c>
      <c r="B1258">
        <v>1</v>
      </c>
      <c r="C1258" s="5">
        <v>42693</v>
      </c>
      <c r="D1258" t="s">
        <v>4813</v>
      </c>
      <c r="E1258" t="s">
        <v>4814</v>
      </c>
      <c r="F1258" t="s">
        <v>4815</v>
      </c>
      <c r="G1258" t="s">
        <v>211</v>
      </c>
      <c r="H1258" t="s">
        <v>33</v>
      </c>
      <c r="K1258" t="s">
        <v>34</v>
      </c>
      <c r="L1258" t="s">
        <v>35</v>
      </c>
      <c r="M1258" t="s">
        <v>36</v>
      </c>
      <c r="Q1258" t="s">
        <v>37</v>
      </c>
      <c r="R1258" t="s">
        <v>130</v>
      </c>
      <c r="S1258" t="s">
        <v>131</v>
      </c>
      <c r="T1258" t="s">
        <v>73</v>
      </c>
      <c r="U1258" t="s">
        <v>41</v>
      </c>
      <c r="V1258" s="9" t="str">
        <f>HYPERLINK("https://app.ntsb.gov/pdfgenerator/ReportGeneratorFile.ashx?EventID=20161128X31952&amp;AKey=1&amp;Rtype=Final&amp;IType=CA","PDF Report")</f>
        <v>PDF Report</v>
      </c>
    </row>
    <row r="1259" spans="1:22" x14ac:dyDescent="0.25">
      <c r="A1259" t="s">
        <v>4816</v>
      </c>
      <c r="B1259">
        <v>1</v>
      </c>
      <c r="C1259" s="5">
        <v>42694</v>
      </c>
      <c r="D1259" t="s">
        <v>4817</v>
      </c>
      <c r="E1259" t="s">
        <v>4818</v>
      </c>
      <c r="F1259" t="s">
        <v>4819</v>
      </c>
      <c r="G1259" t="s">
        <v>96</v>
      </c>
      <c r="H1259" t="s">
        <v>33</v>
      </c>
      <c r="J1259">
        <v>1</v>
      </c>
      <c r="K1259" t="s">
        <v>55</v>
      </c>
      <c r="L1259" t="s">
        <v>35</v>
      </c>
      <c r="M1259" t="s">
        <v>36</v>
      </c>
      <c r="Q1259" t="s">
        <v>37</v>
      </c>
      <c r="R1259" t="s">
        <v>38</v>
      </c>
      <c r="S1259" t="s">
        <v>48</v>
      </c>
      <c r="T1259" t="s">
        <v>378</v>
      </c>
      <c r="U1259" t="s">
        <v>41</v>
      </c>
      <c r="V1259" s="9" t="str">
        <f>HYPERLINK("https://app.ntsb.gov/pdfgenerator/ReportGeneratorFile.ashx?EventID=20161123X53627&amp;AKey=1&amp;Rtype=Final&amp;IType=LA","PDF Report")</f>
        <v>PDF Report</v>
      </c>
    </row>
    <row r="1260" spans="1:22" x14ac:dyDescent="0.25">
      <c r="A1260" t="s">
        <v>4820</v>
      </c>
      <c r="B1260">
        <v>1</v>
      </c>
      <c r="C1260" s="5">
        <v>42694</v>
      </c>
      <c r="D1260" t="s">
        <v>4821</v>
      </c>
      <c r="E1260" t="s">
        <v>4822</v>
      </c>
      <c r="F1260" t="s">
        <v>2376</v>
      </c>
      <c r="G1260" t="s">
        <v>142</v>
      </c>
      <c r="H1260" t="s">
        <v>33</v>
      </c>
      <c r="K1260" t="s">
        <v>34</v>
      </c>
      <c r="L1260" t="s">
        <v>35</v>
      </c>
      <c r="M1260" t="s">
        <v>36</v>
      </c>
      <c r="Q1260" t="s">
        <v>37</v>
      </c>
      <c r="R1260" t="s">
        <v>38</v>
      </c>
      <c r="S1260" t="s">
        <v>317</v>
      </c>
      <c r="T1260" t="s">
        <v>73</v>
      </c>
      <c r="U1260" t="s">
        <v>41</v>
      </c>
      <c r="V1260" s="9" t="str">
        <f>HYPERLINK("https://app.ntsb.gov/pdfgenerator/ReportGeneratorFile.ashx?EventID=20161128X25519&amp;AKey=1&amp;Rtype=Final&amp;IType=CA","PDF Report")</f>
        <v>PDF Report</v>
      </c>
    </row>
    <row r="1261" spans="1:22" x14ac:dyDescent="0.25">
      <c r="A1261" t="s">
        <v>4823</v>
      </c>
      <c r="B1261">
        <v>1</v>
      </c>
      <c r="C1261" s="5">
        <v>42694</v>
      </c>
      <c r="D1261" t="s">
        <v>4824</v>
      </c>
      <c r="E1261" t="s">
        <v>4825</v>
      </c>
      <c r="F1261" t="s">
        <v>4004</v>
      </c>
      <c r="G1261" t="s">
        <v>54</v>
      </c>
      <c r="H1261" t="s">
        <v>33</v>
      </c>
      <c r="J1261">
        <v>1</v>
      </c>
      <c r="K1261" t="s">
        <v>55</v>
      </c>
      <c r="L1261" t="s">
        <v>47</v>
      </c>
      <c r="M1261" t="s">
        <v>56</v>
      </c>
      <c r="N1261" t="s">
        <v>57</v>
      </c>
      <c r="O1261" t="s">
        <v>58</v>
      </c>
      <c r="P1261" t="s">
        <v>162</v>
      </c>
      <c r="Q1261" t="s">
        <v>37</v>
      </c>
      <c r="S1261" t="s">
        <v>196</v>
      </c>
      <c r="T1261" t="s">
        <v>61</v>
      </c>
      <c r="U1261" t="s">
        <v>41</v>
      </c>
      <c r="V1261" s="9" t="str">
        <f>HYPERLINK("https://app.ntsb.gov/pdfgenerator/ReportGeneratorFile.ashx?EventID=20161221X32443&amp;AKey=1&amp;Rtype=Final&amp;IType=LA","PDF Report")</f>
        <v>PDF Report</v>
      </c>
    </row>
    <row r="1262" spans="1:22" x14ac:dyDescent="0.25">
      <c r="A1262" t="s">
        <v>4826</v>
      </c>
      <c r="B1262">
        <v>1</v>
      </c>
      <c r="C1262" s="5">
        <v>42694</v>
      </c>
      <c r="D1262" t="s">
        <v>4827</v>
      </c>
      <c r="E1262" t="s">
        <v>4828</v>
      </c>
      <c r="F1262" t="s">
        <v>4829</v>
      </c>
      <c r="G1262" t="s">
        <v>46</v>
      </c>
      <c r="H1262" t="s">
        <v>33</v>
      </c>
      <c r="J1262">
        <v>1</v>
      </c>
      <c r="K1262" t="s">
        <v>55</v>
      </c>
      <c r="L1262" t="s">
        <v>34</v>
      </c>
      <c r="M1262" t="s">
        <v>103</v>
      </c>
      <c r="N1262" t="s">
        <v>57</v>
      </c>
      <c r="O1262" t="s">
        <v>58</v>
      </c>
      <c r="P1262" t="s">
        <v>59</v>
      </c>
      <c r="Q1262" t="s">
        <v>37</v>
      </c>
      <c r="S1262" t="s">
        <v>2486</v>
      </c>
      <c r="T1262" t="s">
        <v>61</v>
      </c>
      <c r="U1262" t="s">
        <v>41</v>
      </c>
      <c r="V1262" s="9" t="str">
        <f>HYPERLINK("https://app.ntsb.gov/pdfgenerator/ReportGeneratorFile.ashx?EventID=20170419X83518&amp;AKey=1&amp;Rtype=Final&amp;IType=CA","PDF Report")</f>
        <v>PDF Report</v>
      </c>
    </row>
    <row r="1263" spans="1:22" x14ac:dyDescent="0.25">
      <c r="A1263" t="s">
        <v>4830</v>
      </c>
      <c r="B1263">
        <v>1</v>
      </c>
      <c r="C1263" s="5">
        <v>42695</v>
      </c>
      <c r="D1263" t="s">
        <v>1717</v>
      </c>
      <c r="E1263" t="s">
        <v>1718</v>
      </c>
      <c r="F1263" t="s">
        <v>1719</v>
      </c>
      <c r="G1263" t="s">
        <v>66</v>
      </c>
      <c r="H1263" t="s">
        <v>33</v>
      </c>
      <c r="K1263" t="s">
        <v>34</v>
      </c>
      <c r="L1263" t="s">
        <v>35</v>
      </c>
      <c r="M1263" t="s">
        <v>36</v>
      </c>
      <c r="Q1263" t="s">
        <v>37</v>
      </c>
      <c r="R1263" t="s">
        <v>38</v>
      </c>
      <c r="S1263" t="s">
        <v>72</v>
      </c>
      <c r="T1263" t="s">
        <v>73</v>
      </c>
      <c r="U1263" t="s">
        <v>41</v>
      </c>
      <c r="V1263" s="9" t="str">
        <f>HYPERLINK("https://app.ntsb.gov/pdfgenerator/ReportGeneratorFile.ashx?EventID=20161128X22954&amp;AKey=1&amp;Rtype=Final&amp;IType=CA","PDF Report")</f>
        <v>PDF Report</v>
      </c>
    </row>
    <row r="1264" spans="1:22" x14ac:dyDescent="0.25">
      <c r="A1264" t="s">
        <v>4831</v>
      </c>
      <c r="B1264">
        <v>1</v>
      </c>
      <c r="C1264" s="5">
        <v>42696</v>
      </c>
      <c r="D1264" t="s">
        <v>4832</v>
      </c>
      <c r="E1264" t="s">
        <v>4833</v>
      </c>
      <c r="F1264" t="s">
        <v>4834</v>
      </c>
      <c r="G1264" t="s">
        <v>66</v>
      </c>
      <c r="H1264" t="s">
        <v>33</v>
      </c>
      <c r="I1264">
        <v>1</v>
      </c>
      <c r="K1264" t="s">
        <v>90</v>
      </c>
      <c r="L1264" t="s">
        <v>35</v>
      </c>
      <c r="M1264" t="s">
        <v>36</v>
      </c>
      <c r="Q1264" t="s">
        <v>37</v>
      </c>
      <c r="R1264" t="s">
        <v>38</v>
      </c>
      <c r="S1264" t="s">
        <v>60</v>
      </c>
      <c r="T1264" t="s">
        <v>61</v>
      </c>
      <c r="U1264" t="s">
        <v>41</v>
      </c>
      <c r="V1264" s="9" t="str">
        <f>HYPERLINK("https://app.ntsb.gov/pdfgenerator/ReportGeneratorFile.ashx?EventID=20161122X12427&amp;AKey=1&amp;Rtype=Final&amp;IType=FA","PDF Report")</f>
        <v>PDF Report</v>
      </c>
    </row>
    <row r="1265" spans="1:22" x14ac:dyDescent="0.25">
      <c r="A1265" t="s">
        <v>4835</v>
      </c>
      <c r="B1265">
        <v>1</v>
      </c>
      <c r="C1265" s="5">
        <v>42696</v>
      </c>
      <c r="D1265" t="s">
        <v>4836</v>
      </c>
      <c r="E1265" t="s">
        <v>4837</v>
      </c>
      <c r="F1265" t="s">
        <v>4838</v>
      </c>
      <c r="G1265" t="s">
        <v>789</v>
      </c>
      <c r="H1265" t="s">
        <v>33</v>
      </c>
      <c r="K1265" t="s">
        <v>47</v>
      </c>
      <c r="L1265" t="s">
        <v>35</v>
      </c>
      <c r="M1265" t="s">
        <v>36</v>
      </c>
      <c r="Q1265" t="s">
        <v>37</v>
      </c>
      <c r="R1265" t="s">
        <v>38</v>
      </c>
      <c r="S1265" t="s">
        <v>131</v>
      </c>
      <c r="T1265" t="s">
        <v>73</v>
      </c>
      <c r="U1265" t="s">
        <v>41</v>
      </c>
      <c r="V1265" s="9" t="str">
        <f>HYPERLINK("https://app.ntsb.gov/pdfgenerator/ReportGeneratorFile.ashx?EventID=20161123X31419&amp;AKey=1&amp;Rtype=Final&amp;IType=LA","PDF Report")</f>
        <v>PDF Report</v>
      </c>
    </row>
    <row r="1266" spans="1:22" x14ac:dyDescent="0.25">
      <c r="A1266" t="s">
        <v>4839</v>
      </c>
      <c r="B1266">
        <v>1</v>
      </c>
      <c r="C1266" s="5">
        <v>42696</v>
      </c>
      <c r="D1266" t="s">
        <v>4840</v>
      </c>
      <c r="E1266" t="s">
        <v>4841</v>
      </c>
      <c r="F1266" t="s">
        <v>419</v>
      </c>
      <c r="G1266" t="s">
        <v>66</v>
      </c>
      <c r="H1266" t="s">
        <v>33</v>
      </c>
      <c r="K1266" t="s">
        <v>34</v>
      </c>
      <c r="L1266" t="s">
        <v>35</v>
      </c>
      <c r="M1266" t="s">
        <v>36</v>
      </c>
      <c r="Q1266" t="s">
        <v>37</v>
      </c>
      <c r="R1266" t="s">
        <v>274</v>
      </c>
      <c r="S1266" t="s">
        <v>163</v>
      </c>
      <c r="T1266" t="s">
        <v>378</v>
      </c>
      <c r="U1266" t="s">
        <v>41</v>
      </c>
      <c r="V1266" s="9" t="str">
        <f>HYPERLINK("https://app.ntsb.gov/pdfgenerator/ReportGeneratorFile.ashx?EventID=20161128X10943&amp;AKey=1&amp;Rtype=Final&amp;IType=CA","PDF Report")</f>
        <v>PDF Report</v>
      </c>
    </row>
    <row r="1267" spans="1:22" x14ac:dyDescent="0.25">
      <c r="A1267" t="s">
        <v>4839</v>
      </c>
      <c r="B1267">
        <v>2</v>
      </c>
      <c r="C1267" s="5">
        <v>42696</v>
      </c>
      <c r="D1267" t="s">
        <v>4840</v>
      </c>
      <c r="E1267" t="s">
        <v>4841</v>
      </c>
      <c r="F1267" t="s">
        <v>419</v>
      </c>
      <c r="G1267" t="s">
        <v>66</v>
      </c>
      <c r="H1267" t="s">
        <v>33</v>
      </c>
      <c r="K1267" t="s">
        <v>34</v>
      </c>
      <c r="L1267" t="s">
        <v>35</v>
      </c>
      <c r="M1267" t="s">
        <v>36</v>
      </c>
      <c r="Q1267" t="s">
        <v>37</v>
      </c>
      <c r="R1267" t="s">
        <v>130</v>
      </c>
      <c r="S1267" t="s">
        <v>163</v>
      </c>
      <c r="T1267" t="s">
        <v>378</v>
      </c>
      <c r="U1267" t="s">
        <v>41</v>
      </c>
      <c r="V1267" s="9" t="str">
        <f>HYPERLINK("https://app.ntsb.gov/pdfgenerator/ReportGeneratorFile.ashx?EventID=20161128X10943&amp;AKey=2&amp;Rtype=Final&amp;IType=CA","PDF Report")</f>
        <v>PDF Report</v>
      </c>
    </row>
    <row r="1268" spans="1:22" x14ac:dyDescent="0.25">
      <c r="A1268" t="s">
        <v>4842</v>
      </c>
      <c r="B1268">
        <v>1</v>
      </c>
      <c r="C1268" s="5">
        <v>42696</v>
      </c>
      <c r="D1268" t="s">
        <v>4843</v>
      </c>
      <c r="E1268" t="s">
        <v>4844</v>
      </c>
      <c r="F1268" t="s">
        <v>4845</v>
      </c>
      <c r="G1268" t="s">
        <v>339</v>
      </c>
      <c r="H1268" t="s">
        <v>33</v>
      </c>
      <c r="K1268" t="s">
        <v>34</v>
      </c>
      <c r="L1268" t="s">
        <v>35</v>
      </c>
      <c r="M1268" t="s">
        <v>36</v>
      </c>
      <c r="Q1268" t="s">
        <v>37</v>
      </c>
      <c r="R1268" t="s">
        <v>38</v>
      </c>
      <c r="S1268" t="s">
        <v>131</v>
      </c>
      <c r="T1268" t="s">
        <v>49</v>
      </c>
      <c r="U1268" t="s">
        <v>41</v>
      </c>
      <c r="V1268" s="9" t="str">
        <f>HYPERLINK("https://app.ntsb.gov/pdfgenerator/ReportGeneratorFile.ashx?EventID=20161129X20345&amp;AKey=1&amp;Rtype=Final&amp;IType=LA","PDF Report")</f>
        <v>PDF Report</v>
      </c>
    </row>
    <row r="1269" spans="1:22" x14ac:dyDescent="0.25">
      <c r="A1269" t="s">
        <v>4846</v>
      </c>
      <c r="B1269">
        <v>1</v>
      </c>
      <c r="C1269" s="5">
        <v>42696</v>
      </c>
      <c r="D1269" t="s">
        <v>4847</v>
      </c>
      <c r="E1269" t="s">
        <v>4848</v>
      </c>
      <c r="F1269" t="s">
        <v>4722</v>
      </c>
      <c r="G1269" t="s">
        <v>54</v>
      </c>
      <c r="H1269" t="s">
        <v>33</v>
      </c>
      <c r="K1269" t="s">
        <v>34</v>
      </c>
      <c r="L1269" t="s">
        <v>35</v>
      </c>
      <c r="M1269" t="s">
        <v>36</v>
      </c>
      <c r="Q1269" t="s">
        <v>37</v>
      </c>
      <c r="R1269" t="s">
        <v>170</v>
      </c>
      <c r="S1269" t="s">
        <v>39</v>
      </c>
      <c r="T1269" t="s">
        <v>143</v>
      </c>
      <c r="U1269" t="s">
        <v>41</v>
      </c>
      <c r="V1269" s="9" t="str">
        <f>HYPERLINK("https://app.ntsb.gov/pdfgenerator/ReportGeneratorFile.ashx?EventID=20161129X63442&amp;AKey=1&amp;Rtype=Final&amp;IType=LA","PDF Report")</f>
        <v>PDF Report</v>
      </c>
    </row>
    <row r="1270" spans="1:22" x14ac:dyDescent="0.25">
      <c r="A1270" t="s">
        <v>4849</v>
      </c>
      <c r="B1270">
        <v>1</v>
      </c>
      <c r="C1270" s="5">
        <v>42696</v>
      </c>
      <c r="D1270" t="s">
        <v>4850</v>
      </c>
      <c r="E1270" t="s">
        <v>4851</v>
      </c>
      <c r="F1270" t="s">
        <v>4852</v>
      </c>
      <c r="G1270" t="s">
        <v>136</v>
      </c>
      <c r="H1270" t="s">
        <v>33</v>
      </c>
      <c r="K1270" t="s">
        <v>34</v>
      </c>
      <c r="L1270" t="s">
        <v>35</v>
      </c>
      <c r="M1270" t="s">
        <v>36</v>
      </c>
      <c r="Q1270" t="s">
        <v>37</v>
      </c>
      <c r="R1270" t="s">
        <v>38</v>
      </c>
      <c r="S1270" t="s">
        <v>131</v>
      </c>
      <c r="T1270" t="s">
        <v>73</v>
      </c>
      <c r="U1270" t="s">
        <v>41</v>
      </c>
      <c r="V1270" s="9" t="str">
        <f>HYPERLINK("https://app.ntsb.gov/pdfgenerator/ReportGeneratorFile.ashx?EventID=20161201X81827&amp;AKey=1&amp;Rtype=Final&amp;IType=CA","PDF Report")</f>
        <v>PDF Report</v>
      </c>
    </row>
    <row r="1271" spans="1:22" x14ac:dyDescent="0.25">
      <c r="A1271" t="s">
        <v>4853</v>
      </c>
      <c r="B1271">
        <v>1</v>
      </c>
      <c r="C1271" s="5">
        <v>42697</v>
      </c>
      <c r="D1271" t="s">
        <v>4854</v>
      </c>
      <c r="E1271" t="s">
        <v>4855</v>
      </c>
      <c r="F1271" t="s">
        <v>887</v>
      </c>
      <c r="G1271" t="s">
        <v>597</v>
      </c>
      <c r="H1271" t="s">
        <v>4856</v>
      </c>
      <c r="I1271">
        <v>1</v>
      </c>
      <c r="K1271" t="s">
        <v>90</v>
      </c>
      <c r="L1271" t="s">
        <v>35</v>
      </c>
      <c r="M1271" t="s">
        <v>599</v>
      </c>
      <c r="Q1271" t="s">
        <v>37</v>
      </c>
      <c r="S1271" t="s">
        <v>243</v>
      </c>
      <c r="T1271" t="s">
        <v>61</v>
      </c>
      <c r="U1271" t="s">
        <v>41</v>
      </c>
      <c r="V1271" s="9" t="str">
        <f>HYPERLINK("https://app.ntsb.gov/pdfgenerator/ReportGeneratorFile.ashx?EventID=20161123X52437&amp;AKey=1&amp;Rtype=Final&amp;IType=WA","PDF Report")</f>
        <v>PDF Report</v>
      </c>
    </row>
    <row r="1272" spans="1:22" x14ac:dyDescent="0.25">
      <c r="A1272" t="s">
        <v>4857</v>
      </c>
      <c r="B1272">
        <v>1</v>
      </c>
      <c r="C1272" s="5">
        <v>42697</v>
      </c>
      <c r="D1272" t="s">
        <v>4858</v>
      </c>
      <c r="E1272" t="s">
        <v>4859</v>
      </c>
      <c r="F1272" t="s">
        <v>4860</v>
      </c>
      <c r="G1272" t="s">
        <v>136</v>
      </c>
      <c r="H1272" t="s">
        <v>33</v>
      </c>
      <c r="K1272" t="s">
        <v>34</v>
      </c>
      <c r="L1272" t="s">
        <v>35</v>
      </c>
      <c r="M1272" t="s">
        <v>36</v>
      </c>
      <c r="Q1272" t="s">
        <v>37</v>
      </c>
      <c r="R1272" t="s">
        <v>130</v>
      </c>
      <c r="S1272" t="s">
        <v>39</v>
      </c>
      <c r="T1272" t="s">
        <v>143</v>
      </c>
      <c r="U1272" t="s">
        <v>41</v>
      </c>
      <c r="V1272" s="9" t="str">
        <f>HYPERLINK("https://app.ntsb.gov/pdfgenerator/ReportGeneratorFile.ashx?EventID=20161125X12648&amp;AKey=1&amp;Rtype=Final&amp;IType=LA","PDF Report")</f>
        <v>PDF Report</v>
      </c>
    </row>
    <row r="1273" spans="1:22" x14ac:dyDescent="0.25">
      <c r="A1273" t="s">
        <v>4861</v>
      </c>
      <c r="B1273">
        <v>1</v>
      </c>
      <c r="C1273" s="5">
        <v>42697</v>
      </c>
      <c r="D1273" t="s">
        <v>4862</v>
      </c>
      <c r="E1273" t="s">
        <v>4863</v>
      </c>
      <c r="F1273" t="s">
        <v>4864</v>
      </c>
      <c r="G1273" t="s">
        <v>538</v>
      </c>
      <c r="H1273" t="s">
        <v>33</v>
      </c>
      <c r="K1273" t="s">
        <v>47</v>
      </c>
      <c r="L1273" t="s">
        <v>35</v>
      </c>
      <c r="M1273" t="s">
        <v>56</v>
      </c>
      <c r="N1273" t="s">
        <v>57</v>
      </c>
      <c r="O1273" t="s">
        <v>58</v>
      </c>
      <c r="P1273" t="s">
        <v>162</v>
      </c>
      <c r="Q1273" t="s">
        <v>37</v>
      </c>
      <c r="S1273" t="s">
        <v>60</v>
      </c>
      <c r="T1273" t="s">
        <v>79</v>
      </c>
      <c r="U1273" t="s">
        <v>41</v>
      </c>
      <c r="V1273" s="9" t="str">
        <f>HYPERLINK("https://app.ntsb.gov/pdfgenerator/ReportGeneratorFile.ashx?EventID=20161128X83501&amp;AKey=1&amp;Rtype=Final&amp;IType=LA","PDF Report")</f>
        <v>PDF Report</v>
      </c>
    </row>
    <row r="1274" spans="1:22" x14ac:dyDescent="0.25">
      <c r="A1274" t="s">
        <v>4865</v>
      </c>
      <c r="B1274">
        <v>1</v>
      </c>
      <c r="C1274" s="5">
        <v>42697</v>
      </c>
      <c r="D1274" t="s">
        <v>4866</v>
      </c>
      <c r="E1274" t="s">
        <v>4867</v>
      </c>
      <c r="F1274" t="s">
        <v>2589</v>
      </c>
      <c r="G1274" t="s">
        <v>96</v>
      </c>
      <c r="H1274" t="s">
        <v>33</v>
      </c>
      <c r="J1274">
        <v>1</v>
      </c>
      <c r="K1274" t="s">
        <v>55</v>
      </c>
      <c r="L1274" t="s">
        <v>35</v>
      </c>
      <c r="M1274" t="s">
        <v>36</v>
      </c>
      <c r="Q1274" t="s">
        <v>37</v>
      </c>
      <c r="R1274" t="s">
        <v>38</v>
      </c>
      <c r="S1274" t="s">
        <v>97</v>
      </c>
      <c r="T1274" t="s">
        <v>143</v>
      </c>
      <c r="U1274" t="s">
        <v>41</v>
      </c>
      <c r="V1274" s="9" t="str">
        <f>HYPERLINK("https://app.ntsb.gov/pdfgenerator/ReportGeneratorFile.ashx?EventID=20161129X72258&amp;AKey=1&amp;Rtype=Final&amp;IType=LA","PDF Report")</f>
        <v>PDF Report</v>
      </c>
    </row>
    <row r="1275" spans="1:22" x14ac:dyDescent="0.25">
      <c r="A1275" t="s">
        <v>4868</v>
      </c>
      <c r="B1275">
        <v>1</v>
      </c>
      <c r="C1275" s="5">
        <v>42697</v>
      </c>
      <c r="D1275" t="s">
        <v>4869</v>
      </c>
      <c r="E1275" t="s">
        <v>4870</v>
      </c>
      <c r="F1275" t="s">
        <v>3643</v>
      </c>
      <c r="G1275" t="s">
        <v>115</v>
      </c>
      <c r="H1275" t="s">
        <v>33</v>
      </c>
      <c r="K1275" t="s">
        <v>34</v>
      </c>
      <c r="L1275" t="s">
        <v>35</v>
      </c>
      <c r="M1275" t="s">
        <v>36</v>
      </c>
      <c r="Q1275" t="s">
        <v>37</v>
      </c>
      <c r="R1275" t="s">
        <v>130</v>
      </c>
      <c r="S1275" t="s">
        <v>131</v>
      </c>
      <c r="T1275" t="s">
        <v>73</v>
      </c>
      <c r="U1275" t="s">
        <v>41</v>
      </c>
      <c r="V1275" s="9" t="str">
        <f>HYPERLINK("https://app.ntsb.gov/pdfgenerator/ReportGeneratorFile.ashx?EventID=20161201X23648&amp;AKey=1&amp;Rtype=Final&amp;IType=CA","PDF Report")</f>
        <v>PDF Report</v>
      </c>
    </row>
    <row r="1276" spans="1:22" x14ac:dyDescent="0.25">
      <c r="A1276" t="s">
        <v>4871</v>
      </c>
      <c r="B1276">
        <v>1</v>
      </c>
      <c r="C1276" s="5">
        <v>42698</v>
      </c>
      <c r="D1276" t="s">
        <v>4872</v>
      </c>
      <c r="E1276" t="s">
        <v>4873</v>
      </c>
      <c r="F1276" t="s">
        <v>4874</v>
      </c>
      <c r="G1276" t="s">
        <v>287</v>
      </c>
      <c r="H1276" t="s">
        <v>33</v>
      </c>
      <c r="K1276" t="s">
        <v>34</v>
      </c>
      <c r="L1276" t="s">
        <v>35</v>
      </c>
      <c r="M1276" t="s">
        <v>36</v>
      </c>
      <c r="Q1276" t="s">
        <v>37</v>
      </c>
      <c r="R1276" t="s">
        <v>38</v>
      </c>
      <c r="S1276" t="s">
        <v>39</v>
      </c>
      <c r="T1276" t="s">
        <v>61</v>
      </c>
      <c r="U1276" t="s">
        <v>41</v>
      </c>
      <c r="V1276" s="9" t="str">
        <f>HYPERLINK("https://app.ntsb.gov/pdfgenerator/ReportGeneratorFile.ashx?EventID=20161214X32217&amp;AKey=1&amp;Rtype=Final&amp;IType=LA","PDF Report")</f>
        <v>PDF Report</v>
      </c>
    </row>
    <row r="1277" spans="1:22" x14ac:dyDescent="0.25">
      <c r="A1277" t="s">
        <v>4875</v>
      </c>
      <c r="B1277">
        <v>1</v>
      </c>
      <c r="C1277" s="5">
        <v>42699</v>
      </c>
      <c r="D1277" t="s">
        <v>4876</v>
      </c>
      <c r="E1277" t="s">
        <v>4877</v>
      </c>
      <c r="F1277" t="s">
        <v>4878</v>
      </c>
      <c r="G1277" t="s">
        <v>66</v>
      </c>
      <c r="H1277" t="s">
        <v>33</v>
      </c>
      <c r="I1277">
        <v>1</v>
      </c>
      <c r="J1277">
        <v>1</v>
      </c>
      <c r="K1277" t="s">
        <v>90</v>
      </c>
      <c r="L1277" t="s">
        <v>35</v>
      </c>
      <c r="M1277" t="s">
        <v>36</v>
      </c>
      <c r="Q1277" t="s">
        <v>37</v>
      </c>
      <c r="R1277" t="s">
        <v>38</v>
      </c>
      <c r="S1277" t="s">
        <v>48</v>
      </c>
      <c r="T1277" t="s">
        <v>79</v>
      </c>
      <c r="U1277" t="s">
        <v>41</v>
      </c>
      <c r="V1277" s="9" t="str">
        <f>HYPERLINK("https://app.ntsb.gov/pdfgenerator/ReportGeneratorFile.ashx?EventID=20161125X72838&amp;AKey=1&amp;Rtype=Final&amp;IType=FA","PDF Report")</f>
        <v>PDF Report</v>
      </c>
    </row>
    <row r="1278" spans="1:22" x14ac:dyDescent="0.25">
      <c r="A1278" t="s">
        <v>4879</v>
      </c>
      <c r="B1278">
        <v>1</v>
      </c>
      <c r="C1278" s="5">
        <v>42699</v>
      </c>
      <c r="D1278" t="s">
        <v>4880</v>
      </c>
      <c r="E1278" t="s">
        <v>4881</v>
      </c>
      <c r="F1278" t="s">
        <v>1082</v>
      </c>
      <c r="G1278" t="s">
        <v>54</v>
      </c>
      <c r="H1278" t="s">
        <v>33</v>
      </c>
      <c r="K1278" t="s">
        <v>34</v>
      </c>
      <c r="L1278" t="s">
        <v>35</v>
      </c>
      <c r="M1278" t="s">
        <v>36</v>
      </c>
      <c r="Q1278" t="s">
        <v>37</v>
      </c>
      <c r="R1278" t="s">
        <v>38</v>
      </c>
      <c r="S1278" t="s">
        <v>39</v>
      </c>
      <c r="T1278" t="s">
        <v>61</v>
      </c>
      <c r="U1278" t="s">
        <v>41</v>
      </c>
      <c r="V1278" s="9" t="str">
        <f>HYPERLINK("https://app.ntsb.gov/pdfgenerator/ReportGeneratorFile.ashx?EventID=20161129X71536&amp;AKey=1&amp;Rtype=Final&amp;IType=LA","PDF Report")</f>
        <v>PDF Report</v>
      </c>
    </row>
    <row r="1279" spans="1:22" x14ac:dyDescent="0.25">
      <c r="A1279" t="s">
        <v>4882</v>
      </c>
      <c r="B1279">
        <v>1</v>
      </c>
      <c r="C1279" s="5">
        <v>42701</v>
      </c>
      <c r="D1279" t="s">
        <v>4883</v>
      </c>
      <c r="E1279" t="s">
        <v>4884</v>
      </c>
      <c r="F1279" t="s">
        <v>4885</v>
      </c>
      <c r="G1279" t="s">
        <v>348</v>
      </c>
      <c r="H1279" t="s">
        <v>33</v>
      </c>
      <c r="K1279" t="s">
        <v>34</v>
      </c>
      <c r="L1279" t="s">
        <v>35</v>
      </c>
      <c r="M1279" t="s">
        <v>36</v>
      </c>
      <c r="Q1279" t="s">
        <v>37</v>
      </c>
      <c r="R1279" t="s">
        <v>130</v>
      </c>
      <c r="S1279" t="s">
        <v>84</v>
      </c>
      <c r="T1279" t="s">
        <v>73</v>
      </c>
      <c r="U1279" t="s">
        <v>41</v>
      </c>
      <c r="V1279" s="9" t="str">
        <f>HYPERLINK("https://app.ntsb.gov/pdfgenerator/ReportGeneratorFile.ashx?EventID=20170123X34257&amp;AKey=1&amp;Rtype=Final&amp;IType=CA","PDF Report")</f>
        <v>PDF Report</v>
      </c>
    </row>
    <row r="1280" spans="1:22" x14ac:dyDescent="0.25">
      <c r="A1280" t="s">
        <v>4886</v>
      </c>
      <c r="B1280">
        <v>1</v>
      </c>
      <c r="C1280" s="5">
        <v>42704</v>
      </c>
      <c r="D1280" t="s">
        <v>4887</v>
      </c>
      <c r="E1280" t="s">
        <v>4888</v>
      </c>
      <c r="F1280" t="s">
        <v>744</v>
      </c>
      <c r="G1280" t="s">
        <v>287</v>
      </c>
      <c r="H1280" t="s">
        <v>33</v>
      </c>
      <c r="K1280" t="s">
        <v>34</v>
      </c>
      <c r="L1280" t="s">
        <v>35</v>
      </c>
      <c r="M1280" t="s">
        <v>36</v>
      </c>
      <c r="Q1280" t="s">
        <v>37</v>
      </c>
      <c r="R1280" t="s">
        <v>137</v>
      </c>
      <c r="S1280" t="s">
        <v>131</v>
      </c>
      <c r="T1280" t="s">
        <v>73</v>
      </c>
      <c r="U1280" t="s">
        <v>41</v>
      </c>
      <c r="V1280" s="9" t="str">
        <f>HYPERLINK("https://app.ntsb.gov/pdfgenerator/ReportGeneratorFile.ashx?EventID=20161205X74357&amp;AKey=1&amp;Rtype=Final&amp;IType=LA","PDF Report")</f>
        <v>PDF Report</v>
      </c>
    </row>
    <row r="1281" spans="1:22" x14ac:dyDescent="0.25">
      <c r="A1281" t="s">
        <v>4889</v>
      </c>
      <c r="B1281">
        <v>1</v>
      </c>
      <c r="C1281" s="5">
        <v>42705</v>
      </c>
      <c r="D1281" t="s">
        <v>145</v>
      </c>
      <c r="E1281" t="s">
        <v>146</v>
      </c>
      <c r="F1281" t="s">
        <v>147</v>
      </c>
      <c r="G1281" t="s">
        <v>148</v>
      </c>
      <c r="H1281" t="s">
        <v>33</v>
      </c>
      <c r="I1281">
        <v>1</v>
      </c>
      <c r="K1281" t="s">
        <v>90</v>
      </c>
      <c r="L1281" t="s">
        <v>110</v>
      </c>
      <c r="M1281" t="s">
        <v>36</v>
      </c>
      <c r="Q1281" t="s">
        <v>37</v>
      </c>
      <c r="R1281" t="s">
        <v>186</v>
      </c>
      <c r="S1281" t="s">
        <v>584</v>
      </c>
      <c r="T1281" t="s">
        <v>79</v>
      </c>
      <c r="U1281" t="s">
        <v>41</v>
      </c>
      <c r="V1281" s="9" t="str">
        <f>HYPERLINK("https://app.ntsb.gov/pdfgenerator/ReportGeneratorFile.ashx?EventID=20161201X92343&amp;AKey=1&amp;Rtype=Final&amp;IType=FA","PDF Report")</f>
        <v>PDF Report</v>
      </c>
    </row>
    <row r="1282" spans="1:22" x14ac:dyDescent="0.25">
      <c r="A1282" t="s">
        <v>4890</v>
      </c>
      <c r="B1282">
        <v>1</v>
      </c>
      <c r="C1282" s="5">
        <v>42706</v>
      </c>
      <c r="D1282" t="s">
        <v>4891</v>
      </c>
      <c r="E1282" t="s">
        <v>4892</v>
      </c>
      <c r="F1282" t="s">
        <v>4893</v>
      </c>
      <c r="G1282" t="s">
        <v>645</v>
      </c>
      <c r="H1282" t="s">
        <v>33</v>
      </c>
      <c r="I1282">
        <v>1</v>
      </c>
      <c r="K1282" t="s">
        <v>90</v>
      </c>
      <c r="L1282" t="s">
        <v>110</v>
      </c>
      <c r="M1282" t="s">
        <v>36</v>
      </c>
      <c r="Q1282" t="s">
        <v>37</v>
      </c>
      <c r="R1282" t="s">
        <v>38</v>
      </c>
      <c r="S1282" t="s">
        <v>48</v>
      </c>
      <c r="T1282" t="s">
        <v>61</v>
      </c>
      <c r="U1282" t="s">
        <v>41</v>
      </c>
      <c r="V1282" s="9" t="str">
        <f>HYPERLINK("https://app.ntsb.gov/pdfgenerator/ReportGeneratorFile.ashx?EventID=20161204X04942&amp;AKey=1&amp;Rtype=Final&amp;IType=FA","PDF Report")</f>
        <v>PDF Report</v>
      </c>
    </row>
    <row r="1283" spans="1:22" x14ac:dyDescent="0.25">
      <c r="A1283" t="s">
        <v>4894</v>
      </c>
      <c r="B1283">
        <v>1</v>
      </c>
      <c r="C1283" s="5">
        <v>42706</v>
      </c>
      <c r="D1283" t="s">
        <v>2056</v>
      </c>
      <c r="E1283" t="s">
        <v>4895</v>
      </c>
      <c r="F1283" t="s">
        <v>2058</v>
      </c>
      <c r="G1283" t="s">
        <v>136</v>
      </c>
      <c r="H1283" t="s">
        <v>33</v>
      </c>
      <c r="K1283" t="s">
        <v>34</v>
      </c>
      <c r="L1283" t="s">
        <v>35</v>
      </c>
      <c r="M1283" t="s">
        <v>36</v>
      </c>
      <c r="Q1283" t="s">
        <v>37</v>
      </c>
      <c r="R1283" t="s">
        <v>38</v>
      </c>
      <c r="S1283" t="s">
        <v>97</v>
      </c>
      <c r="T1283" t="s">
        <v>79</v>
      </c>
      <c r="U1283" t="s">
        <v>41</v>
      </c>
      <c r="V1283" s="9" t="str">
        <f>HYPERLINK("https://app.ntsb.gov/pdfgenerator/ReportGeneratorFile.ashx?EventID=20161205X55358&amp;AKey=1&amp;Rtype=Final&amp;IType=CA","PDF Report")</f>
        <v>PDF Report</v>
      </c>
    </row>
    <row r="1284" spans="1:22" x14ac:dyDescent="0.25">
      <c r="A1284" t="s">
        <v>4896</v>
      </c>
      <c r="B1284">
        <v>1</v>
      </c>
      <c r="C1284" s="5">
        <v>42706</v>
      </c>
      <c r="D1284" t="s">
        <v>4897</v>
      </c>
      <c r="E1284" t="s">
        <v>4898</v>
      </c>
      <c r="F1284" t="s">
        <v>1086</v>
      </c>
      <c r="G1284" t="s">
        <v>242</v>
      </c>
      <c r="H1284" t="s">
        <v>33</v>
      </c>
      <c r="K1284" t="s">
        <v>34</v>
      </c>
      <c r="L1284" t="s">
        <v>35</v>
      </c>
      <c r="M1284" t="s">
        <v>36</v>
      </c>
      <c r="Q1284" t="s">
        <v>37</v>
      </c>
      <c r="R1284" t="s">
        <v>130</v>
      </c>
      <c r="S1284" t="s">
        <v>97</v>
      </c>
      <c r="T1284" t="s">
        <v>61</v>
      </c>
      <c r="U1284" t="s">
        <v>41</v>
      </c>
      <c r="V1284" s="9" t="str">
        <f>HYPERLINK("https://app.ntsb.gov/pdfgenerator/ReportGeneratorFile.ashx?EventID=20161205X60355&amp;AKey=1&amp;Rtype=Final&amp;IType=CA","PDF Report")</f>
        <v>PDF Report</v>
      </c>
    </row>
    <row r="1285" spans="1:22" x14ac:dyDescent="0.25">
      <c r="A1285" t="s">
        <v>4899</v>
      </c>
      <c r="B1285">
        <v>1</v>
      </c>
      <c r="C1285" s="5">
        <v>42706</v>
      </c>
      <c r="D1285" t="s">
        <v>4900</v>
      </c>
      <c r="E1285" t="s">
        <v>4901</v>
      </c>
      <c r="F1285" t="s">
        <v>4902</v>
      </c>
      <c r="G1285" t="s">
        <v>54</v>
      </c>
      <c r="H1285" t="s">
        <v>33</v>
      </c>
      <c r="K1285" t="s">
        <v>47</v>
      </c>
      <c r="L1285" t="s">
        <v>35</v>
      </c>
      <c r="M1285" t="s">
        <v>36</v>
      </c>
      <c r="Q1285" t="s">
        <v>185</v>
      </c>
      <c r="R1285" t="s">
        <v>170</v>
      </c>
      <c r="S1285" t="s">
        <v>91</v>
      </c>
      <c r="T1285" t="s">
        <v>73</v>
      </c>
      <c r="U1285" t="s">
        <v>41</v>
      </c>
      <c r="V1285" s="9" t="str">
        <f>HYPERLINK("https://app.ntsb.gov/pdfgenerator/ReportGeneratorFile.ashx?EventID=20161212X45215&amp;AKey=1&amp;Rtype=Final&amp;IType=LA","PDF Report")</f>
        <v>PDF Report</v>
      </c>
    </row>
    <row r="1286" spans="1:22" x14ac:dyDescent="0.25">
      <c r="A1286" t="s">
        <v>4903</v>
      </c>
      <c r="B1286">
        <v>1</v>
      </c>
      <c r="C1286" s="5">
        <v>42706</v>
      </c>
      <c r="D1286" t="s">
        <v>4904</v>
      </c>
      <c r="E1286" t="s">
        <v>4905</v>
      </c>
      <c r="F1286" t="s">
        <v>821</v>
      </c>
      <c r="G1286" t="s">
        <v>46</v>
      </c>
      <c r="H1286" t="s">
        <v>33</v>
      </c>
      <c r="K1286" t="s">
        <v>34</v>
      </c>
      <c r="L1286" t="s">
        <v>35</v>
      </c>
      <c r="M1286" t="s">
        <v>36</v>
      </c>
      <c r="Q1286" t="s">
        <v>37</v>
      </c>
      <c r="R1286" t="s">
        <v>130</v>
      </c>
      <c r="S1286" t="s">
        <v>84</v>
      </c>
      <c r="T1286" t="s">
        <v>73</v>
      </c>
      <c r="U1286" t="s">
        <v>41</v>
      </c>
      <c r="V1286" s="9" t="str">
        <f>HYPERLINK("https://app.ntsb.gov/pdfgenerator/ReportGeneratorFile.ashx?EventID=20170215X13456&amp;AKey=1&amp;Rtype=Final&amp;IType=CA","PDF Report")</f>
        <v>PDF Report</v>
      </c>
    </row>
    <row r="1287" spans="1:22" x14ac:dyDescent="0.25">
      <c r="A1287" t="s">
        <v>4906</v>
      </c>
      <c r="B1287">
        <v>1</v>
      </c>
      <c r="C1287" s="5">
        <v>42707</v>
      </c>
      <c r="D1287" t="s">
        <v>4907</v>
      </c>
      <c r="E1287" t="s">
        <v>4908</v>
      </c>
      <c r="F1287" t="s">
        <v>4909</v>
      </c>
      <c r="G1287" t="s">
        <v>645</v>
      </c>
      <c r="H1287" t="s">
        <v>33</v>
      </c>
      <c r="K1287" t="s">
        <v>34</v>
      </c>
      <c r="L1287" t="s">
        <v>35</v>
      </c>
      <c r="M1287" t="s">
        <v>36</v>
      </c>
      <c r="Q1287" t="s">
        <v>37</v>
      </c>
      <c r="R1287" t="s">
        <v>38</v>
      </c>
      <c r="S1287" t="s">
        <v>39</v>
      </c>
      <c r="T1287" t="s">
        <v>61</v>
      </c>
      <c r="U1287" t="s">
        <v>41</v>
      </c>
      <c r="V1287" s="9" t="str">
        <f>HYPERLINK("https://app.ntsb.gov/pdfgenerator/ReportGeneratorFile.ashx?EventID=20161206X90623&amp;AKey=1&amp;Rtype=Final&amp;IType=LA","PDF Report")</f>
        <v>PDF Report</v>
      </c>
    </row>
    <row r="1288" spans="1:22" x14ac:dyDescent="0.25">
      <c r="A1288" t="s">
        <v>4910</v>
      </c>
      <c r="B1288">
        <v>1</v>
      </c>
      <c r="C1288" s="5">
        <v>42708</v>
      </c>
      <c r="D1288" t="s">
        <v>4911</v>
      </c>
      <c r="E1288" t="s">
        <v>4912</v>
      </c>
      <c r="F1288" t="s">
        <v>4913</v>
      </c>
      <c r="G1288" t="s">
        <v>1416</v>
      </c>
      <c r="H1288" t="s">
        <v>33</v>
      </c>
      <c r="K1288" t="s">
        <v>34</v>
      </c>
      <c r="L1288" t="s">
        <v>35</v>
      </c>
      <c r="M1288" t="s">
        <v>36</v>
      </c>
      <c r="Q1288" t="s">
        <v>37</v>
      </c>
      <c r="R1288" t="s">
        <v>38</v>
      </c>
      <c r="S1288" t="s">
        <v>191</v>
      </c>
      <c r="T1288" t="s">
        <v>79</v>
      </c>
      <c r="U1288" t="s">
        <v>41</v>
      </c>
      <c r="V1288" s="9" t="str">
        <f>HYPERLINK("https://app.ntsb.gov/pdfgenerator/ReportGeneratorFile.ashx?EventID=20161205X34546&amp;AKey=1&amp;Rtype=Final&amp;IType=CA","PDF Report")</f>
        <v>PDF Report</v>
      </c>
    </row>
    <row r="1289" spans="1:22" x14ac:dyDescent="0.25">
      <c r="A1289" t="s">
        <v>4914</v>
      </c>
      <c r="B1289">
        <v>1</v>
      </c>
      <c r="C1289" s="5">
        <v>42708</v>
      </c>
      <c r="D1289" t="s">
        <v>4915</v>
      </c>
      <c r="E1289" t="s">
        <v>4916</v>
      </c>
      <c r="F1289" t="s">
        <v>3401</v>
      </c>
      <c r="G1289" t="s">
        <v>206</v>
      </c>
      <c r="H1289" t="s">
        <v>33</v>
      </c>
      <c r="K1289" t="s">
        <v>34</v>
      </c>
      <c r="L1289" t="s">
        <v>35</v>
      </c>
      <c r="M1289" t="s">
        <v>36</v>
      </c>
      <c r="Q1289" t="s">
        <v>37</v>
      </c>
      <c r="R1289" t="s">
        <v>274</v>
      </c>
      <c r="S1289" t="s">
        <v>84</v>
      </c>
      <c r="T1289" t="s">
        <v>73</v>
      </c>
      <c r="U1289" t="s">
        <v>41</v>
      </c>
      <c r="V1289" s="9" t="str">
        <f>HYPERLINK("https://app.ntsb.gov/pdfgenerator/ReportGeneratorFile.ashx?EventID=20161205X91704&amp;AKey=1&amp;Rtype=Final&amp;IType=LA","PDF Report")</f>
        <v>PDF Report</v>
      </c>
    </row>
    <row r="1290" spans="1:22" x14ac:dyDescent="0.25">
      <c r="A1290" t="s">
        <v>4917</v>
      </c>
      <c r="B1290">
        <v>1</v>
      </c>
      <c r="C1290" s="5">
        <v>42708</v>
      </c>
      <c r="D1290" t="s">
        <v>4918</v>
      </c>
      <c r="E1290" t="s">
        <v>4919</v>
      </c>
      <c r="F1290" t="s">
        <v>522</v>
      </c>
      <c r="G1290" t="s">
        <v>66</v>
      </c>
      <c r="H1290" t="s">
        <v>33</v>
      </c>
      <c r="K1290" t="s">
        <v>47</v>
      </c>
      <c r="L1290" t="s">
        <v>35</v>
      </c>
      <c r="M1290" t="s">
        <v>36</v>
      </c>
      <c r="Q1290" t="s">
        <v>37</v>
      </c>
      <c r="R1290" t="s">
        <v>38</v>
      </c>
      <c r="S1290" t="s">
        <v>48</v>
      </c>
      <c r="T1290" t="s">
        <v>79</v>
      </c>
      <c r="U1290" t="s">
        <v>41</v>
      </c>
      <c r="V1290" s="9" t="str">
        <f>HYPERLINK("https://app.ntsb.gov/pdfgenerator/ReportGeneratorFile.ashx?EventID=20161206X41447&amp;AKey=1&amp;Rtype=Final&amp;IType=LA","PDF Report")</f>
        <v>PDF Report</v>
      </c>
    </row>
    <row r="1291" spans="1:22" x14ac:dyDescent="0.25">
      <c r="A1291" t="s">
        <v>4920</v>
      </c>
      <c r="B1291">
        <v>1</v>
      </c>
      <c r="C1291" s="5">
        <v>42708</v>
      </c>
      <c r="D1291" t="s">
        <v>4921</v>
      </c>
      <c r="E1291" t="s">
        <v>4922</v>
      </c>
      <c r="F1291" t="s">
        <v>4923</v>
      </c>
      <c r="G1291" t="s">
        <v>66</v>
      </c>
      <c r="H1291" t="s">
        <v>33</v>
      </c>
      <c r="K1291" t="s">
        <v>34</v>
      </c>
      <c r="L1291" t="s">
        <v>35</v>
      </c>
      <c r="M1291" t="s">
        <v>473</v>
      </c>
      <c r="Q1291" t="s">
        <v>185</v>
      </c>
      <c r="R1291" t="s">
        <v>474</v>
      </c>
      <c r="S1291" t="s">
        <v>196</v>
      </c>
      <c r="T1291" t="s">
        <v>243</v>
      </c>
      <c r="U1291" t="s">
        <v>41</v>
      </c>
      <c r="V1291" s="9" t="str">
        <f>HYPERLINK("https://app.ntsb.gov/pdfgenerator/ReportGeneratorFile.ashx?EventID=20161207X14934&amp;AKey=1&amp;Rtype=Final&amp;IType=LA","PDF Report")</f>
        <v>PDF Report</v>
      </c>
    </row>
    <row r="1292" spans="1:22" x14ac:dyDescent="0.25">
      <c r="A1292" t="s">
        <v>4924</v>
      </c>
      <c r="B1292">
        <v>1</v>
      </c>
      <c r="C1292" s="5">
        <v>42708</v>
      </c>
      <c r="D1292" t="s">
        <v>4925</v>
      </c>
      <c r="E1292" t="s">
        <v>4926</v>
      </c>
      <c r="F1292" t="s">
        <v>4927</v>
      </c>
      <c r="G1292" t="s">
        <v>597</v>
      </c>
      <c r="H1292" t="s">
        <v>1366</v>
      </c>
      <c r="I1292">
        <v>4</v>
      </c>
      <c r="K1292" t="s">
        <v>90</v>
      </c>
      <c r="L1292" t="s">
        <v>110</v>
      </c>
      <c r="M1292" t="s">
        <v>599</v>
      </c>
      <c r="Q1292" t="s">
        <v>37</v>
      </c>
      <c r="S1292" t="s">
        <v>243</v>
      </c>
      <c r="T1292" t="s">
        <v>61</v>
      </c>
      <c r="U1292" t="s">
        <v>41</v>
      </c>
      <c r="V1292" s="9" t="str">
        <f>HYPERLINK("https://app.ntsb.gov/pdfgenerator/ReportGeneratorFile.ashx?EventID=20161207X25744&amp;AKey=1&amp;Rtype=Final&amp;IType=WA","PDF Report")</f>
        <v>PDF Report</v>
      </c>
    </row>
    <row r="1293" spans="1:22" x14ac:dyDescent="0.25">
      <c r="A1293" t="s">
        <v>4928</v>
      </c>
      <c r="B1293">
        <v>1</v>
      </c>
      <c r="C1293" s="5">
        <v>42709</v>
      </c>
      <c r="D1293" t="s">
        <v>4929</v>
      </c>
      <c r="E1293" t="s">
        <v>4930</v>
      </c>
      <c r="F1293" t="s">
        <v>4931</v>
      </c>
      <c r="G1293" t="s">
        <v>136</v>
      </c>
      <c r="H1293" t="s">
        <v>33</v>
      </c>
      <c r="I1293">
        <v>1</v>
      </c>
      <c r="K1293" t="s">
        <v>90</v>
      </c>
      <c r="L1293" t="s">
        <v>110</v>
      </c>
      <c r="M1293" t="s">
        <v>56</v>
      </c>
      <c r="N1293" t="s">
        <v>510</v>
      </c>
      <c r="O1293" t="s">
        <v>58</v>
      </c>
      <c r="P1293" t="s">
        <v>162</v>
      </c>
      <c r="Q1293" t="s">
        <v>37</v>
      </c>
      <c r="S1293" t="s">
        <v>48</v>
      </c>
      <c r="T1293" t="s">
        <v>40</v>
      </c>
      <c r="U1293" t="s">
        <v>41</v>
      </c>
      <c r="V1293" s="9" t="str">
        <f>HYPERLINK("https://app.ntsb.gov/pdfgenerator/ReportGeneratorFile.ashx?EventID=20161205X33941&amp;AKey=1&amp;Rtype=Final&amp;IType=FA","PDF Report")</f>
        <v>PDF Report</v>
      </c>
    </row>
    <row r="1294" spans="1:22" x14ac:dyDescent="0.25">
      <c r="A1294" t="s">
        <v>4932</v>
      </c>
      <c r="B1294">
        <v>1</v>
      </c>
      <c r="C1294" s="5">
        <v>42709</v>
      </c>
      <c r="D1294" t="s">
        <v>4933</v>
      </c>
      <c r="E1294" t="s">
        <v>4934</v>
      </c>
      <c r="F1294" t="s">
        <v>4935</v>
      </c>
      <c r="G1294" t="s">
        <v>125</v>
      </c>
      <c r="H1294" t="s">
        <v>33</v>
      </c>
      <c r="K1294" t="s">
        <v>34</v>
      </c>
      <c r="L1294" t="s">
        <v>35</v>
      </c>
      <c r="M1294" t="s">
        <v>36</v>
      </c>
      <c r="Q1294" t="s">
        <v>37</v>
      </c>
      <c r="R1294" t="s">
        <v>38</v>
      </c>
      <c r="S1294" t="s">
        <v>196</v>
      </c>
      <c r="T1294" t="s">
        <v>61</v>
      </c>
      <c r="U1294" t="s">
        <v>41</v>
      </c>
      <c r="V1294" s="9" t="str">
        <f>HYPERLINK("https://app.ntsb.gov/pdfgenerator/ReportGeneratorFile.ashx?EventID=20161206X34431&amp;AKey=1&amp;Rtype=Final&amp;IType=LA","PDF Report")</f>
        <v>PDF Report</v>
      </c>
    </row>
    <row r="1295" spans="1:22" x14ac:dyDescent="0.25">
      <c r="A1295" t="s">
        <v>4936</v>
      </c>
      <c r="B1295">
        <v>1</v>
      </c>
      <c r="C1295" s="5">
        <v>42709</v>
      </c>
      <c r="D1295" t="s">
        <v>4937</v>
      </c>
      <c r="E1295" t="s">
        <v>4938</v>
      </c>
      <c r="F1295" t="s">
        <v>4939</v>
      </c>
      <c r="G1295" t="s">
        <v>46</v>
      </c>
      <c r="H1295" t="s">
        <v>33</v>
      </c>
      <c r="K1295" t="s">
        <v>34</v>
      </c>
      <c r="L1295" t="s">
        <v>35</v>
      </c>
      <c r="M1295" t="s">
        <v>36</v>
      </c>
      <c r="Q1295" t="s">
        <v>37</v>
      </c>
      <c r="R1295" t="s">
        <v>38</v>
      </c>
      <c r="S1295" t="s">
        <v>131</v>
      </c>
      <c r="T1295" t="s">
        <v>73</v>
      </c>
      <c r="U1295" t="s">
        <v>41</v>
      </c>
      <c r="V1295" s="9" t="str">
        <f>HYPERLINK("https://app.ntsb.gov/pdfgenerator/ReportGeneratorFile.ashx?EventID=20161208X12003&amp;AKey=1&amp;Rtype=Final&amp;IType=CA","PDF Report")</f>
        <v>PDF Report</v>
      </c>
    </row>
    <row r="1296" spans="1:22" x14ac:dyDescent="0.25">
      <c r="A1296" t="s">
        <v>4940</v>
      </c>
      <c r="B1296">
        <v>1</v>
      </c>
      <c r="C1296" s="5">
        <v>42709</v>
      </c>
      <c r="D1296" t="s">
        <v>4941</v>
      </c>
      <c r="E1296" t="s">
        <v>4942</v>
      </c>
      <c r="F1296" t="s">
        <v>4706</v>
      </c>
      <c r="G1296" t="s">
        <v>96</v>
      </c>
      <c r="H1296" t="s">
        <v>33</v>
      </c>
      <c r="K1296" t="s">
        <v>34</v>
      </c>
      <c r="L1296" t="s">
        <v>35</v>
      </c>
      <c r="M1296" t="s">
        <v>36</v>
      </c>
      <c r="Q1296" t="s">
        <v>37</v>
      </c>
      <c r="R1296" t="s">
        <v>137</v>
      </c>
      <c r="S1296" t="s">
        <v>171</v>
      </c>
      <c r="T1296" t="s">
        <v>61</v>
      </c>
      <c r="U1296" t="s">
        <v>41</v>
      </c>
      <c r="V1296" s="9" t="str">
        <f>HYPERLINK("https://app.ntsb.gov/pdfgenerator/ReportGeneratorFile.ashx?EventID=20170322X15909&amp;AKey=1&amp;Rtype=Final&amp;IType=LA","PDF Report")</f>
        <v>PDF Report</v>
      </c>
    </row>
    <row r="1297" spans="1:22" x14ac:dyDescent="0.25">
      <c r="A1297" t="s">
        <v>4943</v>
      </c>
      <c r="B1297">
        <v>1</v>
      </c>
      <c r="C1297" s="5">
        <v>42710</v>
      </c>
      <c r="D1297" t="s">
        <v>4944</v>
      </c>
      <c r="E1297" t="s">
        <v>4945</v>
      </c>
      <c r="F1297" t="s">
        <v>459</v>
      </c>
      <c r="G1297" t="s">
        <v>66</v>
      </c>
      <c r="H1297" t="s">
        <v>33</v>
      </c>
      <c r="I1297">
        <v>1</v>
      </c>
      <c r="K1297" t="s">
        <v>90</v>
      </c>
      <c r="L1297" t="s">
        <v>35</v>
      </c>
      <c r="M1297" t="s">
        <v>36</v>
      </c>
      <c r="Q1297" t="s">
        <v>547</v>
      </c>
      <c r="R1297" t="s">
        <v>38</v>
      </c>
      <c r="S1297" t="s">
        <v>48</v>
      </c>
      <c r="T1297" t="s">
        <v>79</v>
      </c>
      <c r="U1297" t="s">
        <v>41</v>
      </c>
      <c r="V1297" s="9" t="str">
        <f>HYPERLINK("https://app.ntsb.gov/pdfgenerator/ReportGeneratorFile.ashx?EventID=20161206X45332&amp;AKey=1&amp;Rtype=Final&amp;IType=FA","PDF Report")</f>
        <v>PDF Report</v>
      </c>
    </row>
    <row r="1298" spans="1:22" x14ac:dyDescent="0.25">
      <c r="A1298" t="s">
        <v>4946</v>
      </c>
      <c r="B1298">
        <v>1</v>
      </c>
      <c r="C1298" s="5">
        <v>42711</v>
      </c>
      <c r="D1298" t="s">
        <v>4947</v>
      </c>
      <c r="E1298" t="s">
        <v>4948</v>
      </c>
      <c r="F1298" t="s">
        <v>2027</v>
      </c>
      <c r="G1298" t="s">
        <v>54</v>
      </c>
      <c r="H1298" t="s">
        <v>33</v>
      </c>
      <c r="I1298">
        <v>1</v>
      </c>
      <c r="K1298" t="s">
        <v>90</v>
      </c>
      <c r="L1298" t="s">
        <v>35</v>
      </c>
      <c r="M1298" t="s">
        <v>36</v>
      </c>
      <c r="Q1298" t="s">
        <v>37</v>
      </c>
      <c r="R1298" t="s">
        <v>38</v>
      </c>
      <c r="S1298" t="s">
        <v>48</v>
      </c>
      <c r="T1298" t="s">
        <v>40</v>
      </c>
      <c r="U1298" t="s">
        <v>41</v>
      </c>
      <c r="V1298" s="9" t="str">
        <f>HYPERLINK("https://app.ntsb.gov/pdfgenerator/ReportGeneratorFile.ashx?EventID=20161207X11223&amp;AKey=1&amp;Rtype=Final&amp;IType=FA","PDF Report")</f>
        <v>PDF Report</v>
      </c>
    </row>
    <row r="1299" spans="1:22" x14ac:dyDescent="0.25">
      <c r="A1299" t="s">
        <v>4949</v>
      </c>
      <c r="B1299">
        <v>1</v>
      </c>
      <c r="C1299" s="5">
        <v>42711</v>
      </c>
      <c r="D1299" t="s">
        <v>4950</v>
      </c>
      <c r="E1299" t="s">
        <v>4951</v>
      </c>
      <c r="F1299" t="s">
        <v>4952</v>
      </c>
      <c r="G1299" t="s">
        <v>109</v>
      </c>
      <c r="H1299" t="s">
        <v>33</v>
      </c>
      <c r="I1299">
        <v>1</v>
      </c>
      <c r="J1299">
        <v>1</v>
      </c>
      <c r="K1299" t="s">
        <v>90</v>
      </c>
      <c r="L1299" t="s">
        <v>35</v>
      </c>
      <c r="M1299" t="s">
        <v>473</v>
      </c>
      <c r="Q1299" t="s">
        <v>37</v>
      </c>
      <c r="R1299" t="s">
        <v>2230</v>
      </c>
      <c r="S1299" t="s">
        <v>48</v>
      </c>
      <c r="T1299" t="s">
        <v>40</v>
      </c>
      <c r="U1299" t="s">
        <v>41</v>
      </c>
      <c r="V1299" s="9" t="str">
        <f>HYPERLINK("https://app.ntsb.gov/pdfgenerator/ReportGeneratorFile.ashx?EventID=20161207X91325&amp;AKey=1&amp;Rtype=Final&amp;IType=FA","PDF Report")</f>
        <v>PDF Report</v>
      </c>
    </row>
    <row r="1300" spans="1:22" x14ac:dyDescent="0.25">
      <c r="A1300" t="s">
        <v>4953</v>
      </c>
      <c r="B1300">
        <v>1</v>
      </c>
      <c r="C1300" s="5">
        <v>42711</v>
      </c>
      <c r="D1300" t="s">
        <v>4954</v>
      </c>
      <c r="E1300" t="s">
        <v>4955</v>
      </c>
      <c r="F1300" t="s">
        <v>1388</v>
      </c>
      <c r="G1300" t="s">
        <v>54</v>
      </c>
      <c r="H1300" t="s">
        <v>33</v>
      </c>
      <c r="I1300">
        <v>4</v>
      </c>
      <c r="K1300" t="s">
        <v>90</v>
      </c>
      <c r="L1300" t="s">
        <v>35</v>
      </c>
      <c r="M1300" t="s">
        <v>36</v>
      </c>
      <c r="Q1300" t="s">
        <v>37</v>
      </c>
      <c r="R1300" t="s">
        <v>38</v>
      </c>
      <c r="S1300" t="s">
        <v>243</v>
      </c>
      <c r="T1300" t="s">
        <v>61</v>
      </c>
      <c r="U1300" t="s">
        <v>41</v>
      </c>
      <c r="V1300" s="9" t="str">
        <f>HYPERLINK("https://app.ntsb.gov/pdfgenerator/ReportGeneratorFile.ashx?EventID=20161209X24520&amp;AKey=1&amp;Rtype=Final&amp;IType=FA","PDF Report")</f>
        <v>PDF Report</v>
      </c>
    </row>
    <row r="1301" spans="1:22" x14ac:dyDescent="0.25">
      <c r="A1301" t="s">
        <v>4956</v>
      </c>
      <c r="B1301">
        <v>1</v>
      </c>
      <c r="C1301" s="5">
        <v>42711</v>
      </c>
      <c r="D1301" t="s">
        <v>4957</v>
      </c>
      <c r="E1301" t="s">
        <v>3060</v>
      </c>
      <c r="F1301" t="s">
        <v>282</v>
      </c>
      <c r="G1301" t="s">
        <v>96</v>
      </c>
      <c r="H1301" t="s">
        <v>33</v>
      </c>
      <c r="K1301" t="s">
        <v>34</v>
      </c>
      <c r="L1301" t="s">
        <v>35</v>
      </c>
      <c r="M1301" t="s">
        <v>36</v>
      </c>
      <c r="Q1301" t="s">
        <v>37</v>
      </c>
      <c r="R1301" t="s">
        <v>130</v>
      </c>
      <c r="S1301" t="s">
        <v>131</v>
      </c>
      <c r="T1301" t="s">
        <v>378</v>
      </c>
      <c r="U1301" t="s">
        <v>41</v>
      </c>
      <c r="V1301" s="9" t="str">
        <f>HYPERLINK("https://app.ntsb.gov/pdfgenerator/ReportGeneratorFile.ashx?EventID=20161212X71609&amp;AKey=1&amp;Rtype=Final&amp;IType=CA","PDF Report")</f>
        <v>PDF Report</v>
      </c>
    </row>
    <row r="1302" spans="1:22" x14ac:dyDescent="0.25">
      <c r="A1302" t="s">
        <v>4958</v>
      </c>
      <c r="B1302">
        <v>1</v>
      </c>
      <c r="C1302" s="5">
        <v>42711</v>
      </c>
      <c r="D1302" t="s">
        <v>4959</v>
      </c>
      <c r="E1302" t="s">
        <v>4960</v>
      </c>
      <c r="F1302" t="s">
        <v>4268</v>
      </c>
      <c r="G1302" t="s">
        <v>232</v>
      </c>
      <c r="H1302" t="s">
        <v>33</v>
      </c>
      <c r="K1302" t="s">
        <v>34</v>
      </c>
      <c r="L1302" t="s">
        <v>35</v>
      </c>
      <c r="M1302" t="s">
        <v>36</v>
      </c>
      <c r="Q1302" t="s">
        <v>37</v>
      </c>
      <c r="R1302" t="s">
        <v>38</v>
      </c>
      <c r="S1302" t="s">
        <v>131</v>
      </c>
      <c r="T1302" t="s">
        <v>73</v>
      </c>
      <c r="U1302" t="s">
        <v>41</v>
      </c>
      <c r="V1302" s="9" t="str">
        <f>HYPERLINK("https://app.ntsb.gov/pdfgenerator/ReportGeneratorFile.ashx?EventID=20161213X70014&amp;AKey=1&amp;Rtype=Final&amp;IType=CA","PDF Report")</f>
        <v>PDF Report</v>
      </c>
    </row>
    <row r="1303" spans="1:22" x14ac:dyDescent="0.25">
      <c r="A1303" t="s">
        <v>4961</v>
      </c>
      <c r="B1303">
        <v>1</v>
      </c>
      <c r="C1303" s="5">
        <v>42712</v>
      </c>
      <c r="D1303" t="s">
        <v>4962</v>
      </c>
      <c r="E1303" t="s">
        <v>4963</v>
      </c>
      <c r="F1303" t="s">
        <v>4964</v>
      </c>
      <c r="G1303" t="s">
        <v>597</v>
      </c>
      <c r="H1303" t="s">
        <v>4965</v>
      </c>
      <c r="K1303" t="s">
        <v>34</v>
      </c>
      <c r="L1303" t="s">
        <v>35</v>
      </c>
      <c r="M1303" t="s">
        <v>599</v>
      </c>
      <c r="Q1303" t="s">
        <v>37</v>
      </c>
      <c r="S1303" t="s">
        <v>584</v>
      </c>
      <c r="T1303" t="s">
        <v>378</v>
      </c>
      <c r="U1303" t="s">
        <v>41</v>
      </c>
      <c r="V1303" s="9" t="str">
        <f>HYPERLINK("https://app.ntsb.gov/pdfgenerator/ReportGeneratorFile.ashx?EventID=20161219X50132&amp;AKey=1&amp;Rtype=Final&amp;IType=WA","PDF Report")</f>
        <v>PDF Report</v>
      </c>
    </row>
    <row r="1304" spans="1:22" x14ac:dyDescent="0.25">
      <c r="A1304" t="s">
        <v>4966</v>
      </c>
      <c r="B1304">
        <v>1</v>
      </c>
      <c r="C1304" s="5">
        <v>42713</v>
      </c>
      <c r="D1304" t="s">
        <v>4967</v>
      </c>
      <c r="E1304" t="s">
        <v>4968</v>
      </c>
      <c r="F1304" t="s">
        <v>4969</v>
      </c>
      <c r="G1304" t="s">
        <v>401</v>
      </c>
      <c r="H1304" t="s">
        <v>33</v>
      </c>
      <c r="I1304">
        <v>1</v>
      </c>
      <c r="K1304" t="s">
        <v>90</v>
      </c>
      <c r="L1304" t="s">
        <v>110</v>
      </c>
      <c r="M1304" t="s">
        <v>36</v>
      </c>
      <c r="Q1304" t="s">
        <v>37</v>
      </c>
      <c r="R1304" t="s">
        <v>38</v>
      </c>
      <c r="S1304" t="s">
        <v>48</v>
      </c>
      <c r="T1304" t="s">
        <v>61</v>
      </c>
      <c r="U1304" t="s">
        <v>41</v>
      </c>
      <c r="V1304" s="9" t="str">
        <f>HYPERLINK("https://app.ntsb.gov/pdfgenerator/ReportGeneratorFile.ashx?EventID=20161210X01354&amp;AKey=1&amp;Rtype=Final&amp;IType=FA","PDF Report")</f>
        <v>PDF Report</v>
      </c>
    </row>
    <row r="1305" spans="1:22" x14ac:dyDescent="0.25">
      <c r="A1305" t="s">
        <v>4970</v>
      </c>
      <c r="B1305">
        <v>1</v>
      </c>
      <c r="C1305" s="5">
        <v>42714</v>
      </c>
      <c r="D1305" t="s">
        <v>4971</v>
      </c>
      <c r="E1305" t="s">
        <v>4972</v>
      </c>
      <c r="F1305" t="s">
        <v>3586</v>
      </c>
      <c r="G1305" t="s">
        <v>46</v>
      </c>
      <c r="H1305" t="s">
        <v>33</v>
      </c>
      <c r="J1305">
        <v>1</v>
      </c>
      <c r="K1305" t="s">
        <v>55</v>
      </c>
      <c r="L1305" t="s">
        <v>35</v>
      </c>
      <c r="M1305" t="s">
        <v>36</v>
      </c>
      <c r="Q1305" t="s">
        <v>37</v>
      </c>
      <c r="R1305" t="s">
        <v>38</v>
      </c>
      <c r="S1305" t="s">
        <v>39</v>
      </c>
      <c r="T1305" t="s">
        <v>143</v>
      </c>
      <c r="U1305" t="s">
        <v>41</v>
      </c>
      <c r="V1305" s="9" t="str">
        <f>HYPERLINK("https://app.ntsb.gov/pdfgenerator/ReportGeneratorFile.ashx?EventID=20161210X72024&amp;AKey=1&amp;Rtype=Final&amp;IType=LA","PDF Report")</f>
        <v>PDF Report</v>
      </c>
    </row>
    <row r="1306" spans="1:22" x14ac:dyDescent="0.25">
      <c r="A1306" t="s">
        <v>4973</v>
      </c>
      <c r="B1306">
        <v>1</v>
      </c>
      <c r="C1306" s="5">
        <v>42714</v>
      </c>
      <c r="D1306" t="s">
        <v>4974</v>
      </c>
      <c r="E1306" t="s">
        <v>4975</v>
      </c>
      <c r="F1306" t="s">
        <v>4976</v>
      </c>
      <c r="G1306" t="s">
        <v>96</v>
      </c>
      <c r="H1306" t="s">
        <v>33</v>
      </c>
      <c r="J1306">
        <v>1</v>
      </c>
      <c r="K1306" t="s">
        <v>55</v>
      </c>
      <c r="L1306" t="s">
        <v>110</v>
      </c>
      <c r="M1306" t="s">
        <v>36</v>
      </c>
      <c r="Q1306" t="s">
        <v>185</v>
      </c>
      <c r="R1306" t="s">
        <v>130</v>
      </c>
      <c r="S1306" t="s">
        <v>84</v>
      </c>
      <c r="T1306" t="s">
        <v>73</v>
      </c>
      <c r="U1306" t="s">
        <v>41</v>
      </c>
      <c r="V1306" s="9" t="str">
        <f>HYPERLINK("https://app.ntsb.gov/pdfgenerator/ReportGeneratorFile.ashx?EventID=20161213X85617&amp;AKey=1&amp;Rtype=Final&amp;IType=LA","PDF Report")</f>
        <v>PDF Report</v>
      </c>
    </row>
    <row r="1307" spans="1:22" x14ac:dyDescent="0.25">
      <c r="A1307" t="s">
        <v>4977</v>
      </c>
      <c r="B1307">
        <v>1</v>
      </c>
      <c r="C1307" s="5">
        <v>42715</v>
      </c>
      <c r="D1307" t="s">
        <v>4978</v>
      </c>
      <c r="E1307" t="s">
        <v>4979</v>
      </c>
      <c r="F1307" t="s">
        <v>4980</v>
      </c>
      <c r="G1307" t="s">
        <v>66</v>
      </c>
      <c r="H1307" t="s">
        <v>33</v>
      </c>
      <c r="J1307">
        <v>1</v>
      </c>
      <c r="K1307" t="s">
        <v>55</v>
      </c>
      <c r="L1307" t="s">
        <v>35</v>
      </c>
      <c r="M1307" t="s">
        <v>36</v>
      </c>
      <c r="Q1307" t="s">
        <v>37</v>
      </c>
      <c r="R1307" t="s">
        <v>38</v>
      </c>
      <c r="S1307" t="s">
        <v>39</v>
      </c>
      <c r="T1307" t="s">
        <v>61</v>
      </c>
      <c r="U1307" t="s">
        <v>41</v>
      </c>
      <c r="V1307" s="9" t="str">
        <f>HYPERLINK("https://app.ntsb.gov/pdfgenerator/ReportGeneratorFile.ashx?EventID=20161212X85310&amp;AKey=1&amp;Rtype=Final&amp;IType=LA","PDF Report")</f>
        <v>PDF Report</v>
      </c>
    </row>
    <row r="1308" spans="1:22" x14ac:dyDescent="0.25">
      <c r="A1308" t="s">
        <v>4981</v>
      </c>
      <c r="B1308">
        <v>1</v>
      </c>
      <c r="C1308" s="5">
        <v>42715</v>
      </c>
      <c r="D1308" t="s">
        <v>4982</v>
      </c>
      <c r="E1308" t="s">
        <v>4983</v>
      </c>
      <c r="F1308" t="s">
        <v>4984</v>
      </c>
      <c r="G1308" t="s">
        <v>32</v>
      </c>
      <c r="H1308" t="s">
        <v>33</v>
      </c>
      <c r="K1308" t="s">
        <v>34</v>
      </c>
      <c r="L1308" t="s">
        <v>35</v>
      </c>
      <c r="M1308" t="s">
        <v>36</v>
      </c>
      <c r="Q1308" t="s">
        <v>37</v>
      </c>
      <c r="R1308" t="s">
        <v>38</v>
      </c>
      <c r="S1308" t="s">
        <v>84</v>
      </c>
      <c r="T1308" t="s">
        <v>73</v>
      </c>
      <c r="U1308" t="s">
        <v>41</v>
      </c>
      <c r="V1308" s="9" t="str">
        <f>HYPERLINK("https://app.ntsb.gov/pdfgenerator/ReportGeneratorFile.ashx?EventID=20161213X85858&amp;AKey=1&amp;Rtype=Final&amp;IType=LA","PDF Report")</f>
        <v>PDF Report</v>
      </c>
    </row>
    <row r="1309" spans="1:22" x14ac:dyDescent="0.25">
      <c r="A1309" t="s">
        <v>4985</v>
      </c>
      <c r="B1309">
        <v>1</v>
      </c>
      <c r="C1309" s="5">
        <v>42715</v>
      </c>
      <c r="D1309" t="s">
        <v>4986</v>
      </c>
      <c r="E1309" t="s">
        <v>4987</v>
      </c>
      <c r="F1309" t="s">
        <v>4988</v>
      </c>
      <c r="G1309" t="s">
        <v>322</v>
      </c>
      <c r="H1309" t="s">
        <v>33</v>
      </c>
      <c r="K1309" t="s">
        <v>34</v>
      </c>
      <c r="L1309" t="s">
        <v>35</v>
      </c>
      <c r="M1309" t="s">
        <v>36</v>
      </c>
      <c r="Q1309" t="s">
        <v>37</v>
      </c>
      <c r="R1309" t="s">
        <v>38</v>
      </c>
      <c r="S1309" t="s">
        <v>39</v>
      </c>
      <c r="T1309" t="s">
        <v>61</v>
      </c>
      <c r="U1309" t="s">
        <v>41</v>
      </c>
      <c r="V1309" s="9" t="str">
        <f>HYPERLINK("https://app.ntsb.gov/pdfgenerator/ReportGeneratorFile.ashx?EventID=20161216X91529&amp;AKey=1&amp;Rtype=Final&amp;IType=LA","PDF Report")</f>
        <v>PDF Report</v>
      </c>
    </row>
    <row r="1310" spans="1:22" x14ac:dyDescent="0.25">
      <c r="A1310" t="s">
        <v>4989</v>
      </c>
      <c r="B1310">
        <v>1</v>
      </c>
      <c r="C1310" s="5">
        <v>42715</v>
      </c>
      <c r="D1310" t="s">
        <v>4990</v>
      </c>
      <c r="E1310" t="s">
        <v>4991</v>
      </c>
      <c r="F1310" t="s">
        <v>1867</v>
      </c>
      <c r="G1310" t="s">
        <v>115</v>
      </c>
      <c r="H1310" t="s">
        <v>33</v>
      </c>
      <c r="K1310" t="s">
        <v>34</v>
      </c>
      <c r="L1310" t="s">
        <v>35</v>
      </c>
      <c r="M1310" t="s">
        <v>36</v>
      </c>
      <c r="Q1310" t="s">
        <v>37</v>
      </c>
      <c r="R1310" t="s">
        <v>38</v>
      </c>
      <c r="S1310" t="s">
        <v>163</v>
      </c>
      <c r="T1310" t="s">
        <v>164</v>
      </c>
      <c r="U1310" t="s">
        <v>41</v>
      </c>
      <c r="V1310" s="9" t="str">
        <f>HYPERLINK("https://app.ntsb.gov/pdfgenerator/ReportGeneratorFile.ashx?EventID=20161221X81720&amp;AKey=1&amp;Rtype=Final&amp;IType=CA","PDF Report")</f>
        <v>PDF Report</v>
      </c>
    </row>
    <row r="1311" spans="1:22" x14ac:dyDescent="0.25">
      <c r="A1311" t="s">
        <v>4989</v>
      </c>
      <c r="B1311">
        <v>2</v>
      </c>
      <c r="C1311" s="5">
        <v>42715</v>
      </c>
      <c r="D1311" t="s">
        <v>4990</v>
      </c>
      <c r="E1311" t="s">
        <v>4991</v>
      </c>
      <c r="F1311" t="s">
        <v>1867</v>
      </c>
      <c r="G1311" t="s">
        <v>115</v>
      </c>
      <c r="H1311" t="s">
        <v>33</v>
      </c>
      <c r="K1311" t="s">
        <v>34</v>
      </c>
      <c r="L1311" t="s">
        <v>47</v>
      </c>
      <c r="M1311" t="s">
        <v>36</v>
      </c>
      <c r="Q1311" t="s">
        <v>37</v>
      </c>
      <c r="R1311" t="s">
        <v>130</v>
      </c>
      <c r="S1311" t="s">
        <v>163</v>
      </c>
      <c r="T1311" t="s">
        <v>164</v>
      </c>
      <c r="U1311" t="s">
        <v>41</v>
      </c>
      <c r="V1311" s="9" t="str">
        <f>HYPERLINK("https://app.ntsb.gov/pdfgenerator/ReportGeneratorFile.ashx?EventID=20161221X81720&amp;AKey=2&amp;Rtype=Final&amp;IType=CA","PDF Report")</f>
        <v>PDF Report</v>
      </c>
    </row>
    <row r="1312" spans="1:22" x14ac:dyDescent="0.25">
      <c r="A1312" t="s">
        <v>4992</v>
      </c>
      <c r="B1312">
        <v>1</v>
      </c>
      <c r="C1312" s="5">
        <v>42716</v>
      </c>
      <c r="D1312" t="s">
        <v>4993</v>
      </c>
      <c r="E1312" t="s">
        <v>4994</v>
      </c>
      <c r="F1312" t="s">
        <v>4995</v>
      </c>
      <c r="G1312" t="s">
        <v>242</v>
      </c>
      <c r="H1312" t="s">
        <v>33</v>
      </c>
      <c r="I1312">
        <v>1</v>
      </c>
      <c r="K1312" t="s">
        <v>90</v>
      </c>
      <c r="L1312" t="s">
        <v>110</v>
      </c>
      <c r="M1312" t="s">
        <v>56</v>
      </c>
      <c r="N1312" t="s">
        <v>510</v>
      </c>
      <c r="O1312" t="s">
        <v>58</v>
      </c>
      <c r="P1312" t="s">
        <v>162</v>
      </c>
      <c r="Q1312" t="s">
        <v>37</v>
      </c>
      <c r="S1312" t="s">
        <v>48</v>
      </c>
      <c r="T1312" t="s">
        <v>143</v>
      </c>
      <c r="U1312" t="s">
        <v>41</v>
      </c>
      <c r="V1312" s="9" t="str">
        <f>HYPERLINK("https://app.ntsb.gov/pdfgenerator/ReportGeneratorFile.ashx?EventID=20161212X23428&amp;AKey=1&amp;Rtype=Final&amp;IType=FA","PDF Report")</f>
        <v>PDF Report</v>
      </c>
    </row>
    <row r="1313" spans="1:22" x14ac:dyDescent="0.25">
      <c r="A1313" t="s">
        <v>4996</v>
      </c>
      <c r="B1313">
        <v>1</v>
      </c>
      <c r="C1313" s="5">
        <v>42716</v>
      </c>
      <c r="D1313" t="s">
        <v>4997</v>
      </c>
      <c r="E1313" t="s">
        <v>4998</v>
      </c>
      <c r="F1313" t="s">
        <v>4999</v>
      </c>
      <c r="G1313" t="s">
        <v>115</v>
      </c>
      <c r="H1313" t="s">
        <v>33</v>
      </c>
      <c r="K1313" t="s">
        <v>47</v>
      </c>
      <c r="L1313" t="s">
        <v>35</v>
      </c>
      <c r="M1313" t="s">
        <v>36</v>
      </c>
      <c r="Q1313" t="s">
        <v>37</v>
      </c>
      <c r="R1313" t="s">
        <v>38</v>
      </c>
      <c r="S1313" t="s">
        <v>48</v>
      </c>
      <c r="T1313" t="s">
        <v>79</v>
      </c>
      <c r="U1313" t="s">
        <v>41</v>
      </c>
      <c r="V1313" s="9" t="str">
        <f>HYPERLINK("https://app.ntsb.gov/pdfgenerator/ReportGeneratorFile.ashx?EventID=20161212X35012&amp;AKey=1&amp;Rtype=Final&amp;IType=CA","PDF Report")</f>
        <v>PDF Report</v>
      </c>
    </row>
    <row r="1314" spans="1:22" x14ac:dyDescent="0.25">
      <c r="A1314" t="s">
        <v>5000</v>
      </c>
      <c r="B1314">
        <v>1</v>
      </c>
      <c r="C1314" s="5">
        <v>42717</v>
      </c>
      <c r="D1314" t="s">
        <v>5001</v>
      </c>
      <c r="E1314" t="s">
        <v>5002</v>
      </c>
      <c r="F1314" t="s">
        <v>1286</v>
      </c>
      <c r="G1314" t="s">
        <v>206</v>
      </c>
      <c r="H1314" t="s">
        <v>33</v>
      </c>
      <c r="J1314">
        <v>1</v>
      </c>
      <c r="K1314" t="s">
        <v>55</v>
      </c>
      <c r="L1314" t="s">
        <v>34</v>
      </c>
      <c r="M1314" t="s">
        <v>103</v>
      </c>
      <c r="N1314" t="s">
        <v>57</v>
      </c>
      <c r="O1314" t="s">
        <v>58</v>
      </c>
      <c r="P1314" t="s">
        <v>59</v>
      </c>
      <c r="Q1314" t="s">
        <v>37</v>
      </c>
      <c r="S1314" t="s">
        <v>104</v>
      </c>
      <c r="T1314" t="s">
        <v>61</v>
      </c>
      <c r="U1314" t="s">
        <v>41</v>
      </c>
      <c r="V1314" s="9" t="str">
        <f>HYPERLINK("https://app.ntsb.gov/pdfgenerator/ReportGeneratorFile.ashx?EventID=20161216X60544&amp;AKey=1&amp;Rtype=Final&amp;IType=CA","PDF Report")</f>
        <v>PDF Report</v>
      </c>
    </row>
    <row r="1315" spans="1:22" x14ac:dyDescent="0.25">
      <c r="A1315" t="s">
        <v>5003</v>
      </c>
      <c r="B1315">
        <v>1</v>
      </c>
      <c r="C1315" s="5">
        <v>42717</v>
      </c>
      <c r="D1315" t="s">
        <v>5004</v>
      </c>
      <c r="E1315" t="s">
        <v>5005</v>
      </c>
      <c r="F1315" t="s">
        <v>5006</v>
      </c>
      <c r="G1315" t="s">
        <v>115</v>
      </c>
      <c r="H1315" t="s">
        <v>33</v>
      </c>
      <c r="K1315" t="s">
        <v>34</v>
      </c>
      <c r="L1315" t="s">
        <v>35</v>
      </c>
      <c r="M1315" t="s">
        <v>36</v>
      </c>
      <c r="Q1315" t="s">
        <v>37</v>
      </c>
      <c r="R1315" t="s">
        <v>38</v>
      </c>
      <c r="S1315" t="s">
        <v>377</v>
      </c>
      <c r="T1315" t="s">
        <v>378</v>
      </c>
      <c r="U1315" t="s">
        <v>41</v>
      </c>
      <c r="V1315" s="9" t="str">
        <f>HYPERLINK("https://app.ntsb.gov/pdfgenerator/ReportGeneratorFile.ashx?EventID=20170222X20442&amp;AKey=1&amp;Rtype=Final&amp;IType=CA","PDF Report")</f>
        <v>PDF Report</v>
      </c>
    </row>
    <row r="1316" spans="1:22" x14ac:dyDescent="0.25">
      <c r="A1316" t="s">
        <v>5007</v>
      </c>
      <c r="B1316">
        <v>1</v>
      </c>
      <c r="C1316" s="5">
        <v>42719</v>
      </c>
      <c r="D1316" t="s">
        <v>5008</v>
      </c>
      <c r="E1316" t="s">
        <v>5009</v>
      </c>
      <c r="F1316" t="s">
        <v>5010</v>
      </c>
      <c r="G1316" t="s">
        <v>666</v>
      </c>
      <c r="H1316" t="s">
        <v>33</v>
      </c>
      <c r="K1316" t="s">
        <v>34</v>
      </c>
      <c r="L1316" t="s">
        <v>35</v>
      </c>
      <c r="M1316" t="s">
        <v>36</v>
      </c>
      <c r="Q1316" t="s">
        <v>185</v>
      </c>
      <c r="R1316" t="s">
        <v>38</v>
      </c>
      <c r="S1316" t="s">
        <v>834</v>
      </c>
      <c r="T1316" t="s">
        <v>79</v>
      </c>
      <c r="U1316" t="s">
        <v>41</v>
      </c>
      <c r="V1316" s="9" t="str">
        <f>HYPERLINK("https://app.ntsb.gov/pdfgenerator/ReportGeneratorFile.ashx?EventID=20161215X83449&amp;AKey=1&amp;Rtype=Final&amp;IType=CA","PDF Report")</f>
        <v>PDF Report</v>
      </c>
    </row>
    <row r="1317" spans="1:22" x14ac:dyDescent="0.25">
      <c r="A1317" t="s">
        <v>5011</v>
      </c>
      <c r="B1317">
        <v>1</v>
      </c>
      <c r="C1317" s="5">
        <v>42719</v>
      </c>
      <c r="D1317" t="s">
        <v>5012</v>
      </c>
      <c r="E1317" t="s">
        <v>5013</v>
      </c>
      <c r="F1317" t="s">
        <v>5014</v>
      </c>
      <c r="G1317" t="s">
        <v>54</v>
      </c>
      <c r="H1317" t="s">
        <v>33</v>
      </c>
      <c r="I1317">
        <v>2</v>
      </c>
      <c r="K1317" t="s">
        <v>90</v>
      </c>
      <c r="L1317" t="s">
        <v>35</v>
      </c>
      <c r="M1317" t="s">
        <v>36</v>
      </c>
      <c r="Q1317" t="s">
        <v>37</v>
      </c>
      <c r="R1317" t="s">
        <v>38</v>
      </c>
      <c r="S1317" t="s">
        <v>191</v>
      </c>
      <c r="T1317" t="s">
        <v>61</v>
      </c>
      <c r="U1317" t="s">
        <v>1953</v>
      </c>
      <c r="V1317" s="9" t="str">
        <f>HYPERLINK("https://app.ntsb.gov/pdfgenerator/ReportGeneratorFile.ashx?EventID=20161216X23127&amp;AKey=1&amp;Rtype=Final&amp;IType=FA","PDF Report")</f>
        <v>PDF Report</v>
      </c>
    </row>
    <row r="1318" spans="1:22" x14ac:dyDescent="0.25">
      <c r="A1318" t="s">
        <v>5015</v>
      </c>
      <c r="B1318">
        <v>1</v>
      </c>
      <c r="C1318" s="5">
        <v>42719</v>
      </c>
      <c r="D1318" t="s">
        <v>5016</v>
      </c>
      <c r="E1318" t="s">
        <v>5017</v>
      </c>
      <c r="F1318" t="s">
        <v>5018</v>
      </c>
      <c r="G1318" t="s">
        <v>142</v>
      </c>
      <c r="H1318" t="s">
        <v>33</v>
      </c>
      <c r="K1318" t="s">
        <v>34</v>
      </c>
      <c r="L1318" t="s">
        <v>35</v>
      </c>
      <c r="M1318" t="s">
        <v>36</v>
      </c>
      <c r="Q1318" t="s">
        <v>37</v>
      </c>
      <c r="R1318" t="s">
        <v>130</v>
      </c>
      <c r="S1318" t="s">
        <v>131</v>
      </c>
      <c r="T1318" t="s">
        <v>73</v>
      </c>
      <c r="U1318" t="s">
        <v>41</v>
      </c>
      <c r="V1318" s="9" t="str">
        <f>HYPERLINK("https://app.ntsb.gov/pdfgenerator/ReportGeneratorFile.ashx?EventID=20161220X24626&amp;AKey=1&amp;Rtype=Final&amp;IType=CA","PDF Report")</f>
        <v>PDF Report</v>
      </c>
    </row>
    <row r="1319" spans="1:22" x14ac:dyDescent="0.25">
      <c r="A1319" t="s">
        <v>5019</v>
      </c>
      <c r="B1319">
        <v>1</v>
      </c>
      <c r="C1319" s="5">
        <v>42719</v>
      </c>
      <c r="D1319" t="s">
        <v>5020</v>
      </c>
      <c r="E1319" t="s">
        <v>5021</v>
      </c>
      <c r="F1319" t="s">
        <v>4084</v>
      </c>
      <c r="G1319" t="s">
        <v>54</v>
      </c>
      <c r="H1319" t="s">
        <v>33</v>
      </c>
      <c r="K1319" t="s">
        <v>34</v>
      </c>
      <c r="L1319" t="s">
        <v>35</v>
      </c>
      <c r="M1319" t="s">
        <v>56</v>
      </c>
      <c r="N1319" t="s">
        <v>57</v>
      </c>
      <c r="O1319" t="s">
        <v>58</v>
      </c>
      <c r="P1319" t="s">
        <v>162</v>
      </c>
      <c r="Q1319" t="s">
        <v>37</v>
      </c>
      <c r="S1319" t="s">
        <v>243</v>
      </c>
      <c r="T1319" t="s">
        <v>49</v>
      </c>
      <c r="U1319" t="s">
        <v>41</v>
      </c>
      <c r="V1319" s="9" t="str">
        <f>HYPERLINK("https://app.ntsb.gov/pdfgenerator/ReportGeneratorFile.ashx?EventID=20161228X02152&amp;AKey=1&amp;Rtype=Final&amp;IType=CA","PDF Report")</f>
        <v>PDF Report</v>
      </c>
    </row>
    <row r="1320" spans="1:22" x14ac:dyDescent="0.25">
      <c r="A1320" t="s">
        <v>5022</v>
      </c>
      <c r="B1320">
        <v>1</v>
      </c>
      <c r="C1320" s="5">
        <v>42720</v>
      </c>
      <c r="D1320" t="s">
        <v>5023</v>
      </c>
      <c r="E1320" t="s">
        <v>5024</v>
      </c>
      <c r="F1320" t="s">
        <v>5025</v>
      </c>
      <c r="G1320" t="s">
        <v>407</v>
      </c>
      <c r="H1320" t="s">
        <v>33</v>
      </c>
      <c r="K1320" t="s">
        <v>34</v>
      </c>
      <c r="L1320" t="s">
        <v>35</v>
      </c>
      <c r="M1320" t="s">
        <v>36</v>
      </c>
      <c r="Q1320" t="s">
        <v>37</v>
      </c>
      <c r="R1320" t="s">
        <v>38</v>
      </c>
      <c r="S1320" t="s">
        <v>196</v>
      </c>
      <c r="T1320" t="s">
        <v>49</v>
      </c>
      <c r="U1320" t="s">
        <v>41</v>
      </c>
      <c r="V1320" s="9" t="str">
        <f>HYPERLINK("https://app.ntsb.gov/pdfgenerator/ReportGeneratorFile.ashx?EventID=20161219X04338&amp;AKey=1&amp;Rtype=Final&amp;IType=LA","PDF Report")</f>
        <v>PDF Report</v>
      </c>
    </row>
    <row r="1321" spans="1:22" x14ac:dyDescent="0.25">
      <c r="A1321" t="s">
        <v>5026</v>
      </c>
      <c r="B1321">
        <v>1</v>
      </c>
      <c r="C1321" s="5">
        <v>42720</v>
      </c>
      <c r="D1321" t="s">
        <v>5027</v>
      </c>
      <c r="E1321" t="s">
        <v>5028</v>
      </c>
      <c r="F1321" t="s">
        <v>5029</v>
      </c>
      <c r="G1321" t="s">
        <v>401</v>
      </c>
      <c r="H1321" t="s">
        <v>33</v>
      </c>
      <c r="K1321" t="s">
        <v>34</v>
      </c>
      <c r="L1321" t="s">
        <v>35</v>
      </c>
      <c r="M1321" t="s">
        <v>36</v>
      </c>
      <c r="Q1321" t="s">
        <v>37</v>
      </c>
      <c r="R1321" t="s">
        <v>38</v>
      </c>
      <c r="S1321" t="s">
        <v>191</v>
      </c>
      <c r="T1321" t="s">
        <v>79</v>
      </c>
      <c r="U1321" t="s">
        <v>41</v>
      </c>
      <c r="V1321" s="9" t="str">
        <f>HYPERLINK("https://app.ntsb.gov/pdfgenerator/ReportGeneratorFile.ashx?EventID=20170110X44641&amp;AKey=1&amp;Rtype=Final&amp;IType=CA","PDF Report")</f>
        <v>PDF Report</v>
      </c>
    </row>
    <row r="1322" spans="1:22" x14ac:dyDescent="0.25">
      <c r="A1322" t="s">
        <v>5030</v>
      </c>
      <c r="B1322">
        <v>1</v>
      </c>
      <c r="C1322" s="5">
        <v>42721</v>
      </c>
      <c r="D1322" t="s">
        <v>5031</v>
      </c>
      <c r="E1322" t="s">
        <v>5032</v>
      </c>
      <c r="F1322" t="s">
        <v>4691</v>
      </c>
      <c r="G1322" t="s">
        <v>115</v>
      </c>
      <c r="H1322" t="s">
        <v>33</v>
      </c>
      <c r="J1322">
        <v>1</v>
      </c>
      <c r="K1322" t="s">
        <v>55</v>
      </c>
      <c r="L1322" t="s">
        <v>35</v>
      </c>
      <c r="M1322" t="s">
        <v>36</v>
      </c>
      <c r="Q1322" t="s">
        <v>37</v>
      </c>
      <c r="R1322" t="s">
        <v>38</v>
      </c>
      <c r="S1322" t="s">
        <v>97</v>
      </c>
      <c r="T1322" t="s">
        <v>40</v>
      </c>
      <c r="U1322" t="s">
        <v>41</v>
      </c>
      <c r="V1322" s="9" t="str">
        <f>HYPERLINK("https://app.ntsb.gov/pdfgenerator/ReportGeneratorFile.ashx?EventID=20161219X82252&amp;AKey=1&amp;Rtype=Final&amp;IType=LA","PDF Report")</f>
        <v>PDF Report</v>
      </c>
    </row>
    <row r="1323" spans="1:22" x14ac:dyDescent="0.25">
      <c r="A1323" t="s">
        <v>5033</v>
      </c>
      <c r="B1323">
        <v>1</v>
      </c>
      <c r="C1323" s="5">
        <v>42722</v>
      </c>
      <c r="D1323" t="s">
        <v>5034</v>
      </c>
      <c r="E1323" t="s">
        <v>5035</v>
      </c>
      <c r="F1323" t="s">
        <v>1082</v>
      </c>
      <c r="G1323" t="s">
        <v>54</v>
      </c>
      <c r="H1323" t="s">
        <v>33</v>
      </c>
      <c r="K1323" t="s">
        <v>47</v>
      </c>
      <c r="L1323" t="s">
        <v>35</v>
      </c>
      <c r="M1323" t="s">
        <v>36</v>
      </c>
      <c r="Q1323" t="s">
        <v>185</v>
      </c>
      <c r="R1323" t="s">
        <v>130</v>
      </c>
      <c r="S1323" t="s">
        <v>191</v>
      </c>
      <c r="T1323" t="s">
        <v>73</v>
      </c>
      <c r="U1323" t="s">
        <v>41</v>
      </c>
      <c r="V1323" s="9" t="str">
        <f>HYPERLINK("https://app.ntsb.gov/pdfgenerator/ReportGeneratorFile.ashx?EventID=20161219X44123&amp;AKey=1&amp;Rtype=Final&amp;IType=LA","PDF Report")</f>
        <v>PDF Report</v>
      </c>
    </row>
    <row r="1324" spans="1:22" x14ac:dyDescent="0.25">
      <c r="A1324" t="s">
        <v>5036</v>
      </c>
      <c r="B1324">
        <v>1</v>
      </c>
      <c r="C1324" s="5">
        <v>42722</v>
      </c>
      <c r="D1324" t="s">
        <v>5037</v>
      </c>
      <c r="E1324" t="s">
        <v>5038</v>
      </c>
      <c r="F1324" t="s">
        <v>2388</v>
      </c>
      <c r="G1324" t="s">
        <v>538</v>
      </c>
      <c r="H1324" t="s">
        <v>33</v>
      </c>
      <c r="K1324" t="s">
        <v>34</v>
      </c>
      <c r="L1324" t="s">
        <v>35</v>
      </c>
      <c r="M1324" t="s">
        <v>36</v>
      </c>
      <c r="Q1324" t="s">
        <v>37</v>
      </c>
      <c r="R1324" t="s">
        <v>38</v>
      </c>
      <c r="S1324" t="s">
        <v>39</v>
      </c>
      <c r="T1324" t="s">
        <v>61</v>
      </c>
      <c r="U1324" t="s">
        <v>41</v>
      </c>
      <c r="V1324" s="9" t="str">
        <f>HYPERLINK("https://app.ntsb.gov/pdfgenerator/ReportGeneratorFile.ashx?EventID=20161220X20645&amp;AKey=1&amp;Rtype=Final&amp;IType=LA","PDF Report")</f>
        <v>PDF Report</v>
      </c>
    </row>
    <row r="1325" spans="1:22" x14ac:dyDescent="0.25">
      <c r="A1325" t="s">
        <v>5039</v>
      </c>
      <c r="B1325">
        <v>1</v>
      </c>
      <c r="C1325" s="5">
        <v>42722</v>
      </c>
      <c r="D1325" t="s">
        <v>5040</v>
      </c>
      <c r="E1325" t="s">
        <v>5041</v>
      </c>
      <c r="F1325" t="s">
        <v>5042</v>
      </c>
      <c r="G1325" t="s">
        <v>66</v>
      </c>
      <c r="H1325" t="s">
        <v>33</v>
      </c>
      <c r="J1325">
        <v>1</v>
      </c>
      <c r="K1325" t="s">
        <v>55</v>
      </c>
      <c r="L1325" t="s">
        <v>35</v>
      </c>
      <c r="M1325" t="s">
        <v>36</v>
      </c>
      <c r="Q1325" t="s">
        <v>37</v>
      </c>
      <c r="R1325" t="s">
        <v>38</v>
      </c>
      <c r="S1325" t="s">
        <v>97</v>
      </c>
      <c r="T1325" t="s">
        <v>61</v>
      </c>
      <c r="U1325" t="s">
        <v>41</v>
      </c>
      <c r="V1325" s="9" t="str">
        <f>HYPERLINK("https://app.ntsb.gov/pdfgenerator/ReportGeneratorFile.ashx?EventID=20161222X35640&amp;AKey=1&amp;Rtype=Final&amp;IType=CA","PDF Report")</f>
        <v>PDF Report</v>
      </c>
    </row>
    <row r="1326" spans="1:22" x14ac:dyDescent="0.25">
      <c r="A1326" t="s">
        <v>5043</v>
      </c>
      <c r="B1326">
        <v>1</v>
      </c>
      <c r="C1326" s="5">
        <v>42723</v>
      </c>
      <c r="D1326" t="s">
        <v>5044</v>
      </c>
      <c r="E1326" t="s">
        <v>5045</v>
      </c>
      <c r="F1326" t="s">
        <v>3812</v>
      </c>
      <c r="G1326" t="s">
        <v>115</v>
      </c>
      <c r="H1326" t="s">
        <v>33</v>
      </c>
      <c r="K1326" t="s">
        <v>47</v>
      </c>
      <c r="L1326" t="s">
        <v>35</v>
      </c>
      <c r="M1326" t="s">
        <v>36</v>
      </c>
      <c r="Q1326" t="s">
        <v>37</v>
      </c>
      <c r="R1326" t="s">
        <v>130</v>
      </c>
      <c r="S1326" t="s">
        <v>584</v>
      </c>
      <c r="T1326" t="s">
        <v>61</v>
      </c>
      <c r="U1326" t="s">
        <v>41</v>
      </c>
      <c r="V1326" s="9" t="str">
        <f>HYPERLINK("https://app.ntsb.gov/pdfgenerator/ReportGeneratorFile.ashx?EventID=20161219X24048&amp;AKey=1&amp;Rtype=Final&amp;IType=LA","PDF Report")</f>
        <v>PDF Report</v>
      </c>
    </row>
    <row r="1327" spans="1:22" x14ac:dyDescent="0.25">
      <c r="A1327" t="s">
        <v>5046</v>
      </c>
      <c r="B1327">
        <v>1</v>
      </c>
      <c r="C1327" s="5">
        <v>42724</v>
      </c>
      <c r="D1327" t="s">
        <v>5047</v>
      </c>
      <c r="E1327" t="s">
        <v>5048</v>
      </c>
      <c r="F1327" t="s">
        <v>5049</v>
      </c>
      <c r="G1327" t="s">
        <v>538</v>
      </c>
      <c r="H1327" t="s">
        <v>33</v>
      </c>
      <c r="K1327" t="s">
        <v>34</v>
      </c>
      <c r="L1327" t="s">
        <v>35</v>
      </c>
      <c r="M1327" t="s">
        <v>36</v>
      </c>
      <c r="Q1327" t="s">
        <v>37</v>
      </c>
      <c r="R1327" t="s">
        <v>38</v>
      </c>
      <c r="S1327" t="s">
        <v>131</v>
      </c>
      <c r="T1327" t="s">
        <v>73</v>
      </c>
      <c r="U1327" t="s">
        <v>41</v>
      </c>
      <c r="V1327" s="9" t="str">
        <f>HYPERLINK("https://app.ntsb.gov/pdfgenerator/ReportGeneratorFile.ashx?EventID=20161221X21120&amp;AKey=1&amp;Rtype=Final&amp;IType=LA","PDF Report")</f>
        <v>PDF Report</v>
      </c>
    </row>
    <row r="1328" spans="1:22" x14ac:dyDescent="0.25">
      <c r="A1328" t="s">
        <v>5050</v>
      </c>
      <c r="B1328">
        <v>1</v>
      </c>
      <c r="C1328" s="5">
        <v>42725</v>
      </c>
      <c r="D1328" t="s">
        <v>1615</v>
      </c>
      <c r="E1328" t="s">
        <v>5051</v>
      </c>
      <c r="F1328" t="s">
        <v>1617</v>
      </c>
      <c r="G1328" t="s">
        <v>312</v>
      </c>
      <c r="H1328" t="s">
        <v>33</v>
      </c>
      <c r="K1328" t="s">
        <v>47</v>
      </c>
      <c r="L1328" t="s">
        <v>35</v>
      </c>
      <c r="M1328" t="s">
        <v>36</v>
      </c>
      <c r="Q1328" t="s">
        <v>37</v>
      </c>
      <c r="R1328" t="s">
        <v>38</v>
      </c>
      <c r="S1328" t="s">
        <v>39</v>
      </c>
      <c r="T1328" t="s">
        <v>79</v>
      </c>
      <c r="U1328" t="s">
        <v>41</v>
      </c>
      <c r="V1328" s="9" t="str">
        <f>HYPERLINK("https://app.ntsb.gov/pdfgenerator/ReportGeneratorFile.ashx?EventID=20161222X21701&amp;AKey=1&amp;Rtype=Final&amp;IType=LA","PDF Report")</f>
        <v>PDF Report</v>
      </c>
    </row>
    <row r="1329" spans="1:22" x14ac:dyDescent="0.25">
      <c r="A1329" t="s">
        <v>5052</v>
      </c>
      <c r="B1329">
        <v>1</v>
      </c>
      <c r="C1329" s="5">
        <v>42726</v>
      </c>
      <c r="D1329" t="s">
        <v>5053</v>
      </c>
      <c r="E1329" t="s">
        <v>5054</v>
      </c>
      <c r="F1329" t="s">
        <v>5055</v>
      </c>
      <c r="G1329" t="s">
        <v>169</v>
      </c>
      <c r="H1329" t="s">
        <v>33</v>
      </c>
      <c r="K1329" t="s">
        <v>47</v>
      </c>
      <c r="L1329" t="s">
        <v>35</v>
      </c>
      <c r="M1329" t="s">
        <v>36</v>
      </c>
      <c r="Q1329" t="s">
        <v>37</v>
      </c>
      <c r="R1329" t="s">
        <v>38</v>
      </c>
      <c r="S1329" t="s">
        <v>48</v>
      </c>
      <c r="T1329" t="s">
        <v>79</v>
      </c>
      <c r="U1329" t="s">
        <v>41</v>
      </c>
      <c r="V1329" s="9" t="str">
        <f>HYPERLINK("https://app.ntsb.gov/pdfgenerator/ReportGeneratorFile.ashx?EventID=20161228X42814&amp;AKey=1&amp;Rtype=Final&amp;IType=CA","PDF Report")</f>
        <v>PDF Report</v>
      </c>
    </row>
    <row r="1330" spans="1:22" x14ac:dyDescent="0.25">
      <c r="A1330" t="s">
        <v>5056</v>
      </c>
      <c r="B1330">
        <v>1</v>
      </c>
      <c r="C1330" s="5">
        <v>42727</v>
      </c>
      <c r="D1330" t="s">
        <v>5057</v>
      </c>
      <c r="E1330" t="s">
        <v>5058</v>
      </c>
      <c r="F1330" t="s">
        <v>5059</v>
      </c>
      <c r="G1330" t="s">
        <v>801</v>
      </c>
      <c r="H1330" t="s">
        <v>33</v>
      </c>
      <c r="I1330">
        <v>1</v>
      </c>
      <c r="K1330" t="s">
        <v>90</v>
      </c>
      <c r="L1330" t="s">
        <v>35</v>
      </c>
      <c r="M1330" t="s">
        <v>36</v>
      </c>
      <c r="Q1330" t="s">
        <v>37</v>
      </c>
      <c r="R1330" t="s">
        <v>38</v>
      </c>
      <c r="S1330" t="s">
        <v>39</v>
      </c>
      <c r="T1330" t="s">
        <v>143</v>
      </c>
      <c r="U1330" t="s">
        <v>41</v>
      </c>
      <c r="V1330" s="9" t="str">
        <f>HYPERLINK("https://app.ntsb.gov/pdfgenerator/ReportGeneratorFile.ashx?EventID=20161223X22808&amp;AKey=1&amp;Rtype=Final&amp;IType=FA","PDF Report")</f>
        <v>PDF Report</v>
      </c>
    </row>
    <row r="1331" spans="1:22" x14ac:dyDescent="0.25">
      <c r="A1331" t="s">
        <v>5060</v>
      </c>
      <c r="B1331">
        <v>1</v>
      </c>
      <c r="C1331" s="5">
        <v>42727</v>
      </c>
      <c r="D1331" t="s">
        <v>5061</v>
      </c>
      <c r="E1331" t="s">
        <v>4336</v>
      </c>
      <c r="F1331" t="s">
        <v>2774</v>
      </c>
      <c r="G1331" t="s">
        <v>683</v>
      </c>
      <c r="H1331" t="s">
        <v>33</v>
      </c>
      <c r="K1331" t="s">
        <v>47</v>
      </c>
      <c r="L1331" t="s">
        <v>35</v>
      </c>
      <c r="M1331" t="s">
        <v>36</v>
      </c>
      <c r="Q1331" t="s">
        <v>37</v>
      </c>
      <c r="R1331" t="s">
        <v>130</v>
      </c>
      <c r="S1331" t="s">
        <v>84</v>
      </c>
      <c r="T1331" t="s">
        <v>73</v>
      </c>
      <c r="U1331" t="s">
        <v>41</v>
      </c>
      <c r="V1331" s="9" t="str">
        <f>HYPERLINK("https://app.ntsb.gov/pdfgenerator/ReportGeneratorFile.ashx?EventID=20161227X70812&amp;AKey=1&amp;Rtype=Final&amp;IType=CA","PDF Report")</f>
        <v>PDF Report</v>
      </c>
    </row>
    <row r="1332" spans="1:22" x14ac:dyDescent="0.25">
      <c r="A1332" t="s">
        <v>5062</v>
      </c>
      <c r="B1332">
        <v>1</v>
      </c>
      <c r="C1332" s="5">
        <v>42727</v>
      </c>
      <c r="D1332" t="s">
        <v>5063</v>
      </c>
      <c r="E1332" t="s">
        <v>5064</v>
      </c>
      <c r="F1332" t="s">
        <v>5065</v>
      </c>
      <c r="G1332" t="s">
        <v>538</v>
      </c>
      <c r="H1332" t="s">
        <v>33</v>
      </c>
      <c r="K1332" t="s">
        <v>34</v>
      </c>
      <c r="L1332" t="s">
        <v>35</v>
      </c>
      <c r="M1332" t="s">
        <v>36</v>
      </c>
      <c r="Q1332" t="s">
        <v>37</v>
      </c>
      <c r="R1332" t="s">
        <v>38</v>
      </c>
      <c r="S1332" t="s">
        <v>131</v>
      </c>
      <c r="T1332" t="s">
        <v>73</v>
      </c>
      <c r="U1332" t="s">
        <v>41</v>
      </c>
      <c r="V1332" s="9" t="str">
        <f>HYPERLINK("https://app.ntsb.gov/pdfgenerator/ReportGeneratorFile.ashx?EventID=20161228X95551&amp;AKey=1&amp;Rtype=Final&amp;IType=CA","PDF Report")</f>
        <v>PDF Report</v>
      </c>
    </row>
    <row r="1333" spans="1:22" x14ac:dyDescent="0.25">
      <c r="A1333" t="s">
        <v>5066</v>
      </c>
      <c r="B1333">
        <v>1</v>
      </c>
      <c r="C1333" s="5">
        <v>42727</v>
      </c>
      <c r="D1333" t="s">
        <v>5067</v>
      </c>
      <c r="E1333" t="s">
        <v>5068</v>
      </c>
      <c r="F1333" t="s">
        <v>5069</v>
      </c>
      <c r="G1333" t="s">
        <v>109</v>
      </c>
      <c r="H1333" t="s">
        <v>33</v>
      </c>
      <c r="K1333" t="s">
        <v>34</v>
      </c>
      <c r="L1333" t="s">
        <v>35</v>
      </c>
      <c r="M1333" t="s">
        <v>36</v>
      </c>
      <c r="Q1333" t="s">
        <v>37</v>
      </c>
      <c r="R1333" t="s">
        <v>38</v>
      </c>
      <c r="S1333" t="s">
        <v>396</v>
      </c>
      <c r="T1333" t="s">
        <v>73</v>
      </c>
      <c r="U1333" t="s">
        <v>41</v>
      </c>
      <c r="V1333" s="9" t="str">
        <f>HYPERLINK("https://app.ntsb.gov/pdfgenerator/ReportGeneratorFile.ashx?EventID=20170103X05521&amp;AKey=1&amp;Rtype=Final&amp;IType=LA","PDF Report")</f>
        <v>PDF Report</v>
      </c>
    </row>
    <row r="1334" spans="1:22" x14ac:dyDescent="0.25">
      <c r="A1334" t="s">
        <v>5070</v>
      </c>
      <c r="B1334">
        <v>1</v>
      </c>
      <c r="C1334" s="5">
        <v>42727</v>
      </c>
      <c r="D1334" t="s">
        <v>5071</v>
      </c>
      <c r="E1334" t="s">
        <v>5072</v>
      </c>
      <c r="F1334" t="s">
        <v>5073</v>
      </c>
      <c r="G1334" t="s">
        <v>407</v>
      </c>
      <c r="H1334" t="s">
        <v>33</v>
      </c>
      <c r="K1334" t="s">
        <v>34</v>
      </c>
      <c r="L1334" t="s">
        <v>35</v>
      </c>
      <c r="M1334" t="s">
        <v>36</v>
      </c>
      <c r="Q1334" t="s">
        <v>37</v>
      </c>
      <c r="R1334" t="s">
        <v>38</v>
      </c>
      <c r="S1334" t="s">
        <v>131</v>
      </c>
      <c r="T1334" t="s">
        <v>73</v>
      </c>
      <c r="U1334" t="s">
        <v>41</v>
      </c>
      <c r="V1334" s="9" t="str">
        <f>HYPERLINK("https://app.ntsb.gov/pdfgenerator/ReportGeneratorFile.ashx?EventID=20170105X62347&amp;AKey=1&amp;Rtype=Final&amp;IType=LA","PDF Report")</f>
        <v>PDF Report</v>
      </c>
    </row>
    <row r="1335" spans="1:22" x14ac:dyDescent="0.25">
      <c r="A1335" t="s">
        <v>5074</v>
      </c>
      <c r="B1335">
        <v>1</v>
      </c>
      <c r="C1335" s="5">
        <v>42728</v>
      </c>
      <c r="D1335" t="s">
        <v>5075</v>
      </c>
      <c r="E1335" t="s">
        <v>5076</v>
      </c>
      <c r="F1335" t="s">
        <v>5006</v>
      </c>
      <c r="G1335" t="s">
        <v>115</v>
      </c>
      <c r="H1335" t="s">
        <v>33</v>
      </c>
      <c r="K1335" t="s">
        <v>34</v>
      </c>
      <c r="L1335" t="s">
        <v>35</v>
      </c>
      <c r="M1335" t="s">
        <v>36</v>
      </c>
      <c r="Q1335" t="s">
        <v>37</v>
      </c>
      <c r="R1335" t="s">
        <v>130</v>
      </c>
      <c r="S1335" t="s">
        <v>84</v>
      </c>
      <c r="T1335" t="s">
        <v>73</v>
      </c>
      <c r="U1335" t="s">
        <v>41</v>
      </c>
      <c r="V1335" s="9" t="str">
        <f>HYPERLINK("https://app.ntsb.gov/pdfgenerator/ReportGeneratorFile.ashx?EventID=20161229X15542&amp;AKey=1&amp;Rtype=Final&amp;IType=CA","PDF Report")</f>
        <v>PDF Report</v>
      </c>
    </row>
    <row r="1336" spans="1:22" x14ac:dyDescent="0.25">
      <c r="A1336" t="s">
        <v>5077</v>
      </c>
      <c r="B1336">
        <v>1</v>
      </c>
      <c r="C1336" s="5">
        <v>42730</v>
      </c>
      <c r="D1336" t="s">
        <v>5078</v>
      </c>
      <c r="E1336" t="s">
        <v>5079</v>
      </c>
      <c r="F1336" t="s">
        <v>156</v>
      </c>
      <c r="G1336" t="s">
        <v>66</v>
      </c>
      <c r="H1336" t="s">
        <v>33</v>
      </c>
      <c r="I1336">
        <v>2</v>
      </c>
      <c r="K1336" t="s">
        <v>90</v>
      </c>
      <c r="L1336" t="s">
        <v>110</v>
      </c>
      <c r="M1336" t="s">
        <v>36</v>
      </c>
      <c r="Q1336" t="s">
        <v>37</v>
      </c>
      <c r="R1336" t="s">
        <v>38</v>
      </c>
      <c r="S1336" t="s">
        <v>48</v>
      </c>
      <c r="T1336" t="s">
        <v>143</v>
      </c>
      <c r="U1336" t="s">
        <v>41</v>
      </c>
      <c r="V1336" s="9" t="str">
        <f>HYPERLINK("https://app.ntsb.gov/pdfgenerator/ReportGeneratorFile.ashx?EventID=20161226X80840&amp;AKey=1&amp;Rtype=Final&amp;IType=FA","PDF Report")</f>
        <v>PDF Report</v>
      </c>
    </row>
    <row r="1337" spans="1:22" x14ac:dyDescent="0.25">
      <c r="A1337" t="s">
        <v>5080</v>
      </c>
      <c r="B1337">
        <v>1</v>
      </c>
      <c r="C1337" s="5">
        <v>42730</v>
      </c>
      <c r="D1337" t="s">
        <v>5081</v>
      </c>
      <c r="E1337" t="s">
        <v>5082</v>
      </c>
      <c r="F1337" t="s">
        <v>5083</v>
      </c>
      <c r="G1337" t="s">
        <v>142</v>
      </c>
      <c r="H1337" t="s">
        <v>33</v>
      </c>
      <c r="I1337">
        <v>3</v>
      </c>
      <c r="K1337" t="s">
        <v>90</v>
      </c>
      <c r="L1337" t="s">
        <v>110</v>
      </c>
      <c r="M1337" t="s">
        <v>36</v>
      </c>
      <c r="Q1337" t="s">
        <v>37</v>
      </c>
      <c r="R1337" t="s">
        <v>38</v>
      </c>
      <c r="S1337" t="s">
        <v>60</v>
      </c>
      <c r="T1337" t="s">
        <v>61</v>
      </c>
      <c r="U1337" t="s">
        <v>41</v>
      </c>
      <c r="V1337" s="9" t="str">
        <f>HYPERLINK("https://app.ntsb.gov/pdfgenerator/ReportGeneratorFile.ashx?EventID=20161227X03229&amp;AKey=1&amp;Rtype=Final&amp;IType=FA","PDF Report")</f>
        <v>PDF Report</v>
      </c>
    </row>
    <row r="1338" spans="1:22" x14ac:dyDescent="0.25">
      <c r="A1338" t="s">
        <v>5084</v>
      </c>
      <c r="B1338">
        <v>1</v>
      </c>
      <c r="C1338" s="5">
        <v>42731</v>
      </c>
      <c r="D1338" t="s">
        <v>5085</v>
      </c>
      <c r="E1338" t="s">
        <v>5086</v>
      </c>
      <c r="F1338" t="s">
        <v>2589</v>
      </c>
      <c r="G1338" t="s">
        <v>180</v>
      </c>
      <c r="H1338" t="s">
        <v>33</v>
      </c>
      <c r="J1338">
        <v>1</v>
      </c>
      <c r="K1338" t="s">
        <v>55</v>
      </c>
      <c r="L1338" t="s">
        <v>35</v>
      </c>
      <c r="M1338" t="s">
        <v>36</v>
      </c>
      <c r="Q1338" t="s">
        <v>37</v>
      </c>
      <c r="R1338" t="s">
        <v>38</v>
      </c>
      <c r="S1338" t="s">
        <v>97</v>
      </c>
      <c r="T1338" t="s">
        <v>40</v>
      </c>
      <c r="U1338" t="s">
        <v>41</v>
      </c>
      <c r="V1338" s="9" t="str">
        <f>HYPERLINK("https://app.ntsb.gov/pdfgenerator/ReportGeneratorFile.ashx?EventID=20161227X00453&amp;AKey=1&amp;Rtype=Final&amp;IType=LA","PDF Report")</f>
        <v>PDF Report</v>
      </c>
    </row>
    <row r="1339" spans="1:22" x14ac:dyDescent="0.25">
      <c r="A1339" t="s">
        <v>5087</v>
      </c>
      <c r="B1339">
        <v>1</v>
      </c>
      <c r="C1339" s="5">
        <v>42731</v>
      </c>
      <c r="D1339" t="s">
        <v>5088</v>
      </c>
      <c r="E1339" t="s">
        <v>5089</v>
      </c>
      <c r="F1339" t="s">
        <v>5090</v>
      </c>
      <c r="G1339" t="s">
        <v>348</v>
      </c>
      <c r="H1339" t="s">
        <v>33</v>
      </c>
      <c r="K1339" t="s">
        <v>47</v>
      </c>
      <c r="L1339" t="s">
        <v>35</v>
      </c>
      <c r="M1339" t="s">
        <v>36</v>
      </c>
      <c r="Q1339" t="s">
        <v>37</v>
      </c>
      <c r="R1339" t="s">
        <v>38</v>
      </c>
      <c r="S1339" t="s">
        <v>396</v>
      </c>
      <c r="T1339" t="s">
        <v>49</v>
      </c>
      <c r="U1339" t="s">
        <v>41</v>
      </c>
      <c r="V1339" s="9" t="str">
        <f>HYPERLINK("https://app.ntsb.gov/pdfgenerator/ReportGeneratorFile.ashx?EventID=20161227X80237&amp;AKey=1&amp;Rtype=Final&amp;IType=LA","PDF Report")</f>
        <v>PDF Report</v>
      </c>
    </row>
    <row r="1340" spans="1:22" x14ac:dyDescent="0.25">
      <c r="A1340" t="s">
        <v>5091</v>
      </c>
      <c r="B1340">
        <v>1</v>
      </c>
      <c r="C1340" s="5">
        <v>42731</v>
      </c>
      <c r="D1340" t="s">
        <v>5092</v>
      </c>
      <c r="E1340" t="s">
        <v>5093</v>
      </c>
      <c r="F1340" t="s">
        <v>5094</v>
      </c>
      <c r="G1340" t="s">
        <v>115</v>
      </c>
      <c r="H1340" t="s">
        <v>33</v>
      </c>
      <c r="I1340">
        <v>2</v>
      </c>
      <c r="K1340" t="s">
        <v>90</v>
      </c>
      <c r="L1340" t="s">
        <v>35</v>
      </c>
      <c r="M1340" t="s">
        <v>36</v>
      </c>
      <c r="Q1340" t="s">
        <v>37</v>
      </c>
      <c r="R1340" t="s">
        <v>38</v>
      </c>
      <c r="S1340" t="s">
        <v>48</v>
      </c>
      <c r="T1340" t="s">
        <v>79</v>
      </c>
      <c r="U1340" t="s">
        <v>41</v>
      </c>
      <c r="V1340" s="9" t="str">
        <f>HYPERLINK("https://app.ntsb.gov/pdfgenerator/ReportGeneratorFile.ashx?EventID=20161227X85755&amp;AKey=1&amp;Rtype=Final&amp;IType=FA","PDF Report")</f>
        <v>PDF Report</v>
      </c>
    </row>
    <row r="1341" spans="1:22" x14ac:dyDescent="0.25">
      <c r="A1341" t="s">
        <v>5095</v>
      </c>
      <c r="B1341">
        <v>1</v>
      </c>
      <c r="C1341" s="5">
        <v>42731</v>
      </c>
      <c r="D1341" t="s">
        <v>5096</v>
      </c>
      <c r="E1341" t="s">
        <v>5097</v>
      </c>
      <c r="F1341" t="s">
        <v>5098</v>
      </c>
      <c r="G1341" t="s">
        <v>66</v>
      </c>
      <c r="H1341" t="s">
        <v>33</v>
      </c>
      <c r="K1341" t="s">
        <v>34</v>
      </c>
      <c r="L1341" t="s">
        <v>35</v>
      </c>
      <c r="M1341" t="s">
        <v>36</v>
      </c>
      <c r="Q1341" t="s">
        <v>37</v>
      </c>
      <c r="R1341" t="s">
        <v>137</v>
      </c>
      <c r="S1341" t="s">
        <v>39</v>
      </c>
      <c r="T1341" t="s">
        <v>79</v>
      </c>
      <c r="U1341" t="s">
        <v>41</v>
      </c>
      <c r="V1341" s="9" t="str">
        <f>HYPERLINK("https://app.ntsb.gov/pdfgenerator/ReportGeneratorFile.ashx?EventID=20161228X11654&amp;AKey=1&amp;Rtype=Final&amp;IType=LA","PDF Report")</f>
        <v>PDF Report</v>
      </c>
    </row>
    <row r="1342" spans="1:22" x14ac:dyDescent="0.25">
      <c r="A1342" t="s">
        <v>5099</v>
      </c>
      <c r="B1342">
        <v>1</v>
      </c>
      <c r="C1342" s="5">
        <v>42731</v>
      </c>
      <c r="D1342" t="s">
        <v>5100</v>
      </c>
      <c r="E1342" t="s">
        <v>5101</v>
      </c>
      <c r="F1342" t="s">
        <v>5102</v>
      </c>
      <c r="G1342" t="s">
        <v>348</v>
      </c>
      <c r="H1342" t="s">
        <v>33</v>
      </c>
      <c r="K1342" t="s">
        <v>34</v>
      </c>
      <c r="L1342" t="s">
        <v>35</v>
      </c>
      <c r="M1342" t="s">
        <v>36</v>
      </c>
      <c r="Q1342" t="s">
        <v>37</v>
      </c>
      <c r="R1342" t="s">
        <v>38</v>
      </c>
      <c r="S1342" t="s">
        <v>396</v>
      </c>
      <c r="T1342" t="s">
        <v>73</v>
      </c>
      <c r="U1342" t="s">
        <v>41</v>
      </c>
      <c r="V1342" s="9" t="str">
        <f>HYPERLINK("https://app.ntsb.gov/pdfgenerator/ReportGeneratorFile.ashx?EventID=20161229X93022&amp;AKey=1&amp;Rtype=Final&amp;IType=LA","PDF Report")</f>
        <v>PDF Report</v>
      </c>
    </row>
    <row r="1343" spans="1:22" x14ac:dyDescent="0.25">
      <c r="A1343" t="s">
        <v>5103</v>
      </c>
      <c r="B1343">
        <v>1</v>
      </c>
      <c r="C1343" s="5">
        <v>42732</v>
      </c>
      <c r="D1343" t="s">
        <v>5104</v>
      </c>
      <c r="E1343" t="s">
        <v>5105</v>
      </c>
      <c r="F1343" t="s">
        <v>5106</v>
      </c>
      <c r="G1343" t="s">
        <v>395</v>
      </c>
      <c r="H1343" t="s">
        <v>33</v>
      </c>
      <c r="K1343" t="s">
        <v>34</v>
      </c>
      <c r="L1343" t="s">
        <v>35</v>
      </c>
      <c r="M1343" t="s">
        <v>36</v>
      </c>
      <c r="Q1343" t="s">
        <v>37</v>
      </c>
      <c r="R1343" t="s">
        <v>38</v>
      </c>
      <c r="S1343" t="s">
        <v>131</v>
      </c>
      <c r="T1343" t="s">
        <v>378</v>
      </c>
      <c r="U1343" t="s">
        <v>41</v>
      </c>
      <c r="V1343" s="9" t="str">
        <f>HYPERLINK("https://app.ntsb.gov/pdfgenerator/ReportGeneratorFile.ashx?EventID=20170130X43816&amp;AKey=1&amp;Rtype=Final&amp;IType=LA","PDF Report")</f>
        <v>PDF Report</v>
      </c>
    </row>
    <row r="1344" spans="1:22" x14ac:dyDescent="0.25">
      <c r="A1344" t="s">
        <v>5107</v>
      </c>
      <c r="B1344">
        <v>1</v>
      </c>
      <c r="C1344" s="5">
        <v>42733</v>
      </c>
      <c r="D1344" t="s">
        <v>5108</v>
      </c>
      <c r="E1344" t="s">
        <v>5109</v>
      </c>
      <c r="F1344" t="s">
        <v>5110</v>
      </c>
      <c r="G1344" t="s">
        <v>66</v>
      </c>
      <c r="H1344" t="s">
        <v>33</v>
      </c>
      <c r="J1344">
        <v>1</v>
      </c>
      <c r="K1344" t="s">
        <v>55</v>
      </c>
      <c r="L1344" t="s">
        <v>35</v>
      </c>
      <c r="M1344" t="s">
        <v>36</v>
      </c>
      <c r="Q1344" t="s">
        <v>185</v>
      </c>
      <c r="R1344" t="s">
        <v>38</v>
      </c>
      <c r="S1344" t="s">
        <v>1330</v>
      </c>
      <c r="T1344" t="s">
        <v>79</v>
      </c>
      <c r="U1344" t="s">
        <v>41</v>
      </c>
      <c r="V1344" s="9" t="str">
        <f>HYPERLINK("https://app.ntsb.gov/pdfgenerator/ReportGeneratorFile.ashx?EventID=20161230X15938&amp;AKey=1&amp;Rtype=Final&amp;IType=LA","PDF Report")</f>
        <v>PDF Report</v>
      </c>
    </row>
    <row r="1345" spans="1:22" x14ac:dyDescent="0.25">
      <c r="A1345" t="s">
        <v>5111</v>
      </c>
      <c r="B1345">
        <v>1</v>
      </c>
      <c r="C1345" s="5">
        <v>42733</v>
      </c>
      <c r="D1345" t="s">
        <v>5112</v>
      </c>
      <c r="E1345" t="s">
        <v>5113</v>
      </c>
      <c r="F1345" t="s">
        <v>865</v>
      </c>
      <c r="G1345" t="s">
        <v>142</v>
      </c>
      <c r="H1345" t="s">
        <v>33</v>
      </c>
      <c r="K1345" t="s">
        <v>34</v>
      </c>
      <c r="L1345" t="s">
        <v>35</v>
      </c>
      <c r="M1345" t="s">
        <v>36</v>
      </c>
      <c r="Q1345" t="s">
        <v>37</v>
      </c>
      <c r="R1345" t="s">
        <v>38</v>
      </c>
      <c r="S1345" t="s">
        <v>131</v>
      </c>
      <c r="T1345" t="s">
        <v>73</v>
      </c>
      <c r="U1345" t="s">
        <v>41</v>
      </c>
      <c r="V1345" s="9" t="str">
        <f>HYPERLINK("https://app.ntsb.gov/pdfgenerator/ReportGeneratorFile.ashx?EventID=20161230X44407&amp;AKey=1&amp;Rtype=Final&amp;IType=CA","PDF Report")</f>
        <v>PDF Report</v>
      </c>
    </row>
    <row r="1346" spans="1:22" x14ac:dyDescent="0.25">
      <c r="A1346" t="s">
        <v>5114</v>
      </c>
      <c r="B1346">
        <v>1</v>
      </c>
      <c r="C1346" s="5">
        <v>42733</v>
      </c>
      <c r="D1346" t="s">
        <v>5115</v>
      </c>
      <c r="E1346" t="s">
        <v>5116</v>
      </c>
      <c r="F1346" t="s">
        <v>5117</v>
      </c>
      <c r="G1346" t="s">
        <v>32</v>
      </c>
      <c r="H1346" t="s">
        <v>33</v>
      </c>
      <c r="I1346">
        <v>4</v>
      </c>
      <c r="K1346" t="s">
        <v>90</v>
      </c>
      <c r="L1346" t="s">
        <v>35</v>
      </c>
      <c r="M1346" t="s">
        <v>36</v>
      </c>
      <c r="Q1346" t="s">
        <v>37</v>
      </c>
      <c r="R1346" t="s">
        <v>38</v>
      </c>
      <c r="S1346" t="s">
        <v>243</v>
      </c>
      <c r="T1346" t="s">
        <v>61</v>
      </c>
      <c r="U1346" t="s">
        <v>41</v>
      </c>
      <c r="V1346" s="9" t="str">
        <f>HYPERLINK("https://app.ntsb.gov/pdfgenerator/ReportGeneratorFile.ashx?EventID=20161230X55950&amp;AKey=1&amp;Rtype=Final&amp;IType=FA","PDF Report")</f>
        <v>PDF Report</v>
      </c>
    </row>
    <row r="1347" spans="1:22" x14ac:dyDescent="0.25">
      <c r="A1347" t="s">
        <v>5118</v>
      </c>
      <c r="B1347">
        <v>1</v>
      </c>
      <c r="C1347" s="5">
        <v>42733</v>
      </c>
      <c r="D1347" t="s">
        <v>5119</v>
      </c>
      <c r="E1347" t="s">
        <v>5120</v>
      </c>
      <c r="F1347" t="s">
        <v>2806</v>
      </c>
      <c r="G1347" t="s">
        <v>312</v>
      </c>
      <c r="H1347" t="s">
        <v>33</v>
      </c>
      <c r="I1347">
        <v>6</v>
      </c>
      <c r="K1347" t="s">
        <v>90</v>
      </c>
      <c r="L1347" t="s">
        <v>110</v>
      </c>
      <c r="M1347" t="s">
        <v>36</v>
      </c>
      <c r="Q1347" t="s">
        <v>37</v>
      </c>
      <c r="R1347" t="s">
        <v>38</v>
      </c>
      <c r="S1347" t="s">
        <v>48</v>
      </c>
      <c r="T1347" t="s">
        <v>143</v>
      </c>
      <c r="U1347" t="s">
        <v>41</v>
      </c>
      <c r="V1347" s="9" t="str">
        <f>HYPERLINK("https://app.ntsb.gov/pdfgenerator/ReportGeneratorFile.ashx?EventID=20161230X91745&amp;AKey=1&amp;Rtype=Final&amp;IType=FA","PDF Report")</f>
        <v>PDF Report</v>
      </c>
    </row>
    <row r="1348" spans="1:22" x14ac:dyDescent="0.25">
      <c r="A1348" t="s">
        <v>5121</v>
      </c>
      <c r="B1348">
        <v>1</v>
      </c>
      <c r="C1348" s="5">
        <v>42733</v>
      </c>
      <c r="D1348" t="s">
        <v>5122</v>
      </c>
      <c r="E1348" t="s">
        <v>5123</v>
      </c>
      <c r="F1348" t="s">
        <v>5124</v>
      </c>
      <c r="G1348" t="s">
        <v>287</v>
      </c>
      <c r="H1348" t="s">
        <v>33</v>
      </c>
      <c r="K1348" t="s">
        <v>34</v>
      </c>
      <c r="L1348" t="s">
        <v>35</v>
      </c>
      <c r="M1348" t="s">
        <v>36</v>
      </c>
      <c r="Q1348" t="s">
        <v>37</v>
      </c>
      <c r="R1348" t="s">
        <v>38</v>
      </c>
      <c r="S1348" t="s">
        <v>39</v>
      </c>
      <c r="T1348" t="s">
        <v>61</v>
      </c>
      <c r="U1348" t="s">
        <v>41</v>
      </c>
      <c r="V1348" s="9" t="str">
        <f>HYPERLINK("https://app.ntsb.gov/pdfgenerator/ReportGeneratorFile.ashx?EventID=20170106X54538&amp;AKey=1&amp;Rtype=Final&amp;IType=LA","PDF Report")</f>
        <v>PDF Report</v>
      </c>
    </row>
    <row r="1349" spans="1:22" x14ac:dyDescent="0.25">
      <c r="A1349" t="s">
        <v>5125</v>
      </c>
      <c r="B1349">
        <v>1</v>
      </c>
      <c r="C1349" s="5">
        <v>42734</v>
      </c>
      <c r="D1349" t="s">
        <v>5126</v>
      </c>
      <c r="E1349" t="s">
        <v>5127</v>
      </c>
      <c r="F1349" t="s">
        <v>4375</v>
      </c>
      <c r="G1349" t="s">
        <v>115</v>
      </c>
      <c r="H1349" t="s">
        <v>33</v>
      </c>
      <c r="K1349" t="s">
        <v>34</v>
      </c>
      <c r="L1349" t="s">
        <v>35</v>
      </c>
      <c r="M1349" t="s">
        <v>36</v>
      </c>
      <c r="Q1349" t="s">
        <v>37</v>
      </c>
      <c r="R1349" t="s">
        <v>130</v>
      </c>
      <c r="S1349" t="s">
        <v>48</v>
      </c>
      <c r="T1349" t="s">
        <v>143</v>
      </c>
      <c r="U1349" t="s">
        <v>41</v>
      </c>
      <c r="V1349" s="9" t="str">
        <f>HYPERLINK("https://app.ntsb.gov/pdfgenerator/ReportGeneratorFile.ashx?EventID=20161230X43442&amp;AKey=1&amp;Rtype=Final&amp;IType=LA","PDF Report")</f>
        <v>PDF Report</v>
      </c>
    </row>
    <row r="1350" spans="1:22" x14ac:dyDescent="0.25">
      <c r="A1350" t="s">
        <v>5128</v>
      </c>
      <c r="B1350">
        <v>1</v>
      </c>
      <c r="C1350" s="5">
        <v>42734</v>
      </c>
      <c r="D1350" t="s">
        <v>5129</v>
      </c>
      <c r="E1350" t="s">
        <v>5130</v>
      </c>
      <c r="F1350" t="s">
        <v>5131</v>
      </c>
      <c r="G1350" t="s">
        <v>232</v>
      </c>
      <c r="H1350" t="s">
        <v>33</v>
      </c>
      <c r="I1350">
        <v>3</v>
      </c>
      <c r="K1350" t="s">
        <v>90</v>
      </c>
      <c r="L1350" t="s">
        <v>2361</v>
      </c>
      <c r="M1350" t="s">
        <v>36</v>
      </c>
      <c r="Q1350" t="s">
        <v>37</v>
      </c>
      <c r="R1350" t="s">
        <v>38</v>
      </c>
      <c r="S1350" t="s">
        <v>243</v>
      </c>
      <c r="T1350" t="s">
        <v>243</v>
      </c>
      <c r="U1350" t="s">
        <v>41</v>
      </c>
      <c r="V1350" s="9" t="str">
        <f>HYPERLINK("https://app.ntsb.gov/pdfgenerator/ReportGeneratorFile.ashx?EventID=20170105X04225&amp;AKey=1&amp;Rtype=Final&amp;IType=FA","PDF Report")</f>
        <v>PDF Report</v>
      </c>
    </row>
    <row r="1351" spans="1:22" x14ac:dyDescent="0.25">
      <c r="A1351" t="s">
        <v>5132</v>
      </c>
      <c r="B1351">
        <v>1</v>
      </c>
      <c r="C1351" s="5">
        <v>42735</v>
      </c>
      <c r="D1351" t="s">
        <v>5133</v>
      </c>
      <c r="E1351" t="s">
        <v>3702</v>
      </c>
      <c r="F1351" t="s">
        <v>1613</v>
      </c>
      <c r="G1351" t="s">
        <v>96</v>
      </c>
      <c r="H1351" t="s">
        <v>33</v>
      </c>
      <c r="I1351">
        <v>3</v>
      </c>
      <c r="K1351" t="s">
        <v>90</v>
      </c>
      <c r="L1351" t="s">
        <v>110</v>
      </c>
      <c r="M1351" t="s">
        <v>36</v>
      </c>
      <c r="Q1351" t="s">
        <v>37</v>
      </c>
      <c r="R1351" t="s">
        <v>38</v>
      </c>
      <c r="S1351" t="s">
        <v>433</v>
      </c>
      <c r="T1351" t="s">
        <v>79</v>
      </c>
      <c r="U1351" t="s">
        <v>41</v>
      </c>
      <c r="V1351" s="9" t="str">
        <f>HYPERLINK("https://app.ntsb.gov/pdfgenerator/ReportGeneratorFile.ashx?EventID=20161231X24638&amp;AKey=1&amp;Rtype=Final&amp;IType=FA","PDF Report")</f>
        <v>PDF Report</v>
      </c>
    </row>
    <row r="1352" spans="1:22" x14ac:dyDescent="0.25">
      <c r="A1352" t="s">
        <v>5132</v>
      </c>
      <c r="B1352">
        <v>2</v>
      </c>
      <c r="C1352" s="5">
        <v>42735</v>
      </c>
      <c r="D1352" t="s">
        <v>5133</v>
      </c>
      <c r="E1352" t="s">
        <v>3702</v>
      </c>
      <c r="F1352" t="s">
        <v>1613</v>
      </c>
      <c r="G1352" t="s">
        <v>96</v>
      </c>
      <c r="H1352" t="s">
        <v>33</v>
      </c>
      <c r="I1352">
        <v>3</v>
      </c>
      <c r="K1352" t="s">
        <v>90</v>
      </c>
      <c r="L1352" t="s">
        <v>110</v>
      </c>
      <c r="M1352" t="s">
        <v>36</v>
      </c>
      <c r="Q1352" t="s">
        <v>37</v>
      </c>
      <c r="R1352" t="s">
        <v>38</v>
      </c>
      <c r="S1352" t="s">
        <v>433</v>
      </c>
      <c r="T1352" t="s">
        <v>79</v>
      </c>
      <c r="U1352" t="s">
        <v>41</v>
      </c>
      <c r="V1352" s="9" t="str">
        <f>HYPERLINK("https://app.ntsb.gov/pdfgenerator/ReportGeneratorFile.ashx?EventID=20161231X24638&amp;AKey=2&amp;Rtype=Final&amp;IType=FA","PDF Report")</f>
        <v>PDF Report</v>
      </c>
    </row>
    <row r="1353" spans="1:22" x14ac:dyDescent="0.25">
      <c r="A1353" t="s">
        <v>5134</v>
      </c>
      <c r="B1353">
        <v>1</v>
      </c>
      <c r="C1353" s="5">
        <v>42735</v>
      </c>
      <c r="D1353" t="s">
        <v>5135</v>
      </c>
      <c r="E1353" t="s">
        <v>5136</v>
      </c>
      <c r="F1353" t="s">
        <v>5137</v>
      </c>
      <c r="G1353" t="s">
        <v>401</v>
      </c>
      <c r="H1353" t="s">
        <v>33</v>
      </c>
      <c r="I1353">
        <v>4</v>
      </c>
      <c r="K1353" t="s">
        <v>90</v>
      </c>
      <c r="L1353" t="s">
        <v>110</v>
      </c>
      <c r="M1353" t="s">
        <v>36</v>
      </c>
      <c r="Q1353" t="s">
        <v>37</v>
      </c>
      <c r="R1353" t="s">
        <v>38</v>
      </c>
      <c r="S1353" t="s">
        <v>91</v>
      </c>
      <c r="T1353" t="s">
        <v>61</v>
      </c>
      <c r="U1353" t="s">
        <v>41</v>
      </c>
      <c r="V1353" s="9" t="str">
        <f>HYPERLINK("https://app.ntsb.gov/pdfgenerator/ReportGeneratorFile.ashx?EventID=20161231X32244&amp;AKey=1&amp;Rtype=Final&amp;IType=FA","PDF Report")</f>
        <v>PDF Report</v>
      </c>
    </row>
    <row r="1354" spans="1:22" x14ac:dyDescent="0.25">
      <c r="A1354" t="s">
        <v>5138</v>
      </c>
      <c r="B1354">
        <v>1</v>
      </c>
      <c r="C1354" s="5">
        <v>42735</v>
      </c>
      <c r="D1354" t="s">
        <v>5139</v>
      </c>
      <c r="E1354" t="s">
        <v>5140</v>
      </c>
      <c r="F1354" t="s">
        <v>1150</v>
      </c>
      <c r="G1354" t="s">
        <v>348</v>
      </c>
      <c r="H1354" t="s">
        <v>33</v>
      </c>
      <c r="J1354">
        <v>1</v>
      </c>
      <c r="K1354" t="s">
        <v>55</v>
      </c>
      <c r="L1354" t="s">
        <v>35</v>
      </c>
      <c r="M1354" t="s">
        <v>36</v>
      </c>
      <c r="Q1354" t="s">
        <v>37</v>
      </c>
      <c r="R1354" t="s">
        <v>38</v>
      </c>
      <c r="S1354" t="s">
        <v>196</v>
      </c>
      <c r="T1354" t="s">
        <v>61</v>
      </c>
      <c r="U1354" t="s">
        <v>41</v>
      </c>
      <c r="V1354" s="9" t="str">
        <f>HYPERLINK("https://app.ntsb.gov/pdfgenerator/ReportGeneratorFile.ashx?EventID=20170103X51006&amp;AKey=1&amp;Rtype=Final&amp;IType=LA","PDF Report")</f>
        <v>PDF Report</v>
      </c>
    </row>
    <row r="1355" spans="1:22" x14ac:dyDescent="0.25">
      <c r="A1355" t="s">
        <v>5141</v>
      </c>
      <c r="B1355">
        <v>1</v>
      </c>
      <c r="C1355" s="5">
        <v>42735</v>
      </c>
      <c r="D1355" t="s">
        <v>5142</v>
      </c>
      <c r="E1355" t="s">
        <v>5143</v>
      </c>
      <c r="F1355" t="s">
        <v>5144</v>
      </c>
      <c r="G1355" t="s">
        <v>32</v>
      </c>
      <c r="H1355" t="s">
        <v>33</v>
      </c>
      <c r="K1355" t="s">
        <v>47</v>
      </c>
      <c r="L1355" t="s">
        <v>35</v>
      </c>
      <c r="M1355" t="s">
        <v>36</v>
      </c>
      <c r="Q1355" t="s">
        <v>37</v>
      </c>
      <c r="R1355" t="s">
        <v>38</v>
      </c>
      <c r="S1355" t="s">
        <v>131</v>
      </c>
      <c r="T1355" t="s">
        <v>378</v>
      </c>
      <c r="U1355" t="s">
        <v>41</v>
      </c>
      <c r="V1355" s="9" t="str">
        <f>HYPERLINK("https://app.ntsb.gov/pdfgenerator/ReportGeneratorFile.ashx?EventID=20170104X40138&amp;AKey=1&amp;Rtype=Final&amp;IType=CA","PDF Report")</f>
        <v>PDF Report</v>
      </c>
    </row>
    <row r="1356" spans="1:22" x14ac:dyDescent="0.25">
      <c r="A1356" t="s">
        <v>5145</v>
      </c>
      <c r="B1356">
        <v>1</v>
      </c>
      <c r="C1356" s="5">
        <v>42735</v>
      </c>
      <c r="D1356" t="s">
        <v>5146</v>
      </c>
      <c r="E1356" t="s">
        <v>5147</v>
      </c>
      <c r="F1356" t="s">
        <v>5148</v>
      </c>
      <c r="G1356" t="s">
        <v>287</v>
      </c>
      <c r="H1356" t="s">
        <v>33</v>
      </c>
      <c r="K1356" t="s">
        <v>34</v>
      </c>
      <c r="L1356" t="s">
        <v>35</v>
      </c>
      <c r="M1356" t="s">
        <v>36</v>
      </c>
      <c r="Q1356" t="s">
        <v>37</v>
      </c>
      <c r="R1356" t="s">
        <v>38</v>
      </c>
      <c r="S1356" t="s">
        <v>48</v>
      </c>
      <c r="T1356" t="s">
        <v>79</v>
      </c>
      <c r="U1356" t="s">
        <v>41</v>
      </c>
      <c r="V1356" s="9" t="str">
        <f>HYPERLINK("https://app.ntsb.gov/pdfgenerator/ReportGeneratorFile.ashx?EventID=20170110X14448&amp;AKey=1&amp;Rtype=Final&amp;IType=CA","PDF Report")</f>
        <v>PDF Report</v>
      </c>
    </row>
  </sheetData>
  <mergeCells count="1">
    <mergeCell ref="A1:XF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801BE-86E0-4F48-BA4A-CD1EAE1B51AC}">
  <dimension ref="A1:D6"/>
  <sheetViews>
    <sheetView workbookViewId="0">
      <selection sqref="A1:XFD1"/>
    </sheetView>
  </sheetViews>
  <sheetFormatPr defaultRowHeight="15" x14ac:dyDescent="0.25"/>
  <cols>
    <col min="1" max="1" width="41" bestFit="1" customWidth="1"/>
    <col min="2" max="2" width="9.85546875" bestFit="1" customWidth="1"/>
    <col min="3" max="3" width="14.85546875" bestFit="1" customWidth="1"/>
    <col min="4" max="4" width="9.42578125" bestFit="1" customWidth="1"/>
  </cols>
  <sheetData>
    <row r="1" spans="1:4" s="8" customFormat="1" x14ac:dyDescent="0.25">
      <c r="A1" s="7" t="s">
        <v>5149</v>
      </c>
    </row>
    <row r="2" spans="1:4" s="6" customFormat="1" x14ac:dyDescent="0.25">
      <c r="A2" s="6" t="s">
        <v>5150</v>
      </c>
      <c r="B2" s="6" t="s">
        <v>5151</v>
      </c>
      <c r="C2" s="6" t="s">
        <v>5152</v>
      </c>
      <c r="D2" s="6" t="s">
        <v>5153</v>
      </c>
    </row>
    <row r="3" spans="1:4" x14ac:dyDescent="0.25">
      <c r="A3" t="s">
        <v>5154</v>
      </c>
      <c r="B3">
        <v>31</v>
      </c>
      <c r="C3">
        <v>0</v>
      </c>
      <c r="D3">
        <v>0</v>
      </c>
    </row>
    <row r="4" spans="1:4" x14ac:dyDescent="0.25">
      <c r="A4" t="s">
        <v>5155</v>
      </c>
      <c r="B4">
        <v>38</v>
      </c>
      <c r="C4">
        <v>9</v>
      </c>
      <c r="D4">
        <v>27</v>
      </c>
    </row>
    <row r="5" spans="1:4" x14ac:dyDescent="0.25">
      <c r="A5" t="s">
        <v>5156</v>
      </c>
      <c r="B5">
        <v>1267</v>
      </c>
      <c r="C5">
        <v>213</v>
      </c>
      <c r="D5">
        <v>386</v>
      </c>
    </row>
    <row r="6" spans="1:4" x14ac:dyDescent="0.25">
      <c r="A6" t="s">
        <v>5157</v>
      </c>
      <c r="B6">
        <v>1335</v>
      </c>
      <c r="C6">
        <v>221</v>
      </c>
      <c r="D6">
        <v>408</v>
      </c>
    </row>
  </sheetData>
  <mergeCells count="1">
    <mergeCell ref="A1:XF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ACB2860F2E6C4B8124E6D84353B8C6" ma:contentTypeVersion="1" ma:contentTypeDescription="Create a new document." ma:contentTypeScope="" ma:versionID="6910548f0b7f736205b3d64b70e2c062">
  <xsd:schema xmlns:xsd="http://www.w3.org/2001/XMLSchema" xmlns:xs="http://www.w3.org/2001/XMLSchema" xmlns:p="http://schemas.microsoft.com/office/2006/metadata/properties" xmlns:ns1="http://schemas.microsoft.com/sharepoint/v3" targetNamespace="http://schemas.microsoft.com/office/2006/metadata/properties" ma:root="true" ma:fieldsID="abaa0dd2fa66e82af1174f665ca7c3d9"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7337F4-64E2-4138-A3DC-0DE88306A6F1}"/>
</file>

<file path=customXml/itemProps2.xml><?xml version="1.0" encoding="utf-8"?>
<ds:datastoreItem xmlns:ds="http://schemas.openxmlformats.org/officeDocument/2006/customXml" ds:itemID="{3194DD9C-BA30-457A-BC35-02F117A36CF7}"/>
</file>

<file path=customXml/itemProps3.xml><?xml version="1.0" encoding="utf-8"?>
<ds:datastoreItem xmlns:ds="http://schemas.openxmlformats.org/officeDocument/2006/customXml" ds:itemID="{B756BB0C-E9F8-4D64-A671-BD5B109090A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Data_USCivilAviation</vt:lpstr>
      <vt:lpstr>AccidentSummary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Doble Nathan</dc:creator>
  <cp:lastModifiedBy>Doble Nathan</cp:lastModifiedBy>
  <dcterms:created xsi:type="dcterms:W3CDTF">2018-10-25T14:18:33Z</dcterms:created>
  <dcterms:modified xsi:type="dcterms:W3CDTF">2018-10-25T20:14:22Z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0x0101000BACB2860F2E6C4B8124E6D84353B8C6</vt:lpwstr>
  </property>
  <property fmtid="{D5CDD505-2E9C-101B-9397-08002B2CF9AE}" pid="3" name="Order">
    <vt:r8>34700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