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Data\"/>
    </mc:Choice>
  </mc:AlternateContent>
  <xr:revisionPtr revIDLastSave="0" documentId="13_ncr:1_{28E2BF39-93F3-4EEC-AE4B-76991875A7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H27" i="1"/>
  <c r="I25" i="1"/>
  <c r="I26" i="1"/>
  <c r="I24" i="1"/>
  <c r="I23" i="1"/>
  <c r="F9" i="1"/>
  <c r="F13" i="1"/>
  <c r="H23" i="1"/>
  <c r="G13" i="1"/>
  <c r="H28" i="1"/>
  <c r="H26" i="1"/>
  <c r="H25" i="1"/>
  <c r="O22" i="1"/>
  <c r="K35" i="1" s="1"/>
  <c r="D6" i="1"/>
  <c r="E6" i="1" s="1"/>
  <c r="G43" i="1"/>
  <c r="H43" i="1" s="1"/>
  <c r="K33" i="1" s="1"/>
  <c r="P14" i="1"/>
  <c r="B35" i="1" s="1"/>
  <c r="G44" i="1" s="1"/>
  <c r="H44" i="1" s="1"/>
  <c r="G42" i="1"/>
  <c r="H42" i="1" s="1"/>
  <c r="K32" i="1" s="1"/>
  <c r="B41" i="1"/>
  <c r="C41" i="1" s="1"/>
  <c r="D41" i="1" s="1"/>
  <c r="E41" i="1" s="1"/>
  <c r="F41" i="1" s="1"/>
  <c r="G41" i="1" s="1"/>
  <c r="H41" i="1" s="1"/>
  <c r="K34" i="1" s="1"/>
  <c r="D14" i="1" l="1"/>
  <c r="F14" i="1" s="1"/>
  <c r="E14" i="1"/>
  <c r="G14" i="1" s="1"/>
  <c r="D15" i="1"/>
  <c r="E15" i="1"/>
  <c r="D17" i="1"/>
  <c r="F17" i="1" s="1"/>
  <c r="E17" i="1"/>
  <c r="G17" i="1" s="1"/>
  <c r="D18" i="1"/>
  <c r="E18" i="1"/>
  <c r="D20" i="1"/>
  <c r="F20" i="1" s="1"/>
  <c r="E20" i="1"/>
  <c r="G20" i="1" s="1"/>
  <c r="D21" i="1"/>
  <c r="E21" i="1"/>
  <c r="E12" i="1"/>
  <c r="G12" i="1" s="1"/>
  <c r="D9" i="1"/>
  <c r="E9" i="1"/>
  <c r="G9" i="1" s="1"/>
  <c r="D10" i="1"/>
  <c r="F10" i="1" s="1"/>
  <c r="E10" i="1"/>
  <c r="G10" i="1" s="1"/>
  <c r="D11" i="1"/>
  <c r="F11" i="1" s="1"/>
  <c r="E11" i="1"/>
  <c r="G11" i="1" s="1"/>
  <c r="D12" i="1"/>
  <c r="F12" i="1" s="1"/>
  <c r="E8" i="1"/>
  <c r="G8" i="1" s="1"/>
  <c r="D8" i="1"/>
  <c r="F8" i="1" s="1"/>
  <c r="L32" i="1" l="1"/>
  <c r="M32" i="1"/>
</calcChain>
</file>

<file path=xl/sharedStrings.xml><?xml version="1.0" encoding="utf-8"?>
<sst xmlns="http://schemas.openxmlformats.org/spreadsheetml/2006/main" count="106" uniqueCount="86">
  <si>
    <t>https://bmjopen.bmj.com/content/bmjopen/3/6/e002861.full.pdf</t>
  </si>
  <si>
    <t>Source</t>
  </si>
  <si>
    <t>Men</t>
  </si>
  <si>
    <t>sample</t>
  </si>
  <si>
    <t>Women</t>
  </si>
  <si>
    <t>Consultations</t>
  </si>
  <si>
    <t>Heamaturia</t>
  </si>
  <si>
    <t>Yes</t>
  </si>
  <si>
    <t>No</t>
  </si>
  <si>
    <t>US</t>
  </si>
  <si>
    <t>Blood test</t>
  </si>
  <si>
    <t>Numbers</t>
  </si>
  <si>
    <t>%</t>
  </si>
  <si>
    <t>CT scan</t>
  </si>
  <si>
    <t>white-light-guided TURBT</t>
  </si>
  <si>
    <t xml:space="preserve">cystoscopy   </t>
  </si>
  <si>
    <t>Consultations GP</t>
  </si>
  <si>
    <t>Heamaturia test</t>
  </si>
  <si>
    <t>Unit costs</t>
  </si>
  <si>
    <t>LB72A</t>
  </si>
  <si>
    <t>Diagnostic Flexible Cystoscopy, 19 years and over</t>
  </si>
  <si>
    <t>Currency</t>
  </si>
  <si>
    <t xml:space="preserve">Unit Cost </t>
  </si>
  <si>
    <t>LB67C</t>
  </si>
  <si>
    <t>Complex Open Bladder Procedures with CC Score 3+</t>
  </si>
  <si>
    <t>LB67D</t>
  </si>
  <si>
    <t>Complex Open Bladder Procedures with CC Score 0-2</t>
  </si>
  <si>
    <t>LB68A</t>
  </si>
  <si>
    <t>Complex Endoscopic Bladder Procedures with CC Score 3+</t>
  </si>
  <si>
    <t>LB68B</t>
  </si>
  <si>
    <t>Complex Endoscopic Bladder Procedures with CC Score 0-2</t>
  </si>
  <si>
    <t>LB69Z</t>
  </si>
  <si>
    <t>Major Robotic, Prostate or Bladder Neck Procedures (Male)</t>
  </si>
  <si>
    <t>LB14Z</t>
  </si>
  <si>
    <t>Intermediate Endoscopic Bladder Procedures</t>
  </si>
  <si>
    <t>LB15E</t>
  </si>
  <si>
    <t>Minor Bladder Procedures, 19 years and over</t>
  </si>
  <si>
    <t>LB73Z</t>
  </si>
  <si>
    <t>Diagnostic Flexible Cystoscopy using Photodynamic Fluorescence</t>
  </si>
  <si>
    <t>RD40Z</t>
  </si>
  <si>
    <t>Ultrasound Scan with duration of less than 20 minutes, without Contrast</t>
  </si>
  <si>
    <t xml:space="preserve">GP appointment </t>
  </si>
  <si>
    <t>https://www.gocompare.com/health-insurance/the-bill-of-health/#total</t>
  </si>
  <si>
    <t>https://www.england.nhs.uk/costing-in-the-nhs/national-cost-collection/</t>
  </si>
  <si>
    <t>https://www.england.nhs.uk/costing-in-the-nhs/approved-costing-guidance/#:~:text=All%20relevant%20activity%20should%20now,no%20longer%20collect%20reference%20costs.</t>
  </si>
  <si>
    <t>Fine niddle aspiration cytology</t>
  </si>
  <si>
    <t>US with biopsy or cytology</t>
  </si>
  <si>
    <t>GB12Z</t>
  </si>
  <si>
    <t>cytology</t>
  </si>
  <si>
    <t>Mowatt</t>
  </si>
  <si>
    <t>Symptomatic patient diagnosis</t>
  </si>
  <si>
    <t>GP consultation costs</t>
  </si>
  <si>
    <t>year</t>
  </si>
  <si>
    <t>blood test</t>
  </si>
  <si>
    <t>NHS reference costs 2022</t>
  </si>
  <si>
    <t xml:space="preserve">dipstick </t>
  </si>
  <si>
    <t>National clinical guideline center, pre-operative tests 2015</t>
  </si>
  <si>
    <t>inflation year</t>
  </si>
  <si>
    <t>Unit_Costs_of_Health_and_Social_Care_2021</t>
  </si>
  <si>
    <t>Inflation</t>
  </si>
  <si>
    <t>Inflated costs</t>
  </si>
  <si>
    <t>NHS Provider cost inflation index 2018/19</t>
  </si>
  <si>
    <t>CPI inflation rate for health</t>
  </si>
  <si>
    <t>https://www.statista.com/statistics/621969/health-inflation-rate-uk/#:~:text=The%20CPI%20inflation%20rate%20in,serious%20cost%20of%20living%20crisis.</t>
  </si>
  <si>
    <t>weighted</t>
  </si>
  <si>
    <t>Unit costs 2020</t>
  </si>
  <si>
    <t xml:space="preserve">US </t>
  </si>
  <si>
    <t>Weighted costs</t>
  </si>
  <si>
    <t>Weighted costs men</t>
  </si>
  <si>
    <t>Weighted costs women</t>
  </si>
  <si>
    <t>Total weighted costs</t>
  </si>
  <si>
    <t>cystoscopy</t>
  </si>
  <si>
    <t>https://www.england.nhs.uk/publication/national-tariff-payment-system-documents-annexes-and-supporting-documents/#heading-2</t>
  </si>
  <si>
    <t>22/23</t>
  </si>
  <si>
    <t>Computerised Tomography Scan of One Area, 19 years and over</t>
  </si>
  <si>
    <t>RD41Z</t>
  </si>
  <si>
    <t>Ultrasound Scan with duration of less than 20 minutes, with Contrast</t>
  </si>
  <si>
    <t>RD42Z</t>
  </si>
  <si>
    <t>Ultrasound Scan with duration of 20 minutes and over, without Contrast</t>
  </si>
  <si>
    <t>RD43Z</t>
  </si>
  <si>
    <t>Ultrasound Scan with duration of 20 minutes and over, with Contrast</t>
  </si>
  <si>
    <t>Clinical Oncology Service</t>
  </si>
  <si>
    <t>Clinical oncology service</t>
  </si>
  <si>
    <t>Total diagnostic costs for Stage 2-4 cancer</t>
  </si>
  <si>
    <t>Total diagnostic costs for LG and Stage 1 BC</t>
  </si>
  <si>
    <t>Screen-detected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</si>
</sst>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&quot;£&quot;* #,##0_-;\-&quot;£&quot;* #,##0_-;_-&quot;£&quot;* &quot;-&quot;??_-;_-@_-"/>
    <numFmt numFmtId="165" formatCode="_-* #,##0_-;\-* #,##0_-;_-* &quot;-&quot;??_-;_-@_-"/>
    <numFmt numFmtId="166" formatCode="#,##0_ ;[Red]\-#,##0\ "/>
    <numFmt numFmtId="171" formatCode="_-[$£-809]* #,##0.00_-;\-[$£-809]* #,##0.00_-;_-[$£-809]* &quot;-&quot;??_-;_-@_-"/>
    <numFmt numFmtId="172" formatCode="###,###,###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E0E0E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u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9" borderId="1" applyNumberFormat="0" applyAlignment="0" applyProtection="0"/>
    <xf numFmtId="0" fontId="11" fillId="22" borderId="2" applyNumberFormat="0" applyAlignment="0" applyProtection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9" borderId="1" applyNumberFormat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5" fillId="24" borderId="7" applyNumberFormat="0" applyFont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166" fontId="24" fillId="0" borderId="10" xfId="5" applyNumberFormat="1" applyFont="1" applyBorder="1" applyAlignment="1"/>
    <xf numFmtId="6" fontId="0" fillId="0" borderId="10" xfId="0" applyNumberFormat="1" applyBorder="1"/>
    <xf numFmtId="165" fontId="4" fillId="0" borderId="10" xfId="1" applyNumberFormat="1" applyFont="1" applyBorder="1"/>
    <xf numFmtId="164" fontId="2" fillId="0" borderId="11" xfId="2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3" borderId="10" xfId="0" applyFill="1" applyBorder="1"/>
    <xf numFmtId="164" fontId="4" fillId="0" borderId="10" xfId="2" applyNumberFormat="1" applyFont="1" applyBorder="1"/>
    <xf numFmtId="0" fontId="0" fillId="0" borderId="10" xfId="0" applyBorder="1"/>
    <xf numFmtId="44" fontId="25" fillId="0" borderId="10" xfId="0" applyNumberFormat="1" applyFont="1" applyBorder="1"/>
    <xf numFmtId="0" fontId="0" fillId="0" borderId="0" xfId="0" applyAlignment="1">
      <alignment horizontal="center"/>
    </xf>
    <xf numFmtId="8" fontId="0" fillId="0" borderId="0" xfId="0" applyNumberFormat="1"/>
    <xf numFmtId="10" fontId="0" fillId="0" borderId="0" xfId="0" applyNumberFormat="1"/>
    <xf numFmtId="0" fontId="26" fillId="2" borderId="0" xfId="0" applyFont="1" applyFill="1" applyAlignment="1">
      <alignment horizontal="center" vertical="center" wrapText="1"/>
    </xf>
    <xf numFmtId="8" fontId="0" fillId="0" borderId="10" xfId="0" applyNumberFormat="1" applyBorder="1"/>
    <xf numFmtId="0" fontId="27" fillId="0" borderId="0" xfId="56"/>
    <xf numFmtId="43" fontId="0" fillId="0" borderId="0" xfId="0" applyNumberFormat="1"/>
    <xf numFmtId="0" fontId="0" fillId="0" borderId="10" xfId="0" applyFill="1" applyBorder="1"/>
    <xf numFmtId="43" fontId="0" fillId="0" borderId="10" xfId="0" applyNumberFormat="1" applyBorder="1"/>
    <xf numFmtId="0" fontId="0" fillId="0" borderId="12" xfId="0" applyBorder="1"/>
    <xf numFmtId="8" fontId="0" fillId="0" borderId="12" xfId="0" applyNumberFormat="1" applyBorder="1"/>
    <xf numFmtId="0" fontId="2" fillId="25" borderId="13" xfId="0" applyFont="1" applyFill="1" applyBorder="1"/>
    <xf numFmtId="0" fontId="2" fillId="25" borderId="14" xfId="0" applyFont="1" applyFill="1" applyBorder="1"/>
    <xf numFmtId="8" fontId="2" fillId="25" borderId="15" xfId="0" applyNumberFormat="1" applyFont="1" applyFill="1" applyBorder="1"/>
    <xf numFmtId="8" fontId="2" fillId="25" borderId="16" xfId="0" applyNumberFormat="1" applyFont="1" applyFill="1" applyBorder="1"/>
    <xf numFmtId="0" fontId="28" fillId="0" borderId="17" xfId="0" applyFont="1" applyBorder="1" applyAlignment="1">
      <alignment horizontal="left" wrapText="1"/>
    </xf>
    <xf numFmtId="172" fontId="28" fillId="0" borderId="10" xfId="0" applyNumberFormat="1" applyFont="1" applyBorder="1" applyAlignment="1">
      <alignment horizontal="center" wrapText="1"/>
    </xf>
    <xf numFmtId="0" fontId="28" fillId="0" borderId="18" xfId="0" applyFont="1" applyBorder="1" applyAlignment="1">
      <alignment horizontal="center" wrapText="1"/>
    </xf>
    <xf numFmtId="0" fontId="28" fillId="0" borderId="19" xfId="0" applyFont="1" applyFill="1" applyBorder="1" applyAlignment="1">
      <alignment horizontal="left" wrapText="1"/>
    </xf>
    <xf numFmtId="172" fontId="28" fillId="0" borderId="20" xfId="0" applyNumberFormat="1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0" xfId="0" applyFont="1" applyFill="1" applyBorder="1"/>
    <xf numFmtId="9" fontId="0" fillId="0" borderId="10" xfId="3" applyFont="1" applyBorder="1"/>
    <xf numFmtId="8" fontId="0" fillId="2" borderId="10" xfId="0" applyNumberFormat="1" applyFill="1" applyBorder="1"/>
    <xf numFmtId="171" fontId="0" fillId="0" borderId="10" xfId="0" applyNumberFormat="1" applyBorder="1"/>
    <xf numFmtId="164" fontId="0" fillId="0" borderId="10" xfId="0" applyNumberFormat="1" applyBorder="1"/>
  </cellXfs>
  <cellStyles count="58">
    <cellStyle name="20% - Accent1 2" xfId="6" xr:uid="{4847A1CF-D309-4339-8E03-3C8A39A5569D}"/>
    <cellStyle name="20% - Accent2 2" xfId="7" xr:uid="{717DF832-7A49-4D2C-90E1-0551D60C2E10}"/>
    <cellStyle name="20% - Accent3 2" xfId="8" xr:uid="{B78320B8-20C4-477A-BCA9-DDF8502ACBAF}"/>
    <cellStyle name="20% - Accent4 2" xfId="9" xr:uid="{5B2B0B77-C357-4478-9100-190FD26890B8}"/>
    <cellStyle name="20% - Accent5 2" xfId="10" xr:uid="{2FDA8D6C-FE63-410F-8F37-80F9DF57447D}"/>
    <cellStyle name="20% - Accent6 2" xfId="11" xr:uid="{C53913F9-0A13-4D9E-84D6-3C5D74893E14}"/>
    <cellStyle name="40% - Accent1 2" xfId="12" xr:uid="{F34B383F-6D93-4273-8FFB-6A2D450764D2}"/>
    <cellStyle name="40% - Accent2 2" xfId="13" xr:uid="{8692400A-A71B-4628-865E-C1798C01841E}"/>
    <cellStyle name="40% - Accent3 2" xfId="14" xr:uid="{2CC251D0-D563-469C-973C-44D86FA48138}"/>
    <cellStyle name="40% - Accent4 2" xfId="15" xr:uid="{8CC48C78-9CC2-4C02-9475-5D505E73CCD5}"/>
    <cellStyle name="40% - Accent5 2" xfId="16" xr:uid="{0669B72D-1AE8-4A6E-A79B-5A9D4F6EB2B8}"/>
    <cellStyle name="40% - Accent6 2" xfId="17" xr:uid="{E88295DE-3302-4A50-A921-A04EBF105F10}"/>
    <cellStyle name="60% - Accent1 2" xfId="18" xr:uid="{1D2D682E-4897-4154-8578-9C42F477486F}"/>
    <cellStyle name="60% - Accent2 2" xfId="19" xr:uid="{7AE8B8A3-74AA-4A4F-81DB-BD71B9FFDE8D}"/>
    <cellStyle name="60% - Accent3 2" xfId="20" xr:uid="{065D3889-0DCD-46A8-9CF3-97662A9F7B5B}"/>
    <cellStyle name="60% - Accent4 2" xfId="21" xr:uid="{F4BB1840-8877-47F4-B1E8-987155042B08}"/>
    <cellStyle name="60% - Accent5 2" xfId="22" xr:uid="{433B34FB-418B-42DC-A7FC-F4C584D04E32}"/>
    <cellStyle name="60% - Accent6 2" xfId="23" xr:uid="{ECB01142-8E06-47F6-8E49-DCD6C4C424E6}"/>
    <cellStyle name="Accent1 2" xfId="24" xr:uid="{373EB392-022E-4223-B02D-CA1C54C3E87D}"/>
    <cellStyle name="Accent2 2" xfId="25" xr:uid="{1D692103-26B8-4814-9922-7836D572D922}"/>
    <cellStyle name="Accent3 2" xfId="26" xr:uid="{42BAE3C7-111A-41CA-8B65-1A59FA4BE33D}"/>
    <cellStyle name="Accent4 2" xfId="27" xr:uid="{9FBADD6C-73B9-456E-9998-F45DEB9818C2}"/>
    <cellStyle name="Accent5 2" xfId="28" xr:uid="{C12E949F-5466-462D-B2A9-187E8A3380A0}"/>
    <cellStyle name="Accent6 2" xfId="29" xr:uid="{E9551046-D453-4CDE-AABD-F4F0F6E40DDA}"/>
    <cellStyle name="Bad 2" xfId="30" xr:uid="{E262A509-BAA9-4511-A010-F257F6ED1379}"/>
    <cellStyle name="Calculation 2" xfId="31" xr:uid="{C69C84A9-BBD1-4814-ADB9-19AA7D890B20}"/>
    <cellStyle name="Check Cell 2" xfId="32" xr:uid="{B9EE716F-AB44-4B5D-8C21-A30A159C08BD}"/>
    <cellStyle name="Comma" xfId="1" builtinId="3"/>
    <cellStyle name="Comma 2" xfId="33" xr:uid="{1FFEA124-032E-489B-81DD-0F71B1DBAD95}"/>
    <cellStyle name="Comma 3" xfId="53" xr:uid="{4E9BB5D1-8185-40EF-9CA4-193E7649400C}"/>
    <cellStyle name="Comma 4" xfId="4" xr:uid="{9C7C2DA9-77BC-4499-AB7E-94E3B30E833E}"/>
    <cellStyle name="Currency" xfId="2" builtinId="4"/>
    <cellStyle name="Currency 2" xfId="50" xr:uid="{98E4A91B-004E-480C-958B-82011960C570}"/>
    <cellStyle name="Currency 3" xfId="55" xr:uid="{BE862562-60EF-417B-B5B5-270ECA49D68C}"/>
    <cellStyle name="Explanatory Text 2" xfId="34" xr:uid="{8D425272-9D5D-42FC-A41C-4E7B3198B957}"/>
    <cellStyle name="Good 2" xfId="35" xr:uid="{FC5A97E8-C264-4B01-B1C3-C8A23926FCB7}"/>
    <cellStyle name="Heading 1 2" xfId="36" xr:uid="{4426D50C-B443-478E-942B-689A5996C9E1}"/>
    <cellStyle name="Heading 2 2" xfId="37" xr:uid="{2DF32340-6AE1-4C94-B99D-A23DBC4B30D4}"/>
    <cellStyle name="Heading 3 2" xfId="38" xr:uid="{1308767D-00FD-4AD2-8AAE-2E5AE8BCDD9E}"/>
    <cellStyle name="Heading 4 2" xfId="39" xr:uid="{72C6FADA-7CBF-4FDB-BFF3-F85897EDBE82}"/>
    <cellStyle name="Hyperlink" xfId="56" builtinId="8"/>
    <cellStyle name="Hyperlink 2" xfId="40" xr:uid="{A7838B74-5B4F-47C4-8FA3-70827A5A1A61}"/>
    <cellStyle name="Input 2" xfId="41" xr:uid="{8F89E625-6E2F-4F83-A54C-DF4E1444C328}"/>
    <cellStyle name="Linked Cell 2" xfId="42" xr:uid="{6FD4B5B3-9F3E-4692-852B-44D9C3912707}"/>
    <cellStyle name="Neutral 2" xfId="43" xr:uid="{4A1DAA42-44B0-4D1E-8AF8-8D3A77214C10}"/>
    <cellStyle name="Normal" xfId="0" builtinId="0"/>
    <cellStyle name="Normal 2" xfId="5" xr:uid="{E3815B6C-8E00-4CC9-BFB6-543823A73F59}"/>
    <cellStyle name="Normal 26 3" xfId="57" xr:uid="{ED6D0EBC-1229-40EE-9A1B-A7445031A371}"/>
    <cellStyle name="Normal 3" xfId="51" xr:uid="{8F6333C8-53F5-419E-9331-BF8BE0CBA15B}"/>
    <cellStyle name="Normal 3 2" xfId="54" xr:uid="{53E8625D-FED9-4A98-89AA-01C429889711}"/>
    <cellStyle name="Normal 4" xfId="49" xr:uid="{0EC4EBC2-1C47-4C4B-9B29-C6AEEFB89BD6}"/>
    <cellStyle name="Normal 5" xfId="52" xr:uid="{868A28C7-4F5C-46B8-B3EC-EECD9BF74376}"/>
    <cellStyle name="Note 2" xfId="44" xr:uid="{238438ED-1563-40C4-B9DD-FAC188F77B3F}"/>
    <cellStyle name="Output 2" xfId="45" xr:uid="{903A2A95-9F9A-4AD6-9D8B-FC8DF89C338C}"/>
    <cellStyle name="Percent" xfId="3" builtinId="5"/>
    <cellStyle name="Title 2" xfId="46" xr:uid="{6160EACF-67EF-468E-A60B-EBB4836FE8C6}"/>
    <cellStyle name="Total 2" xfId="47" xr:uid="{FFD9C6F8-C461-49A4-B03C-4BFAC33DB32C}"/>
    <cellStyle name="Warning Text 2" xfId="48" xr:uid="{B77946CD-F854-4713-80D2-9E1210569C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land.nhs.uk/publication/national-tariff-payment-system-documents-annexes-and-supporting-documents/" TargetMode="External"/><Relationship Id="rId2" Type="http://schemas.openxmlformats.org/officeDocument/2006/relationships/hyperlink" Target="https://www.england.nhs.uk/costing-in-the-nhs/approved-costing-guidance/" TargetMode="External"/><Relationship Id="rId1" Type="http://schemas.openxmlformats.org/officeDocument/2006/relationships/hyperlink" Target="https://www.england.nhs.uk/costing-in-the-nhs/national-cost-colle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workbookViewId="0">
      <selection activeCell="J24" sqref="J24"/>
    </sheetView>
  </sheetViews>
  <sheetFormatPr defaultRowHeight="15" x14ac:dyDescent="0.25"/>
  <cols>
    <col min="1" max="1" width="24.140625" customWidth="1"/>
    <col min="2" max="2" width="15" customWidth="1"/>
    <col min="9" max="9" width="15.85546875" bestFit="1" customWidth="1"/>
    <col min="10" max="10" width="16.85546875" customWidth="1"/>
    <col min="11" max="11" width="24.28515625" bestFit="1" customWidth="1"/>
    <col min="12" max="12" width="18.42578125" customWidth="1"/>
    <col min="13" max="13" width="70.28515625" customWidth="1"/>
    <col min="14" max="14" width="11" bestFit="1" customWidth="1"/>
  </cols>
  <sheetData>
    <row r="1" spans="1:17" x14ac:dyDescent="0.25">
      <c r="M1" s="19" t="s">
        <v>43</v>
      </c>
    </row>
    <row r="2" spans="1:17" ht="15.75" thickBot="1" x14ac:dyDescent="0.3">
      <c r="K2" s="3" t="s">
        <v>65</v>
      </c>
      <c r="M2" s="19" t="s">
        <v>44</v>
      </c>
    </row>
    <row r="3" spans="1:17" x14ac:dyDescent="0.25">
      <c r="A3" t="s">
        <v>1</v>
      </c>
      <c r="B3" t="s">
        <v>0</v>
      </c>
      <c r="L3" t="s">
        <v>21</v>
      </c>
      <c r="O3" s="8" t="s">
        <v>22</v>
      </c>
      <c r="P3" s="4" t="s">
        <v>64</v>
      </c>
    </row>
    <row r="4" spans="1:17" x14ac:dyDescent="0.25">
      <c r="B4" s="14" t="s">
        <v>11</v>
      </c>
      <c r="C4" s="14"/>
      <c r="D4" s="14" t="s">
        <v>12</v>
      </c>
      <c r="E4" s="14"/>
      <c r="F4" s="14" t="s">
        <v>67</v>
      </c>
      <c r="G4" s="14"/>
      <c r="K4" s="2" t="s">
        <v>15</v>
      </c>
      <c r="L4" s="9" t="s">
        <v>19</v>
      </c>
      <c r="M4" s="10" t="s">
        <v>20</v>
      </c>
      <c r="O4" s="11">
        <v>358.35777993029456</v>
      </c>
    </row>
    <row r="5" spans="1:17" x14ac:dyDescent="0.25">
      <c r="A5" s="34"/>
      <c r="B5" s="34" t="s">
        <v>2</v>
      </c>
      <c r="C5" s="34" t="s">
        <v>4</v>
      </c>
      <c r="D5" s="34" t="s">
        <v>2</v>
      </c>
      <c r="E5" s="34" t="s">
        <v>4</v>
      </c>
      <c r="F5" s="34" t="s">
        <v>2</v>
      </c>
      <c r="G5" s="34" t="s">
        <v>4</v>
      </c>
      <c r="H5" s="12"/>
      <c r="I5" s="35" t="s">
        <v>85</v>
      </c>
      <c r="K5" s="1" t="s">
        <v>13</v>
      </c>
      <c r="L5" s="12"/>
      <c r="M5" s="12"/>
      <c r="N5" s="12"/>
      <c r="O5" s="12"/>
    </row>
    <row r="6" spans="1:17" x14ac:dyDescent="0.25">
      <c r="A6" s="34" t="s">
        <v>3</v>
      </c>
      <c r="B6" s="12">
        <v>538</v>
      </c>
      <c r="C6" s="12">
        <v>202</v>
      </c>
      <c r="D6" s="36">
        <f>B6/SUM(B6:C6)</f>
        <v>0.72702702702702704</v>
      </c>
      <c r="E6" s="36">
        <f>1-D6</f>
        <v>0.27297297297297296</v>
      </c>
      <c r="F6" s="12"/>
      <c r="G6" s="12"/>
      <c r="H6" s="12"/>
      <c r="I6" s="12"/>
      <c r="K6" s="1" t="s">
        <v>14</v>
      </c>
      <c r="L6" s="9" t="s">
        <v>23</v>
      </c>
      <c r="M6" s="10" t="s">
        <v>24</v>
      </c>
      <c r="N6" s="7">
        <v>955</v>
      </c>
      <c r="O6" s="11">
        <v>24828.748786282544</v>
      </c>
    </row>
    <row r="7" spans="1:17" x14ac:dyDescent="0.25">
      <c r="A7" s="34" t="s">
        <v>5</v>
      </c>
      <c r="B7" s="12"/>
      <c r="C7" s="12"/>
      <c r="D7" s="12"/>
      <c r="E7" s="12"/>
      <c r="F7" s="12"/>
      <c r="G7" s="12"/>
      <c r="H7" s="12"/>
      <c r="I7" s="12"/>
      <c r="K7" s="1" t="s">
        <v>16</v>
      </c>
      <c r="L7" s="9" t="s">
        <v>25</v>
      </c>
      <c r="M7" s="10" t="s">
        <v>26</v>
      </c>
      <c r="N7" s="7">
        <v>559</v>
      </c>
      <c r="O7" s="11">
        <v>17567.484424181195</v>
      </c>
    </row>
    <row r="8" spans="1:17" x14ac:dyDescent="0.25">
      <c r="A8" s="12">
        <v>1</v>
      </c>
      <c r="B8" s="12">
        <v>320</v>
      </c>
      <c r="C8" s="12">
        <v>102</v>
      </c>
      <c r="D8" s="36">
        <f>B8/B$6</f>
        <v>0.59479553903345728</v>
      </c>
      <c r="E8" s="36">
        <f>C8/C$6</f>
        <v>0.50495049504950495</v>
      </c>
      <c r="F8" s="18">
        <f>$A8*D8*$K$32</f>
        <v>21.022957918215614</v>
      </c>
      <c r="G8" s="18">
        <f>$A8*E8*$K$32</f>
        <v>17.847398495049504</v>
      </c>
      <c r="H8" s="12"/>
      <c r="I8" s="12"/>
      <c r="K8" s="1" t="s">
        <v>17</v>
      </c>
      <c r="L8" s="9" t="s">
        <v>27</v>
      </c>
      <c r="M8" s="10" t="s">
        <v>28</v>
      </c>
      <c r="N8" s="7">
        <v>1193</v>
      </c>
      <c r="O8" s="11">
        <v>10173.92823319062</v>
      </c>
    </row>
    <row r="9" spans="1:17" x14ac:dyDescent="0.25">
      <c r="A9" s="12">
        <v>2</v>
      </c>
      <c r="B9" s="12">
        <v>158</v>
      </c>
      <c r="C9" s="12">
        <v>46</v>
      </c>
      <c r="D9" s="36">
        <f t="shared" ref="D9:D12" si="0">B9/B$6</f>
        <v>0.29368029739776952</v>
      </c>
      <c r="E9" s="36">
        <f t="shared" ref="E9:E11" si="1">C9/C$6</f>
        <v>0.22772277227722773</v>
      </c>
      <c r="F9" s="18">
        <f>$A9*D9*$K$32</f>
        <v>20.760170944237917</v>
      </c>
      <c r="G9" s="18">
        <f>$A9*E9*$K$32</f>
        <v>16.097653544554454</v>
      </c>
      <c r="H9" s="12"/>
      <c r="I9" s="12"/>
      <c r="K9" s="1" t="s">
        <v>10</v>
      </c>
      <c r="L9" s="9" t="s">
        <v>29</v>
      </c>
      <c r="M9" s="10" t="s">
        <v>30</v>
      </c>
      <c r="N9" s="7">
        <v>675</v>
      </c>
      <c r="O9" s="11">
        <v>5296.9190490700157</v>
      </c>
    </row>
    <row r="10" spans="1:17" x14ac:dyDescent="0.25">
      <c r="A10" s="12">
        <v>3</v>
      </c>
      <c r="B10" s="12">
        <v>40</v>
      </c>
      <c r="C10" s="12">
        <v>23</v>
      </c>
      <c r="D10" s="36">
        <f t="shared" si="0"/>
        <v>7.434944237918216E-2</v>
      </c>
      <c r="E10" s="36">
        <f t="shared" si="1"/>
        <v>0.11386138613861387</v>
      </c>
      <c r="F10" s="18">
        <f>$A10*D10*$K$32</f>
        <v>7.8836092193308547</v>
      </c>
      <c r="G10" s="18">
        <f>$A10*E10*$K$32</f>
        <v>12.073240158415842</v>
      </c>
      <c r="H10" s="12"/>
      <c r="I10" s="12"/>
      <c r="L10" s="9" t="s">
        <v>31</v>
      </c>
      <c r="M10" s="10" t="s">
        <v>32</v>
      </c>
      <c r="N10" s="7">
        <v>4774</v>
      </c>
      <c r="O10" s="11">
        <v>11234.390715999065</v>
      </c>
    </row>
    <row r="11" spans="1:17" x14ac:dyDescent="0.25">
      <c r="A11" s="12">
        <v>4</v>
      </c>
      <c r="B11" s="12">
        <v>8</v>
      </c>
      <c r="C11" s="12">
        <v>11</v>
      </c>
      <c r="D11" s="36">
        <f t="shared" si="0"/>
        <v>1.4869888475836431E-2</v>
      </c>
      <c r="E11" s="36">
        <f t="shared" si="1"/>
        <v>5.4455445544554455E-2</v>
      </c>
      <c r="F11" s="18">
        <f>$A11*D11*$K$32</f>
        <v>2.102295791821561</v>
      </c>
      <c r="G11" s="18">
        <f>$A11*E11*$K$32</f>
        <v>7.6988777821782177</v>
      </c>
      <c r="H11" s="12"/>
      <c r="I11" s="12"/>
      <c r="L11" s="9" t="s">
        <v>33</v>
      </c>
      <c r="M11" s="10" t="s">
        <v>34</v>
      </c>
      <c r="N11" s="7">
        <v>27900</v>
      </c>
      <c r="O11" s="11">
        <v>1493.0885035357869</v>
      </c>
    </row>
    <row r="12" spans="1:17" x14ac:dyDescent="0.25">
      <c r="A12" s="12">
        <v>5</v>
      </c>
      <c r="B12" s="12">
        <v>12</v>
      </c>
      <c r="C12" s="12">
        <v>20</v>
      </c>
      <c r="D12" s="36">
        <f t="shared" si="0"/>
        <v>2.2304832713754646E-2</v>
      </c>
      <c r="E12" s="36">
        <f>C12/C$6</f>
        <v>9.9009900990099015E-2</v>
      </c>
      <c r="F12" s="18">
        <f>$A12*D12*$K$32</f>
        <v>3.9418046096654273</v>
      </c>
      <c r="G12" s="18">
        <f>$A12*E12*$K$32</f>
        <v>17.497449504950495</v>
      </c>
      <c r="H12" s="12"/>
      <c r="I12" s="12"/>
      <c r="L12" s="9" t="s">
        <v>35</v>
      </c>
      <c r="M12" s="10" t="s">
        <v>36</v>
      </c>
      <c r="N12" s="7">
        <v>137590</v>
      </c>
      <c r="O12" s="11">
        <v>614.7279953162415</v>
      </c>
    </row>
    <row r="13" spans="1:17" x14ac:dyDescent="0.25">
      <c r="A13" s="34" t="s">
        <v>6</v>
      </c>
      <c r="B13" s="12"/>
      <c r="C13" s="12"/>
      <c r="D13" s="36"/>
      <c r="E13" s="36"/>
      <c r="F13" s="37">
        <f>SUM(F8:F12)</f>
        <v>55.710838483271374</v>
      </c>
      <c r="G13" s="37">
        <f>SUM(G8:G12)</f>
        <v>71.214619485148518</v>
      </c>
      <c r="H13" s="12"/>
      <c r="I13" s="12"/>
      <c r="L13" s="9" t="s">
        <v>37</v>
      </c>
      <c r="M13" s="10" t="s">
        <v>38</v>
      </c>
      <c r="N13" s="7">
        <v>41</v>
      </c>
      <c r="O13" s="11">
        <v>3063.3545965175604</v>
      </c>
    </row>
    <row r="14" spans="1:17" x14ac:dyDescent="0.25">
      <c r="A14" s="12" t="s">
        <v>7</v>
      </c>
      <c r="B14" s="12">
        <v>394</v>
      </c>
      <c r="C14" s="12">
        <v>143</v>
      </c>
      <c r="D14" s="36">
        <f t="shared" ref="D14:D21" si="2">B14/B$6</f>
        <v>0.73234200743494426</v>
      </c>
      <c r="E14" s="36">
        <f t="shared" ref="E14:E21" si="3">C14/C$6</f>
        <v>0.70792079207920788</v>
      </c>
      <c r="F14" s="37">
        <f>D14*$K$34</f>
        <v>3.2381211852432856</v>
      </c>
      <c r="G14" s="37">
        <f>E14*$K$34</f>
        <v>3.1301404139506825</v>
      </c>
      <c r="H14" s="12"/>
      <c r="I14" s="12"/>
      <c r="L14" s="9" t="s">
        <v>39</v>
      </c>
      <c r="M14" s="10" t="s">
        <v>40</v>
      </c>
      <c r="N14" s="7">
        <v>1583349</v>
      </c>
      <c r="O14" s="11">
        <v>69.505783102777727</v>
      </c>
      <c r="P14" s="20">
        <f>(N14*O14+N15*O15)/SUM(N14:N15)</f>
        <v>79.580236737963546</v>
      </c>
    </row>
    <row r="15" spans="1:17" x14ac:dyDescent="0.25">
      <c r="A15" s="12" t="s">
        <v>8</v>
      </c>
      <c r="B15" s="12">
        <v>144</v>
      </c>
      <c r="C15" s="12">
        <v>59</v>
      </c>
      <c r="D15" s="36">
        <f t="shared" si="2"/>
        <v>0.26765799256505574</v>
      </c>
      <c r="E15" s="36">
        <f t="shared" si="3"/>
        <v>0.29207920792079206</v>
      </c>
      <c r="F15" s="12"/>
      <c r="G15" s="12"/>
      <c r="H15" s="12"/>
      <c r="I15" s="12"/>
      <c r="L15" s="9" t="s">
        <v>39</v>
      </c>
      <c r="M15" s="10" t="s">
        <v>40</v>
      </c>
      <c r="N15" s="7">
        <v>1370156</v>
      </c>
      <c r="O15" s="11">
        <v>91.22225128872843</v>
      </c>
    </row>
    <row r="16" spans="1:17" x14ac:dyDescent="0.25">
      <c r="A16" s="34" t="s">
        <v>9</v>
      </c>
      <c r="B16" s="12"/>
      <c r="C16" s="12"/>
      <c r="D16" s="36"/>
      <c r="E16" s="36"/>
      <c r="F16" s="12"/>
      <c r="G16" s="12"/>
      <c r="H16" s="12"/>
      <c r="I16" s="12"/>
      <c r="L16" s="12"/>
      <c r="M16" s="10" t="s">
        <v>41</v>
      </c>
      <c r="N16" s="12"/>
      <c r="O16" s="6">
        <v>45</v>
      </c>
      <c r="Q16" t="s">
        <v>42</v>
      </c>
    </row>
    <row r="17" spans="1:16" x14ac:dyDescent="0.25">
      <c r="A17" s="12" t="s">
        <v>7</v>
      </c>
      <c r="B17" s="12">
        <v>39</v>
      </c>
      <c r="C17" s="12">
        <v>36</v>
      </c>
      <c r="D17" s="36">
        <f t="shared" si="2"/>
        <v>7.24907063197026E-2</v>
      </c>
      <c r="E17" s="36">
        <f t="shared" si="3"/>
        <v>0.17821782178217821</v>
      </c>
      <c r="F17" s="37">
        <f>D17*$K$35</f>
        <v>3.5595106611690124</v>
      </c>
      <c r="G17" s="37">
        <f>E17*$K$35</f>
        <v>8.7510284952426289</v>
      </c>
      <c r="H17" s="12"/>
      <c r="I17" s="12"/>
      <c r="L17" s="12"/>
      <c r="M17" s="10" t="s">
        <v>45</v>
      </c>
      <c r="N17" s="12"/>
      <c r="O17" s="13">
        <v>303.36711779448615</v>
      </c>
    </row>
    <row r="18" spans="1:16" x14ac:dyDescent="0.25">
      <c r="A18" s="12" t="s">
        <v>8</v>
      </c>
      <c r="B18" s="12">
        <v>499</v>
      </c>
      <c r="C18" s="12">
        <v>166</v>
      </c>
      <c r="D18" s="36">
        <f t="shared" si="2"/>
        <v>0.92750929368029744</v>
      </c>
      <c r="E18" s="36">
        <f t="shared" si="3"/>
        <v>0.82178217821782173</v>
      </c>
      <c r="F18" s="12"/>
      <c r="G18" s="12"/>
      <c r="H18" s="12"/>
      <c r="I18" s="12"/>
      <c r="L18" s="5" t="s">
        <v>47</v>
      </c>
      <c r="M18" s="10" t="s">
        <v>46</v>
      </c>
      <c r="N18" s="12"/>
      <c r="O18" s="13">
        <v>684.7994910179641</v>
      </c>
    </row>
    <row r="19" spans="1:16" x14ac:dyDescent="0.25">
      <c r="A19" s="34" t="s">
        <v>10</v>
      </c>
      <c r="B19" s="12"/>
      <c r="C19" s="12"/>
      <c r="D19" s="36"/>
      <c r="E19" s="36"/>
      <c r="F19" s="12"/>
      <c r="G19" s="12"/>
      <c r="H19" s="12"/>
      <c r="I19" s="12"/>
      <c r="L19" s="12"/>
      <c r="M19" s="10" t="s">
        <v>48</v>
      </c>
      <c r="N19" s="12"/>
      <c r="O19" s="12">
        <v>92.37</v>
      </c>
      <c r="P19" t="s">
        <v>49</v>
      </c>
    </row>
    <row r="20" spans="1:16" x14ac:dyDescent="0.25">
      <c r="A20" s="12" t="s">
        <v>7</v>
      </c>
      <c r="B20" s="12">
        <v>207</v>
      </c>
      <c r="C20" s="12">
        <v>47</v>
      </c>
      <c r="D20" s="36">
        <f t="shared" si="2"/>
        <v>0.38475836431226768</v>
      </c>
      <c r="E20" s="36">
        <f t="shared" si="3"/>
        <v>0.23267326732673269</v>
      </c>
      <c r="F20" s="37">
        <f>D20*$K$33</f>
        <v>1.4093743208921934</v>
      </c>
      <c r="G20" s="37">
        <f>E20*$K$33</f>
        <v>0.85228485861386138</v>
      </c>
      <c r="H20" s="12"/>
      <c r="I20" s="12"/>
      <c r="L20" s="4" t="s">
        <v>73</v>
      </c>
      <c r="M20" s="19" t="s">
        <v>72</v>
      </c>
    </row>
    <row r="21" spans="1:16" x14ac:dyDescent="0.25">
      <c r="A21" s="12" t="s">
        <v>8</v>
      </c>
      <c r="B21" s="12">
        <v>331</v>
      </c>
      <c r="C21" s="12">
        <v>155</v>
      </c>
      <c r="D21" s="36">
        <f t="shared" si="2"/>
        <v>0.61524163568773238</v>
      </c>
      <c r="E21" s="36">
        <f t="shared" si="3"/>
        <v>0.76732673267326734</v>
      </c>
      <c r="F21" s="12"/>
      <c r="G21" s="12"/>
      <c r="H21" s="12"/>
      <c r="I21" s="12"/>
      <c r="M21" s="29" t="s">
        <v>74</v>
      </c>
      <c r="N21" s="30">
        <v>86</v>
      </c>
    </row>
    <row r="22" spans="1:16" x14ac:dyDescent="0.25">
      <c r="A22" s="12"/>
      <c r="B22" s="12"/>
      <c r="C22" s="12"/>
      <c r="D22" s="12"/>
      <c r="E22" s="12"/>
      <c r="F22" s="12"/>
      <c r="G22" s="12"/>
      <c r="H22" s="12"/>
      <c r="I22" s="12"/>
      <c r="L22" s="31" t="s">
        <v>39</v>
      </c>
      <c r="M22" s="29" t="s">
        <v>40</v>
      </c>
      <c r="N22" s="30">
        <v>44</v>
      </c>
      <c r="O22">
        <f>(N14*N22+N15*N24)/(N14+N15)</f>
        <v>49.102993223305866</v>
      </c>
    </row>
    <row r="23" spans="1:16" x14ac:dyDescent="0.25">
      <c r="A23" s="12" t="s">
        <v>70</v>
      </c>
      <c r="B23" s="12"/>
      <c r="C23" s="12"/>
      <c r="D23" s="12"/>
      <c r="E23" s="12"/>
      <c r="F23" s="38">
        <v>66.537071371460826</v>
      </c>
      <c r="G23" s="38">
        <v>90.387421200416952</v>
      </c>
      <c r="H23" s="38">
        <f>F23*D6+G23*E6</f>
        <v>73.047572270716415</v>
      </c>
      <c r="I23" s="18">
        <f>SUM(F14:F20,K32)*D6+SUM(G14:G20,K32)*E6</f>
        <v>44.787452025820087</v>
      </c>
      <c r="L23" s="31" t="s">
        <v>75</v>
      </c>
      <c r="M23" s="29" t="s">
        <v>76</v>
      </c>
      <c r="N23" s="30">
        <v>89</v>
      </c>
    </row>
    <row r="24" spans="1:16" x14ac:dyDescent="0.25">
      <c r="A24" s="12" t="s">
        <v>71</v>
      </c>
      <c r="B24" s="12"/>
      <c r="C24" s="12"/>
      <c r="D24" s="12"/>
      <c r="E24" s="12"/>
      <c r="F24" s="38"/>
      <c r="G24" s="38"/>
      <c r="H24" s="11">
        <v>358.35777993029501</v>
      </c>
      <c r="I24" s="39">
        <f>H24</f>
        <v>358.35777993029501</v>
      </c>
      <c r="L24" s="31" t="s">
        <v>77</v>
      </c>
      <c r="M24" s="29" t="s">
        <v>78</v>
      </c>
      <c r="N24" s="30">
        <v>55</v>
      </c>
    </row>
    <row r="25" spans="1:16" x14ac:dyDescent="0.25">
      <c r="A25" s="12" t="s">
        <v>13</v>
      </c>
      <c r="B25" s="12"/>
      <c r="C25" s="12"/>
      <c r="D25" s="12"/>
      <c r="E25" s="12"/>
      <c r="F25" s="38"/>
      <c r="G25" s="38"/>
      <c r="H25" s="38">
        <f>N21</f>
        <v>86</v>
      </c>
      <c r="I25" s="39">
        <f t="shared" ref="I25:I26" si="4">H25</f>
        <v>86</v>
      </c>
      <c r="L25" s="31" t="s">
        <v>79</v>
      </c>
      <c r="M25" s="29" t="s">
        <v>80</v>
      </c>
      <c r="N25" s="30">
        <v>100</v>
      </c>
    </row>
    <row r="26" spans="1:16" x14ac:dyDescent="0.25">
      <c r="A26" s="21" t="s">
        <v>82</v>
      </c>
      <c r="B26" s="12"/>
      <c r="C26" s="12"/>
      <c r="D26" s="12"/>
      <c r="E26" s="12"/>
      <c r="F26" s="12"/>
      <c r="G26" s="12"/>
      <c r="H26" s="38">
        <f>N26</f>
        <v>134</v>
      </c>
      <c r="I26" s="39">
        <f t="shared" si="4"/>
        <v>134</v>
      </c>
      <c r="M26" s="32" t="s">
        <v>81</v>
      </c>
      <c r="N26" s="33">
        <v>134</v>
      </c>
    </row>
    <row r="27" spans="1:16" x14ac:dyDescent="0.25">
      <c r="A27" s="12" t="s">
        <v>83</v>
      </c>
      <c r="B27" s="12"/>
      <c r="C27" s="12"/>
      <c r="D27" s="12"/>
      <c r="E27" s="12"/>
      <c r="F27" s="12"/>
      <c r="G27" s="12"/>
      <c r="H27" s="38">
        <f>SUM(H23:H26)</f>
        <v>651.4053522010114</v>
      </c>
      <c r="I27" s="38">
        <f>SUM(I23:I26)</f>
        <v>623.14523195611514</v>
      </c>
    </row>
    <row r="28" spans="1:16" x14ac:dyDescent="0.25">
      <c r="A28" s="21" t="s">
        <v>84</v>
      </c>
      <c r="B28" s="12"/>
      <c r="C28" s="12"/>
      <c r="D28" s="12"/>
      <c r="E28" s="12"/>
      <c r="F28" s="12"/>
      <c r="G28" s="12"/>
      <c r="H28" s="38">
        <f>SUM(H23:H24,H26)</f>
        <v>565.4053522010114</v>
      </c>
      <c r="I28" s="38">
        <f>SUM(I23:I24,I26)</f>
        <v>537.14523195611514</v>
      </c>
    </row>
    <row r="30" spans="1:16" ht="15.75" thickBot="1" x14ac:dyDescent="0.3">
      <c r="A30" t="s">
        <v>50</v>
      </c>
    </row>
    <row r="31" spans="1:16" x14ac:dyDescent="0.25">
      <c r="A31" s="12"/>
      <c r="B31" s="12" t="s">
        <v>18</v>
      </c>
      <c r="C31" s="12" t="s">
        <v>52</v>
      </c>
      <c r="D31" s="12" t="s">
        <v>1</v>
      </c>
      <c r="E31" s="12"/>
      <c r="F31" s="12"/>
      <c r="G31" s="12"/>
      <c r="H31" s="12"/>
      <c r="I31" s="12"/>
      <c r="J31" s="12" t="s">
        <v>57</v>
      </c>
      <c r="K31" s="23" t="s">
        <v>60</v>
      </c>
      <c r="L31" s="25" t="s">
        <v>68</v>
      </c>
      <c r="M31" s="26" t="s">
        <v>69</v>
      </c>
    </row>
    <row r="32" spans="1:16" ht="15.75" thickBot="1" x14ac:dyDescent="0.3">
      <c r="A32" s="12" t="s">
        <v>51</v>
      </c>
      <c r="B32" s="18">
        <v>33</v>
      </c>
      <c r="C32" s="12">
        <v>2020</v>
      </c>
      <c r="D32" s="12" t="s">
        <v>58</v>
      </c>
      <c r="E32" s="12"/>
      <c r="F32" s="12"/>
      <c r="G32" s="12"/>
      <c r="H32" s="12"/>
      <c r="I32" s="12"/>
      <c r="J32" s="12">
        <v>2022</v>
      </c>
      <c r="K32" s="24">
        <f>H42</f>
        <v>35.344847999999999</v>
      </c>
      <c r="L32" s="27">
        <f>SUM(F13:F20)</f>
        <v>63.917844650575866</v>
      </c>
      <c r="M32" s="28">
        <f>SUM(G13:G20)</f>
        <v>83.948073252955695</v>
      </c>
    </row>
    <row r="33" spans="1:11" x14ac:dyDescent="0.25">
      <c r="A33" s="12" t="s">
        <v>53</v>
      </c>
      <c r="B33" s="18">
        <v>3.42</v>
      </c>
      <c r="C33" s="12">
        <v>2022</v>
      </c>
      <c r="D33" s="12" t="s">
        <v>54</v>
      </c>
      <c r="E33" s="12"/>
      <c r="F33" s="12"/>
      <c r="G33" s="12"/>
      <c r="H33" s="12"/>
      <c r="I33" s="12"/>
      <c r="J33" s="12">
        <v>2022</v>
      </c>
      <c r="K33" s="18">
        <f>H43</f>
        <v>3.66301152</v>
      </c>
    </row>
    <row r="34" spans="1:11" x14ac:dyDescent="0.25">
      <c r="A34" s="12" t="s">
        <v>55</v>
      </c>
      <c r="B34" s="18">
        <v>3.85</v>
      </c>
      <c r="C34" s="12">
        <v>2015</v>
      </c>
      <c r="D34" s="12" t="s">
        <v>56</v>
      </c>
      <c r="E34" s="12"/>
      <c r="F34" s="12"/>
      <c r="G34" s="12"/>
      <c r="H34" s="12"/>
      <c r="I34" s="12"/>
      <c r="J34" s="12">
        <v>2022</v>
      </c>
      <c r="K34" s="18">
        <f>H41</f>
        <v>4.4215969483778874</v>
      </c>
    </row>
    <row r="35" spans="1:11" x14ac:dyDescent="0.25">
      <c r="A35" s="21" t="s">
        <v>9</v>
      </c>
      <c r="B35" s="22">
        <f>P14</f>
        <v>79.580236737963546</v>
      </c>
      <c r="C35" s="21">
        <v>2020</v>
      </c>
      <c r="D35" s="12"/>
      <c r="E35" s="12"/>
      <c r="F35" s="12"/>
      <c r="G35" s="12"/>
      <c r="H35" s="12"/>
      <c r="I35" s="12"/>
      <c r="J35" s="21">
        <v>2022</v>
      </c>
      <c r="K35" s="18">
        <f>O22</f>
        <v>49.102993223305866</v>
      </c>
    </row>
    <row r="37" spans="1:11" x14ac:dyDescent="0.25">
      <c r="A37" t="s">
        <v>59</v>
      </c>
    </row>
    <row r="38" spans="1:11" x14ac:dyDescent="0.25">
      <c r="B38">
        <v>2016</v>
      </c>
      <c r="C38">
        <v>2017</v>
      </c>
      <c r="D38">
        <v>2018</v>
      </c>
      <c r="E38">
        <v>2019</v>
      </c>
      <c r="F38">
        <v>2020</v>
      </c>
      <c r="G38">
        <v>2021</v>
      </c>
      <c r="H38">
        <v>2022</v>
      </c>
    </row>
    <row r="39" spans="1:11" ht="30" x14ac:dyDescent="0.25">
      <c r="A39" s="17" t="s">
        <v>61</v>
      </c>
    </row>
    <row r="41" spans="1:11" x14ac:dyDescent="0.25">
      <c r="A41" t="s">
        <v>55</v>
      </c>
      <c r="B41" s="15">
        <f>(B34+B34*0.35%)</f>
        <v>3.8634750000000002</v>
      </c>
      <c r="C41" s="15">
        <f>(B41*2.12%)+B41</f>
        <v>3.94538067</v>
      </c>
      <c r="D41" s="15">
        <f>(C41*1.16%)+C41</f>
        <v>3.9911470857719999</v>
      </c>
      <c r="E41" s="15">
        <f>(D41*2.31%)+D41</f>
        <v>4.0833425834533328</v>
      </c>
      <c r="F41" s="15">
        <f>(E41*B52)+E41</f>
        <v>4.1282593518713195</v>
      </c>
      <c r="G41" s="15">
        <f>F41+(F41*B53)</f>
        <v>4.2190810576124882</v>
      </c>
      <c r="H41" s="15">
        <f>G41+(G41*B54)</f>
        <v>4.4215969483778874</v>
      </c>
    </row>
    <row r="42" spans="1:11" x14ac:dyDescent="0.25">
      <c r="A42" t="s">
        <v>51</v>
      </c>
      <c r="G42" s="15">
        <f>B32+(B32*G$57)</f>
        <v>33.725999999999999</v>
      </c>
      <c r="H42" s="15">
        <f>G42+(G42*H$57)</f>
        <v>35.344847999999999</v>
      </c>
    </row>
    <row r="43" spans="1:11" x14ac:dyDescent="0.25">
      <c r="A43" t="s">
        <v>53</v>
      </c>
      <c r="G43" s="15">
        <f>B33+(B33*G$57)</f>
        <v>3.4952399999999999</v>
      </c>
      <c r="H43" s="15">
        <f>G43+(G43*H$57)</f>
        <v>3.66301152</v>
      </c>
    </row>
    <row r="44" spans="1:11" x14ac:dyDescent="0.25">
      <c r="A44" t="s">
        <v>66</v>
      </c>
      <c r="G44" s="15">
        <f>B35+(B35*G$57)</f>
        <v>81.331001946198739</v>
      </c>
      <c r="H44" s="15">
        <f>G44+(G44*H$57)</f>
        <v>85.234890039616275</v>
      </c>
    </row>
    <row r="45" spans="1:11" x14ac:dyDescent="0.25">
      <c r="A45" s="4" t="s">
        <v>62</v>
      </c>
      <c r="C45" t="s">
        <v>63</v>
      </c>
    </row>
    <row r="47" spans="1:11" x14ac:dyDescent="0.25">
      <c r="A47">
        <v>2015</v>
      </c>
      <c r="B47" s="16">
        <v>1.4999999999999999E-2</v>
      </c>
    </row>
    <row r="48" spans="1:11" x14ac:dyDescent="0.25">
      <c r="A48">
        <v>2016</v>
      </c>
      <c r="B48" s="16">
        <v>2.4E-2</v>
      </c>
    </row>
    <row r="49" spans="1:8" x14ac:dyDescent="0.25">
      <c r="A49">
        <v>2017</v>
      </c>
      <c r="B49" s="16">
        <v>3.2000000000000001E-2</v>
      </c>
    </row>
    <row r="50" spans="1:8" x14ac:dyDescent="0.25">
      <c r="A50">
        <v>2018</v>
      </c>
      <c r="B50" s="16">
        <v>2.3E-2</v>
      </c>
    </row>
    <row r="51" spans="1:8" x14ac:dyDescent="0.25">
      <c r="A51">
        <v>2019</v>
      </c>
      <c r="B51" s="16">
        <v>2.8000000000000001E-2</v>
      </c>
    </row>
    <row r="52" spans="1:8" x14ac:dyDescent="0.25">
      <c r="A52">
        <v>2020</v>
      </c>
      <c r="B52" s="16">
        <v>1.0999999999999999E-2</v>
      </c>
    </row>
    <row r="53" spans="1:8" x14ac:dyDescent="0.25">
      <c r="A53">
        <v>2021</v>
      </c>
      <c r="B53" s="16">
        <v>2.1999999999999999E-2</v>
      </c>
    </row>
    <row r="54" spans="1:8" x14ac:dyDescent="0.25">
      <c r="A54">
        <v>2022</v>
      </c>
      <c r="B54" s="16">
        <v>4.8000000000000001E-2</v>
      </c>
    </row>
    <row r="55" spans="1:8" x14ac:dyDescent="0.25">
      <c r="A55" s="4" t="s">
        <v>62</v>
      </c>
    </row>
    <row r="56" spans="1:8" x14ac:dyDescent="0.25">
      <c r="A56">
        <v>2015</v>
      </c>
      <c r="B56">
        <v>2016</v>
      </c>
      <c r="C56">
        <v>2017</v>
      </c>
      <c r="D56">
        <v>2018</v>
      </c>
      <c r="E56">
        <v>2019</v>
      </c>
      <c r="F56">
        <v>2020</v>
      </c>
      <c r="G56">
        <v>2021</v>
      </c>
      <c r="H56">
        <v>2022</v>
      </c>
    </row>
    <row r="57" spans="1:8" x14ac:dyDescent="0.25">
      <c r="A57" s="16">
        <v>1.4999999999999999E-2</v>
      </c>
      <c r="B57" s="16">
        <v>2.4E-2</v>
      </c>
      <c r="C57" s="16">
        <v>3.2000000000000001E-2</v>
      </c>
      <c r="D57" s="16">
        <v>2.3E-2</v>
      </c>
      <c r="E57" s="16">
        <v>2.8000000000000001E-2</v>
      </c>
      <c r="F57" s="16">
        <v>1.0999999999999999E-2</v>
      </c>
      <c r="G57" s="16">
        <v>2.1999999999999999E-2</v>
      </c>
      <c r="H57" s="16">
        <v>4.8000000000000001E-2</v>
      </c>
    </row>
  </sheetData>
  <mergeCells count="3">
    <mergeCell ref="B4:C4"/>
    <mergeCell ref="D4:E4"/>
    <mergeCell ref="F4:G4"/>
  </mergeCells>
  <hyperlinks>
    <hyperlink ref="M1" r:id="rId1" xr:uid="{8D5F4CF5-19E7-4407-B07A-CA114E2AF7CA}"/>
    <hyperlink ref="M2" r:id="rId2" location=":~:text=All%20relevant%20activity%20should%20now,no%20longer%20collect%20reference%20costs." xr:uid="{88339E28-F03E-4278-A978-A5848EF5A102}"/>
    <hyperlink ref="M20" r:id="rId3" location="heading-2" xr:uid="{94C9397E-1A65-4633-A5A6-7EF3542DC68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2023-01-09T17:16:18Z</dcterms:modified>
</cp:coreProperties>
</file>