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FDD16470-B89C-4C3A-9C1A-0C2F11BA2CEB}" xr6:coauthVersionLast="47" xr6:coauthVersionMax="47" xr10:uidLastSave="{00000000-0000-0000-0000-000000000000}"/>
  <bookViews>
    <workbookView xWindow="28680" yWindow="-120" windowWidth="29040" windowHeight="15840" activeTab="1" xr2:uid="{1AD6D928-CCB7-482A-A47C-26785A7D3A52}"/>
  </bookViews>
  <sheets>
    <sheet name="parameters" sheetId="1" r:id="rId1"/>
    <sheet name="extract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B19" i="3"/>
  <c r="C19" i="3"/>
  <c r="D19" i="3"/>
  <c r="E19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E16" i="1"/>
  <c r="Q13" i="2"/>
  <c r="S13" i="2" s="1"/>
  <c r="Q14" i="2"/>
  <c r="X14" i="2" s="1"/>
  <c r="Q15" i="2"/>
  <c r="W15" i="2" s="1"/>
  <c r="Q16" i="2"/>
  <c r="V16" i="2" s="1"/>
  <c r="Q17" i="2"/>
  <c r="U17" i="2" s="1"/>
  <c r="Q18" i="2"/>
  <c r="W18" i="2" s="1"/>
  <c r="Q19" i="2"/>
  <c r="S19" i="2" s="1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E10" i="1"/>
  <c r="B10" i="3" s="1"/>
  <c r="C10" i="3"/>
  <c r="D10" i="3"/>
  <c r="E10" i="3"/>
  <c r="C11" i="3"/>
  <c r="D11" i="3"/>
  <c r="E11" i="3"/>
  <c r="B9" i="3"/>
  <c r="A10" i="3"/>
  <c r="A11" i="3"/>
  <c r="A9" i="3"/>
  <c r="E11" i="1"/>
  <c r="B11" i="3" s="1"/>
  <c r="G9" i="1"/>
  <c r="I9" i="1" s="1"/>
  <c r="C9" i="3"/>
  <c r="D9" i="3"/>
  <c r="A8" i="3"/>
  <c r="B8" i="3"/>
  <c r="C8" i="3"/>
  <c r="B7" i="3"/>
  <c r="C7" i="3"/>
  <c r="A7" i="3"/>
  <c r="H7" i="1"/>
  <c r="E7" i="3" s="1"/>
  <c r="H8" i="1"/>
  <c r="E8" i="3" s="1"/>
  <c r="H6" i="1"/>
  <c r="E6" i="3" s="1"/>
  <c r="G7" i="1"/>
  <c r="D7" i="3" s="1"/>
  <c r="G8" i="1"/>
  <c r="D8" i="3" s="1"/>
  <c r="G6" i="1"/>
  <c r="D6" i="3" s="1"/>
  <c r="H4" i="1"/>
  <c r="E4" i="3" s="1"/>
  <c r="H5" i="1"/>
  <c r="E5" i="3" s="1"/>
  <c r="G4" i="1"/>
  <c r="D4" i="3" s="1"/>
  <c r="G5" i="1"/>
  <c r="D5" i="3" s="1"/>
  <c r="C3" i="3"/>
  <c r="C4" i="3"/>
  <c r="C5" i="3"/>
  <c r="C6" i="3"/>
  <c r="C2" i="3"/>
  <c r="B4" i="3"/>
  <c r="B5" i="3"/>
  <c r="B6" i="3"/>
  <c r="B3" i="3"/>
  <c r="B2" i="3"/>
  <c r="G3" i="1"/>
  <c r="H3" i="1" s="1"/>
  <c r="E3" i="3" s="1"/>
  <c r="G2" i="1"/>
  <c r="H2" i="1" s="1"/>
  <c r="E2" i="3" s="1"/>
  <c r="W3" i="1"/>
  <c r="X3" i="1" s="1"/>
  <c r="X5" i="1"/>
  <c r="W5" i="1"/>
  <c r="N34" i="1"/>
  <c r="H39" i="1"/>
  <c r="G39" i="1"/>
  <c r="R13" i="2" l="1"/>
  <c r="T18" i="2"/>
  <c r="Z17" i="2"/>
  <c r="S17" i="2"/>
  <c r="R14" i="2"/>
  <c r="Y13" i="2"/>
  <c r="T13" i="2"/>
  <c r="Z13" i="2"/>
  <c r="W13" i="2"/>
  <c r="V13" i="2"/>
  <c r="U13" i="2"/>
  <c r="V18" i="2"/>
  <c r="S18" i="2"/>
  <c r="R18" i="2"/>
  <c r="X13" i="2"/>
  <c r="Y19" i="2"/>
  <c r="R17" i="2"/>
  <c r="Y18" i="2"/>
  <c r="Y14" i="2"/>
  <c r="U15" i="2"/>
  <c r="U19" i="2"/>
  <c r="Z14" i="2"/>
  <c r="Z18" i="2"/>
  <c r="W17" i="2"/>
  <c r="V14" i="2"/>
  <c r="T19" i="2"/>
  <c r="V17" i="2"/>
  <c r="U14" i="2"/>
  <c r="U18" i="2"/>
  <c r="Y15" i="2"/>
  <c r="X15" i="2"/>
  <c r="Z19" i="2"/>
  <c r="R19" i="2"/>
  <c r="T17" i="2"/>
  <c r="U16" i="2"/>
  <c r="V15" i="2"/>
  <c r="W14" i="2"/>
  <c r="T16" i="2"/>
  <c r="X19" i="2"/>
  <c r="W19" i="2"/>
  <c r="X18" i="2"/>
  <c r="Y17" i="2"/>
  <c r="Z16" i="2"/>
  <c r="R16" i="2"/>
  <c r="S15" i="2"/>
  <c r="T14" i="2"/>
  <c r="S16" i="2"/>
  <c r="T15" i="2"/>
  <c r="V19" i="2"/>
  <c r="X17" i="2"/>
  <c r="Y16" i="2"/>
  <c r="Z15" i="2"/>
  <c r="R15" i="2"/>
  <c r="S14" i="2"/>
  <c r="X16" i="2"/>
  <c r="W16" i="2"/>
  <c r="J9" i="1"/>
  <c r="H9" i="1" s="1"/>
  <c r="E9" i="3" s="1"/>
  <c r="D2" i="3"/>
  <c r="D3" i="3"/>
  <c r="H8" i="2"/>
  <c r="I8" i="2" s="1"/>
  <c r="F8" i="2"/>
  <c r="E8" i="2"/>
  <c r="D8" i="2"/>
  <c r="B4" i="2"/>
</calcChain>
</file>

<file path=xl/sharedStrings.xml><?xml version="1.0" encoding="utf-8"?>
<sst xmlns="http://schemas.openxmlformats.org/spreadsheetml/2006/main" count="146" uniqueCount="100">
  <si>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</si>
  <si>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</si>
  <si>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</si>
  <si>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</si>
  <si>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</si>
  <si>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</si>
  <si>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</si>
  <si>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</si>
  <si>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</si>
  <si>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</si>
  <si>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</si>
  <si>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</si>
  <si>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</si>
  <si>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</si>
  <si>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beta0</t>
  </si>
  <si>
    <t>beta1</t>
  </si>
  <si>
    <t>beta2</t>
  </si>
  <si>
    <t>X</t>
  </si>
  <si>
    <t>age</t>
  </si>
  <si>
    <t>sex</t>
  </si>
  <si>
    <t>30, male</t>
  </si>
  <si>
    <t>age+1</t>
  </si>
  <si>
    <t>Male 30</t>
  </si>
  <si>
    <t>Female 30</t>
  </si>
  <si>
    <t>Male 31</t>
  </si>
  <si>
    <t>Female 31</t>
  </si>
  <si>
    <t>Prior</t>
  </si>
  <si>
    <t>P.onset_age</t>
  </si>
  <si>
    <t>P.onset_sex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</si>
  <si>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</si>
  <si>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</si>
  <si>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</si>
  <si>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</si>
  <si>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</si>
  <si>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</si>
  <si>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</si>
  <si>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</si>
  <si>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</si>
  <si>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</si>
  <si>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</si>
  <si>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Utility_age</t>
  </si>
  <si>
    <t>Ara et al 2010</t>
  </si>
  <si>
    <t>p that at a time of onset (t0) the tumour is low-risk</t>
  </si>
  <si>
    <t>Proportion of patients progressing from low-risk BC to MIBC</t>
  </si>
  <si>
    <t>Probability to die from BC if you have low-risk non-MIBC</t>
  </si>
  <si>
    <t>Among LR patients with the median followup was 61 months (IQR 24–105). Of the patients 17 (2.4%) died of bladder cancer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</si>
  <si>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</si>
  <si>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</si>
  <si>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</si>
  <si>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Assumptions based on clinical experts input</t>
  </si>
  <si>
    <t>P.LRtoMIBC</t>
  </si>
  <si>
    <t>P.Recurrence.LR</t>
  </si>
  <si>
    <t>RR current smokers /  never smokers</t>
  </si>
  <si>
    <t xml:space="preserve"> Cumberbatch (2015), http://dx.doi.org/10.1016/j.eururo.2015.06.042</t>
  </si>
  <si>
    <t>A systematic review and a meta-analysis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</si>
  <si>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</si>
  <si>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</si>
  <si>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</si>
  <si>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</si>
  <si>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</si>
  <si>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</si>
  <si>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</si>
  <si>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</si>
  <si>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</si>
  <si>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</si>
  <si>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</si>
  <si>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</si>
  <si>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</si>
  <si>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</si>
  <si>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</si>
  <si>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1=Beta; 2=Gamma, 3=Log-normal, 4=Uniform, 5=Normal, 6=Constant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</si>
  <si>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</si>
  <si>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</si>
  <si>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</si>
  <si>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</si>
  <si>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</si>
  <si>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</si>
  <si>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</si>
  <si>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</si>
  <si>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</si>
  <si>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</si>
  <si>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x</t>
  </si>
  <si>
    <t>b</t>
  </si>
  <si>
    <t>a</t>
  </si>
  <si>
    <t>Age (for those who are older than 80) coefficient in the equation for Probability to have symptomatic diagnosis with potentially invasive cancer as a function of time since cancer onset</t>
  </si>
  <si>
    <t xml:space="preserve">Time coefficient (years subce onset) in the equation for Probability to become a symptomatic patient by time with high grade BC  (y= a*b^t+K(age)*[age&gt;80-age]) </t>
  </si>
  <si>
    <t xml:space="preserve">A coefficient (intercept) in the Probability to become a symptomatic patient by time with high grade BC (y= a*b^t+K(age)*[age&gt;80-age]) </t>
  </si>
  <si>
    <t>P.sympt.diag_LGBC</t>
  </si>
  <si>
    <t>P.sympt.diag_A_HGBC</t>
  </si>
  <si>
    <t>P.sympt.diag_B_HGBC</t>
  </si>
  <si>
    <t>P.sympt.diag_Age80_HGBC</t>
  </si>
  <si>
    <t>Coefficient for probability to die undiagnosed after age 80 annually by time since onset P_die_undiag (80)=t(onset)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</si>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</sst>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4" borderId="0" xfId="1" applyFill="1" applyAlignment="1">
      <alignment wrapText="1"/>
    </xf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X39"/>
  <sheetViews>
    <sheetView topLeftCell="A10" workbookViewId="0">
      <selection activeCell="B10" sqref="B10:B19"/>
    </sheetView>
  </sheetViews>
  <sheetFormatPr defaultRowHeight="15" x14ac:dyDescent="0.25"/>
  <cols>
    <col min="2" max="2" width="9.5703125" customWidth="1"/>
    <col min="3" max="3" width="43.140625" bestFit="1" customWidth="1"/>
    <col min="4" max="4" width="28" bestFit="1" customWidth="1"/>
    <col min="7" max="7" width="15.28515625" customWidth="1"/>
    <col min="8" max="8" width="12" bestFit="1" customWidth="1"/>
    <col min="11" max="11" width="10" bestFit="1" customWidth="1"/>
    <col min="12" max="12" width="54.42578125" customWidth="1"/>
    <col min="13" max="13" width="54" customWidth="1"/>
    <col min="20" max="20" width="20.7109375" customWidth="1"/>
    <col min="21" max="21" width="17.85546875" customWidth="1"/>
    <col min="22" max="22" width="13.28515625" customWidth="1"/>
    <col min="23" max="23" width="12.7109375" customWidth="1"/>
  </cols>
  <sheetData>
    <row r="1" spans="1:24" ht="2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15" t="s">
        <v>5</v>
      </c>
      <c r="H1" s="15"/>
      <c r="I1" s="16" t="s">
        <v>6</v>
      </c>
      <c r="J1" s="16"/>
      <c r="K1" s="2" t="s">
        <v>7</v>
      </c>
      <c r="L1" s="3" t="s">
        <v>8</v>
      </c>
      <c r="M1" s="4" t="s">
        <v>12</v>
      </c>
      <c r="O1" t="s">
        <v>70</v>
      </c>
    </row>
    <row r="2" spans="1:24" ht="45" x14ac:dyDescent="0.25">
      <c r="A2" s="7">
        <v>1</v>
      </c>
      <c r="B2" s="7" t="s">
        <v>11</v>
      </c>
      <c r="C2" s="8" t="s">
        <v>77</v>
      </c>
      <c r="D2" s="7" t="s">
        <v>57</v>
      </c>
      <c r="E2" s="7">
        <v>1E-4</v>
      </c>
      <c r="F2" s="7">
        <v>1</v>
      </c>
      <c r="G2" s="7">
        <f>((1-E2)/(K2^2)^2 -1/E2)*E2^2</f>
        <v>0.99980000000000002</v>
      </c>
      <c r="H2" s="7">
        <f>G2*(1/E2-1)</f>
        <v>9997.0002000000004</v>
      </c>
      <c r="I2" s="7"/>
      <c r="J2" s="7"/>
      <c r="K2" s="7">
        <v>0.01</v>
      </c>
      <c r="L2" s="7" t="s">
        <v>10</v>
      </c>
      <c r="M2" s="9" t="s">
        <v>26</v>
      </c>
      <c r="T2" s="13" t="s">
        <v>9</v>
      </c>
      <c r="U2" s="13" t="s">
        <v>4</v>
      </c>
      <c r="V2" s="13" t="s">
        <v>64</v>
      </c>
      <c r="W2" s="13" t="s">
        <v>65</v>
      </c>
      <c r="X2" s="13" t="s">
        <v>66</v>
      </c>
    </row>
    <row r="3" spans="1:24" ht="31.5" x14ac:dyDescent="0.25">
      <c r="A3" s="7">
        <v>2</v>
      </c>
      <c r="B3" s="7" t="s">
        <v>11</v>
      </c>
      <c r="C3" s="8" t="s">
        <v>42</v>
      </c>
      <c r="D3" s="7" t="s">
        <v>29</v>
      </c>
      <c r="E3" s="7">
        <v>0.192</v>
      </c>
      <c r="F3" s="7">
        <v>1</v>
      </c>
      <c r="G3" s="7">
        <f>((1-E3)/(K3^2)^2 -1/E3)*E3^2</f>
        <v>4765.5859199999986</v>
      </c>
      <c r="H3" s="7">
        <f>G3*(1/E3-1)</f>
        <v>20055.174079999993</v>
      </c>
      <c r="I3" s="7"/>
      <c r="J3" s="7"/>
      <c r="K3" s="7">
        <v>0.05</v>
      </c>
      <c r="L3" s="8" t="s">
        <v>48</v>
      </c>
      <c r="M3" s="10" t="s">
        <v>56</v>
      </c>
      <c r="T3" s="13" t="s">
        <v>63</v>
      </c>
      <c r="U3" s="13">
        <v>0.02</v>
      </c>
      <c r="V3" s="13">
        <v>0.01</v>
      </c>
      <c r="W3" s="13">
        <f>((1-U3)/V3^2 -1/U3)*U3^2</f>
        <v>3.9000000000000004</v>
      </c>
      <c r="X3" s="13">
        <f>W3*(1/U3-1)</f>
        <v>191.10000000000002</v>
      </c>
    </row>
    <row r="4" spans="1:24" ht="45" customHeight="1" x14ac:dyDescent="0.25">
      <c r="A4" s="7">
        <v>3</v>
      </c>
      <c r="B4" s="7" t="s">
        <v>11</v>
      </c>
      <c r="C4" s="8" t="s">
        <v>13</v>
      </c>
      <c r="D4" s="7" t="s">
        <v>32</v>
      </c>
      <c r="E4" s="7">
        <v>1.99</v>
      </c>
      <c r="F4" s="7">
        <v>3</v>
      </c>
      <c r="G4" s="7">
        <f>LN(E4)</f>
        <v>0.68813463873640102</v>
      </c>
      <c r="H4" s="7">
        <f>(LN(J4)-LN(I4))/(2*NORMINV(0.975,0,1))</f>
        <v>0.2507383667215965</v>
      </c>
      <c r="I4" s="7">
        <v>1.22</v>
      </c>
      <c r="J4" s="7">
        <v>3.26</v>
      </c>
      <c r="K4" s="7">
        <v>2.4781339999999999E-3</v>
      </c>
      <c r="L4" s="8" t="s">
        <v>55</v>
      </c>
      <c r="M4" s="8" t="s">
        <v>62</v>
      </c>
      <c r="T4" s="13"/>
      <c r="U4" s="13" t="s">
        <v>4</v>
      </c>
      <c r="V4" s="13" t="s">
        <v>64</v>
      </c>
      <c r="W4" s="13" t="s">
        <v>68</v>
      </c>
      <c r="X4" s="13" t="s">
        <v>69</v>
      </c>
    </row>
    <row r="5" spans="1:24" ht="27" customHeight="1" x14ac:dyDescent="0.25">
      <c r="A5" s="7">
        <v>4</v>
      </c>
      <c r="B5" s="7" t="s">
        <v>11</v>
      </c>
      <c r="C5" s="8" t="s">
        <v>58</v>
      </c>
      <c r="D5" s="7" t="s">
        <v>31</v>
      </c>
      <c r="E5" s="7">
        <v>2.04</v>
      </c>
      <c r="F5" s="7">
        <v>3</v>
      </c>
      <c r="G5" s="7">
        <f>LN(E5)</f>
        <v>0.71294980785612505</v>
      </c>
      <c r="H5" s="7">
        <f t="shared" ref="H5" si="0">(LN(J5)-LN(I5))/(2*NORMINV(0.975,0,1))</f>
        <v>4.9935758684879816E-2</v>
      </c>
      <c r="I5" s="7">
        <v>1.85</v>
      </c>
      <c r="J5" s="7">
        <v>2.25</v>
      </c>
      <c r="K5" s="7">
        <v>6.9413790000000003E-4</v>
      </c>
      <c r="L5" s="8" t="s">
        <v>53</v>
      </c>
      <c r="M5" s="8" t="s">
        <v>54</v>
      </c>
      <c r="T5" s="13" t="s">
        <v>67</v>
      </c>
      <c r="U5" s="13">
        <v>0.02</v>
      </c>
      <c r="V5" s="13">
        <v>0.01</v>
      </c>
      <c r="W5" s="13">
        <f>U5^2/V5</f>
        <v>0.04</v>
      </c>
      <c r="X5" s="13">
        <f>V5/U5</f>
        <v>0.5</v>
      </c>
    </row>
    <row r="6" spans="1:24" ht="31.5" customHeight="1" x14ac:dyDescent="0.25">
      <c r="A6" s="7">
        <v>5</v>
      </c>
      <c r="B6" s="7" t="s">
        <v>11</v>
      </c>
      <c r="C6" s="8" t="s">
        <v>52</v>
      </c>
      <c r="D6" s="7" t="s">
        <v>30</v>
      </c>
      <c r="E6" s="7">
        <v>3.47</v>
      </c>
      <c r="F6" s="7">
        <v>3</v>
      </c>
      <c r="G6" s="7">
        <f>LN(E6)</f>
        <v>1.2441545939587679</v>
      </c>
      <c r="H6" s="7">
        <f>(LN(J6)-LN(I6))/(2*NORMINV(0.975,0,1))</f>
        <v>6.1700065487409E-2</v>
      </c>
      <c r="I6" s="7">
        <v>3.07</v>
      </c>
      <c r="J6" s="7">
        <v>3.91</v>
      </c>
      <c r="K6" s="7">
        <v>1.458268E-3</v>
      </c>
      <c r="L6" s="8" t="s">
        <v>53</v>
      </c>
      <c r="M6" s="8" t="s">
        <v>54</v>
      </c>
    </row>
    <row r="7" spans="1:24" ht="30" x14ac:dyDescent="0.25">
      <c r="A7" s="7">
        <v>6</v>
      </c>
      <c r="B7" s="7" t="s">
        <v>37</v>
      </c>
      <c r="C7" s="8" t="s">
        <v>71</v>
      </c>
      <c r="D7" s="7" t="s">
        <v>72</v>
      </c>
      <c r="E7" s="7">
        <v>1.2</v>
      </c>
      <c r="F7" s="7">
        <v>3</v>
      </c>
      <c r="G7" s="7">
        <f t="shared" ref="G7:G8" si="1">LN(E7)</f>
        <v>0.18232155679395459</v>
      </c>
      <c r="H7" s="7">
        <f t="shared" ref="H7:H8" si="2">(LN(J7)-LN(I7))/(2*NORMINV(0.975,0,1))</f>
        <v>2.5531963685666733E-2</v>
      </c>
      <c r="I7" s="7">
        <v>1.1399999999999999</v>
      </c>
      <c r="J7" s="7">
        <v>1.26</v>
      </c>
      <c r="K7" s="7"/>
      <c r="L7" s="14" t="s">
        <v>74</v>
      </c>
      <c r="M7" s="8" t="s">
        <v>73</v>
      </c>
    </row>
    <row r="8" spans="1:24" ht="31.5" customHeight="1" x14ac:dyDescent="0.25">
      <c r="A8" s="7">
        <v>7</v>
      </c>
      <c r="B8" s="7" t="s">
        <v>37</v>
      </c>
      <c r="C8" s="8" t="s">
        <v>75</v>
      </c>
      <c r="D8" s="7" t="s">
        <v>76</v>
      </c>
      <c r="E8" s="7">
        <v>2.76</v>
      </c>
      <c r="F8" s="7">
        <v>3</v>
      </c>
      <c r="G8" s="7">
        <f t="shared" si="1"/>
        <v>1.0152306797290584</v>
      </c>
      <c r="H8" s="7">
        <f t="shared" si="2"/>
        <v>9.2440087521680724E-3</v>
      </c>
      <c r="I8" s="7">
        <v>2.71</v>
      </c>
      <c r="J8" s="7">
        <v>2.81</v>
      </c>
      <c r="K8" s="7"/>
      <c r="L8" s="14" t="s">
        <v>74</v>
      </c>
      <c r="M8" s="8" t="s">
        <v>73</v>
      </c>
    </row>
    <row r="9" spans="1:24" ht="45" x14ac:dyDescent="0.25">
      <c r="A9" s="7">
        <v>8</v>
      </c>
      <c r="B9" s="5" t="s">
        <v>37</v>
      </c>
      <c r="C9" s="6" t="s">
        <v>34</v>
      </c>
      <c r="D9" s="5" t="s">
        <v>35</v>
      </c>
      <c r="E9" s="5">
        <v>1.67E-2</v>
      </c>
      <c r="F9" s="5">
        <v>5</v>
      </c>
      <c r="G9" s="5">
        <f>E9</f>
        <v>1.67E-2</v>
      </c>
      <c r="H9" s="5">
        <f>(J9-I9)/(2*NORMINV(0.975,0,1))</f>
        <v>4.0523713428230627E-4</v>
      </c>
      <c r="I9" s="5">
        <f>G9-1.96*SQRT(G9*(1-G9)/100000)</f>
        <v>1.5905749811608458E-2</v>
      </c>
      <c r="J9" s="5">
        <f>G9+1.96*SQRT(G9*(1-G9)/100000)</f>
        <v>1.7494250188391541E-2</v>
      </c>
      <c r="K9" s="5"/>
      <c r="L9" s="6" t="s">
        <v>36</v>
      </c>
      <c r="M9" s="5"/>
    </row>
    <row r="10" spans="1:24" ht="60" x14ac:dyDescent="0.25">
      <c r="A10" s="7">
        <v>9</v>
      </c>
      <c r="B10" s="12" t="s">
        <v>11</v>
      </c>
      <c r="C10" s="8" t="s">
        <v>78</v>
      </c>
      <c r="D10" s="7" t="s">
        <v>27</v>
      </c>
      <c r="E10" s="7">
        <f>AVERAGE(G10:H10)</f>
        <v>1.0500004999999999</v>
      </c>
      <c r="F10" s="12">
        <v>4</v>
      </c>
      <c r="G10" s="7">
        <v>1.0000009999999999</v>
      </c>
      <c r="H10" s="7">
        <v>1.1000000000000001</v>
      </c>
      <c r="I10" s="7"/>
      <c r="J10" s="7"/>
      <c r="K10" s="7"/>
      <c r="L10" s="7" t="s">
        <v>10</v>
      </c>
      <c r="M10" s="9"/>
    </row>
    <row r="11" spans="1:24" ht="30" x14ac:dyDescent="0.25">
      <c r="A11" s="7">
        <v>10</v>
      </c>
      <c r="B11" s="12" t="s">
        <v>11</v>
      </c>
      <c r="C11" s="8" t="s">
        <v>79</v>
      </c>
      <c r="D11" s="7" t="s">
        <v>28</v>
      </c>
      <c r="E11">
        <f>AVERAGE(G11:H11)</f>
        <v>1.25</v>
      </c>
      <c r="F11" s="12">
        <v>4</v>
      </c>
      <c r="G11" s="7">
        <v>1</v>
      </c>
      <c r="H11" s="7">
        <v>1.5</v>
      </c>
      <c r="I11" s="7"/>
      <c r="J11" s="7"/>
      <c r="K11" s="7"/>
      <c r="L11" s="7" t="s">
        <v>10</v>
      </c>
      <c r="M11" s="7"/>
    </row>
    <row r="12" spans="1:24" ht="30" x14ac:dyDescent="0.25">
      <c r="A12" s="7">
        <v>11</v>
      </c>
      <c r="B12" s="12" t="s">
        <v>11</v>
      </c>
      <c r="C12" s="8" t="s">
        <v>80</v>
      </c>
      <c r="D12" s="7" t="s">
        <v>87</v>
      </c>
      <c r="E12" s="7">
        <v>0.05</v>
      </c>
      <c r="F12" s="7">
        <v>5</v>
      </c>
      <c r="G12" s="7">
        <v>0.05</v>
      </c>
      <c r="H12" s="7">
        <v>0.1</v>
      </c>
      <c r="I12" s="7"/>
      <c r="J12" s="7"/>
      <c r="K12" s="7"/>
      <c r="L12" s="7" t="s">
        <v>10</v>
      </c>
      <c r="M12" s="7"/>
    </row>
    <row r="13" spans="1:24" ht="45" x14ac:dyDescent="0.25">
      <c r="A13" s="7">
        <v>12</v>
      </c>
      <c r="B13" s="12" t="s">
        <v>11</v>
      </c>
      <c r="C13" s="8" t="s">
        <v>86</v>
      </c>
      <c r="D13" s="7" t="s">
        <v>88</v>
      </c>
      <c r="E13" s="7">
        <v>0.1</v>
      </c>
      <c r="F13" s="7">
        <v>5</v>
      </c>
      <c r="G13" s="7">
        <v>0.01</v>
      </c>
      <c r="H13" s="7">
        <v>0.2</v>
      </c>
      <c r="I13" s="7"/>
      <c r="J13" s="7"/>
      <c r="K13" s="7"/>
      <c r="L13" s="7" t="s">
        <v>10</v>
      </c>
      <c r="M13" s="7"/>
    </row>
    <row r="14" spans="1:24" ht="60" x14ac:dyDescent="0.25">
      <c r="A14" s="7">
        <v>13</v>
      </c>
      <c r="B14" s="12" t="s">
        <v>11</v>
      </c>
      <c r="C14" s="8" t="s">
        <v>85</v>
      </c>
      <c r="D14" s="7" t="s">
        <v>89</v>
      </c>
      <c r="E14" s="7">
        <v>1.2</v>
      </c>
      <c r="F14">
        <v>5</v>
      </c>
      <c r="G14" s="7">
        <v>1.01</v>
      </c>
      <c r="H14" s="7">
        <v>1.7</v>
      </c>
      <c r="I14" s="7"/>
      <c r="J14" s="7"/>
      <c r="K14" s="7"/>
      <c r="L14" s="7" t="s">
        <v>10</v>
      </c>
      <c r="M14" s="9"/>
    </row>
    <row r="15" spans="1:24" ht="75" x14ac:dyDescent="0.25">
      <c r="A15" s="7">
        <v>11</v>
      </c>
      <c r="B15" s="12" t="s">
        <v>11</v>
      </c>
      <c r="C15" s="8" t="s">
        <v>84</v>
      </c>
      <c r="D15" s="7" t="s">
        <v>90</v>
      </c>
      <c r="E15" s="7">
        <v>-5.0000000000000001E-3</v>
      </c>
      <c r="F15" s="7">
        <v>5</v>
      </c>
      <c r="G15" s="7">
        <v>-5.0000000000000001E-3</v>
      </c>
      <c r="H15" s="7">
        <v>0.2</v>
      </c>
      <c r="I15" s="7"/>
      <c r="J15" s="7"/>
      <c r="K15" s="7"/>
      <c r="L15" s="7" t="s">
        <v>10</v>
      </c>
      <c r="M15" s="7"/>
    </row>
    <row r="16" spans="1:24" ht="75" x14ac:dyDescent="0.25">
      <c r="A16" s="7">
        <v>12</v>
      </c>
      <c r="B16" s="12" t="s">
        <v>11</v>
      </c>
      <c r="C16" s="8" t="s">
        <v>93</v>
      </c>
      <c r="D16" s="7" t="s">
        <v>92</v>
      </c>
      <c r="E16" s="7">
        <f>AVERAGE(G16:H16)</f>
        <v>-5.5E-2</v>
      </c>
      <c r="F16" s="7">
        <v>4</v>
      </c>
      <c r="G16" s="7">
        <v>-0.1</v>
      </c>
      <c r="H16" s="7">
        <v>-0.01</v>
      </c>
      <c r="I16" s="7"/>
      <c r="J16" s="7"/>
      <c r="K16" s="7"/>
      <c r="L16" s="7" t="s">
        <v>10</v>
      </c>
      <c r="M16" s="7"/>
    </row>
    <row r="17" spans="1:13" ht="30" x14ac:dyDescent="0.25">
      <c r="A17" s="7"/>
      <c r="B17" s="12" t="s">
        <v>11</v>
      </c>
      <c r="C17" s="8" t="s">
        <v>95</v>
      </c>
      <c r="D17" s="7" t="s">
        <v>94</v>
      </c>
      <c r="E17" s="7">
        <v>3</v>
      </c>
      <c r="F17" s="7">
        <v>6</v>
      </c>
      <c r="G17" s="7">
        <v>3</v>
      </c>
      <c r="H17" s="7">
        <v>3</v>
      </c>
      <c r="I17" s="7"/>
      <c r="J17" s="7"/>
      <c r="K17" s="7"/>
      <c r="L17" s="7" t="s">
        <v>33</v>
      </c>
      <c r="M17" s="7" t="s">
        <v>26</v>
      </c>
    </row>
    <row r="18" spans="1:13" ht="30" x14ac:dyDescent="0.25">
      <c r="A18" s="7">
        <v>14</v>
      </c>
      <c r="B18" s="12" t="s">
        <v>11</v>
      </c>
      <c r="C18" s="8" t="s">
        <v>96</v>
      </c>
      <c r="D18" s="7" t="s">
        <v>98</v>
      </c>
      <c r="E18" s="7">
        <v>2</v>
      </c>
      <c r="F18" s="7">
        <v>6</v>
      </c>
      <c r="G18" s="7">
        <v>2</v>
      </c>
      <c r="H18" s="7">
        <v>2</v>
      </c>
      <c r="I18" s="7"/>
      <c r="J18" s="7"/>
      <c r="K18" s="7"/>
      <c r="L18" s="7" t="s">
        <v>33</v>
      </c>
      <c r="M18" s="7"/>
    </row>
    <row r="19" spans="1:13" ht="30" x14ac:dyDescent="0.25">
      <c r="A19" s="7">
        <v>15</v>
      </c>
      <c r="B19" s="12" t="s">
        <v>11</v>
      </c>
      <c r="C19" s="8" t="s">
        <v>97</v>
      </c>
      <c r="D19" s="7" t="s">
        <v>99</v>
      </c>
      <c r="E19" s="7">
        <v>1</v>
      </c>
      <c r="F19" s="12">
        <v>6</v>
      </c>
      <c r="G19" s="7">
        <v>1</v>
      </c>
      <c r="H19" s="7">
        <v>1</v>
      </c>
      <c r="I19" s="7"/>
      <c r="J19" s="7"/>
      <c r="K19" s="7"/>
      <c r="L19" s="7" t="s">
        <v>33</v>
      </c>
      <c r="M19" s="10"/>
    </row>
    <row r="20" spans="1:13" x14ac:dyDescent="0.25">
      <c r="A20" s="7"/>
      <c r="B20" s="7"/>
      <c r="C20" s="8"/>
      <c r="D20" s="7"/>
      <c r="E20" s="7"/>
      <c r="F20" s="12"/>
      <c r="G20" s="7"/>
      <c r="H20" s="7"/>
      <c r="I20" s="7"/>
      <c r="J20" s="7"/>
      <c r="K20" s="7"/>
      <c r="L20" s="7"/>
      <c r="M20" s="7"/>
    </row>
    <row r="21" spans="1:13" x14ac:dyDescent="0.25">
      <c r="A21" s="7"/>
      <c r="B21" s="7"/>
      <c r="C21" s="8"/>
      <c r="D21" s="7"/>
      <c r="E21" s="7"/>
      <c r="F21" s="12"/>
      <c r="G21" s="7"/>
      <c r="H21" s="7"/>
      <c r="I21" s="7"/>
      <c r="J21" s="7"/>
      <c r="K21" s="7"/>
      <c r="L21" s="7"/>
      <c r="M21" s="8"/>
    </row>
    <row r="22" spans="1:13" x14ac:dyDescent="0.25">
      <c r="A22" s="7"/>
      <c r="B22" s="7"/>
      <c r="C22" s="8"/>
      <c r="D22" s="7"/>
      <c r="E22" s="7"/>
      <c r="F22" s="12"/>
      <c r="G22" s="7"/>
      <c r="H22" s="7"/>
      <c r="I22" s="7"/>
      <c r="J22" s="7"/>
      <c r="K22" s="7"/>
      <c r="L22" s="7"/>
      <c r="M22" s="7"/>
    </row>
    <row r="23" spans="1:13" ht="45" x14ac:dyDescent="0.25">
      <c r="A23" s="7"/>
      <c r="B23" s="7" t="s">
        <v>11</v>
      </c>
      <c r="C23" s="8" t="s">
        <v>43</v>
      </c>
      <c r="D23" s="7" t="s">
        <v>50</v>
      </c>
      <c r="E23" s="11"/>
      <c r="F23" s="12">
        <v>2</v>
      </c>
      <c r="G23" s="11"/>
      <c r="H23" s="11"/>
      <c r="I23" s="11"/>
      <c r="J23" s="7"/>
      <c r="K23" s="7"/>
      <c r="L23" s="8" t="s">
        <v>48</v>
      </c>
      <c r="M23" s="8" t="s">
        <v>45</v>
      </c>
    </row>
    <row r="24" spans="1:13" ht="30" x14ac:dyDescent="0.25">
      <c r="A24" s="7"/>
      <c r="B24" s="7" t="s">
        <v>11</v>
      </c>
      <c r="C24" s="8" t="s">
        <v>44</v>
      </c>
      <c r="D24" s="7"/>
      <c r="E24" s="7">
        <v>0</v>
      </c>
      <c r="F24" s="7"/>
      <c r="G24" s="7">
        <v>0</v>
      </c>
      <c r="H24" s="7"/>
      <c r="I24" s="7">
        <v>0</v>
      </c>
      <c r="J24" s="7"/>
      <c r="K24" s="7"/>
      <c r="L24" s="8" t="s">
        <v>49</v>
      </c>
      <c r="M24" s="7"/>
    </row>
    <row r="25" spans="1:13" ht="29.25" customHeight="1" x14ac:dyDescent="0.25">
      <c r="A25" s="7"/>
      <c r="B25" s="7" t="s">
        <v>11</v>
      </c>
      <c r="C25" s="8" t="s">
        <v>47</v>
      </c>
      <c r="D25" s="7" t="s">
        <v>51</v>
      </c>
      <c r="E25" s="11"/>
      <c r="F25" s="11"/>
      <c r="G25" s="11"/>
      <c r="H25" s="11"/>
      <c r="I25" s="11"/>
      <c r="J25" s="7"/>
      <c r="K25" s="7"/>
      <c r="L25" s="8" t="s">
        <v>48</v>
      </c>
      <c r="M25" s="8" t="s">
        <v>46</v>
      </c>
    </row>
    <row r="26" spans="1:13" x14ac:dyDescent="0.25">
      <c r="A26" s="7"/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</row>
    <row r="29" spans="1:1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4" spans="2:14" x14ac:dyDescent="0.25">
      <c r="M34">
        <v>12</v>
      </c>
      <c r="N34">
        <f>M34*N35/M35</f>
        <v>0.47213114754098356</v>
      </c>
    </row>
    <row r="35" spans="2:14" x14ac:dyDescent="0.25">
      <c r="M35">
        <v>61</v>
      </c>
      <c r="N35">
        <v>2.4</v>
      </c>
    </row>
    <row r="39" spans="2:14" x14ac:dyDescent="0.25">
      <c r="B39" t="s">
        <v>38</v>
      </c>
      <c r="C39" t="s">
        <v>39</v>
      </c>
      <c r="D39" t="s">
        <v>40</v>
      </c>
      <c r="E39">
        <v>4.3199999999999992E-3</v>
      </c>
      <c r="G39">
        <f>E39</f>
        <v>4.3199999999999992E-3</v>
      </c>
      <c r="H39">
        <f>(J39-I39)/(2*NORMINV(0.975,0,1))</f>
        <v>1.4285976793890307E-4</v>
      </c>
      <c r="I39">
        <v>4.0400000000000002E-3</v>
      </c>
      <c r="J39">
        <v>4.5999999999999999E-3</v>
      </c>
      <c r="L39" t="s">
        <v>41</v>
      </c>
    </row>
  </sheetData>
  <mergeCells count="2">
    <mergeCell ref="G1:H1"/>
    <mergeCell ref="I1:J1"/>
  </mergeCells>
  <hyperlinks>
    <hyperlink ref="L7" r:id="rId1" xr:uid="{A3AB382F-C46B-41A4-BFA8-DBE37CB64893}"/>
    <hyperlink ref="L8" r:id="rId2" xr:uid="{E4F5C3E2-0ECA-4597-B6F5-C5FAECC27DA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E19"/>
  <sheetViews>
    <sheetView tabSelected="1" workbookViewId="0">
      <selection activeCell="B19" sqref="B19"/>
    </sheetView>
  </sheetViews>
  <sheetFormatPr defaultRowHeight="15" x14ac:dyDescent="0.25"/>
  <cols>
    <col min="1" max="1" width="23.7109375" bestFit="1" customWidth="1"/>
    <col min="2" max="2" width="16.5703125" customWidth="1"/>
    <col min="3" max="3" width="13.5703125" customWidth="1"/>
    <col min="4" max="4" width="10" bestFit="1" customWidth="1"/>
  </cols>
  <sheetData>
    <row r="1" spans="1:5" x14ac:dyDescent="0.25">
      <c r="A1" s="2" t="s">
        <v>61</v>
      </c>
      <c r="B1" s="2" t="s">
        <v>4</v>
      </c>
      <c r="C1" s="2" t="s">
        <v>9</v>
      </c>
      <c r="D1" s="2" t="s">
        <v>59</v>
      </c>
      <c r="E1" s="2" t="s">
        <v>60</v>
      </c>
    </row>
    <row r="2" spans="1:5" x14ac:dyDescent="0.25">
      <c r="A2" s="17" t="s">
        <v>57</v>
      </c>
      <c r="B2" s="17">
        <f>parameters!E2</f>
        <v>1E-4</v>
      </c>
      <c r="C2" s="17">
        <f>parameters!F2</f>
        <v>1</v>
      </c>
      <c r="D2" s="17">
        <f>parameters!G2</f>
        <v>0.99980000000000002</v>
      </c>
      <c r="E2" s="17">
        <f>parameters!H2</f>
        <v>9997.0002000000004</v>
      </c>
    </row>
    <row r="3" spans="1:5" x14ac:dyDescent="0.25">
      <c r="A3" s="17" t="s">
        <v>29</v>
      </c>
      <c r="B3" s="17">
        <f>parameters!E3</f>
        <v>0.192</v>
      </c>
      <c r="C3" s="17">
        <f>parameters!F3</f>
        <v>1</v>
      </c>
      <c r="D3" s="17">
        <f>parameters!G3</f>
        <v>4765.5859199999986</v>
      </c>
      <c r="E3" s="17">
        <f>parameters!H3</f>
        <v>20055.174079999993</v>
      </c>
    </row>
    <row r="4" spans="1:5" x14ac:dyDescent="0.25">
      <c r="A4" s="17" t="s">
        <v>32</v>
      </c>
      <c r="B4" s="17">
        <f>parameters!E4</f>
        <v>1.99</v>
      </c>
      <c r="C4" s="17">
        <f>parameters!F4</f>
        <v>3</v>
      </c>
      <c r="D4" s="17">
        <f>parameters!G4</f>
        <v>0.68813463873640102</v>
      </c>
      <c r="E4" s="17">
        <f>parameters!H4</f>
        <v>0.2507383667215965</v>
      </c>
    </row>
    <row r="5" spans="1:5" x14ac:dyDescent="0.25">
      <c r="A5" s="17" t="s">
        <v>31</v>
      </c>
      <c r="B5" s="17">
        <f>parameters!E5</f>
        <v>2.04</v>
      </c>
      <c r="C5" s="17">
        <f>parameters!F5</f>
        <v>3</v>
      </c>
      <c r="D5" s="17">
        <f>parameters!G5</f>
        <v>0.71294980785612505</v>
      </c>
      <c r="E5" s="17">
        <f>parameters!H5</f>
        <v>4.9935758684879816E-2</v>
      </c>
    </row>
    <row r="6" spans="1:5" x14ac:dyDescent="0.25">
      <c r="A6" s="17" t="s">
        <v>30</v>
      </c>
      <c r="B6" s="17">
        <f>parameters!E6</f>
        <v>3.47</v>
      </c>
      <c r="C6" s="17">
        <f>parameters!F6</f>
        <v>3</v>
      </c>
      <c r="D6" s="17">
        <f>parameters!G6</f>
        <v>1.2441545939587679</v>
      </c>
      <c r="E6" s="17">
        <f>parameters!H6</f>
        <v>6.1700065487409E-2</v>
      </c>
    </row>
    <row r="7" spans="1:5" x14ac:dyDescent="0.25">
      <c r="A7" s="17" t="str">
        <f>parameters!D7</f>
        <v>RR.All.Death.past_smoke</v>
      </c>
      <c r="B7" s="17">
        <f>parameters!E7</f>
        <v>1.2</v>
      </c>
      <c r="C7" s="17">
        <f>parameters!F7</f>
        <v>3</v>
      </c>
      <c r="D7" s="17">
        <f>parameters!G7</f>
        <v>0.18232155679395459</v>
      </c>
      <c r="E7" s="17">
        <f>parameters!H7</f>
        <v>2.5531963685666733E-2</v>
      </c>
    </row>
    <row r="8" spans="1:5" x14ac:dyDescent="0.25">
      <c r="A8" s="17" t="str">
        <f>parameters!D8</f>
        <v>RR.All.Death.current_smoke</v>
      </c>
      <c r="B8" s="17">
        <f>parameters!E8</f>
        <v>2.76</v>
      </c>
      <c r="C8" s="17">
        <f>parameters!F8</f>
        <v>3</v>
      </c>
      <c r="D8" s="17">
        <f>parameters!G8</f>
        <v>1.0152306797290584</v>
      </c>
      <c r="E8" s="17">
        <f>parameters!H8</f>
        <v>9.2440087521680724E-3</v>
      </c>
    </row>
    <row r="9" spans="1:5" x14ac:dyDescent="0.25">
      <c r="A9" s="17" t="str">
        <f>parameters!D9</f>
        <v>P.quit.smoke</v>
      </c>
      <c r="B9" s="17">
        <f>parameters!E9</f>
        <v>1.67E-2</v>
      </c>
      <c r="C9" s="17">
        <f>parameters!F9</f>
        <v>5</v>
      </c>
      <c r="D9" s="17">
        <f>parameters!G9</f>
        <v>1.67E-2</v>
      </c>
      <c r="E9" s="17">
        <f>parameters!H9</f>
        <v>4.0523713428230627E-4</v>
      </c>
    </row>
    <row r="10" spans="1:5" x14ac:dyDescent="0.25">
      <c r="A10" s="17" t="str">
        <f>parameters!D10</f>
        <v>P.onset_age</v>
      </c>
      <c r="B10" s="17">
        <f>parameters!E10</f>
        <v>1.0500004999999999</v>
      </c>
      <c r="C10" s="17">
        <f>parameters!F10</f>
        <v>4</v>
      </c>
      <c r="D10" s="17">
        <f>parameters!G10</f>
        <v>1.0000009999999999</v>
      </c>
      <c r="E10" s="17">
        <f>parameters!H10</f>
        <v>1.1000000000000001</v>
      </c>
    </row>
    <row r="11" spans="1:5" x14ac:dyDescent="0.25">
      <c r="A11" s="17" t="str">
        <f>parameters!D11</f>
        <v>P.onset_sex</v>
      </c>
      <c r="B11" s="17">
        <f>parameters!E11</f>
        <v>1.25</v>
      </c>
      <c r="C11" s="17">
        <f>parameters!F11</f>
        <v>4</v>
      </c>
      <c r="D11" s="17">
        <f>parameters!G11</f>
        <v>1</v>
      </c>
      <c r="E11" s="17">
        <f>parameters!H11</f>
        <v>1.5</v>
      </c>
    </row>
    <row r="12" spans="1:5" x14ac:dyDescent="0.25">
      <c r="A12" s="17" t="str">
        <f>parameters!D12</f>
        <v>P.sympt.diag_LGBC</v>
      </c>
      <c r="B12" s="17">
        <f>parameters!E12</f>
        <v>0.05</v>
      </c>
      <c r="C12" s="17">
        <f>parameters!F12</f>
        <v>5</v>
      </c>
      <c r="D12" s="17">
        <f>parameters!G12</f>
        <v>0.05</v>
      </c>
      <c r="E12" s="17">
        <f>parameters!H12</f>
        <v>0.1</v>
      </c>
    </row>
    <row r="13" spans="1:5" x14ac:dyDescent="0.25">
      <c r="A13" s="17" t="str">
        <f>parameters!D13</f>
        <v>P.sympt.diag_A_HGBC</v>
      </c>
      <c r="B13" s="17">
        <f>parameters!E13</f>
        <v>0.1</v>
      </c>
      <c r="C13" s="17">
        <f>parameters!F13</f>
        <v>5</v>
      </c>
      <c r="D13" s="17">
        <f>parameters!G13</f>
        <v>0.01</v>
      </c>
      <c r="E13" s="17">
        <f>parameters!H13</f>
        <v>0.2</v>
      </c>
    </row>
    <row r="14" spans="1:5" x14ac:dyDescent="0.25">
      <c r="A14" s="17" t="str">
        <f>parameters!D14</f>
        <v>P.sympt.diag_B_HGBC</v>
      </c>
      <c r="B14" s="17">
        <f>parameters!E14</f>
        <v>1.2</v>
      </c>
      <c r="C14" s="17">
        <f>parameters!F14</f>
        <v>5</v>
      </c>
      <c r="D14" s="17">
        <f>parameters!G14</f>
        <v>1.01</v>
      </c>
      <c r="E14" s="17">
        <f>parameters!H14</f>
        <v>1.7</v>
      </c>
    </row>
    <row r="15" spans="1:5" x14ac:dyDescent="0.25">
      <c r="A15" s="17" t="str">
        <f>parameters!D15</f>
        <v>P.sympt.diag_Age80_HGBC</v>
      </c>
      <c r="B15" s="17">
        <f>parameters!E15</f>
        <v>-5.0000000000000001E-3</v>
      </c>
      <c r="C15" s="17">
        <f>parameters!F15</f>
        <v>5</v>
      </c>
      <c r="D15" s="17">
        <f>parameters!G15</f>
        <v>-5.0000000000000001E-3</v>
      </c>
      <c r="E15" s="17">
        <f>parameters!H15</f>
        <v>0.2</v>
      </c>
    </row>
    <row r="16" spans="1:5" x14ac:dyDescent="0.25">
      <c r="A16" s="17" t="str">
        <f>parameters!D16</f>
        <v>C.age.80.undiag.mort</v>
      </c>
      <c r="B16" s="17">
        <f>parameters!E16</f>
        <v>-5.5E-2</v>
      </c>
      <c r="C16" s="17">
        <f>parameters!F16</f>
        <v>4</v>
      </c>
      <c r="D16" s="17">
        <f>parameters!G16</f>
        <v>-0.1</v>
      </c>
      <c r="E16" s="17">
        <f>parameters!H16</f>
        <v>-0.01</v>
      </c>
    </row>
    <row r="17" spans="1:5" x14ac:dyDescent="0.25">
      <c r="A17" s="17" t="str">
        <f>parameters!D17</f>
        <v>Mean.t.StI.StII</v>
      </c>
      <c r="B17" s="17">
        <f>parameters!E17</f>
        <v>3</v>
      </c>
      <c r="C17" s="17">
        <f>parameters!F17</f>
        <v>6</v>
      </c>
      <c r="D17" s="17">
        <f>parameters!G17</f>
        <v>3</v>
      </c>
      <c r="E17" s="17">
        <f>parameters!H17</f>
        <v>3</v>
      </c>
    </row>
    <row r="18" spans="1:5" x14ac:dyDescent="0.25">
      <c r="A18" t="str">
        <f>parameters!D18</f>
        <v>Mean.t.StII.StIII</v>
      </c>
      <c r="B18">
        <f>parameters!E18</f>
        <v>2</v>
      </c>
      <c r="C18">
        <f>parameters!F18</f>
        <v>6</v>
      </c>
      <c r="D18">
        <f>parameters!G18</f>
        <v>2</v>
      </c>
      <c r="E18">
        <f>parameters!H18</f>
        <v>2</v>
      </c>
    </row>
    <row r="19" spans="1:5" x14ac:dyDescent="0.25">
      <c r="A19" t="str">
        <f>parameters!D19</f>
        <v>Mean.t.StIII.StIV</v>
      </c>
      <c r="B19">
        <f>parameters!E19</f>
        <v>1</v>
      </c>
      <c r="C19">
        <f>parameters!F19</f>
        <v>6</v>
      </c>
      <c r="D19">
        <f>parameters!G19</f>
        <v>1</v>
      </c>
      <c r="E19">
        <f>parameters!H19</f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B1:Z33"/>
  <sheetViews>
    <sheetView workbookViewId="0">
      <selection activeCell="Q12" sqref="Q12"/>
    </sheetView>
  </sheetViews>
  <sheetFormatPr defaultRowHeight="15" x14ac:dyDescent="0.25"/>
  <cols>
    <col min="8" max="8" width="12" bestFit="1" customWidth="1"/>
  </cols>
  <sheetData>
    <row r="1" spans="2:26" x14ac:dyDescent="0.25">
      <c r="E1" t="s">
        <v>21</v>
      </c>
    </row>
    <row r="2" spans="2:26" x14ac:dyDescent="0.25">
      <c r="D2" t="s">
        <v>20</v>
      </c>
      <c r="E2">
        <v>80</v>
      </c>
      <c r="F2">
        <v>30</v>
      </c>
      <c r="H2" s="1" t="s">
        <v>17</v>
      </c>
    </row>
    <row r="3" spans="2:26" x14ac:dyDescent="0.25">
      <c r="F3" t="s">
        <v>14</v>
      </c>
      <c r="G3">
        <v>-2</v>
      </c>
    </row>
    <row r="4" spans="2:26" x14ac:dyDescent="0.25">
      <c r="B4">
        <f>EXP(G3+G4*H4+G5*H5)/(1+EXP(G3+G4*H4+G5*H5))</f>
        <v>0.13238887354206541</v>
      </c>
      <c r="E4" t="s">
        <v>18</v>
      </c>
      <c r="F4" t="s">
        <v>15</v>
      </c>
      <c r="G4">
        <v>0.06</v>
      </c>
      <c r="H4">
        <v>2</v>
      </c>
    </row>
    <row r="5" spans="2:26" x14ac:dyDescent="0.25">
      <c r="E5" t="s">
        <v>19</v>
      </c>
      <c r="F5" t="s">
        <v>16</v>
      </c>
      <c r="G5">
        <v>0.01</v>
      </c>
      <c r="H5">
        <v>0</v>
      </c>
    </row>
    <row r="6" spans="2:26" x14ac:dyDescent="0.25">
      <c r="L6" t="s">
        <v>82</v>
      </c>
      <c r="M6" t="s">
        <v>83</v>
      </c>
    </row>
    <row r="7" spans="2:26" x14ac:dyDescent="0.25">
      <c r="D7" t="s">
        <v>22</v>
      </c>
      <c r="E7" t="s">
        <v>23</v>
      </c>
      <c r="F7" t="s">
        <v>24</v>
      </c>
      <c r="G7" t="s">
        <v>25</v>
      </c>
      <c r="K7" t="s">
        <v>81</v>
      </c>
      <c r="L7">
        <v>1.01</v>
      </c>
      <c r="M7">
        <v>0.1</v>
      </c>
    </row>
    <row r="8" spans="2:26" x14ac:dyDescent="0.25">
      <c r="C8">
        <v>30</v>
      </c>
      <c r="D8">
        <f>EXP(G3)</f>
        <v>0.1353352832366127</v>
      </c>
      <c r="E8">
        <f>EXP(G3+G4*H4+G5*H5)/(1+EXP(G3+G4*H4+G5*H5))</f>
        <v>0.13238887354206541</v>
      </c>
      <c r="F8">
        <f>EXP(G3+G4*H4+G5*H5)/(1+EXP(G3+G4*H4+G5*H5))</f>
        <v>0.13238887354206541</v>
      </c>
      <c r="H8">
        <f>EXP(G3+G5*H5 +G4*H4)</f>
        <v>0.15259010575688389</v>
      </c>
      <c r="I8">
        <f>H8/(1+EXP(G3+G5*H5 +G4*H4))</f>
        <v>0.13238887354206541</v>
      </c>
    </row>
    <row r="9" spans="2:26" x14ac:dyDescent="0.25">
      <c r="C9">
        <v>31</v>
      </c>
      <c r="K9">
        <v>1</v>
      </c>
      <c r="L9">
        <f>$M$7*$L$7^K9</f>
        <v>0.10100000000000001</v>
      </c>
      <c r="P9" t="s">
        <v>91</v>
      </c>
    </row>
    <row r="10" spans="2:26" x14ac:dyDescent="0.25">
      <c r="C10">
        <v>32</v>
      </c>
      <c r="K10">
        <v>2</v>
      </c>
      <c r="L10">
        <f t="shared" ref="L10:L21" si="0">$M$7*$L$7^K10</f>
        <v>0.10201</v>
      </c>
    </row>
    <row r="11" spans="2:26" x14ac:dyDescent="0.25">
      <c r="C11">
        <v>33</v>
      </c>
      <c r="K11">
        <v>3</v>
      </c>
      <c r="L11">
        <f t="shared" si="0"/>
        <v>0.1030301</v>
      </c>
      <c r="Q11">
        <v>80</v>
      </c>
      <c r="R11">
        <v>81</v>
      </c>
      <c r="S11">
        <v>82</v>
      </c>
      <c r="T11">
        <v>83</v>
      </c>
      <c r="U11">
        <v>84</v>
      </c>
      <c r="V11">
        <v>85</v>
      </c>
      <c r="W11">
        <v>86</v>
      </c>
      <c r="X11">
        <v>87</v>
      </c>
      <c r="Y11">
        <v>88</v>
      </c>
      <c r="Z11">
        <v>89</v>
      </c>
    </row>
    <row r="12" spans="2:26" x14ac:dyDescent="0.25">
      <c r="C12">
        <v>34</v>
      </c>
      <c r="K12">
        <v>4</v>
      </c>
      <c r="L12">
        <f t="shared" si="0"/>
        <v>0.10406040100000001</v>
      </c>
      <c r="Q12">
        <v>0.1</v>
      </c>
    </row>
    <row r="13" spans="2:26" x14ac:dyDescent="0.25">
      <c r="C13">
        <v>35</v>
      </c>
      <c r="K13">
        <v>5</v>
      </c>
      <c r="L13">
        <f t="shared" si="0"/>
        <v>0.10510100501</v>
      </c>
      <c r="P13">
        <v>1</v>
      </c>
      <c r="Q13">
        <f>$Q$12*EXP(-P13)</f>
        <v>3.6787944117144235E-2</v>
      </c>
      <c r="R13">
        <f>(R$11-$Q$11)*$Q13</f>
        <v>3.6787944117144235E-2</v>
      </c>
      <c r="S13">
        <f>(S$11-$Q$11)*$Q13</f>
        <v>7.357588823428847E-2</v>
      </c>
      <c r="T13">
        <f>(T$11-$Q$11)*$Q13</f>
        <v>0.11036383235143271</v>
      </c>
      <c r="U13">
        <f>(U$11-$Q$11)*$Q13</f>
        <v>0.14715177646857694</v>
      </c>
      <c r="V13">
        <f t="shared" ref="V13:Z13" si="1">(V$11-$Q$11)*$Q13</f>
        <v>0.18393972058572117</v>
      </c>
      <c r="W13">
        <f t="shared" si="1"/>
        <v>0.22072766470286542</v>
      </c>
      <c r="X13">
        <f t="shared" si="1"/>
        <v>0.25751560882000962</v>
      </c>
      <c r="Y13">
        <f t="shared" si="1"/>
        <v>0.29430355293715388</v>
      </c>
      <c r="Z13">
        <f t="shared" si="1"/>
        <v>0.33109149705429813</v>
      </c>
    </row>
    <row r="14" spans="2:26" x14ac:dyDescent="0.25">
      <c r="C14">
        <v>36</v>
      </c>
      <c r="K14">
        <v>6</v>
      </c>
      <c r="L14">
        <f t="shared" si="0"/>
        <v>0.10615201506010002</v>
      </c>
      <c r="P14">
        <v>2</v>
      </c>
      <c r="Q14">
        <f t="shared" ref="Q14:Q19" si="2">$Q$12*EXP(-P14)</f>
        <v>1.3533528323661271E-2</v>
      </c>
      <c r="R14">
        <f t="shared" ref="R14:Z19" si="3">(R$11-$Q$11)*$Q14</f>
        <v>1.3533528323661271E-2</v>
      </c>
      <c r="S14">
        <f t="shared" si="3"/>
        <v>2.7067056647322542E-2</v>
      </c>
      <c r="T14">
        <f t="shared" si="3"/>
        <v>4.0600584970983816E-2</v>
      </c>
      <c r="U14">
        <f t="shared" si="3"/>
        <v>5.4134113294645084E-2</v>
      </c>
      <c r="V14">
        <f t="shared" si="3"/>
        <v>6.7667641618306351E-2</v>
      </c>
      <c r="W14">
        <f t="shared" si="3"/>
        <v>8.1201169941967632E-2</v>
      </c>
      <c r="X14">
        <f t="shared" si="3"/>
        <v>9.47346982656289E-2</v>
      </c>
      <c r="Y14">
        <f t="shared" si="3"/>
        <v>0.10826822658929017</v>
      </c>
      <c r="Z14">
        <f t="shared" si="3"/>
        <v>0.12180175491295143</v>
      </c>
    </row>
    <row r="15" spans="2:26" x14ac:dyDescent="0.25">
      <c r="C15">
        <v>37</v>
      </c>
      <c r="K15">
        <v>7</v>
      </c>
      <c r="L15">
        <f t="shared" si="0"/>
        <v>0.10721353521070098</v>
      </c>
      <c r="P15">
        <v>3</v>
      </c>
      <c r="Q15">
        <f t="shared" si="2"/>
        <v>4.9787068367863948E-3</v>
      </c>
      <c r="R15">
        <f t="shared" si="3"/>
        <v>4.9787068367863948E-3</v>
      </c>
      <c r="S15">
        <f t="shared" si="3"/>
        <v>9.9574136735727896E-3</v>
      </c>
      <c r="T15">
        <f t="shared" si="3"/>
        <v>1.4936120510359184E-2</v>
      </c>
      <c r="U15">
        <f t="shared" si="3"/>
        <v>1.9914827347145579E-2</v>
      </c>
      <c r="V15">
        <f t="shared" si="3"/>
        <v>2.4893534183931976E-2</v>
      </c>
      <c r="W15">
        <f t="shared" si="3"/>
        <v>2.9872241020718369E-2</v>
      </c>
      <c r="X15">
        <f t="shared" si="3"/>
        <v>3.4850947857504762E-2</v>
      </c>
      <c r="Y15">
        <f t="shared" si="3"/>
        <v>3.9829654694291158E-2</v>
      </c>
      <c r="Z15">
        <f t="shared" si="3"/>
        <v>4.4808361531077555E-2</v>
      </c>
    </row>
    <row r="16" spans="2:26" x14ac:dyDescent="0.25">
      <c r="C16">
        <v>38</v>
      </c>
      <c r="K16">
        <v>8</v>
      </c>
      <c r="L16">
        <f t="shared" si="0"/>
        <v>0.10828567056280802</v>
      </c>
      <c r="P16">
        <v>4</v>
      </c>
      <c r="Q16">
        <f t="shared" si="2"/>
        <v>1.831563888873418E-3</v>
      </c>
      <c r="R16">
        <f t="shared" si="3"/>
        <v>1.831563888873418E-3</v>
      </c>
      <c r="S16">
        <f t="shared" si="3"/>
        <v>3.6631277777468361E-3</v>
      </c>
      <c r="T16">
        <f t="shared" si="3"/>
        <v>5.4946916666202541E-3</v>
      </c>
      <c r="U16">
        <f t="shared" si="3"/>
        <v>7.3262555554936722E-3</v>
      </c>
      <c r="V16">
        <f t="shared" si="3"/>
        <v>9.1578194443670893E-3</v>
      </c>
      <c r="W16">
        <f t="shared" si="3"/>
        <v>1.0989383333240508E-2</v>
      </c>
      <c r="X16">
        <f t="shared" si="3"/>
        <v>1.2820947222113927E-2</v>
      </c>
      <c r="Y16">
        <f t="shared" si="3"/>
        <v>1.4652511110987344E-2</v>
      </c>
      <c r="Z16">
        <f t="shared" si="3"/>
        <v>1.6484074999860761E-2</v>
      </c>
    </row>
    <row r="17" spans="3:26" x14ac:dyDescent="0.25">
      <c r="C17">
        <v>39</v>
      </c>
      <c r="K17">
        <v>9</v>
      </c>
      <c r="L17">
        <f t="shared" si="0"/>
        <v>0.10936852726843611</v>
      </c>
      <c r="P17">
        <v>5</v>
      </c>
      <c r="Q17">
        <f t="shared" si="2"/>
        <v>6.7379469990854672E-4</v>
      </c>
      <c r="R17">
        <f t="shared" si="3"/>
        <v>6.7379469990854672E-4</v>
      </c>
      <c r="S17">
        <f t="shared" si="3"/>
        <v>1.3475893998170934E-3</v>
      </c>
      <c r="T17">
        <f t="shared" si="3"/>
        <v>2.0213840997256403E-3</v>
      </c>
      <c r="U17">
        <f t="shared" si="3"/>
        <v>2.6951787996341869E-3</v>
      </c>
      <c r="V17">
        <f t="shared" si="3"/>
        <v>3.3689734995427335E-3</v>
      </c>
      <c r="W17">
        <f t="shared" si="3"/>
        <v>4.0427681994512805E-3</v>
      </c>
      <c r="X17">
        <f t="shared" si="3"/>
        <v>4.7165628993598267E-3</v>
      </c>
      <c r="Y17">
        <f t="shared" si="3"/>
        <v>5.3903575992683738E-3</v>
      </c>
      <c r="Z17">
        <f t="shared" si="3"/>
        <v>6.0641522991769208E-3</v>
      </c>
    </row>
    <row r="18" spans="3:26" x14ac:dyDescent="0.25">
      <c r="C18">
        <v>40</v>
      </c>
      <c r="K18">
        <v>10</v>
      </c>
      <c r="L18">
        <f t="shared" si="0"/>
        <v>0.11046221254112049</v>
      </c>
      <c r="P18">
        <v>6</v>
      </c>
      <c r="Q18">
        <f t="shared" si="2"/>
        <v>2.4787521766663585E-4</v>
      </c>
      <c r="R18">
        <f t="shared" si="3"/>
        <v>2.4787521766663585E-4</v>
      </c>
      <c r="S18">
        <f t="shared" si="3"/>
        <v>4.957504353332717E-4</v>
      </c>
      <c r="T18">
        <f t="shared" si="3"/>
        <v>7.4362565299990755E-4</v>
      </c>
      <c r="U18">
        <f t="shared" si="3"/>
        <v>9.915008706665434E-4</v>
      </c>
      <c r="V18">
        <f t="shared" si="3"/>
        <v>1.2393760883331792E-3</v>
      </c>
      <c r="W18">
        <f t="shared" si="3"/>
        <v>1.4872513059998151E-3</v>
      </c>
      <c r="X18">
        <f t="shared" si="3"/>
        <v>1.7351265236664509E-3</v>
      </c>
      <c r="Y18">
        <f t="shared" si="3"/>
        <v>1.9830017413330868E-3</v>
      </c>
      <c r="Z18">
        <f t="shared" si="3"/>
        <v>2.2308769589997226E-3</v>
      </c>
    </row>
    <row r="19" spans="3:26" x14ac:dyDescent="0.25">
      <c r="C19">
        <v>41</v>
      </c>
      <c r="K19">
        <v>11</v>
      </c>
      <c r="L19">
        <f t="shared" si="0"/>
        <v>0.11156683466653167</v>
      </c>
      <c r="P19">
        <v>7</v>
      </c>
      <c r="Q19">
        <f t="shared" si="2"/>
        <v>9.1188196555451624E-5</v>
      </c>
      <c r="R19">
        <f t="shared" si="3"/>
        <v>9.1188196555451624E-5</v>
      </c>
      <c r="S19">
        <f t="shared" si="3"/>
        <v>1.8237639311090325E-4</v>
      </c>
      <c r="T19">
        <f t="shared" si="3"/>
        <v>2.7356458966635487E-4</v>
      </c>
      <c r="U19">
        <f t="shared" si="3"/>
        <v>3.647527862218065E-4</v>
      </c>
      <c r="V19">
        <f t="shared" si="3"/>
        <v>4.5594098277725812E-4</v>
      </c>
      <c r="W19">
        <f t="shared" si="3"/>
        <v>5.4712917933270975E-4</v>
      </c>
      <c r="X19">
        <f t="shared" si="3"/>
        <v>6.3831737588816132E-4</v>
      </c>
      <c r="Y19">
        <f t="shared" si="3"/>
        <v>7.2950557244361299E-4</v>
      </c>
      <c r="Z19">
        <f t="shared" si="3"/>
        <v>8.2069376899906467E-4</v>
      </c>
    </row>
    <row r="20" spans="3:26" x14ac:dyDescent="0.25">
      <c r="C20">
        <v>42</v>
      </c>
      <c r="K20">
        <v>12</v>
      </c>
      <c r="L20">
        <f t="shared" si="0"/>
        <v>0.11268250301319699</v>
      </c>
    </row>
    <row r="21" spans="3:26" x14ac:dyDescent="0.25">
      <c r="C21">
        <v>43</v>
      </c>
      <c r="K21">
        <v>13</v>
      </c>
      <c r="L21">
        <f t="shared" si="0"/>
        <v>0.11380932804332895</v>
      </c>
    </row>
    <row r="22" spans="3:26" x14ac:dyDescent="0.25">
      <c r="C22">
        <v>44</v>
      </c>
    </row>
    <row r="23" spans="3:26" x14ac:dyDescent="0.25">
      <c r="C23">
        <v>45</v>
      </c>
    </row>
    <row r="24" spans="3:26" x14ac:dyDescent="0.25">
      <c r="C24">
        <v>46</v>
      </c>
    </row>
    <row r="25" spans="3:26" x14ac:dyDescent="0.25">
      <c r="C25">
        <v>47</v>
      </c>
    </row>
    <row r="26" spans="3:26" x14ac:dyDescent="0.25">
      <c r="C26">
        <v>48</v>
      </c>
    </row>
    <row r="27" spans="3:26" x14ac:dyDescent="0.25">
      <c r="C27">
        <v>49</v>
      </c>
    </row>
    <row r="28" spans="3:26" x14ac:dyDescent="0.25">
      <c r="C28">
        <v>50</v>
      </c>
    </row>
    <row r="29" spans="3:26" x14ac:dyDescent="0.25">
      <c r="C29">
        <v>51</v>
      </c>
    </row>
    <row r="30" spans="3:26" x14ac:dyDescent="0.25">
      <c r="C30">
        <v>52</v>
      </c>
    </row>
    <row r="31" spans="3:26" x14ac:dyDescent="0.25">
      <c r="C31">
        <v>53</v>
      </c>
    </row>
    <row r="32" spans="3:26" x14ac:dyDescent="0.25">
      <c r="C32">
        <v>54</v>
      </c>
    </row>
    <row r="33" spans="3:3" x14ac:dyDescent="0.25">
      <c r="C33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extract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2022-09-08T11:55:54Z</dcterms:modified>
</cp:coreProperties>
</file>