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1. Research\1.Cancer\1.Bladder\Bladder_cancer_model\Data\kidney\"/>
    </mc:Choice>
  </mc:AlternateContent>
  <xr:revisionPtr revIDLastSave="0" documentId="13_ncr:1_{92C7CD0D-A0DF-4A9D-997E-C873C149A0CB}" xr6:coauthVersionLast="47" xr6:coauthVersionMax="47" xr10:uidLastSave="{00000000-0000-0000-0000-000000000000}"/>
  <bookViews>
    <workbookView xWindow="-120" yWindow="-120" windowWidth="29040" windowHeight="15840" activeTab="1" xr2:uid="{1AD6D928-CCB7-482A-A47C-26785A7D3A52}"/>
  </bookViews>
  <sheets>
    <sheet name="parameters" sheetId="1" r:id="rId1"/>
    <sheet name="extract" sheetId="3" r:id="rId2"/>
    <sheet name="Kidney_cancer_incidence" sheetId="10" r:id="rId3"/>
    <sheet name="Calibration_targets_exp" sheetId="11" r:id="rId4"/>
    <sheet name="Pop_size" sheetId="12" r:id="rId5"/>
    <sheet name="CI_inc" sheetId="13" r:id="rId6"/>
    <sheet name="life tables" sheetId="4" r:id="rId7"/>
    <sheet name="OC_mortality_details" sheetId="2" r:id="rId8"/>
    <sheet name="OC_mort_extract_kid.blad" sheetId="9" r:id="rId9"/>
    <sheet name="OC_mort_extract_kidney" sheetId="5" r:id="rId10"/>
    <sheet name="Survival_exp" sheetId="8" r:id="rId11"/>
    <sheet name="Kidney_surv_original" sheetId="6" r:id="rId12"/>
  </sheets>
  <externalReferences>
    <externalReference r:id="rId13"/>
    <externalReference r:id="rId14"/>
  </externalReferences>
  <definedNames>
    <definedName name="All_cause_mort">OC_mortality_details!$P$26:$AJ$28</definedName>
    <definedName name="Death_table" localSheetId="7">OC_mortality_details!$C$24:$R$26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3" l="1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J38" i="1"/>
  <c r="L37" i="1"/>
  <c r="K37" i="1"/>
  <c r="J37" i="1"/>
  <c r="I37" i="1"/>
  <c r="H37" i="1"/>
  <c r="E37" i="1"/>
  <c r="L36" i="1"/>
  <c r="K36" i="1"/>
  <c r="J36" i="1"/>
  <c r="I36" i="1"/>
  <c r="H36" i="1"/>
  <c r="E36" i="1"/>
  <c r="D3" i="12" l="1"/>
  <c r="R2" i="13"/>
  <c r="J2" i="13"/>
  <c r="P90" i="10"/>
  <c r="P89" i="10"/>
  <c r="M80" i="10"/>
  <c r="P80" i="10" s="1"/>
  <c r="N80" i="10"/>
  <c r="O80" i="10"/>
  <c r="M81" i="10"/>
  <c r="P81" i="10" s="1"/>
  <c r="N81" i="10"/>
  <c r="O81" i="10"/>
  <c r="M82" i="10"/>
  <c r="N82" i="10"/>
  <c r="P82" i="10" s="1"/>
  <c r="O82" i="10"/>
  <c r="M83" i="10"/>
  <c r="N83" i="10"/>
  <c r="O83" i="10"/>
  <c r="P83" i="10"/>
  <c r="M84" i="10"/>
  <c r="N84" i="10"/>
  <c r="P84" i="10" s="1"/>
  <c r="O84" i="10"/>
  <c r="M85" i="10"/>
  <c r="N85" i="10"/>
  <c r="O85" i="10"/>
  <c r="P85" i="10"/>
  <c r="M86" i="10"/>
  <c r="N86" i="10"/>
  <c r="P86" i="10" s="1"/>
  <c r="O86" i="10"/>
  <c r="M87" i="10"/>
  <c r="N87" i="10"/>
  <c r="O87" i="10"/>
  <c r="P87" i="10"/>
  <c r="M88" i="10"/>
  <c r="N88" i="10"/>
  <c r="P88" i="10" s="1"/>
  <c r="O88" i="10"/>
  <c r="M89" i="10"/>
  <c r="N89" i="10"/>
  <c r="O89" i="10"/>
  <c r="M90" i="10"/>
  <c r="N90" i="10"/>
  <c r="O90" i="10"/>
  <c r="M91" i="10"/>
  <c r="N91" i="10"/>
  <c r="O91" i="10"/>
  <c r="P91" i="10"/>
  <c r="P79" i="10"/>
  <c r="O79" i="10"/>
  <c r="N79" i="10"/>
  <c r="M79" i="10"/>
  <c r="L79" i="10"/>
  <c r="K79" i="10"/>
  <c r="J79" i="10"/>
  <c r="I79" i="10"/>
  <c r="B2" i="11"/>
  <c r="I80" i="10" l="1"/>
  <c r="L80" i="10" s="1"/>
  <c r="E3" i="11" s="1"/>
  <c r="G4" i="12" s="1"/>
  <c r="J80" i="10"/>
  <c r="K80" i="10"/>
  <c r="I81" i="10"/>
  <c r="L81" i="10" s="1"/>
  <c r="J81" i="10"/>
  <c r="K81" i="10"/>
  <c r="D4" i="11" s="1"/>
  <c r="F5" i="12" s="1"/>
  <c r="I82" i="10"/>
  <c r="L82" i="10" s="1"/>
  <c r="E5" i="11" s="1"/>
  <c r="G6" i="12" s="1"/>
  <c r="J82" i="10"/>
  <c r="C5" i="11" s="1"/>
  <c r="E6" i="12" s="1"/>
  <c r="K82" i="10"/>
  <c r="D5" i="11" s="1"/>
  <c r="F6" i="12" s="1"/>
  <c r="I83" i="10"/>
  <c r="J83" i="10"/>
  <c r="K83" i="10"/>
  <c r="L83" i="10" s="1"/>
  <c r="I84" i="10"/>
  <c r="L84" i="10" s="1"/>
  <c r="E7" i="11" s="1"/>
  <c r="G8" i="12" s="1"/>
  <c r="J84" i="10"/>
  <c r="C7" i="11" s="1"/>
  <c r="E8" i="12" s="1"/>
  <c r="K84" i="10"/>
  <c r="D7" i="11" s="1"/>
  <c r="F8" i="12" s="1"/>
  <c r="I85" i="10"/>
  <c r="J85" i="10"/>
  <c r="K85" i="10"/>
  <c r="L85" i="10" s="1"/>
  <c r="E8" i="11" s="1"/>
  <c r="G9" i="12" s="1"/>
  <c r="I86" i="10"/>
  <c r="L86" i="10" s="1"/>
  <c r="E9" i="11" s="1"/>
  <c r="G10" i="12" s="1"/>
  <c r="J86" i="10"/>
  <c r="K86" i="10"/>
  <c r="I87" i="10"/>
  <c r="J87" i="10"/>
  <c r="K87" i="10"/>
  <c r="D10" i="11" s="1"/>
  <c r="F11" i="12" s="1"/>
  <c r="I88" i="10"/>
  <c r="L88" i="10" s="1"/>
  <c r="E11" i="11" s="1"/>
  <c r="G12" i="12" s="1"/>
  <c r="J88" i="10"/>
  <c r="K88" i="10"/>
  <c r="D11" i="11" s="1"/>
  <c r="F12" i="12" s="1"/>
  <c r="I89" i="10"/>
  <c r="J89" i="10"/>
  <c r="K89" i="10"/>
  <c r="L89" i="10" s="1"/>
  <c r="E12" i="11" s="1"/>
  <c r="G13" i="12" s="1"/>
  <c r="I90" i="10"/>
  <c r="L90" i="10" s="1"/>
  <c r="E13" i="11" s="1"/>
  <c r="G14" i="12" s="1"/>
  <c r="J90" i="10"/>
  <c r="K90" i="10"/>
  <c r="D13" i="11" s="1"/>
  <c r="F14" i="12" s="1"/>
  <c r="I91" i="10"/>
  <c r="J91" i="10"/>
  <c r="K91" i="10"/>
  <c r="L91" i="10" s="1"/>
  <c r="E14" i="11" s="1"/>
  <c r="G15" i="12" s="1"/>
  <c r="C6" i="11"/>
  <c r="E7" i="12" s="1"/>
  <c r="C10" i="11"/>
  <c r="E11" i="12" s="1"/>
  <c r="G56" i="10"/>
  <c r="D56" i="10"/>
  <c r="D79" i="10" s="1"/>
  <c r="P20" i="6"/>
  <c r="D14" i="8"/>
  <c r="D16" i="8"/>
  <c r="J17" i="6"/>
  <c r="R19" i="6"/>
  <c r="Q19" i="6"/>
  <c r="I4" i="12"/>
  <c r="J4" i="12"/>
  <c r="P4" i="12"/>
  <c r="Q4" i="12"/>
  <c r="I5" i="12"/>
  <c r="J5" i="12"/>
  <c r="K5" i="12"/>
  <c r="P5" i="12"/>
  <c r="Q5" i="12"/>
  <c r="I6" i="12"/>
  <c r="J6" i="12"/>
  <c r="P6" i="12"/>
  <c r="Q6" i="12"/>
  <c r="I7" i="12"/>
  <c r="J7" i="12"/>
  <c r="P7" i="12"/>
  <c r="Q7" i="12"/>
  <c r="I8" i="12"/>
  <c r="J8" i="12"/>
  <c r="P8" i="12"/>
  <c r="Q8" i="12"/>
  <c r="I9" i="12"/>
  <c r="J9" i="12"/>
  <c r="N9" i="12"/>
  <c r="P9" i="12"/>
  <c r="Q9" i="12"/>
  <c r="I10" i="12"/>
  <c r="J10" i="12"/>
  <c r="P10" i="12"/>
  <c r="Q10" i="12"/>
  <c r="I11" i="12"/>
  <c r="J11" i="12"/>
  <c r="L11" i="12"/>
  <c r="M11" i="12"/>
  <c r="P11" i="12"/>
  <c r="Q11" i="12"/>
  <c r="I12" i="12"/>
  <c r="J12" i="12"/>
  <c r="K12" i="12"/>
  <c r="L12" i="12"/>
  <c r="M12" i="12"/>
  <c r="P12" i="12"/>
  <c r="Q12" i="12"/>
  <c r="I13" i="12"/>
  <c r="J13" i="12"/>
  <c r="P13" i="12"/>
  <c r="Q13" i="12"/>
  <c r="I14" i="12"/>
  <c r="J14" i="12"/>
  <c r="K14" i="12"/>
  <c r="P14" i="12"/>
  <c r="Q14" i="12"/>
  <c r="I15" i="12"/>
  <c r="J15" i="12"/>
  <c r="P15" i="12"/>
  <c r="Q15" i="12"/>
  <c r="Q3" i="12"/>
  <c r="P3" i="12"/>
  <c r="J3" i="12"/>
  <c r="I3" i="12"/>
  <c r="B3" i="12"/>
  <c r="C4" i="11"/>
  <c r="E5" i="12" s="1"/>
  <c r="B4" i="11"/>
  <c r="D5" i="12" s="1"/>
  <c r="B12" i="11"/>
  <c r="D13" i="12" s="1"/>
  <c r="I7" i="10"/>
  <c r="O3" i="11"/>
  <c r="O4" i="11"/>
  <c r="O5" i="11"/>
  <c r="O6" i="11"/>
  <c r="O7" i="11"/>
  <c r="O8" i="11"/>
  <c r="O9" i="11"/>
  <c r="O10" i="11"/>
  <c r="O11" i="11"/>
  <c r="O12" i="11"/>
  <c r="O13" i="11"/>
  <c r="O14" i="11"/>
  <c r="O2" i="11"/>
  <c r="H3" i="11"/>
  <c r="H4" i="11"/>
  <c r="H5" i="11"/>
  <c r="H6" i="11"/>
  <c r="H7" i="11"/>
  <c r="H8" i="11"/>
  <c r="H9" i="11"/>
  <c r="H10" i="11"/>
  <c r="H11" i="11"/>
  <c r="H12" i="11"/>
  <c r="H13" i="11"/>
  <c r="H14" i="11"/>
  <c r="H2" i="11"/>
  <c r="I3" i="11"/>
  <c r="K4" i="12" s="1"/>
  <c r="J3" i="11"/>
  <c r="L4" i="12" s="1"/>
  <c r="K3" i="11"/>
  <c r="M4" i="12" s="1"/>
  <c r="L3" i="11"/>
  <c r="N4" i="12" s="1"/>
  <c r="I4" i="11"/>
  <c r="J4" i="11"/>
  <c r="L5" i="12" s="1"/>
  <c r="K4" i="11"/>
  <c r="M5" i="12" s="1"/>
  <c r="L4" i="11"/>
  <c r="N5" i="12" s="1"/>
  <c r="I5" i="11"/>
  <c r="K6" i="12" s="1"/>
  <c r="J5" i="11"/>
  <c r="L6" i="12" s="1"/>
  <c r="K5" i="11"/>
  <c r="M6" i="12" s="1"/>
  <c r="L5" i="11"/>
  <c r="N6" i="12" s="1"/>
  <c r="I6" i="11"/>
  <c r="K7" i="12" s="1"/>
  <c r="J6" i="11"/>
  <c r="L7" i="12" s="1"/>
  <c r="K6" i="11"/>
  <c r="M7" i="12" s="1"/>
  <c r="L6" i="11"/>
  <c r="N7" i="12" s="1"/>
  <c r="I7" i="11"/>
  <c r="K8" i="12" s="1"/>
  <c r="J7" i="11"/>
  <c r="L8" i="12" s="1"/>
  <c r="K7" i="11"/>
  <c r="M8" i="12" s="1"/>
  <c r="L7" i="11"/>
  <c r="N8" i="12" s="1"/>
  <c r="I8" i="11"/>
  <c r="K9" i="12" s="1"/>
  <c r="J8" i="11"/>
  <c r="L9" i="12" s="1"/>
  <c r="K8" i="11"/>
  <c r="M9" i="12" s="1"/>
  <c r="L8" i="11"/>
  <c r="I9" i="11"/>
  <c r="K10" i="12" s="1"/>
  <c r="J9" i="11"/>
  <c r="L10" i="12" s="1"/>
  <c r="K9" i="11"/>
  <c r="M10" i="12" s="1"/>
  <c r="L9" i="11"/>
  <c r="N10" i="12" s="1"/>
  <c r="I10" i="11"/>
  <c r="K11" i="12" s="1"/>
  <c r="J10" i="11"/>
  <c r="K10" i="11"/>
  <c r="L10" i="11"/>
  <c r="N11" i="12" s="1"/>
  <c r="I11" i="11"/>
  <c r="J11" i="11"/>
  <c r="K11" i="11"/>
  <c r="L11" i="11"/>
  <c r="N12" i="12" s="1"/>
  <c r="I12" i="11"/>
  <c r="K13" i="12" s="1"/>
  <c r="J12" i="11"/>
  <c r="L13" i="12" s="1"/>
  <c r="K12" i="11"/>
  <c r="M13" i="12" s="1"/>
  <c r="L12" i="11"/>
  <c r="N13" i="12" s="1"/>
  <c r="I13" i="11"/>
  <c r="J13" i="11"/>
  <c r="L14" i="12" s="1"/>
  <c r="K13" i="11"/>
  <c r="M14" i="12" s="1"/>
  <c r="L13" i="11"/>
  <c r="N14" i="12" s="1"/>
  <c r="I14" i="11"/>
  <c r="K15" i="12" s="1"/>
  <c r="J14" i="11"/>
  <c r="L15" i="12" s="1"/>
  <c r="K14" i="11"/>
  <c r="M15" i="12" s="1"/>
  <c r="L14" i="11"/>
  <c r="N15" i="12" s="1"/>
  <c r="B3" i="11"/>
  <c r="D4" i="12" s="1"/>
  <c r="C3" i="11"/>
  <c r="E4" i="12" s="1"/>
  <c r="D3" i="11"/>
  <c r="F4" i="12" s="1"/>
  <c r="B6" i="11"/>
  <c r="D7" i="12" s="1"/>
  <c r="D6" i="11"/>
  <c r="F7" i="12" s="1"/>
  <c r="B7" i="11"/>
  <c r="D8" i="12" s="1"/>
  <c r="B8" i="11"/>
  <c r="D9" i="12" s="1"/>
  <c r="C8" i="11"/>
  <c r="E9" i="12" s="1"/>
  <c r="B9" i="11"/>
  <c r="D10" i="12" s="1"/>
  <c r="C9" i="11"/>
  <c r="E10" i="12" s="1"/>
  <c r="D9" i="11"/>
  <c r="F10" i="12" s="1"/>
  <c r="B10" i="11"/>
  <c r="D11" i="12" s="1"/>
  <c r="C12" i="11"/>
  <c r="E13" i="12" s="1"/>
  <c r="D12" i="11"/>
  <c r="F13" i="12" s="1"/>
  <c r="B13" i="11"/>
  <c r="D14" i="12" s="1"/>
  <c r="C13" i="11"/>
  <c r="E14" i="12" s="1"/>
  <c r="B14" i="11"/>
  <c r="D15" i="12" s="1"/>
  <c r="C14" i="11"/>
  <c r="E15" i="12" s="1"/>
  <c r="D14" i="11"/>
  <c r="F15" i="12" s="1"/>
  <c r="C95" i="10"/>
  <c r="B95" i="10"/>
  <c r="B56" i="10"/>
  <c r="B79" i="10"/>
  <c r="H91" i="10"/>
  <c r="F91" i="10"/>
  <c r="E91" i="10"/>
  <c r="F90" i="10"/>
  <c r="H90" i="10" s="1"/>
  <c r="E90" i="10"/>
  <c r="H89" i="10"/>
  <c r="F89" i="10"/>
  <c r="E89" i="10"/>
  <c r="F88" i="10"/>
  <c r="H88" i="10" s="1"/>
  <c r="E88" i="10"/>
  <c r="H87" i="10"/>
  <c r="F87" i="10"/>
  <c r="E87" i="10"/>
  <c r="F86" i="10"/>
  <c r="H86" i="10" s="1"/>
  <c r="E86" i="10"/>
  <c r="H85" i="10"/>
  <c r="F85" i="10"/>
  <c r="E85" i="10"/>
  <c r="F84" i="10"/>
  <c r="H84" i="10" s="1"/>
  <c r="E84" i="10"/>
  <c r="H83" i="10"/>
  <c r="F83" i="10"/>
  <c r="E83" i="10"/>
  <c r="F82" i="10"/>
  <c r="H82" i="10" s="1"/>
  <c r="E82" i="10"/>
  <c r="H81" i="10"/>
  <c r="F81" i="10"/>
  <c r="E81" i="10"/>
  <c r="F80" i="10"/>
  <c r="H80" i="10" s="1"/>
  <c r="E80" i="10"/>
  <c r="D8" i="11" l="1"/>
  <c r="F9" i="12" s="1"/>
  <c r="L87" i="10"/>
  <c r="E10" i="11" s="1"/>
  <c r="G11" i="12" s="1"/>
  <c r="B11" i="11"/>
  <c r="D12" i="12" s="1"/>
  <c r="B5" i="11"/>
  <c r="D6" i="12" s="1"/>
  <c r="E6" i="11"/>
  <c r="G7" i="12" s="1"/>
  <c r="F79" i="10"/>
  <c r="E79" i="10"/>
  <c r="E4" i="11"/>
  <c r="G5" i="12" s="1"/>
  <c r="C11" i="11"/>
  <c r="E12" i="12" s="1"/>
  <c r="G81" i="10"/>
  <c r="G83" i="10"/>
  <c r="G85" i="10"/>
  <c r="G87" i="10"/>
  <c r="G89" i="10"/>
  <c r="G91" i="10"/>
  <c r="G80" i="10"/>
  <c r="G82" i="10"/>
  <c r="G84" i="10"/>
  <c r="G86" i="10"/>
  <c r="G88" i="10"/>
  <c r="G90" i="10"/>
  <c r="G79" i="10" l="1"/>
  <c r="J2" i="11"/>
  <c r="L3" i="12" s="1"/>
  <c r="H79" i="10"/>
  <c r="N94" i="10"/>
  <c r="I94" i="10" l="1"/>
  <c r="I97" i="10" s="1"/>
  <c r="I2" i="11"/>
  <c r="K3" i="12" s="1"/>
  <c r="K2" i="11"/>
  <c r="M3" i="12" s="1"/>
  <c r="M94" i="10"/>
  <c r="L2" i="11" l="1"/>
  <c r="N3" i="12" s="1"/>
  <c r="O94" i="10"/>
  <c r="D2" i="11"/>
  <c r="F3" i="12" s="1"/>
  <c r="K94" i="10"/>
  <c r="K97" i="10" s="1"/>
  <c r="C2" i="11"/>
  <c r="E3" i="12" s="1"/>
  <c r="J94" i="10"/>
  <c r="J97" i="10" s="1"/>
  <c r="P94" i="10" l="1"/>
  <c r="E2" i="11"/>
  <c r="G3" i="12" s="1"/>
  <c r="L94" i="10"/>
  <c r="L97" i="10" s="1"/>
  <c r="I96" i="10"/>
  <c r="M96" i="10"/>
  <c r="E5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E56" i="10"/>
  <c r="P38" i="10"/>
  <c r="D66" i="10" s="1"/>
  <c r="P37" i="10"/>
  <c r="D64" i="10" s="1"/>
  <c r="O39" i="10"/>
  <c r="O38" i="10"/>
  <c r="O37" i="10"/>
  <c r="O36" i="10"/>
  <c r="D72" i="10"/>
  <c r="F32" i="10"/>
  <c r="D62" i="10"/>
  <c r="D59" i="10"/>
  <c r="D60" i="10"/>
  <c r="D61" i="10"/>
  <c r="D57" i="10"/>
  <c r="D58" i="10"/>
  <c r="F58" i="10" s="1"/>
  <c r="P39" i="10"/>
  <c r="D67" i="10" s="1"/>
  <c r="B57" i="10"/>
  <c r="C57" i="10"/>
  <c r="B58" i="10"/>
  <c r="C58" i="10"/>
  <c r="B59" i="10"/>
  <c r="C59" i="10"/>
  <c r="B60" i="10"/>
  <c r="C60" i="10"/>
  <c r="C83" i="10" s="1"/>
  <c r="B61" i="10"/>
  <c r="C61" i="10"/>
  <c r="B62" i="10"/>
  <c r="B85" i="10" s="1"/>
  <c r="C62" i="10"/>
  <c r="B63" i="10"/>
  <c r="C63" i="10"/>
  <c r="B64" i="10"/>
  <c r="C64" i="10"/>
  <c r="C87" i="10" s="1"/>
  <c r="B65" i="10"/>
  <c r="C65" i="10"/>
  <c r="B66" i="10"/>
  <c r="C66" i="10"/>
  <c r="B67" i="10"/>
  <c r="C67" i="10"/>
  <c r="B68" i="10"/>
  <c r="C68" i="10"/>
  <c r="C91" i="10" s="1"/>
  <c r="C56" i="10"/>
  <c r="C79" i="10" s="1"/>
  <c r="B87" i="10"/>
  <c r="A56" i="10"/>
  <c r="A57" i="10"/>
  <c r="A58" i="10"/>
  <c r="A59" i="10"/>
  <c r="A82" i="10" s="1"/>
  <c r="A60" i="10"/>
  <c r="A61" i="10"/>
  <c r="A62" i="10"/>
  <c r="A85" i="10" s="1"/>
  <c r="A63" i="10"/>
  <c r="A64" i="10"/>
  <c r="A87" i="10" s="1"/>
  <c r="A65" i="10"/>
  <c r="A88" i="10" s="1"/>
  <c r="A66" i="10"/>
  <c r="A67" i="10"/>
  <c r="A68" i="10"/>
  <c r="A92" i="10"/>
  <c r="A93" i="10"/>
  <c r="A55" i="10"/>
  <c r="D93" i="10"/>
  <c r="C93" i="10"/>
  <c r="B93" i="10"/>
  <c r="B89" i="10"/>
  <c r="B81" i="10"/>
  <c r="B72" i="10"/>
  <c r="B91" i="10"/>
  <c r="A91" i="10"/>
  <c r="C90" i="10"/>
  <c r="B90" i="10"/>
  <c r="A90" i="10"/>
  <c r="C89" i="10"/>
  <c r="A89" i="10"/>
  <c r="C88" i="10"/>
  <c r="C86" i="10"/>
  <c r="B86" i="10"/>
  <c r="A86" i="10"/>
  <c r="E61" i="10"/>
  <c r="C84" i="10"/>
  <c r="A84" i="10"/>
  <c r="B83" i="10"/>
  <c r="A83" i="10"/>
  <c r="C82" i="10"/>
  <c r="A81" i="10"/>
  <c r="C80" i="10"/>
  <c r="A80" i="10"/>
  <c r="A79" i="10"/>
  <c r="O49" i="10"/>
  <c r="C35" i="10"/>
  <c r="D35" i="10"/>
  <c r="E35" i="10"/>
  <c r="B35" i="10"/>
  <c r="H35" i="10"/>
  <c r="F33" i="10"/>
  <c r="F2" i="11" l="1"/>
  <c r="H3" i="12" s="1"/>
  <c r="F56" i="10"/>
  <c r="D65" i="10"/>
  <c r="F65" i="10" s="1"/>
  <c r="D68" i="10"/>
  <c r="E68" i="10" s="1"/>
  <c r="D63" i="10"/>
  <c r="E58" i="10"/>
  <c r="K58" i="10" s="1"/>
  <c r="F57" i="10"/>
  <c r="J57" i="10" s="1"/>
  <c r="E62" i="10"/>
  <c r="L62" i="10" s="1"/>
  <c r="F62" i="10"/>
  <c r="G62" i="10" s="1"/>
  <c r="J58" i="10"/>
  <c r="H58" i="10"/>
  <c r="G58" i="10"/>
  <c r="I58" i="10"/>
  <c r="F59" i="10"/>
  <c r="M61" i="10"/>
  <c r="L61" i="10"/>
  <c r="K61" i="10"/>
  <c r="F66" i="10"/>
  <c r="B82" i="10"/>
  <c r="C85" i="10"/>
  <c r="F61" i="10"/>
  <c r="B80" i="10"/>
  <c r="B88" i="10"/>
  <c r="E57" i="10"/>
  <c r="B84" i="10"/>
  <c r="C81" i="10"/>
  <c r="F60" i="10"/>
  <c r="H57" i="10" l="1"/>
  <c r="L58" i="10"/>
  <c r="M58" i="10"/>
  <c r="E65" i="10"/>
  <c r="M65" i="10" s="1"/>
  <c r="D71" i="10"/>
  <c r="J62" i="10"/>
  <c r="I62" i="10"/>
  <c r="H62" i="10"/>
  <c r="G57" i="10"/>
  <c r="I57" i="10"/>
  <c r="M62" i="10"/>
  <c r="K62" i="10"/>
  <c r="N61" i="10"/>
  <c r="H60" i="10"/>
  <c r="J60" i="10"/>
  <c r="I60" i="10"/>
  <c r="G60" i="10"/>
  <c r="L68" i="10"/>
  <c r="M68" i="10"/>
  <c r="K68" i="10"/>
  <c r="F68" i="10"/>
  <c r="J56" i="10"/>
  <c r="I56" i="10"/>
  <c r="H56" i="10"/>
  <c r="J65" i="10"/>
  <c r="I65" i="10"/>
  <c r="H65" i="10"/>
  <c r="G65" i="10"/>
  <c r="J66" i="10"/>
  <c r="I66" i="10"/>
  <c r="H66" i="10"/>
  <c r="G66" i="10"/>
  <c r="M59" i="10"/>
  <c r="L59" i="10"/>
  <c r="K59" i="10"/>
  <c r="H61" i="10"/>
  <c r="G61" i="10"/>
  <c r="J61" i="10"/>
  <c r="I61" i="10"/>
  <c r="F67" i="10"/>
  <c r="E67" i="10"/>
  <c r="I59" i="10"/>
  <c r="J59" i="10"/>
  <c r="H59" i="10"/>
  <c r="G59" i="10"/>
  <c r="E64" i="10"/>
  <c r="L57" i="10"/>
  <c r="M57" i="10"/>
  <c r="K57" i="10"/>
  <c r="F64" i="10"/>
  <c r="E60" i="10"/>
  <c r="F63" i="10"/>
  <c r="E63" i="10"/>
  <c r="A75" i="10"/>
  <c r="E66" i="10"/>
  <c r="N58" i="10" l="1"/>
  <c r="L65" i="10"/>
  <c r="K65" i="10"/>
  <c r="N59" i="10"/>
  <c r="N62" i="10"/>
  <c r="M56" i="10"/>
  <c r="L56" i="10"/>
  <c r="K56" i="10"/>
  <c r="G68" i="10"/>
  <c r="J68" i="10"/>
  <c r="I68" i="10"/>
  <c r="H68" i="10"/>
  <c r="M60" i="10"/>
  <c r="A98" i="10" s="1"/>
  <c r="L60" i="10"/>
  <c r="K60" i="10"/>
  <c r="H64" i="10"/>
  <c r="J64" i="10"/>
  <c r="I64" i="10"/>
  <c r="G64" i="10"/>
  <c r="D94" i="10"/>
  <c r="L67" i="10"/>
  <c r="K67" i="10"/>
  <c r="M67" i="10"/>
  <c r="N57" i="10"/>
  <c r="M64" i="10"/>
  <c r="L64" i="10"/>
  <c r="K64" i="10"/>
  <c r="H67" i="10"/>
  <c r="J67" i="10"/>
  <c r="I67" i="10"/>
  <c r="G67" i="10"/>
  <c r="N68" i="10"/>
  <c r="M63" i="10"/>
  <c r="L63" i="10"/>
  <c r="K63" i="10"/>
  <c r="L66" i="10"/>
  <c r="K66" i="10"/>
  <c r="M66" i="10"/>
  <c r="J63" i="10"/>
  <c r="I63" i="10"/>
  <c r="H63" i="10"/>
  <c r="G63" i="10"/>
  <c r="N65" i="10" l="1"/>
  <c r="N63" i="10"/>
  <c r="J71" i="10"/>
  <c r="J74" i="10" s="1"/>
  <c r="G73" i="10"/>
  <c r="H71" i="10"/>
  <c r="H74" i="10" s="1"/>
  <c r="I71" i="10"/>
  <c r="I74" i="10" s="1"/>
  <c r="N66" i="10"/>
  <c r="G71" i="10"/>
  <c r="G74" i="10" s="1"/>
  <c r="N64" i="10"/>
  <c r="K71" i="10"/>
  <c r="N56" i="10"/>
  <c r="N67" i="10"/>
  <c r="N60" i="10"/>
  <c r="L71" i="10"/>
  <c r="M71" i="10"/>
  <c r="N71" i="10" l="1"/>
  <c r="K73" i="10"/>
  <c r="E19" i="1" l="1"/>
  <c r="I5" i="1"/>
  <c r="H5" i="1"/>
  <c r="M5" i="1"/>
  <c r="I6" i="1"/>
  <c r="H6" i="1"/>
  <c r="M6" i="1"/>
  <c r="J6" i="1"/>
  <c r="J50" i="1"/>
  <c r="J49" i="1"/>
  <c r="I49" i="1"/>
  <c r="J48" i="1"/>
  <c r="H48" i="1"/>
  <c r="J47" i="1"/>
  <c r="H47" i="1"/>
  <c r="J46" i="1"/>
  <c r="H46" i="1"/>
  <c r="J45" i="1"/>
  <c r="H45" i="1"/>
  <c r="J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E35" i="1"/>
  <c r="L34" i="1"/>
  <c r="K34" i="1"/>
  <c r="H34" i="1"/>
  <c r="L33" i="1"/>
  <c r="K33" i="1"/>
  <c r="H33" i="1"/>
  <c r="L32" i="1"/>
  <c r="K32" i="1"/>
  <c r="H32" i="1"/>
  <c r="L31" i="1"/>
  <c r="K31" i="1"/>
  <c r="J31" i="1"/>
  <c r="J30" i="1"/>
  <c r="I30" i="1"/>
  <c r="L29" i="1"/>
  <c r="K29" i="1"/>
  <c r="J29" i="1"/>
  <c r="J28" i="1"/>
  <c r="H28" i="1"/>
  <c r="J27" i="1"/>
  <c r="I27" i="1"/>
  <c r="J26" i="1"/>
  <c r="I26" i="1"/>
  <c r="J25" i="1"/>
  <c r="I25" i="1"/>
  <c r="I24" i="1"/>
  <c r="E24" i="1"/>
  <c r="J23" i="1"/>
  <c r="H23" i="1"/>
  <c r="L22" i="1"/>
  <c r="K22" i="1"/>
  <c r="E21" i="1"/>
  <c r="E20" i="1"/>
  <c r="J18" i="1"/>
  <c r="J17" i="1"/>
  <c r="J16" i="1"/>
  <c r="E15" i="1"/>
  <c r="E14" i="1"/>
  <c r="J13" i="1"/>
  <c r="I13" i="1"/>
  <c r="J12" i="1"/>
  <c r="H12" i="1"/>
  <c r="J11" i="1"/>
  <c r="H11" i="1"/>
  <c r="J10" i="1"/>
  <c r="H10" i="1"/>
  <c r="J9" i="1"/>
  <c r="H9" i="1"/>
  <c r="L8" i="1"/>
  <c r="E8" i="1"/>
  <c r="L40" i="1" l="1"/>
  <c r="L43" i="1"/>
  <c r="I47" i="1"/>
  <c r="J35" i="1"/>
  <c r="K26" i="1"/>
  <c r="L41" i="1"/>
  <c r="I44" i="1"/>
  <c r="I48" i="1"/>
  <c r="I10" i="1"/>
  <c r="L30" i="1"/>
  <c r="J33" i="1"/>
  <c r="J24" i="1"/>
  <c r="L25" i="1"/>
  <c r="I9" i="1"/>
  <c r="J15" i="1"/>
  <c r="L27" i="1"/>
  <c r="K39" i="1"/>
  <c r="I45" i="1"/>
  <c r="L49" i="1"/>
  <c r="I28" i="1"/>
  <c r="I12" i="1"/>
  <c r="I11" i="1"/>
  <c r="L42" i="1"/>
  <c r="E34" i="1"/>
  <c r="E32" i="1"/>
  <c r="I32" i="1"/>
  <c r="K40" i="1"/>
  <c r="I46" i="1"/>
  <c r="K49" i="1"/>
  <c r="K30" i="1"/>
  <c r="L39" i="1"/>
  <c r="I33" i="1"/>
  <c r="J32" i="1"/>
  <c r="J34" i="1"/>
  <c r="I34" i="1"/>
  <c r="K41" i="1"/>
  <c r="H35" i="1"/>
  <c r="K44" i="1"/>
  <c r="L44" i="1"/>
  <c r="L47" i="1"/>
  <c r="K47" i="1"/>
  <c r="L48" i="1"/>
  <c r="L26" i="1"/>
  <c r="E33" i="1"/>
  <c r="K43" i="1"/>
  <c r="K25" i="1"/>
  <c r="K27" i="1"/>
  <c r="K42" i="1"/>
  <c r="K45" i="1" l="1"/>
  <c r="K48" i="1"/>
  <c r="L46" i="1"/>
  <c r="L45" i="1"/>
  <c r="I35" i="1"/>
  <c r="K46" i="1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3" i="12"/>
  <c r="U9" i="13"/>
  <c r="C3" i="12"/>
  <c r="C15" i="12"/>
  <c r="B15" i="12"/>
  <c r="C14" i="12"/>
  <c r="B14" i="12"/>
  <c r="C13" i="12"/>
  <c r="B13" i="12"/>
  <c r="C12" i="12"/>
  <c r="B12" i="12"/>
  <c r="C11" i="12"/>
  <c r="B11" i="12"/>
  <c r="X10" i="12"/>
  <c r="C10" i="12"/>
  <c r="B10" i="12"/>
  <c r="C9" i="12"/>
  <c r="B9" i="12"/>
  <c r="C8" i="12"/>
  <c r="B8" i="12"/>
  <c r="C7" i="12"/>
  <c r="B7" i="12"/>
  <c r="W7" i="12" s="1"/>
  <c r="C6" i="12"/>
  <c r="B6" i="12"/>
  <c r="C5" i="12"/>
  <c r="B5" i="12"/>
  <c r="C4" i="12"/>
  <c r="B4" i="12"/>
  <c r="K35" i="1" l="1"/>
  <c r="L35" i="1"/>
  <c r="AB14" i="13"/>
  <c r="AE15" i="12"/>
  <c r="N14" i="13" s="1"/>
  <c r="AE11" i="12"/>
  <c r="N10" i="13" s="1"/>
  <c r="AE7" i="12"/>
  <c r="N6" i="13" s="1"/>
  <c r="N13" i="13"/>
  <c r="AE14" i="12"/>
  <c r="AB13" i="13" s="1"/>
  <c r="AE10" i="12"/>
  <c r="N9" i="13" s="1"/>
  <c r="AE6" i="12"/>
  <c r="N5" i="13" s="1"/>
  <c r="AE13" i="12"/>
  <c r="N12" i="13" s="1"/>
  <c r="AE9" i="12"/>
  <c r="N8" i="13" s="1"/>
  <c r="AE5" i="12"/>
  <c r="N4" i="13" s="1"/>
  <c r="AE12" i="12"/>
  <c r="AB11" i="13" s="1"/>
  <c r="AE8" i="12"/>
  <c r="AB7" i="13" s="1"/>
  <c r="AE4" i="12"/>
  <c r="AB3" i="13" s="1"/>
  <c r="AE3" i="12"/>
  <c r="N2" i="13" s="1"/>
  <c r="G9" i="13"/>
  <c r="W6" i="12"/>
  <c r="W15" i="12"/>
  <c r="W11" i="12"/>
  <c r="X3" i="12"/>
  <c r="U2" i="13" s="1"/>
  <c r="W14" i="12"/>
  <c r="W3" i="12"/>
  <c r="X14" i="12"/>
  <c r="U13" i="13" s="1"/>
  <c r="X6" i="12"/>
  <c r="U5" i="13" s="1"/>
  <c r="X11" i="12"/>
  <c r="G10" i="13" s="1"/>
  <c r="W10" i="12"/>
  <c r="X7" i="12"/>
  <c r="X15" i="12"/>
  <c r="U14" i="13" s="1"/>
  <c r="W4" i="12"/>
  <c r="W8" i="12"/>
  <c r="W12" i="12"/>
  <c r="X4" i="12"/>
  <c r="G3" i="13" s="1"/>
  <c r="X8" i="12"/>
  <c r="X12" i="12"/>
  <c r="G11" i="13" s="1"/>
  <c r="W5" i="12"/>
  <c r="W9" i="12"/>
  <c r="W13" i="12"/>
  <c r="X5" i="12"/>
  <c r="G4" i="13" s="1"/>
  <c r="X9" i="12"/>
  <c r="U8" i="13" s="1"/>
  <c r="X13" i="12"/>
  <c r="U12" i="13" s="1"/>
  <c r="G3" i="2"/>
  <c r="K3" i="2" s="1"/>
  <c r="R5" i="12"/>
  <c r="H6" i="10"/>
  <c r="Y4" i="12"/>
  <c r="O7" i="10"/>
  <c r="N11" i="10"/>
  <c r="M14" i="10"/>
  <c r="N21" i="10"/>
  <c r="O21" i="10"/>
  <c r="M22" i="10"/>
  <c r="L6" i="10"/>
  <c r="K7" i="10"/>
  <c r="L7" i="10"/>
  <c r="L8" i="10"/>
  <c r="L9" i="10"/>
  <c r="L10" i="10"/>
  <c r="L11" i="10"/>
  <c r="L12" i="10"/>
  <c r="L13" i="10"/>
  <c r="L14" i="10"/>
  <c r="J15" i="10"/>
  <c r="K15" i="10"/>
  <c r="L15" i="10"/>
  <c r="L16" i="10"/>
  <c r="L17" i="10"/>
  <c r="K18" i="10"/>
  <c r="L18" i="10"/>
  <c r="L19" i="10"/>
  <c r="L20" i="10"/>
  <c r="L21" i="10"/>
  <c r="L22" i="10"/>
  <c r="J23" i="10"/>
  <c r="L23" i="10"/>
  <c r="L24" i="10"/>
  <c r="I8" i="10"/>
  <c r="I16" i="10"/>
  <c r="I17" i="10"/>
  <c r="I24" i="10"/>
  <c r="H24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O11" i="10"/>
  <c r="N14" i="10"/>
  <c r="M9" i="10"/>
  <c r="C33" i="10"/>
  <c r="D33" i="10"/>
  <c r="E33" i="10"/>
  <c r="B33" i="10"/>
  <c r="R27" i="2"/>
  <c r="B4" i="2"/>
  <c r="X27" i="2"/>
  <c r="S27" i="2"/>
  <c r="G13" i="13" l="1"/>
  <c r="N3" i="13"/>
  <c r="G5" i="13"/>
  <c r="AB8" i="13"/>
  <c r="AB5" i="13"/>
  <c r="AB2" i="13"/>
  <c r="N7" i="13"/>
  <c r="AB9" i="13"/>
  <c r="N11" i="13"/>
  <c r="AB4" i="13"/>
  <c r="AB6" i="13"/>
  <c r="AB10" i="13"/>
  <c r="AB12" i="13"/>
  <c r="G14" i="13"/>
  <c r="G6" i="13"/>
  <c r="U6" i="13"/>
  <c r="U4" i="13"/>
  <c r="U3" i="13"/>
  <c r="G8" i="13"/>
  <c r="U7" i="13"/>
  <c r="G7" i="13"/>
  <c r="U11" i="13"/>
  <c r="G12" i="13"/>
  <c r="U10" i="13"/>
  <c r="R7" i="12"/>
  <c r="A6" i="13" s="1"/>
  <c r="Y5" i="12"/>
  <c r="V4" i="13" s="1"/>
  <c r="R6" i="12"/>
  <c r="O5" i="13" s="1"/>
  <c r="R12" i="12"/>
  <c r="A11" i="13" s="1"/>
  <c r="Y11" i="12"/>
  <c r="H10" i="13" s="1"/>
  <c r="Y10" i="12"/>
  <c r="H9" i="13" s="1"/>
  <c r="R10" i="12"/>
  <c r="O9" i="13" s="1"/>
  <c r="Y3" i="12"/>
  <c r="H2" i="13" s="1"/>
  <c r="R4" i="12"/>
  <c r="A3" i="13" s="1"/>
  <c r="Y6" i="12"/>
  <c r="V5" i="13" s="1"/>
  <c r="R11" i="12"/>
  <c r="O10" i="13" s="1"/>
  <c r="Y9" i="12"/>
  <c r="V8" i="13" s="1"/>
  <c r="R9" i="12"/>
  <c r="O8" i="13" s="1"/>
  <c r="Y8" i="12"/>
  <c r="V7" i="13" s="1"/>
  <c r="R3" i="12"/>
  <c r="A2" i="13" s="1"/>
  <c r="Y14" i="12"/>
  <c r="V13" i="13" s="1"/>
  <c r="Y13" i="12"/>
  <c r="V12" i="13" s="1"/>
  <c r="Y7" i="12"/>
  <c r="V6" i="13" s="1"/>
  <c r="R14" i="12"/>
  <c r="O13" i="13" s="1"/>
  <c r="R8" i="12"/>
  <c r="A7" i="13" s="1"/>
  <c r="R13" i="12"/>
  <c r="O12" i="13" s="1"/>
  <c r="H3" i="13"/>
  <c r="V3" i="13"/>
  <c r="A4" i="13"/>
  <c r="O4" i="13"/>
  <c r="Y12" i="12"/>
  <c r="H11" i="13" s="1"/>
  <c r="O13" i="10"/>
  <c r="J18" i="10"/>
  <c r="K10" i="10"/>
  <c r="J7" i="10"/>
  <c r="N19" i="10"/>
  <c r="T10" i="12" s="1"/>
  <c r="C9" i="13" s="1"/>
  <c r="N13" i="10"/>
  <c r="T4" i="12" s="1"/>
  <c r="C3" i="13" s="1"/>
  <c r="J21" i="10"/>
  <c r="K17" i="10"/>
  <c r="AB8" i="12" s="1"/>
  <c r="K7" i="13" s="1"/>
  <c r="K13" i="10"/>
  <c r="O24" i="10"/>
  <c r="N18" i="10"/>
  <c r="O10" i="10"/>
  <c r="J24" i="10"/>
  <c r="J13" i="10"/>
  <c r="AA4" i="12" s="1"/>
  <c r="K9" i="10"/>
  <c r="N24" i="10"/>
  <c r="O16" i="10"/>
  <c r="U7" i="12" s="1"/>
  <c r="D6" i="13" s="1"/>
  <c r="N10" i="10"/>
  <c r="O18" i="10"/>
  <c r="U9" i="12" s="1"/>
  <c r="D8" i="13" s="1"/>
  <c r="K20" i="10"/>
  <c r="J16" i="10"/>
  <c r="AA7" i="12" s="1"/>
  <c r="J6" i="13" s="1"/>
  <c r="O23" i="10"/>
  <c r="N16" i="10"/>
  <c r="O8" i="10"/>
  <c r="K21" i="10"/>
  <c r="AB12" i="12" s="1"/>
  <c r="K11" i="13" s="1"/>
  <c r="J10" i="10"/>
  <c r="K23" i="10"/>
  <c r="K12" i="10"/>
  <c r="AB3" i="12" s="1"/>
  <c r="K2" i="13" s="1"/>
  <c r="J8" i="10"/>
  <c r="O15" i="10"/>
  <c r="U6" i="12" s="1"/>
  <c r="D5" i="13" s="1"/>
  <c r="N8" i="10"/>
  <c r="I9" i="10"/>
  <c r="T12" i="12"/>
  <c r="Q11" i="13" s="1"/>
  <c r="AB14" i="12"/>
  <c r="Y13" i="13" s="1"/>
  <c r="S13" i="12"/>
  <c r="P12" i="13" s="1"/>
  <c r="AA14" i="12"/>
  <c r="J13" i="13" s="1"/>
  <c r="AB6" i="12"/>
  <c r="Y5" i="13" s="1"/>
  <c r="U12" i="12"/>
  <c r="D11" i="13" s="1"/>
  <c r="S5" i="12"/>
  <c r="P4" i="13" s="1"/>
  <c r="AB9" i="12"/>
  <c r="K8" i="13" s="1"/>
  <c r="AA6" i="12"/>
  <c r="J5" i="13" s="1"/>
  <c r="T5" i="12"/>
  <c r="Q4" i="13" s="1"/>
  <c r="AA12" i="12"/>
  <c r="X11" i="13" s="1"/>
  <c r="AB4" i="12"/>
  <c r="Y3" i="13" s="1"/>
  <c r="T9" i="12"/>
  <c r="C8" i="13" s="1"/>
  <c r="AA9" i="12"/>
  <c r="J8" i="13" s="1"/>
  <c r="U14" i="12"/>
  <c r="D13" i="13" s="1"/>
  <c r="T7" i="12"/>
  <c r="C6" i="13" s="1"/>
  <c r="M19" i="10"/>
  <c r="M11" i="10"/>
  <c r="I23" i="10"/>
  <c r="M24" i="10"/>
  <c r="M16" i="10"/>
  <c r="M8" i="10"/>
  <c r="F4" i="11"/>
  <c r="H5" i="12" s="1"/>
  <c r="I6" i="10"/>
  <c r="M13" i="10"/>
  <c r="I21" i="10"/>
  <c r="I13" i="10"/>
  <c r="J6" i="10"/>
  <c r="J20" i="10"/>
  <c r="I20" i="10"/>
  <c r="I12" i="10"/>
  <c r="K6" i="10"/>
  <c r="K22" i="10"/>
  <c r="J17" i="10"/>
  <c r="K14" i="10"/>
  <c r="J9" i="10"/>
  <c r="M6" i="10"/>
  <c r="M23" i="10"/>
  <c r="N20" i="10"/>
  <c r="O17" i="10"/>
  <c r="M15" i="10"/>
  <c r="N12" i="10"/>
  <c r="O9" i="10"/>
  <c r="M7" i="10"/>
  <c r="I14" i="10"/>
  <c r="M21" i="10"/>
  <c r="O20" i="10"/>
  <c r="O12" i="10"/>
  <c r="N7" i="10"/>
  <c r="I19" i="10"/>
  <c r="I11" i="10"/>
  <c r="J22" i="10"/>
  <c r="K19" i="10"/>
  <c r="J14" i="10"/>
  <c r="K11" i="10"/>
  <c r="N6" i="10"/>
  <c r="O22" i="10"/>
  <c r="M20" i="10"/>
  <c r="N17" i="10"/>
  <c r="O14" i="10"/>
  <c r="M12" i="10"/>
  <c r="N9" i="10"/>
  <c r="I15" i="10"/>
  <c r="I22" i="10"/>
  <c r="J12" i="10"/>
  <c r="N23" i="10"/>
  <c r="M18" i="10"/>
  <c r="N15" i="10"/>
  <c r="M10" i="10"/>
  <c r="I18" i="10"/>
  <c r="I10" i="10"/>
  <c r="K24" i="10"/>
  <c r="J19" i="10"/>
  <c r="K16" i="10"/>
  <c r="J11" i="10"/>
  <c r="K8" i="10"/>
  <c r="O6" i="10"/>
  <c r="N22" i="10"/>
  <c r="O19" i="10"/>
  <c r="M17" i="10"/>
  <c r="Z27" i="2"/>
  <c r="Y27" i="2"/>
  <c r="G46" i="8"/>
  <c r="G47" i="8"/>
  <c r="G48" i="8"/>
  <c r="G49" i="8"/>
  <c r="G45" i="8"/>
  <c r="G44" i="8"/>
  <c r="G40" i="8"/>
  <c r="G41" i="8"/>
  <c r="G42" i="8"/>
  <c r="G43" i="8"/>
  <c r="G39" i="8"/>
  <c r="G38" i="8"/>
  <c r="F46" i="8"/>
  <c r="F47" i="8"/>
  <c r="F48" i="8"/>
  <c r="F49" i="8"/>
  <c r="F45" i="8"/>
  <c r="F44" i="8"/>
  <c r="F40" i="8"/>
  <c r="F41" i="8"/>
  <c r="F42" i="8"/>
  <c r="F43" i="8"/>
  <c r="F39" i="8"/>
  <c r="F38" i="8"/>
  <c r="E46" i="8"/>
  <c r="E47" i="8"/>
  <c r="E48" i="8"/>
  <c r="E49" i="8"/>
  <c r="E45" i="8"/>
  <c r="E44" i="8"/>
  <c r="E40" i="8"/>
  <c r="E41" i="8"/>
  <c r="E42" i="8"/>
  <c r="E43" i="8"/>
  <c r="E39" i="8"/>
  <c r="E38" i="8"/>
  <c r="D46" i="8"/>
  <c r="D47" i="8"/>
  <c r="D48" i="8"/>
  <c r="D49" i="8"/>
  <c r="D45" i="8"/>
  <c r="D44" i="8"/>
  <c r="D40" i="8"/>
  <c r="D41" i="8"/>
  <c r="D42" i="8"/>
  <c r="D43" i="8"/>
  <c r="D39" i="8"/>
  <c r="D38" i="8"/>
  <c r="G34" i="8"/>
  <c r="G35" i="8"/>
  <c r="G36" i="8"/>
  <c r="G37" i="8"/>
  <c r="G33" i="8"/>
  <c r="G32" i="8"/>
  <c r="G28" i="8"/>
  <c r="G29" i="8"/>
  <c r="G30" i="8"/>
  <c r="G31" i="8"/>
  <c r="G27" i="8"/>
  <c r="G26" i="8"/>
  <c r="F34" i="8"/>
  <c r="F35" i="8"/>
  <c r="F36" i="8"/>
  <c r="F37" i="8"/>
  <c r="F33" i="8"/>
  <c r="F32" i="8"/>
  <c r="F28" i="8"/>
  <c r="F29" i="8"/>
  <c r="F30" i="8"/>
  <c r="F31" i="8"/>
  <c r="F27" i="8"/>
  <c r="F26" i="8"/>
  <c r="E34" i="8"/>
  <c r="E35" i="8"/>
  <c r="E36" i="8"/>
  <c r="E37" i="8"/>
  <c r="E33" i="8"/>
  <c r="E32" i="8"/>
  <c r="E28" i="8"/>
  <c r="E29" i="8"/>
  <c r="E30" i="8"/>
  <c r="E31" i="8"/>
  <c r="E27" i="8"/>
  <c r="E26" i="8"/>
  <c r="D34" i="8"/>
  <c r="D35" i="8"/>
  <c r="D36" i="8"/>
  <c r="D37" i="8"/>
  <c r="D33" i="8"/>
  <c r="D32" i="8"/>
  <c r="D28" i="8"/>
  <c r="D29" i="8"/>
  <c r="D30" i="8"/>
  <c r="D31" i="8"/>
  <c r="D27" i="8"/>
  <c r="D26" i="8"/>
  <c r="G22" i="8"/>
  <c r="G23" i="8"/>
  <c r="G24" i="8"/>
  <c r="G25" i="8"/>
  <c r="G21" i="8"/>
  <c r="G20" i="8"/>
  <c r="G16" i="8"/>
  <c r="G17" i="8"/>
  <c r="G18" i="8"/>
  <c r="G19" i="8"/>
  <c r="G15" i="8"/>
  <c r="G14" i="8"/>
  <c r="F22" i="8"/>
  <c r="F23" i="8"/>
  <c r="F24" i="8"/>
  <c r="F25" i="8"/>
  <c r="F21" i="8"/>
  <c r="F20" i="8"/>
  <c r="F16" i="8"/>
  <c r="F17" i="8"/>
  <c r="F18" i="8"/>
  <c r="F19" i="8"/>
  <c r="F15" i="8"/>
  <c r="F14" i="8"/>
  <c r="E21" i="8"/>
  <c r="E20" i="8"/>
  <c r="E22" i="8"/>
  <c r="E23" i="8"/>
  <c r="E24" i="8"/>
  <c r="E25" i="8"/>
  <c r="E16" i="8"/>
  <c r="E17" i="8"/>
  <c r="E18" i="8"/>
  <c r="E19" i="8"/>
  <c r="E15" i="8"/>
  <c r="E14" i="8"/>
  <c r="D25" i="8"/>
  <c r="D22" i="8"/>
  <c r="D23" i="8"/>
  <c r="D24" i="8"/>
  <c r="D20" i="8"/>
  <c r="D21" i="8"/>
  <c r="D19" i="8"/>
  <c r="D17" i="8"/>
  <c r="D18" i="8"/>
  <c r="D15" i="8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0" i="6"/>
  <c r="P50" i="6"/>
  <c r="Q49" i="6"/>
  <c r="P49" i="6"/>
  <c r="Q48" i="6"/>
  <c r="R48" i="6" s="1"/>
  <c r="P48" i="6"/>
  <c r="Q47" i="6"/>
  <c r="P47" i="6"/>
  <c r="Q46" i="6"/>
  <c r="R46" i="6" s="1"/>
  <c r="P46" i="6"/>
  <c r="Q45" i="6"/>
  <c r="R45" i="6" s="1"/>
  <c r="P45" i="6"/>
  <c r="Q44" i="6"/>
  <c r="P44" i="6"/>
  <c r="Q43" i="6"/>
  <c r="P43" i="6"/>
  <c r="Q42" i="6"/>
  <c r="P42" i="6"/>
  <c r="Q41" i="6"/>
  <c r="P41" i="6"/>
  <c r="Q39" i="6"/>
  <c r="P39" i="6"/>
  <c r="Q38" i="6"/>
  <c r="P38" i="6"/>
  <c r="R37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19" i="6"/>
  <c r="R53" i="6"/>
  <c r="J16" i="6"/>
  <c r="J15" i="6"/>
  <c r="F2" i="3"/>
  <c r="E2" i="3"/>
  <c r="D2" i="3"/>
  <c r="C2" i="3"/>
  <c r="A2" i="3"/>
  <c r="J5" i="1"/>
  <c r="J4" i="1"/>
  <c r="H12" i="13" l="1"/>
  <c r="H8" i="13"/>
  <c r="V10" i="13"/>
  <c r="A12" i="13"/>
  <c r="H5" i="13"/>
  <c r="B4" i="13"/>
  <c r="A8" i="13"/>
  <c r="O2" i="13"/>
  <c r="U4" i="12"/>
  <c r="R3" i="13" s="1"/>
  <c r="O6" i="13"/>
  <c r="O7" i="13"/>
  <c r="AB11" i="12"/>
  <c r="K10" i="13" s="1"/>
  <c r="H4" i="13"/>
  <c r="O3" i="13"/>
  <c r="O11" i="13"/>
  <c r="A13" i="13"/>
  <c r="C4" i="13"/>
  <c r="J3" i="13"/>
  <c r="X3" i="13"/>
  <c r="R13" i="13"/>
  <c r="H6" i="13"/>
  <c r="H13" i="13"/>
  <c r="H7" i="13"/>
  <c r="A10" i="13"/>
  <c r="V9" i="13"/>
  <c r="A5" i="13"/>
  <c r="V2" i="13"/>
  <c r="Y15" i="12"/>
  <c r="V14" i="13" s="1"/>
  <c r="F11" i="11"/>
  <c r="H12" i="12" s="1"/>
  <c r="V12" i="12" s="1"/>
  <c r="E11" i="13" s="1"/>
  <c r="A9" i="13"/>
  <c r="V11" i="13"/>
  <c r="R15" i="12"/>
  <c r="O14" i="13" s="1"/>
  <c r="R6" i="13"/>
  <c r="Q6" i="13"/>
  <c r="X5" i="13"/>
  <c r="R11" i="13"/>
  <c r="Y2" i="13"/>
  <c r="R8" i="13"/>
  <c r="F12" i="11"/>
  <c r="F7" i="11"/>
  <c r="K13" i="13"/>
  <c r="X8" i="13"/>
  <c r="Y11" i="13"/>
  <c r="K3" i="13"/>
  <c r="F3" i="11"/>
  <c r="F5" i="11"/>
  <c r="F13" i="11"/>
  <c r="F8" i="11"/>
  <c r="C11" i="13"/>
  <c r="F9" i="11"/>
  <c r="H10" i="12" s="1"/>
  <c r="T6" i="12"/>
  <c r="Q5" i="13" s="1"/>
  <c r="AB10" i="12"/>
  <c r="K9" i="13" s="1"/>
  <c r="U11" i="12"/>
  <c r="R10" i="13" s="1"/>
  <c r="T11" i="12"/>
  <c r="C10" i="13" s="1"/>
  <c r="M2" i="11"/>
  <c r="O3" i="12" s="1"/>
  <c r="V5" i="12"/>
  <c r="E4" i="13" s="1"/>
  <c r="X6" i="13"/>
  <c r="Q9" i="13"/>
  <c r="Q8" i="13"/>
  <c r="Y7" i="13"/>
  <c r="Q3" i="13"/>
  <c r="Y8" i="13"/>
  <c r="K5" i="13"/>
  <c r="R5" i="13"/>
  <c r="AB7" i="12"/>
  <c r="Y6" i="13" s="1"/>
  <c r="S9" i="12"/>
  <c r="P8" i="13" s="1"/>
  <c r="U5" i="12"/>
  <c r="D4" i="13" s="1"/>
  <c r="AA13" i="12"/>
  <c r="X12" i="13" s="1"/>
  <c r="S12" i="12"/>
  <c r="P11" i="13" s="1"/>
  <c r="S14" i="12"/>
  <c r="P13" i="13" s="1"/>
  <c r="M10" i="11"/>
  <c r="O11" i="12" s="1"/>
  <c r="S6" i="12"/>
  <c r="P5" i="13" s="1"/>
  <c r="AA10" i="12"/>
  <c r="J9" i="13" s="1"/>
  <c r="M4" i="11"/>
  <c r="O5" i="12" s="1"/>
  <c r="F6" i="11"/>
  <c r="H7" i="12" s="1"/>
  <c r="S8" i="12"/>
  <c r="P7" i="13" s="1"/>
  <c r="AA3" i="12"/>
  <c r="X2" i="13" s="1"/>
  <c r="F14" i="11"/>
  <c r="H15" i="12" s="1"/>
  <c r="S4" i="12"/>
  <c r="B3" i="13" s="1"/>
  <c r="T14" i="12"/>
  <c r="C13" i="13" s="1"/>
  <c r="AA11" i="12"/>
  <c r="X10" i="13" s="1"/>
  <c r="U15" i="12"/>
  <c r="R14" i="13" s="1"/>
  <c r="F10" i="11"/>
  <c r="H11" i="12" s="1"/>
  <c r="M9" i="11"/>
  <c r="O10" i="12" s="1"/>
  <c r="J11" i="13"/>
  <c r="X13" i="13"/>
  <c r="B12" i="13"/>
  <c r="M14" i="11"/>
  <c r="O15" i="12" s="1"/>
  <c r="U10" i="12"/>
  <c r="R9" i="13" s="1"/>
  <c r="M12" i="11"/>
  <c r="O13" i="12" s="1"/>
  <c r="U13" i="12"/>
  <c r="R12" i="13" s="1"/>
  <c r="AB5" i="12"/>
  <c r="K4" i="13" s="1"/>
  <c r="M3" i="11"/>
  <c r="O4" i="12" s="1"/>
  <c r="M6" i="11"/>
  <c r="O7" i="12" s="1"/>
  <c r="Z8" i="12"/>
  <c r="I7" i="13" s="1"/>
  <c r="AA5" i="12"/>
  <c r="X4" i="13" s="1"/>
  <c r="T8" i="12"/>
  <c r="Q7" i="13" s="1"/>
  <c r="T13" i="12"/>
  <c r="Q12" i="13" s="1"/>
  <c r="M8" i="11"/>
  <c r="O9" i="12" s="1"/>
  <c r="M5" i="11"/>
  <c r="O6" i="12" s="1"/>
  <c r="T3" i="12"/>
  <c r="Q2" i="13" s="1"/>
  <c r="AA8" i="12"/>
  <c r="J7" i="13" s="1"/>
  <c r="M11" i="11"/>
  <c r="O12" i="12" s="1"/>
  <c r="M13" i="11"/>
  <c r="O14" i="12" s="1"/>
  <c r="AA15" i="12"/>
  <c r="J14" i="13" s="1"/>
  <c r="Z7" i="12"/>
  <c r="W6" i="13" s="1"/>
  <c r="M7" i="11"/>
  <c r="O8" i="12" s="1"/>
  <c r="Z15" i="12"/>
  <c r="I14" i="13" s="1"/>
  <c r="U3" i="12"/>
  <c r="D2" i="13" s="1"/>
  <c r="U8" i="12"/>
  <c r="D7" i="13" s="1"/>
  <c r="S10" i="12"/>
  <c r="B9" i="13" s="1"/>
  <c r="AB13" i="12"/>
  <c r="K12" i="13" s="1"/>
  <c r="R20" i="6"/>
  <c r="R27" i="6"/>
  <c r="R31" i="6"/>
  <c r="R38" i="6"/>
  <c r="R42" i="6"/>
  <c r="R49" i="6"/>
  <c r="R54" i="6"/>
  <c r="R21" i="6"/>
  <c r="R24" i="6"/>
  <c r="R32" i="6"/>
  <c r="R43" i="6"/>
  <c r="R28" i="6"/>
  <c r="R36" i="6"/>
  <c r="R39" i="6"/>
  <c r="R47" i="6"/>
  <c r="R50" i="6"/>
  <c r="R55" i="6"/>
  <c r="R25" i="6"/>
  <c r="R22" i="6"/>
  <c r="R30" i="6"/>
  <c r="R33" i="6"/>
  <c r="R41" i="6"/>
  <c r="R52" i="6"/>
  <c r="R56" i="6"/>
  <c r="R23" i="6"/>
  <c r="R34" i="6"/>
  <c r="R61" i="6"/>
  <c r="R59" i="6"/>
  <c r="R57" i="6"/>
  <c r="R60" i="6"/>
  <c r="R58" i="6"/>
  <c r="R26" i="6"/>
  <c r="R35" i="6"/>
  <c r="R44" i="6"/>
  <c r="E7" i="1"/>
  <c r="E2" i="1"/>
  <c r="B2" i="3" s="1"/>
  <c r="K7" i="1"/>
  <c r="Z5" i="1"/>
  <c r="Y5" i="1"/>
  <c r="Y3" i="1"/>
  <c r="Z3" i="1" s="1"/>
  <c r="P2" i="1"/>
  <c r="Q2" i="1" s="1"/>
  <c r="V10" i="12" l="1"/>
  <c r="E9" i="13"/>
  <c r="H14" i="12"/>
  <c r="V14" i="12" s="1"/>
  <c r="H13" i="12"/>
  <c r="V13" i="12" s="1"/>
  <c r="S12" i="13" s="1"/>
  <c r="H9" i="12"/>
  <c r="V9" i="12" s="1"/>
  <c r="H8" i="12"/>
  <c r="V8" i="12" s="1"/>
  <c r="H4" i="12"/>
  <c r="V4" i="12" s="1"/>
  <c r="H6" i="12"/>
  <c r="V6" i="12" s="1"/>
  <c r="W7" i="13"/>
  <c r="B13" i="13"/>
  <c r="D10" i="13"/>
  <c r="D3" i="13"/>
  <c r="Y4" i="13"/>
  <c r="J10" i="13"/>
  <c r="Y10" i="13"/>
  <c r="D14" i="13"/>
  <c r="A14" i="13"/>
  <c r="B11" i="13"/>
  <c r="H14" i="13"/>
  <c r="B5" i="13"/>
  <c r="W14" i="13"/>
  <c r="B7" i="13"/>
  <c r="R4" i="13"/>
  <c r="C5" i="13"/>
  <c r="P9" i="13"/>
  <c r="B8" i="13"/>
  <c r="D9" i="13"/>
  <c r="S4" i="13"/>
  <c r="Y12" i="13"/>
  <c r="Y9" i="13"/>
  <c r="R7" i="13"/>
  <c r="T15" i="12"/>
  <c r="Q14" i="13" s="1"/>
  <c r="X14" i="13"/>
  <c r="I6" i="13"/>
  <c r="AC14" i="12"/>
  <c r="Z13" i="13" s="1"/>
  <c r="J4" i="13"/>
  <c r="S11" i="12"/>
  <c r="P10" i="13" s="1"/>
  <c r="P3" i="13"/>
  <c r="AC8" i="12"/>
  <c r="Z7" i="13" s="1"/>
  <c r="AC15" i="12"/>
  <c r="Z14" i="13" s="1"/>
  <c r="S15" i="12"/>
  <c r="P14" i="13" s="1"/>
  <c r="J12" i="13"/>
  <c r="V3" i="12"/>
  <c r="E2" i="13" s="1"/>
  <c r="AC12" i="12"/>
  <c r="Z11" i="13" s="1"/>
  <c r="C12" i="13"/>
  <c r="D12" i="13"/>
  <c r="AB15" i="12"/>
  <c r="Y14" i="13" s="1"/>
  <c r="Q13" i="13"/>
  <c r="AC5" i="12"/>
  <c r="L4" i="13" s="1"/>
  <c r="K6" i="13"/>
  <c r="AC9" i="12"/>
  <c r="Z8" i="13" s="1"/>
  <c r="C2" i="13"/>
  <c r="AC11" i="12"/>
  <c r="L10" i="13" s="1"/>
  <c r="Z14" i="12"/>
  <c r="I13" i="13" s="1"/>
  <c r="S7" i="12"/>
  <c r="P6" i="13" s="1"/>
  <c r="Z11" i="12"/>
  <c r="I10" i="13" s="1"/>
  <c r="Q10" i="13"/>
  <c r="Z12" i="12"/>
  <c r="W11" i="13" s="1"/>
  <c r="AC4" i="12"/>
  <c r="L3" i="13" s="1"/>
  <c r="AC13" i="12"/>
  <c r="L12" i="13" s="1"/>
  <c r="Z5" i="12"/>
  <c r="I4" i="13" s="1"/>
  <c r="S3" i="12"/>
  <c r="P2" i="13" s="1"/>
  <c r="V15" i="12"/>
  <c r="S14" i="13" s="1"/>
  <c r="AC7" i="12"/>
  <c r="Z6" i="13" s="1"/>
  <c r="V7" i="12"/>
  <c r="S6" i="13" s="1"/>
  <c r="Z13" i="12"/>
  <c r="I12" i="13" s="1"/>
  <c r="X7" i="13"/>
  <c r="C7" i="13"/>
  <c r="AC10" i="12"/>
  <c r="Z9" i="13" s="1"/>
  <c r="X9" i="13"/>
  <c r="S11" i="13"/>
  <c r="AC3" i="12"/>
  <c r="Z2" i="13" s="1"/>
  <c r="V11" i="12"/>
  <c r="E10" i="13" s="1"/>
  <c r="Z9" i="12"/>
  <c r="I8" i="13" s="1"/>
  <c r="Z4" i="12"/>
  <c r="W3" i="13" s="1"/>
  <c r="AC6" i="12"/>
  <c r="Z5" i="13" s="1"/>
  <c r="Z6" i="12"/>
  <c r="I5" i="13" s="1"/>
  <c r="Z10" i="12"/>
  <c r="W9" i="13" s="1"/>
  <c r="Z3" i="12"/>
  <c r="W2" i="13" s="1"/>
  <c r="P3" i="1"/>
  <c r="Q3" i="1" s="1"/>
  <c r="K14" i="13" l="1"/>
  <c r="S3" i="13"/>
  <c r="E3" i="13"/>
  <c r="E8" i="13"/>
  <c r="S8" i="13"/>
  <c r="S13" i="13"/>
  <c r="E13" i="13"/>
  <c r="S7" i="13"/>
  <c r="E7" i="13"/>
  <c r="S5" i="13"/>
  <c r="E5" i="13"/>
  <c r="E12" i="13"/>
  <c r="W5" i="13"/>
  <c r="L6" i="13"/>
  <c r="W10" i="13"/>
  <c r="W4" i="13"/>
  <c r="S9" i="13"/>
  <c r="C14" i="13"/>
  <c r="I9" i="13"/>
  <c r="W13" i="13"/>
  <c r="S10" i="13"/>
  <c r="B14" i="13"/>
  <c r="Z12" i="13"/>
  <c r="B6" i="13"/>
  <c r="L11" i="13"/>
  <c r="Z3" i="13"/>
  <c r="Z10" i="13"/>
  <c r="L14" i="13"/>
  <c r="S2" i="13"/>
  <c r="L7" i="13"/>
  <c r="L5" i="13"/>
  <c r="W12" i="13"/>
  <c r="I11" i="13"/>
  <c r="W8" i="13"/>
  <c r="L2" i="13"/>
  <c r="E14" i="13"/>
  <c r="L8" i="13"/>
  <c r="B10" i="13"/>
  <c r="I3" i="13"/>
  <c r="L9" i="13"/>
  <c r="E6" i="13"/>
  <c r="Z4" i="13"/>
  <c r="L13" i="13"/>
  <c r="H58" i="2"/>
  <c r="L58" i="2" s="1"/>
  <c r="G44" i="2"/>
  <c r="G59" i="2"/>
  <c r="K59" i="2" s="1"/>
  <c r="G61" i="2"/>
  <c r="G7" i="2"/>
  <c r="T27" i="2"/>
  <c r="G13" i="2" s="1"/>
  <c r="U27" i="2"/>
  <c r="G17" i="2" s="1"/>
  <c r="V27" i="2"/>
  <c r="G22" i="2" s="1"/>
  <c r="W27" i="2"/>
  <c r="G30" i="2" s="1"/>
  <c r="G32" i="2"/>
  <c r="G37" i="2"/>
  <c r="G45" i="2"/>
  <c r="AA27" i="2"/>
  <c r="G47" i="2" s="1"/>
  <c r="AB27" i="2"/>
  <c r="G53" i="2" s="1"/>
  <c r="AC27" i="2"/>
  <c r="G57" i="2" s="1"/>
  <c r="AD27" i="2"/>
  <c r="G62" i="2" s="1"/>
  <c r="AE27" i="2"/>
  <c r="G70" i="2" s="1"/>
  <c r="AF27" i="2"/>
  <c r="G72" i="2" s="1"/>
  <c r="AG27" i="2"/>
  <c r="G77" i="2" s="1"/>
  <c r="AH27" i="2"/>
  <c r="G85" i="2" s="1"/>
  <c r="AI27" i="2"/>
  <c r="G91" i="2" s="1"/>
  <c r="AJ27" i="2"/>
  <c r="G93" i="2" s="1"/>
  <c r="S28" i="2"/>
  <c r="H11" i="2" s="1"/>
  <c r="T28" i="2"/>
  <c r="H12" i="2" s="1"/>
  <c r="L12" i="2" s="1"/>
  <c r="U28" i="2"/>
  <c r="H19" i="2" s="1"/>
  <c r="V28" i="2"/>
  <c r="H22" i="2" s="1"/>
  <c r="W28" i="2"/>
  <c r="H27" i="2" s="1"/>
  <c r="X28" i="2"/>
  <c r="H34" i="2" s="1"/>
  <c r="Y28" i="2"/>
  <c r="H41" i="2" s="1"/>
  <c r="Z28" i="2"/>
  <c r="H42" i="2" s="1"/>
  <c r="L42" i="2" s="1"/>
  <c r="AA28" i="2"/>
  <c r="H51" i="2" s="1"/>
  <c r="AB28" i="2"/>
  <c r="H52" i="2" s="1"/>
  <c r="L52" i="2" s="1"/>
  <c r="AC28" i="2"/>
  <c r="H59" i="2" s="1"/>
  <c r="AD28" i="2"/>
  <c r="H62" i="2" s="1"/>
  <c r="AE28" i="2"/>
  <c r="H67" i="2" s="1"/>
  <c r="AF28" i="2"/>
  <c r="H74" i="2" s="1"/>
  <c r="AG28" i="2"/>
  <c r="H77" i="2" s="1"/>
  <c r="AH28" i="2"/>
  <c r="H82" i="2" s="1"/>
  <c r="L82" i="2" s="1"/>
  <c r="AI28" i="2"/>
  <c r="H91" i="2" s="1"/>
  <c r="AJ28" i="2"/>
  <c r="H99" i="2" s="1"/>
  <c r="R28" i="2"/>
  <c r="A102" i="9"/>
  <c r="B3" i="2"/>
  <c r="C3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L27" i="2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L91" i="2" s="1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C2" i="2"/>
  <c r="B2" i="2"/>
  <c r="A50" i="5" l="1"/>
  <c r="A50" i="9"/>
  <c r="A56" i="5"/>
  <c r="A56" i="9"/>
  <c r="A80" i="5"/>
  <c r="A80" i="9"/>
  <c r="A40" i="5"/>
  <c r="A40" i="9"/>
  <c r="A10" i="5"/>
  <c r="A10" i="9"/>
  <c r="L99" i="2"/>
  <c r="A89" i="5"/>
  <c r="A89" i="9"/>
  <c r="A25" i="5"/>
  <c r="A25" i="9"/>
  <c r="A158" i="5"/>
  <c r="A158" i="9"/>
  <c r="K62" i="2"/>
  <c r="K22" i="2"/>
  <c r="K61" i="2"/>
  <c r="H96" i="2"/>
  <c r="L96" i="2" s="1"/>
  <c r="L51" i="2"/>
  <c r="L11" i="2"/>
  <c r="K57" i="2"/>
  <c r="K17" i="2"/>
  <c r="G60" i="2"/>
  <c r="K60" i="2" s="1"/>
  <c r="H89" i="2"/>
  <c r="L89" i="2" s="1"/>
  <c r="K93" i="2"/>
  <c r="L77" i="2"/>
  <c r="L41" i="2"/>
  <c r="K91" i="2"/>
  <c r="K47" i="2"/>
  <c r="K7" i="2"/>
  <c r="K44" i="2"/>
  <c r="H56" i="2"/>
  <c r="L56" i="2" s="1"/>
  <c r="L74" i="2"/>
  <c r="L34" i="2"/>
  <c r="K85" i="2"/>
  <c r="K45" i="2"/>
  <c r="G100" i="2"/>
  <c r="K100" i="2" s="1"/>
  <c r="G29" i="2"/>
  <c r="K29" i="2" s="1"/>
  <c r="H25" i="2"/>
  <c r="L25" i="2" s="1"/>
  <c r="K13" i="2"/>
  <c r="L67" i="2"/>
  <c r="K77" i="2"/>
  <c r="K37" i="2"/>
  <c r="G99" i="2"/>
  <c r="K99" i="2" s="1"/>
  <c r="G27" i="2"/>
  <c r="K27" i="2" s="1"/>
  <c r="H18" i="2"/>
  <c r="L18" i="2" s="1"/>
  <c r="K53" i="2"/>
  <c r="L62" i="2"/>
  <c r="L22" i="2"/>
  <c r="K72" i="2"/>
  <c r="K32" i="2"/>
  <c r="G92" i="2"/>
  <c r="K92" i="2" s="1"/>
  <c r="G21" i="2"/>
  <c r="K21" i="2" s="1"/>
  <c r="H4" i="2"/>
  <c r="L4" i="2" s="1"/>
  <c r="A2" i="9" s="1"/>
  <c r="H5" i="2"/>
  <c r="H3" i="2"/>
  <c r="L3" i="2" s="1"/>
  <c r="L59" i="2"/>
  <c r="L19" i="2"/>
  <c r="K70" i="2"/>
  <c r="K30" i="2"/>
  <c r="G67" i="2"/>
  <c r="K67" i="2" s="1"/>
  <c r="G4" i="2"/>
  <c r="H90" i="2"/>
  <c r="L90" i="2" s="1"/>
  <c r="H57" i="2"/>
  <c r="L57" i="2" s="1"/>
  <c r="H24" i="2"/>
  <c r="L24" i="2" s="1"/>
  <c r="H88" i="2"/>
  <c r="L88" i="2" s="1"/>
  <c r="H50" i="2"/>
  <c r="L50" i="2" s="1"/>
  <c r="H17" i="2"/>
  <c r="L17" i="2" s="1"/>
  <c r="H73" i="2"/>
  <c r="L73" i="2" s="1"/>
  <c r="H49" i="2"/>
  <c r="L49" i="2" s="1"/>
  <c r="H16" i="2"/>
  <c r="L16" i="2" s="1"/>
  <c r="H66" i="2"/>
  <c r="L66" i="2" s="1"/>
  <c r="H48" i="2"/>
  <c r="L48" i="2" s="1"/>
  <c r="H10" i="2"/>
  <c r="L10" i="2" s="1"/>
  <c r="H98" i="2"/>
  <c r="L98" i="2" s="1"/>
  <c r="H65" i="2"/>
  <c r="L65" i="2" s="1"/>
  <c r="H33" i="2"/>
  <c r="L33" i="2" s="1"/>
  <c r="H9" i="2"/>
  <c r="L9" i="2" s="1"/>
  <c r="H97" i="2"/>
  <c r="L97" i="2" s="1"/>
  <c r="H64" i="2"/>
  <c r="L64" i="2" s="1"/>
  <c r="H26" i="2"/>
  <c r="L26" i="2" s="1"/>
  <c r="H8" i="2"/>
  <c r="L8" i="2" s="1"/>
  <c r="G28" i="2"/>
  <c r="K28" i="2" s="1"/>
  <c r="G84" i="2"/>
  <c r="K84" i="2" s="1"/>
  <c r="G6" i="2"/>
  <c r="K6" i="2" s="1"/>
  <c r="A102" i="5"/>
  <c r="G76" i="2"/>
  <c r="K76" i="2" s="1"/>
  <c r="G52" i="2"/>
  <c r="K52" i="2" s="1"/>
  <c r="G20" i="2"/>
  <c r="K20" i="2" s="1"/>
  <c r="G75" i="2"/>
  <c r="K75" i="2" s="1"/>
  <c r="G19" i="2"/>
  <c r="K19" i="2" s="1"/>
  <c r="G69" i="2"/>
  <c r="K69" i="2" s="1"/>
  <c r="G36" i="2"/>
  <c r="K36" i="2" s="1"/>
  <c r="G12" i="2"/>
  <c r="K12" i="2" s="1"/>
  <c r="G68" i="2"/>
  <c r="K68" i="2" s="1"/>
  <c r="G35" i="2"/>
  <c r="K35" i="2" s="1"/>
  <c r="G5" i="2"/>
  <c r="K5" i="2" s="1"/>
  <c r="G51" i="2"/>
  <c r="K51" i="2" s="1"/>
  <c r="G43" i="2"/>
  <c r="K43" i="2" s="1"/>
  <c r="H80" i="2"/>
  <c r="L80" i="2" s="1"/>
  <c r="H72" i="2"/>
  <c r="L72" i="2" s="1"/>
  <c r="H40" i="2"/>
  <c r="L40" i="2" s="1"/>
  <c r="H32" i="2"/>
  <c r="L32" i="2" s="1"/>
  <c r="G98" i="2"/>
  <c r="K98" i="2" s="1"/>
  <c r="G90" i="2"/>
  <c r="K90" i="2" s="1"/>
  <c r="G82" i="2"/>
  <c r="K82" i="2" s="1"/>
  <c r="G74" i="2"/>
  <c r="K74" i="2" s="1"/>
  <c r="G66" i="2"/>
  <c r="K66" i="2" s="1"/>
  <c r="G58" i="2"/>
  <c r="K58" i="2" s="1"/>
  <c r="G50" i="2"/>
  <c r="K50" i="2" s="1"/>
  <c r="G42" i="2"/>
  <c r="K42" i="2" s="1"/>
  <c r="G34" i="2"/>
  <c r="K34" i="2" s="1"/>
  <c r="G26" i="2"/>
  <c r="K26" i="2" s="1"/>
  <c r="G18" i="2"/>
  <c r="K18" i="2" s="1"/>
  <c r="G10" i="2"/>
  <c r="K10" i="2" s="1"/>
  <c r="H95" i="2"/>
  <c r="L95" i="2" s="1"/>
  <c r="H87" i="2"/>
  <c r="L87" i="2" s="1"/>
  <c r="H79" i="2"/>
  <c r="L79" i="2" s="1"/>
  <c r="H71" i="2"/>
  <c r="L71" i="2" s="1"/>
  <c r="H63" i="2"/>
  <c r="L63" i="2" s="1"/>
  <c r="H55" i="2"/>
  <c r="L55" i="2" s="1"/>
  <c r="H47" i="2"/>
  <c r="L47" i="2" s="1"/>
  <c r="H39" i="2"/>
  <c r="L39" i="2" s="1"/>
  <c r="H31" i="2"/>
  <c r="L31" i="2" s="1"/>
  <c r="H23" i="2"/>
  <c r="L23" i="2" s="1"/>
  <c r="H15" i="2"/>
  <c r="L15" i="2" s="1"/>
  <c r="H7" i="2"/>
  <c r="L7" i="2" s="1"/>
  <c r="G83" i="2"/>
  <c r="K83" i="2" s="1"/>
  <c r="G97" i="2"/>
  <c r="K97" i="2" s="1"/>
  <c r="G89" i="2"/>
  <c r="K89" i="2" s="1"/>
  <c r="G81" i="2"/>
  <c r="K81" i="2" s="1"/>
  <c r="G73" i="2"/>
  <c r="K73" i="2" s="1"/>
  <c r="G65" i="2"/>
  <c r="K65" i="2" s="1"/>
  <c r="G49" i="2"/>
  <c r="K49" i="2" s="1"/>
  <c r="G41" i="2"/>
  <c r="K41" i="2" s="1"/>
  <c r="G33" i="2"/>
  <c r="K33" i="2" s="1"/>
  <c r="G25" i="2"/>
  <c r="K25" i="2" s="1"/>
  <c r="G9" i="2"/>
  <c r="K9" i="2" s="1"/>
  <c r="H102" i="2"/>
  <c r="L102" i="2" s="1"/>
  <c r="H94" i="2"/>
  <c r="L94" i="2" s="1"/>
  <c r="H86" i="2"/>
  <c r="L86" i="2" s="1"/>
  <c r="H78" i="2"/>
  <c r="L78" i="2" s="1"/>
  <c r="H70" i="2"/>
  <c r="L70" i="2" s="1"/>
  <c r="H54" i="2"/>
  <c r="L54" i="2" s="1"/>
  <c r="H46" i="2"/>
  <c r="L46" i="2" s="1"/>
  <c r="H38" i="2"/>
  <c r="L38" i="2" s="1"/>
  <c r="H30" i="2"/>
  <c r="L30" i="2" s="1"/>
  <c r="H14" i="2"/>
  <c r="L14" i="2" s="1"/>
  <c r="H6" i="2"/>
  <c r="L6" i="2" s="1"/>
  <c r="H81" i="2"/>
  <c r="L81" i="2" s="1"/>
  <c r="G96" i="2"/>
  <c r="K96" i="2" s="1"/>
  <c r="G88" i="2"/>
  <c r="K88" i="2" s="1"/>
  <c r="G80" i="2"/>
  <c r="K80" i="2" s="1"/>
  <c r="G64" i="2"/>
  <c r="K64" i="2" s="1"/>
  <c r="G56" i="2"/>
  <c r="K56" i="2" s="1"/>
  <c r="G48" i="2"/>
  <c r="K48" i="2" s="1"/>
  <c r="G40" i="2"/>
  <c r="K40" i="2" s="1"/>
  <c r="G24" i="2"/>
  <c r="K24" i="2" s="1"/>
  <c r="G16" i="2"/>
  <c r="K16" i="2" s="1"/>
  <c r="G8" i="2"/>
  <c r="K8" i="2" s="1"/>
  <c r="H101" i="2"/>
  <c r="L101" i="2" s="1"/>
  <c r="H93" i="2"/>
  <c r="L93" i="2" s="1"/>
  <c r="H85" i="2"/>
  <c r="L85" i="2" s="1"/>
  <c r="H69" i="2"/>
  <c r="L69" i="2" s="1"/>
  <c r="H61" i="2"/>
  <c r="L61" i="2" s="1"/>
  <c r="H53" i="2"/>
  <c r="L53" i="2" s="1"/>
  <c r="H45" i="2"/>
  <c r="L45" i="2" s="1"/>
  <c r="H37" i="2"/>
  <c r="L37" i="2" s="1"/>
  <c r="H29" i="2"/>
  <c r="L29" i="2" s="1"/>
  <c r="H21" i="2"/>
  <c r="L21" i="2" s="1"/>
  <c r="H13" i="2"/>
  <c r="L13" i="2" s="1"/>
  <c r="L5" i="2"/>
  <c r="G11" i="2"/>
  <c r="K11" i="2" s="1"/>
  <c r="G95" i="2"/>
  <c r="K95" i="2" s="1"/>
  <c r="G87" i="2"/>
  <c r="K87" i="2" s="1"/>
  <c r="G79" i="2"/>
  <c r="K79" i="2" s="1"/>
  <c r="G71" i="2"/>
  <c r="K71" i="2" s="1"/>
  <c r="G63" i="2"/>
  <c r="K63" i="2" s="1"/>
  <c r="G55" i="2"/>
  <c r="K55" i="2" s="1"/>
  <c r="G39" i="2"/>
  <c r="K39" i="2" s="1"/>
  <c r="G31" i="2"/>
  <c r="K31" i="2" s="1"/>
  <c r="G23" i="2"/>
  <c r="K23" i="2" s="1"/>
  <c r="G15" i="2"/>
  <c r="K15" i="2" s="1"/>
  <c r="H100" i="2"/>
  <c r="L100" i="2" s="1"/>
  <c r="H92" i="2"/>
  <c r="L92" i="2" s="1"/>
  <c r="H84" i="2"/>
  <c r="L84" i="2" s="1"/>
  <c r="H76" i="2"/>
  <c r="L76" i="2" s="1"/>
  <c r="H68" i="2"/>
  <c r="L68" i="2" s="1"/>
  <c r="H60" i="2"/>
  <c r="L60" i="2" s="1"/>
  <c r="H44" i="2"/>
  <c r="L44" i="2" s="1"/>
  <c r="H36" i="2"/>
  <c r="L36" i="2" s="1"/>
  <c r="H28" i="2"/>
  <c r="L28" i="2" s="1"/>
  <c r="H20" i="2"/>
  <c r="L20" i="2" s="1"/>
  <c r="G102" i="2"/>
  <c r="K102" i="2" s="1"/>
  <c r="G94" i="2"/>
  <c r="K94" i="2" s="1"/>
  <c r="G86" i="2"/>
  <c r="K86" i="2" s="1"/>
  <c r="G78" i="2"/>
  <c r="K78" i="2" s="1"/>
  <c r="G54" i="2"/>
  <c r="K54" i="2" s="1"/>
  <c r="G46" i="2"/>
  <c r="K46" i="2" s="1"/>
  <c r="G38" i="2"/>
  <c r="K38" i="2" s="1"/>
  <c r="G14" i="2"/>
  <c r="K14" i="2" s="1"/>
  <c r="H83" i="2"/>
  <c r="L83" i="2" s="1"/>
  <c r="H75" i="2"/>
  <c r="L75" i="2" s="1"/>
  <c r="H43" i="2"/>
  <c r="L43" i="2" s="1"/>
  <c r="H35" i="2"/>
  <c r="L35" i="2" s="1"/>
  <c r="G101" i="2"/>
  <c r="K101" i="2" s="1"/>
  <c r="A83" i="5" l="1"/>
  <c r="A83" i="9"/>
  <c r="A109" i="5"/>
  <c r="A109" i="9"/>
  <c r="A136" i="5"/>
  <c r="A136" i="9"/>
  <c r="A33" i="5"/>
  <c r="A33" i="9"/>
  <c r="A177" i="5"/>
  <c r="A177" i="9"/>
  <c r="A58" i="5"/>
  <c r="A58" i="9"/>
  <c r="A130" i="5"/>
  <c r="A130" i="9"/>
  <c r="A110" i="5"/>
  <c r="A110" i="9"/>
  <c r="A59" i="5"/>
  <c r="A59" i="9"/>
  <c r="A139" i="5"/>
  <c r="A139" i="9"/>
  <c r="A4" i="5"/>
  <c r="A4" i="9"/>
  <c r="A84" i="5"/>
  <c r="A84" i="9"/>
  <c r="A164" i="5"/>
  <c r="A164" i="9"/>
  <c r="A21" i="5"/>
  <c r="A21" i="9"/>
  <c r="A85" i="5"/>
  <c r="A85" i="9"/>
  <c r="A157" i="5"/>
  <c r="A157" i="9"/>
  <c r="A70" i="5"/>
  <c r="A70" i="9"/>
  <c r="A135" i="5"/>
  <c r="A135" i="9"/>
  <c r="A105" i="5"/>
  <c r="A105" i="9"/>
  <c r="A31" i="5"/>
  <c r="A31" i="9"/>
  <c r="A71" i="5"/>
  <c r="A71" i="9"/>
  <c r="A166" i="5"/>
  <c r="A166" i="9"/>
  <c r="A120" i="5"/>
  <c r="A120" i="9"/>
  <c r="A126" i="5"/>
  <c r="A126" i="9"/>
  <c r="A199" i="5"/>
  <c r="A199" i="9"/>
  <c r="A146" i="5"/>
  <c r="A146" i="9"/>
  <c r="A156" i="5"/>
  <c r="A156" i="9"/>
  <c r="A155" i="5"/>
  <c r="A155" i="9"/>
  <c r="A142" i="5"/>
  <c r="A142" i="9"/>
  <c r="A184" i="5"/>
  <c r="A184" i="9"/>
  <c r="A41" i="5"/>
  <c r="A41" i="9"/>
  <c r="A185" i="5"/>
  <c r="A185" i="9"/>
  <c r="A66" i="5"/>
  <c r="A66" i="9"/>
  <c r="A138" i="5"/>
  <c r="A138" i="9"/>
  <c r="A3" i="5"/>
  <c r="A3" i="9"/>
  <c r="A67" i="5"/>
  <c r="A67" i="9"/>
  <c r="A147" i="5"/>
  <c r="A147" i="9"/>
  <c r="A12" i="5"/>
  <c r="A12" i="9"/>
  <c r="A92" i="5"/>
  <c r="A92" i="9"/>
  <c r="A172" i="5"/>
  <c r="A172" i="9"/>
  <c r="A29" i="5"/>
  <c r="A29" i="9"/>
  <c r="A93" i="5"/>
  <c r="A93" i="9"/>
  <c r="A165" i="5"/>
  <c r="A165" i="9"/>
  <c r="A78" i="5"/>
  <c r="A78" i="9"/>
  <c r="A168" i="5"/>
  <c r="A168" i="9"/>
  <c r="A183" i="5"/>
  <c r="A183" i="9"/>
  <c r="A63" i="5"/>
  <c r="A63" i="9"/>
  <c r="A15" i="5"/>
  <c r="A15" i="9"/>
  <c r="A129" i="5"/>
  <c r="A129" i="9"/>
  <c r="A191" i="5"/>
  <c r="A191" i="9"/>
  <c r="A198" i="5"/>
  <c r="A198" i="9"/>
  <c r="A144" i="5"/>
  <c r="A144" i="9"/>
  <c r="A190" i="5"/>
  <c r="A190" i="9"/>
  <c r="A9" i="5"/>
  <c r="A9" i="9"/>
  <c r="A73" i="5"/>
  <c r="A73" i="9"/>
  <c r="A100" i="5"/>
  <c r="A100" i="9"/>
  <c r="A48" i="5"/>
  <c r="A48" i="9"/>
  <c r="A201" i="5"/>
  <c r="A201" i="9"/>
  <c r="A82" i="5"/>
  <c r="A82" i="9"/>
  <c r="A162" i="5"/>
  <c r="A162" i="9"/>
  <c r="A19" i="5"/>
  <c r="A19" i="9"/>
  <c r="A91" i="5"/>
  <c r="A91" i="9"/>
  <c r="A163" i="5"/>
  <c r="A163" i="9"/>
  <c r="A36" i="5"/>
  <c r="A36" i="9"/>
  <c r="A108" i="5"/>
  <c r="A108" i="9"/>
  <c r="A188" i="5"/>
  <c r="A188" i="9"/>
  <c r="A45" i="5"/>
  <c r="A45" i="9"/>
  <c r="A117" i="5"/>
  <c r="A117" i="9"/>
  <c r="A181" i="5"/>
  <c r="A181" i="9"/>
  <c r="A150" i="5"/>
  <c r="A150" i="9"/>
  <c r="A174" i="5"/>
  <c r="A174" i="9"/>
  <c r="A6" i="5"/>
  <c r="A6" i="9"/>
  <c r="A8" i="5"/>
  <c r="A8" i="9"/>
  <c r="A86" i="5"/>
  <c r="A86" i="9"/>
  <c r="A17" i="5"/>
  <c r="A17" i="9"/>
  <c r="A171" i="5"/>
  <c r="A171" i="9"/>
  <c r="A176" i="5"/>
  <c r="A176" i="9"/>
  <c r="A32" i="5"/>
  <c r="A32" i="9"/>
  <c r="A75" i="5"/>
  <c r="A75" i="9"/>
  <c r="A94" i="5"/>
  <c r="A94" i="9"/>
  <c r="A193" i="5"/>
  <c r="A193" i="9"/>
  <c r="A28" i="5"/>
  <c r="A28" i="9"/>
  <c r="A118" i="5"/>
  <c r="A118" i="9"/>
  <c r="A49" i="5"/>
  <c r="A49" i="9"/>
  <c r="A81" i="5"/>
  <c r="A81" i="9"/>
  <c r="A113" i="5"/>
  <c r="A113" i="9"/>
  <c r="A18" i="5"/>
  <c r="A18" i="9"/>
  <c r="A90" i="5"/>
  <c r="A90" i="9"/>
  <c r="A170" i="5"/>
  <c r="A170" i="9"/>
  <c r="A27" i="5"/>
  <c r="A27" i="9"/>
  <c r="A99" i="5"/>
  <c r="A99" i="9"/>
  <c r="A179" i="5"/>
  <c r="A179" i="9"/>
  <c r="A44" i="5"/>
  <c r="A44" i="9"/>
  <c r="A124" i="5"/>
  <c r="A124" i="9"/>
  <c r="A196" i="5"/>
  <c r="A196" i="9"/>
  <c r="A53" i="5"/>
  <c r="A53" i="9"/>
  <c r="A125" i="5"/>
  <c r="A125" i="9"/>
  <c r="A189" i="5"/>
  <c r="A189" i="9"/>
  <c r="A104" i="5"/>
  <c r="A104" i="9"/>
  <c r="A119" i="5"/>
  <c r="A119" i="9"/>
  <c r="A24" i="5"/>
  <c r="A24" i="9"/>
  <c r="A46" i="5"/>
  <c r="A46" i="9"/>
  <c r="A22" i="5"/>
  <c r="A22" i="9"/>
  <c r="A57" i="5"/>
  <c r="A57" i="9"/>
  <c r="A20" i="5"/>
  <c r="A20" i="9"/>
  <c r="A65" i="5"/>
  <c r="A65" i="9"/>
  <c r="A72" i="5"/>
  <c r="A72" i="9"/>
  <c r="A192" i="5"/>
  <c r="A192" i="9"/>
  <c r="A160" i="5"/>
  <c r="A160" i="9"/>
  <c r="A74" i="5"/>
  <c r="A74" i="9"/>
  <c r="A180" i="5"/>
  <c r="A180" i="9"/>
  <c r="A173" i="5"/>
  <c r="A173" i="9"/>
  <c r="A131" i="5"/>
  <c r="A131" i="9"/>
  <c r="A137" i="5"/>
  <c r="A137" i="9"/>
  <c r="A26" i="5"/>
  <c r="A26" i="9"/>
  <c r="A98" i="5"/>
  <c r="A98" i="9"/>
  <c r="A178" i="5"/>
  <c r="A178" i="9"/>
  <c r="A35" i="5"/>
  <c r="A35" i="9"/>
  <c r="A107" i="5"/>
  <c r="A107" i="9"/>
  <c r="A187" i="5"/>
  <c r="A187" i="9"/>
  <c r="A52" i="5"/>
  <c r="A52" i="9"/>
  <c r="A132" i="5"/>
  <c r="A132" i="9"/>
  <c r="A182" i="5"/>
  <c r="A182" i="9"/>
  <c r="A61" i="5"/>
  <c r="A61" i="9"/>
  <c r="A133" i="5"/>
  <c r="A133" i="9"/>
  <c r="A197" i="5"/>
  <c r="A197" i="9"/>
  <c r="A134" i="5"/>
  <c r="A134" i="9"/>
  <c r="A151" i="5"/>
  <c r="A151" i="9"/>
  <c r="A62" i="5"/>
  <c r="A62" i="9"/>
  <c r="A64" i="5"/>
  <c r="A64" i="9"/>
  <c r="A55" i="5"/>
  <c r="A55" i="9"/>
  <c r="A1" i="5"/>
  <c r="A1" i="9"/>
  <c r="A60" i="5"/>
  <c r="A60" i="9"/>
  <c r="A112" i="5"/>
  <c r="A112" i="9"/>
  <c r="A54" i="5"/>
  <c r="A54" i="9"/>
  <c r="A87" i="5"/>
  <c r="A87" i="9"/>
  <c r="A121" i="5"/>
  <c r="A121" i="9"/>
  <c r="A97" i="5"/>
  <c r="A97" i="9"/>
  <c r="A11" i="5"/>
  <c r="A11" i="9"/>
  <c r="A96" i="5"/>
  <c r="A96" i="9"/>
  <c r="A145" i="5"/>
  <c r="A145" i="9"/>
  <c r="A34" i="5"/>
  <c r="A34" i="9"/>
  <c r="A114" i="5"/>
  <c r="A114" i="9"/>
  <c r="A186" i="5"/>
  <c r="A186" i="9"/>
  <c r="A43" i="5"/>
  <c r="A43" i="9"/>
  <c r="A115" i="5"/>
  <c r="A115" i="9"/>
  <c r="A195" i="5"/>
  <c r="A195" i="9"/>
  <c r="A68" i="5"/>
  <c r="A68" i="9"/>
  <c r="A140" i="5"/>
  <c r="A140" i="9"/>
  <c r="A5" i="5"/>
  <c r="A5" i="9"/>
  <c r="A69" i="5"/>
  <c r="A69" i="9"/>
  <c r="A141" i="5"/>
  <c r="A141" i="9"/>
  <c r="A30" i="5"/>
  <c r="A30" i="9"/>
  <c r="A167" i="5"/>
  <c r="A167" i="9"/>
  <c r="A175" i="5"/>
  <c r="A175" i="9"/>
  <c r="A95" i="5"/>
  <c r="A95" i="9"/>
  <c r="A14" i="5"/>
  <c r="A14" i="9"/>
  <c r="A88" i="5"/>
  <c r="A88" i="9"/>
  <c r="A152" i="5"/>
  <c r="A152" i="9"/>
  <c r="A23" i="5"/>
  <c r="A23" i="9"/>
  <c r="A143" i="5"/>
  <c r="A143" i="9"/>
  <c r="A159" i="5"/>
  <c r="A159" i="9"/>
  <c r="A161" i="5"/>
  <c r="A161" i="9"/>
  <c r="A154" i="5"/>
  <c r="A154" i="9"/>
  <c r="A37" i="5"/>
  <c r="A37" i="9"/>
  <c r="A127" i="5"/>
  <c r="A127" i="9"/>
  <c r="A169" i="5"/>
  <c r="A169" i="9"/>
  <c r="A39" i="5"/>
  <c r="A39" i="9"/>
  <c r="A200" i="5"/>
  <c r="A200" i="9"/>
  <c r="A153" i="5"/>
  <c r="A153" i="9"/>
  <c r="A42" i="5"/>
  <c r="A42" i="9"/>
  <c r="A122" i="5"/>
  <c r="A122" i="9"/>
  <c r="A194" i="5"/>
  <c r="A194" i="9"/>
  <c r="A51" i="5"/>
  <c r="A51" i="9"/>
  <c r="A123" i="5"/>
  <c r="A123" i="9"/>
  <c r="A79" i="5"/>
  <c r="A79" i="9"/>
  <c r="A76" i="5"/>
  <c r="A76" i="9"/>
  <c r="A148" i="5"/>
  <c r="A148" i="9"/>
  <c r="A13" i="5"/>
  <c r="A13" i="9"/>
  <c r="A77" i="5"/>
  <c r="A77" i="9"/>
  <c r="A149" i="5"/>
  <c r="A149" i="9"/>
  <c r="A38" i="5"/>
  <c r="A38" i="9"/>
  <c r="A111" i="5"/>
  <c r="A111" i="9"/>
  <c r="A7" i="5"/>
  <c r="A7" i="9"/>
  <c r="A47" i="5"/>
  <c r="A47" i="9"/>
  <c r="A16" i="5"/>
  <c r="A16" i="9"/>
  <c r="A128" i="5"/>
  <c r="A128" i="9"/>
  <c r="A106" i="5"/>
  <c r="A106" i="9"/>
  <c r="A116" i="5"/>
  <c r="A116" i="9"/>
  <c r="K4" i="2"/>
  <c r="A2" i="5"/>
  <c r="A103" i="5" l="1"/>
  <c r="A10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tc={111A49BF-3A05-4ACB-AC0F-D33718D5F81A}</author>
  </authors>
  <commentList>
    <comment ref="Q25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29" authorId="1" shapeId="0" xr:uid="{111A49BF-3A05-4ACB-AC0F-D33718D5F81A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<sst xmlns="http://schemas.openxmlformats.org/spreadsheetml/2006/main" count="869" uniqueCount="376">
  <si>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</si>
  <si>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</si>
  <si>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</si>
  <si>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</si>
  <si>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</si>
  <si>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</si>
  <si>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</si>
  <si>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</si>
  <si>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</si>
  <si>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</si>
  <si>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</si>
  <si>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</si>
  <si>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</si>
  <si>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</si>
  <si>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</si>
  <si>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</si>
  <si>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</si>
  <si>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</si>
  <si>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</si>
  <si>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</si>
  <si>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</si>
  <si>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</si>
  <si>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>HR-QoL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</si>
  <si>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</si>
  <si>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</si>
  <si>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</si>
  <si>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</si>
  <si>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</si>
  <si>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</si>
  <si>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</si>
  <si>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</si>
  <si>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</si>
  <si>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</si>
  <si>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</si>
  <si>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</si>
  <si>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</si>
  <si>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</si>
  <si>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</si>
  <si>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</si>
  <si>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</si>
  <si>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</si>
  <si>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</si>
  <si>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p of onset for  tumours (males, age 30, non smokers, not manufacture workers), Coefficient A</t>
  </si>
  <si>
    <t>P.sympt.diag_LGBC</t>
  </si>
  <si>
    <t>C.age.80.undiag.mort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</si>
  <si>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</si>
  <si>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</si>
  <si>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</si>
  <si>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</si>
  <si>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</si>
  <si>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</si>
  <si>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</si>
  <si>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</si>
  <si>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</si>
  <si>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</si>
  <si>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</si>
  <si>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</si>
  <si>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</si>
  <si>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</si>
  <si>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</si>
  <si>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</si>
  <si>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</si>
  <si>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</si>
  <si>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</si>
  <si>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</si>
  <si>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</si>
  <si>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</si>
  <si>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</si>
  <si>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</si>
  <si>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</si>
  <si>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</si>
  <si>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</si>
  <si>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</si>
  <si>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</si>
  <si>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</si>
  <si>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</si>
  <si>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</si>
  <si>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</si>
  <si>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</si>
  <si>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</si>
  <si>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</si>
  <si>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</si>
  <si>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</si>
  <si>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</si>
  <si>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</si>
  <si>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</si>
  <si>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</si>
  <si>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</si>
  <si>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</si>
  <si>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</si>
  <si>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</si>
  <si>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</si>
  <si>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</si>
  <si>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</si>
  <si>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</si>
  <si>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</si>
  <si>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</si>
  <si>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</si>
  <si>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</si>
  <si>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</si>
  <si>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</si>
  <si>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</si>
  <si>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</si>
  <si>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</si>
  <si>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</si>
  <si>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</si>
  <si>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</si>
  <si>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</si>
  <si>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</si>
  <si>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</si>
  <si>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</si>
  <si>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</si>
  <si>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</si>
  <si>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</si>
  <si>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</si>
  <si>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</si>
  <si>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</si>
  <si>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</si>
  <si>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</si>
  <si>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</si>
  <si>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</si>
  <si>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</si>
  <si>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</si>
  <si>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</si>
  <si>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</si>
  <si>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</si>
  <si>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</si>
  <si>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</si>
  <si>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</si>
  <si>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</si>
  <si>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Cancer site</t>
  </si>
  <si>
    <t>Sex</t>
  </si>
  <si>
    <t>Age group</t>
  </si>
  <si>
    <t>Survival type</t>
  </si>
  <si>
    <t>Stage</t>
  </si>
  <si>
    <t>Men</t>
  </si>
  <si>
    <t>15-44</t>
  </si>
  <si>
    <t>Non-standardised</t>
  </si>
  <si>
    <t>Stage 1</t>
  </si>
  <si>
    <t>1-year</t>
  </si>
  <si>
    <t>diagnosed between 2013 and 2017: England, 29 common cancers, by age, sex, and stage at diagnosis</t>
  </si>
  <si>
    <t>45-54</t>
  </si>
  <si>
    <t>55-64</t>
  </si>
  <si>
    <t>65-74</t>
  </si>
  <si>
    <t>75-99</t>
  </si>
  <si>
    <t>1-year survival</t>
  </si>
  <si>
    <t>5-year survival</t>
  </si>
  <si>
    <t>10-year survival</t>
  </si>
  <si>
    <t>females</t>
  </si>
  <si>
    <t>All ages</t>
  </si>
  <si>
    <t>males</t>
  </si>
  <si>
    <t>15-54</t>
  </si>
  <si>
    <t>Stage 2</t>
  </si>
  <si>
    <t>Women</t>
  </si>
  <si>
    <t>Stage 3</t>
  </si>
  <si>
    <t>Stage 4</t>
  </si>
  <si>
    <t>:</t>
  </si>
  <si>
    <t>Persons</t>
  </si>
  <si>
    <t>5-year</t>
  </si>
  <si>
    <t>year.surv</t>
  </si>
  <si>
    <t>sex</t>
  </si>
  <si>
    <t>S1</t>
  </si>
  <si>
    <t>S2</t>
  </si>
  <si>
    <t>S3</t>
  </si>
  <si>
    <t>S4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</si>
  <si>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</si>
  <si>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</si>
  <si>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</si>
  <si>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</si>
  <si>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</si>
  <si>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</si>
  <si>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</si>
  <si>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</si>
  <si>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</si>
  <si>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</si>
  <si>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</si>
  <si>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</si>
  <si>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</si>
  <si>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</si>
  <si>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</si>
  <si>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</si>
  <si>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</si>
  <si>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</si>
  <si>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</si>
  <si>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</si>
  <si>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</si>
  <si>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</si>
  <si>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</si>
  <si>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</si>
  <si>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</si>
  <si>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</si>
  <si>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</si>
  <si>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</si>
  <si>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</si>
  <si>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</si>
  <si>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</si>
  <si>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</si>
  <si>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</si>
  <si>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</si>
  <si>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</si>
  <si>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</si>
  <si>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</si>
  <si>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</si>
  <si>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</si>
  <si>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</si>
  <si>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</si>
  <si>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</si>
  <si>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</si>
  <si>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</si>
  <si>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</si>
  <si>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</si>
  <si>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</si>
  <si>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</si>
  <si>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</si>
  <si>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</si>
  <si>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</si>
  <si>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</si>
  <si>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</si>
  <si>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Cost.surv.Y4.5</t>
  </si>
  <si>
    <t>Disutility for HG stage 4, compared to no cancer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</si>
  <si>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</si>
  <si>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</si>
  <si>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</si>
  <si>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</si>
  <si>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</si>
  <si>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Probability of patients progressing from low-grade BC to HGBC</t>
  </si>
  <si>
    <t>uniform</t>
  </si>
  <si>
    <t>Specificity of  flexible cystoscopy</t>
  </si>
  <si>
    <t>Spec.cystoscopy</t>
  </si>
  <si>
    <t>Cancer Survival in England: adults diagnosed between 2013 and 2017 and followed up to 2018</t>
  </si>
  <si>
    <t>1-year age-standardised survival</t>
  </si>
  <si>
    <t>5-year age-standardised survival</t>
  </si>
  <si>
    <t>All stages</t>
  </si>
  <si>
    <r>
      <rPr>
        <b/>
        <sz val="10"/>
        <color indexed="8"/>
        <rFont val="Arial"/>
        <family val="2"/>
      </rPr>
      <t>[8]</t>
    </r>
    <r>
      <rPr>
        <sz val="10"/>
        <color indexed="8"/>
        <rFont val="Arial"/>
        <family val="2"/>
      </rPr>
      <t xml:space="preserve"> Office for National Statistics. </t>
    </r>
  </si>
  <si>
    <t>Kidney</t>
  </si>
  <si>
    <t>Cancer survival statistical bulletins.</t>
  </si>
  <si>
    <t>(Quality and Methodology Information report). 2019.</t>
  </si>
  <si>
    <t>CRUK</t>
  </si>
  <si>
    <t>Kidney cancer (C64): 2013-2017</t>
  </si>
  <si>
    <t>Kidney cancer Age-Standardised One-, Five- and Ten-Year Net Survival, Adults (Aged 15-99), England, 2013-2017</t>
  </si>
  <si>
    <t>Years after diagnosis</t>
  </si>
  <si>
    <t>Number of cases</t>
  </si>
  <si>
    <t>Net surivival</t>
  </si>
  <si>
    <t>Lower CI</t>
  </si>
  <si>
    <t>Upper CI</t>
  </si>
  <si>
    <t>Survival ratio 10 to 5 years for females and males</t>
  </si>
  <si>
    <t>one year</t>
  </si>
  <si>
    <t xml:space="preserve">persons </t>
  </si>
  <si>
    <t>five years</t>
  </si>
  <si>
    <t>ten years</t>
  </si>
  <si>
    <t xml:space="preserve">Table 3: One-year and five-year net survival (%), with 95% confidence intervals (CI), for adults (aged 15 to 99 years) </t>
  </si>
  <si>
    <t>Notes:</t>
  </si>
  <si>
    <t>1. More information relating to the method, age-standardisation, and definitions can be found in the background notes and references tab.</t>
  </si>
  <si>
    <t>2. The ':' symbol denotes 'not available', because there was not sufficient data available to make robust estimates of survival</t>
  </si>
  <si>
    <t>Source: Office for National Statistics and Public Health England</t>
  </si>
  <si>
    <t xml:space="preserve">Number of patients </t>
  </si>
  <si>
    <t>Net survival (%)</t>
  </si>
  <si>
    <t>OCM_kid_males</t>
  </si>
  <si>
    <t>OCM_kid_females</t>
  </si>
  <si>
    <t>Kidney Cancer (C64-C66, C68): 2017-2019</t>
  </si>
  <si>
    <t>Proportion of deaths due to CC by age</t>
  </si>
  <si>
    <t>Kidney Cancer (C64-C66, C68): 2016-2018</t>
  </si>
  <si>
    <t>Average Number of New Cases Per Year and Age-Specific Incidence Rates per 100,000 Population, UK</t>
  </si>
  <si>
    <t>Female Cases</t>
  </si>
  <si>
    <t>Male Cases</t>
  </si>
  <si>
    <t>Data by stage</t>
  </si>
  <si>
    <t>NDRS</t>
  </si>
  <si>
    <t>Missing/unstagable</t>
  </si>
  <si>
    <t>Total</t>
  </si>
  <si>
    <t>https://www.cancerdata.nhs.uk/getdataout/kidney</t>
  </si>
  <si>
    <t>source</t>
  </si>
  <si>
    <t>Proportion</t>
  </si>
  <si>
    <t>Age_lb</t>
  </si>
  <si>
    <t>inc1.male</t>
  </si>
  <si>
    <t>inc2.male</t>
  </si>
  <si>
    <t>inc3.male</t>
  </si>
  <si>
    <t>inc4.male</t>
  </si>
  <si>
    <t>incidence.rate.male</t>
  </si>
  <si>
    <t>LG.male</t>
  </si>
  <si>
    <t>BC.death.male</t>
  </si>
  <si>
    <t>inc1.fem</t>
  </si>
  <si>
    <t>inc2.fem</t>
  </si>
  <si>
    <t>inc3.fem</t>
  </si>
  <si>
    <t>inc4.fem</t>
  </si>
  <si>
    <t>incidence.rate.fem</t>
  </si>
  <si>
    <t>LG.fem</t>
  </si>
  <si>
    <t>BC.death.female</t>
  </si>
  <si>
    <t>https://digital.nhs.uk/ndrs/data/data-sets/rcrd/rcrd-data-quality-document/staging-data-in-the-rapid-cancer-registrations-data-set</t>
  </si>
  <si>
    <t>Pop with events</t>
  </si>
  <si>
    <t>Pop without events</t>
  </si>
  <si>
    <t>Pop_alive_male</t>
  </si>
  <si>
    <t>Pop_alive_female</t>
  </si>
  <si>
    <t xml:space="preserve">Pop in thousands </t>
  </si>
  <si>
    <t>inc1.male_lb</t>
  </si>
  <si>
    <t>inc2.male_lb</t>
  </si>
  <si>
    <t>incidence.rate.male_lb</t>
  </si>
  <si>
    <t>LG.male_lb</t>
  </si>
  <si>
    <t>BC.death.male_lb</t>
  </si>
  <si>
    <t>inc1.fem_lb</t>
  </si>
  <si>
    <t>inc2.fem_lb</t>
  </si>
  <si>
    <t>incidence.rate.fem_lb</t>
  </si>
  <si>
    <t>LG.fem_lb</t>
  </si>
  <si>
    <t>BC.death.female_lb</t>
  </si>
  <si>
    <t>inc1.male_ub</t>
  </si>
  <si>
    <t>inc2.male_ub</t>
  </si>
  <si>
    <t>incidence.rate.male_ub</t>
  </si>
  <si>
    <t>LG.male_ub</t>
  </si>
  <si>
    <t>BC.death.male_ub</t>
  </si>
  <si>
    <t>inc1.fem_ub</t>
  </si>
  <si>
    <t>inc2.fem_ub</t>
  </si>
  <si>
    <t>incidence.rate.fem_ub</t>
  </si>
  <si>
    <t>LG.fem_ub</t>
  </si>
  <si>
    <t>BC.death.female_ub</t>
  </si>
  <si>
    <t>inc3.male_lb</t>
  </si>
  <si>
    <t>inc4.male_lb</t>
  </si>
  <si>
    <t>inc3.fem_lb</t>
  </si>
  <si>
    <t>inc4.fem_lb</t>
  </si>
  <si>
    <t>inc3.male_ub</t>
  </si>
  <si>
    <t>inc4.male_ub</t>
  </si>
  <si>
    <t>inc3.fem_ub</t>
  </si>
  <si>
    <t>inc4.fem_ub</t>
  </si>
  <si>
    <t>P.sympt.diag_St1</t>
  </si>
  <si>
    <t>P.sympt.diag_St2</t>
  </si>
  <si>
    <t>P.sympt.diag_St3</t>
  </si>
  <si>
    <t>P.sympt.diag_St4</t>
  </si>
  <si>
    <t>A Probability to become a symptomatic patient (annual) for LRBC</t>
  </si>
  <si>
    <t>Age (for those who are older than 80 yo) coefficient affecting a possibility of different symptomatic presentation rate among older people</t>
  </si>
  <si>
    <t>P.sympt.diag_Age</t>
  </si>
  <si>
    <t xml:space="preserve">Probability to die at stage 4 undiagnosed </t>
  </si>
  <si>
    <t>P.ungiag.dead</t>
  </si>
  <si>
    <t>Should be negative (-0.01;-0.001);Calibration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</si>
  <si>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</si>
  <si>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</si>
  <si>
    <t>Joined sensitivity of US+cytology (HG)</t>
  </si>
  <si>
    <t>Sens.joined.diag.HG</t>
  </si>
  <si>
    <t>combination of data from 2 meta-analyses and a study reporting the sens by grade (see sensitivity page)</t>
  </si>
  <si>
    <t>Joined sensitivity of US+cytology (LG)</t>
  </si>
  <si>
    <t>Sens.joined.diag.LG</t>
  </si>
  <si>
    <t>Joined specificity of US+cytology</t>
  </si>
  <si>
    <t>Spec.joined.diag</t>
  </si>
  <si>
    <t>Assume everyone with BC and positive FC go through TURB; The assumption is that one third of those who are dying within 30 days after  TURBT are dying because of the complications. The p to die in less than 30 days is 0.00139 based on data from Gray 2020 (DOI: 10.1177/2051415819874562) combining data from patients with day and overnight stay (19,383 TURBT procedures)</t>
  </si>
  <si>
    <t>Used in Staton et al (2018); Kondas J, Szentgyorgyi E. Transurethral resection of 1250 bladder tumours. International urology and
nephrology. 1992; 24(1):35–42. PMID: 1378046.</t>
  </si>
  <si>
    <t>https://link.springer.com/article/10.1007/s10549-018-4877-9</t>
  </si>
  <si>
    <t>Probability (annual) to be symptomatic at kidney cancer stage 2</t>
  </si>
  <si>
    <t>Probability (annual) to be symptomatic at kidney cancer stage 3</t>
  </si>
  <si>
    <t>Probability (annual) to be symptomatic at kidney cancer stage 4</t>
  </si>
  <si>
    <t>Probability (annual) to be symptomatic at kidney cancer stage 1</t>
  </si>
  <si>
    <t>https://www.ncbi.nlm.nih.gov/pmc/articles/PMC3384013/</t>
  </si>
  <si>
    <t>https://link.springer.com/article/10.1007/s00204-014-1296-5</t>
  </si>
  <si>
    <t>There is no consistency in Occupational exposures RR for kidney cancer so it will be considered as 1 . The systematic review did not demonstarte a kidney cancer incidence increase for any manufacture workers</t>
  </si>
  <si>
    <t>Coefficient B in the equation on probability of KC onset by age and sex (assuming a risk of cancer onset is zero at age 30, i.e. a risk at age X = age_30 *B^ (age X-30)</t>
  </si>
  <si>
    <t xml:space="preserve">Sex (male) coefficient in the equation on probability of KC onset by age and sex </t>
  </si>
  <si>
    <t xml:space="preserve">Coefficient for calculating probability to die undiagnosed if died from KC after age 80 annually by time since onset </t>
  </si>
  <si>
    <t>Proportion without a missing stage</t>
  </si>
  <si>
    <t>Di Girolamo et al BMC Cancer (2018)</t>
  </si>
  <si>
    <t>missing stage by patient characteristics, England</t>
  </si>
  <si>
    <t>for colon cancer, OR</t>
  </si>
  <si>
    <t>Number of BC</t>
  </si>
  <si>
    <t>proportion of missing cancers</t>
  </si>
  <si>
    <t>15-64</t>
  </si>
  <si>
    <t>75-84</t>
  </si>
  <si>
    <t>85+</t>
  </si>
  <si>
    <t>stage distribution for colon cancer</t>
  </si>
  <si>
    <t>stage</t>
  </si>
  <si>
    <t>Patients with known stage</t>
  </si>
  <si>
    <t>Patients with missing stage with high completeness after inputaitons</t>
  </si>
  <si>
    <t>incidence.fem</t>
  </si>
  <si>
    <t>incidence.male</t>
  </si>
  <si>
    <t>missing stage</t>
  </si>
  <si>
    <t>total missing</t>
  </si>
  <si>
    <t>total</t>
  </si>
  <si>
    <t>Missing</t>
  </si>
  <si>
    <t>missing excluded</t>
  </si>
  <si>
    <t>aim</t>
  </si>
  <si>
    <t xml:space="preserve">missing </t>
  </si>
  <si>
    <t>Emergency presentation - around 10% for both unstaged and stage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</si>
</sst>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  <numFmt numFmtId="173" formatCode="_-* #,##0.0000000_-;\-* #,##0.0000000_-;_-* &quot;-&quot;??_-;_-@_-"/>
    <numFmt numFmtId="174" formatCode="_-* #,##0.00000000_-;\-* #,##0.00000000_-;_-* &quot;-&quot;??_-;_-@_-"/>
    <numFmt numFmtId="175" formatCode="_-* #,##0.000000000_-;\-* #,##0.000000000_-;_-* &quot;-&quot;??_-;_-@_-"/>
    <numFmt numFmtId="176" formatCode="_-* #,##0.000000_-;\-* #,##0.000000_-;_-* &quot;-&quot;??_-;_-@_-"/>
    <numFmt numFmtId="177" formatCode="#,##0.0000000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4"/>
      <color rgb="FFEC008C"/>
      <name val="Arial"/>
      <family val="2"/>
    </font>
    <font>
      <b/>
      <sz val="12"/>
      <color rgb="FF2E008B"/>
      <name val="Arial"/>
      <family val="2"/>
    </font>
    <font>
      <b/>
      <sz val="10"/>
      <color rgb="FF6F6F6F"/>
      <name val="Arial"/>
      <family val="2"/>
    </font>
    <font>
      <sz val="10"/>
      <color rgb="FF6F6F6F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1"/>
      <color rgb="FF6F6F6F"/>
      <name val="Arial"/>
      <family val="2"/>
    </font>
    <font>
      <b/>
      <sz val="12"/>
      <color theme="1"/>
      <name val="Calibri"/>
      <family val="2"/>
      <scheme val="minor"/>
    </font>
    <font>
      <sz val="9"/>
      <color rgb="FF131413"/>
      <name val="VvrjblAdvTTb5929f4c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C8C8C8"/>
      </right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 style="thin">
        <color rgb="FFC8C8C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/>
    <xf numFmtId="0" fontId="6" fillId="0" borderId="0"/>
  </cellStyleXfs>
  <cellXfs count="21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 wrapText="1"/>
    </xf>
    <xf numFmtId="0" fontId="0" fillId="6" borderId="10" xfId="0" applyFill="1" applyBorder="1"/>
    <xf numFmtId="164" fontId="0" fillId="6" borderId="0" xfId="0" applyNumberFormat="1" applyFill="1" applyBorder="1"/>
    <xf numFmtId="0" fontId="0" fillId="6" borderId="13" xfId="0" applyFill="1" applyBorder="1"/>
    <xf numFmtId="164" fontId="0" fillId="6" borderId="4" xfId="0" applyNumberFormat="1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7" borderId="4" xfId="0" applyFont="1" applyFill="1" applyBorder="1" applyAlignment="1">
      <alignment wrapText="1"/>
    </xf>
    <xf numFmtId="0" fontId="1" fillId="7" borderId="0" xfId="0" applyFont="1" applyFill="1"/>
    <xf numFmtId="166" fontId="1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24" fillId="0" borderId="0" xfId="0" applyFont="1" applyAlignment="1">
      <alignment vertical="center"/>
    </xf>
    <xf numFmtId="0" fontId="0" fillId="8" borderId="0" xfId="0" applyFill="1"/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3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8" fillId="7" borderId="17" xfId="15" applyFont="1" applyFill="1" applyBorder="1" applyAlignment="1">
      <alignment horizontal="left" vertical="top"/>
    </xf>
    <xf numFmtId="0" fontId="8" fillId="7" borderId="8" xfId="4" applyFont="1" applyFill="1" applyBorder="1" applyAlignment="1">
      <alignment vertical="center" wrapText="1"/>
    </xf>
    <xf numFmtId="0" fontId="8" fillId="7" borderId="4" xfId="4" applyFont="1" applyFill="1" applyBorder="1" applyAlignment="1">
      <alignment horizontal="center"/>
    </xf>
    <xf numFmtId="0" fontId="8" fillId="7" borderId="4" xfId="4" applyFont="1" applyFill="1" applyBorder="1" applyAlignment="1">
      <alignment horizontal="right"/>
    </xf>
    <xf numFmtId="0" fontId="1" fillId="7" borderId="4" xfId="4" applyFont="1" applyFill="1" applyBorder="1" applyAlignment="1">
      <alignment vertical="center" wrapText="1"/>
    </xf>
    <xf numFmtId="0" fontId="29" fillId="7" borderId="0" xfId="15" applyFont="1" applyFill="1"/>
    <xf numFmtId="0" fontId="21" fillId="7" borderId="0" xfId="15" applyFont="1" applyFill="1"/>
    <xf numFmtId="0" fontId="1" fillId="7" borderId="0" xfId="4" applyFont="1" applyFill="1"/>
    <xf numFmtId="166" fontId="1" fillId="7" borderId="0" xfId="0" applyNumberFormat="1" applyFont="1" applyFill="1" applyAlignment="1">
      <alignment horizontal="right"/>
    </xf>
    <xf numFmtId="0" fontId="1" fillId="7" borderId="0" xfId="15" applyFont="1" applyFill="1"/>
    <xf numFmtId="0" fontId="1" fillId="7" borderId="18" xfId="4" applyFont="1" applyFill="1" applyBorder="1"/>
    <xf numFmtId="0" fontId="1" fillId="7" borderId="18" xfId="0" applyFont="1" applyFill="1" applyBorder="1"/>
    <xf numFmtId="166" fontId="1" fillId="7" borderId="18" xfId="0" applyNumberFormat="1" applyFont="1" applyFill="1" applyBorder="1" applyAlignment="1">
      <alignment horizontal="right"/>
    </xf>
    <xf numFmtId="0" fontId="34" fillId="0" borderId="19" xfId="0" applyFont="1" applyBorder="1" applyAlignment="1">
      <alignment horizontal="left" vertical="center" wrapText="1"/>
    </xf>
    <xf numFmtId="167" fontId="34" fillId="0" borderId="20" xfId="0" applyNumberFormat="1" applyFont="1" applyBorder="1" applyAlignment="1">
      <alignment horizontal="center" vertical="center" wrapText="1"/>
    </xf>
    <xf numFmtId="0" fontId="35" fillId="0" borderId="21" xfId="0" applyFont="1" applyBorder="1" applyAlignment="1">
      <alignment horizontal="left" vertical="center"/>
    </xf>
    <xf numFmtId="167" fontId="35" fillId="0" borderId="0" xfId="0" applyNumberFormat="1" applyFont="1" applyAlignment="1">
      <alignment horizontal="right" vertical="center"/>
    </xf>
    <xf numFmtId="0" fontId="36" fillId="7" borderId="22" xfId="0" applyFont="1" applyFill="1" applyBorder="1"/>
    <xf numFmtId="0" fontId="8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1" applyFont="1" applyFill="1" applyBorder="1" applyAlignment="1" applyProtection="1">
      <alignment vertical="top"/>
    </xf>
    <xf numFmtId="0" fontId="1" fillId="7" borderId="0" xfId="1" applyFont="1" applyFill="1" applyBorder="1" applyAlignment="1" applyProtection="1">
      <alignment vertical="top" wrapText="1"/>
    </xf>
    <xf numFmtId="0" fontId="38" fillId="7" borderId="22" xfId="0" applyFont="1" applyFill="1" applyBorder="1"/>
    <xf numFmtId="0" fontId="0" fillId="0" borderId="22" xfId="0" applyBorder="1"/>
    <xf numFmtId="3" fontId="36" fillId="7" borderId="22" xfId="0" applyNumberFormat="1" applyFont="1" applyFill="1" applyBorder="1" applyAlignment="1">
      <alignment horizontal="center"/>
    </xf>
    <xf numFmtId="166" fontId="36" fillId="7" borderId="22" xfId="0" applyNumberFormat="1" applyFont="1" applyFill="1" applyBorder="1" applyAlignment="1">
      <alignment horizontal="center"/>
    </xf>
    <xf numFmtId="3" fontId="39" fillId="0" borderId="6" xfId="0" applyNumberFormat="1" applyFont="1" applyBorder="1" applyAlignment="1">
      <alignment horizontal="right"/>
    </xf>
    <xf numFmtId="3" fontId="39" fillId="0" borderId="0" xfId="0" applyNumberFormat="1" applyFont="1" applyAlignment="1">
      <alignment horizontal="right"/>
    </xf>
    <xf numFmtId="167" fontId="39" fillId="0" borderId="6" xfId="0" applyNumberFormat="1" applyFont="1" applyBorder="1" applyAlignment="1">
      <alignment horizontal="right"/>
    </xf>
    <xf numFmtId="167" fontId="39" fillId="0" borderId="0" xfId="0" applyNumberFormat="1" applyFont="1" applyAlignment="1">
      <alignment horizontal="right"/>
    </xf>
    <xf numFmtId="0" fontId="0" fillId="9" borderId="7" xfId="0" applyFill="1" applyBorder="1"/>
    <xf numFmtId="0" fontId="0" fillId="9" borderId="8" xfId="0" applyFill="1" applyBorder="1"/>
    <xf numFmtId="167" fontId="39" fillId="9" borderId="8" xfId="0" applyNumberFormat="1" applyFont="1" applyFill="1" applyBorder="1" applyAlignment="1">
      <alignment horizontal="right"/>
    </xf>
    <xf numFmtId="167" fontId="39" fillId="9" borderId="9" xfId="0" applyNumberFormat="1" applyFont="1" applyFill="1" applyBorder="1" applyAlignment="1">
      <alignment horizontal="right"/>
    </xf>
    <xf numFmtId="0" fontId="0" fillId="9" borderId="10" xfId="0" applyFill="1" applyBorder="1"/>
    <xf numFmtId="0" fontId="0" fillId="9" borderId="0" xfId="0" applyFill="1" applyBorder="1"/>
    <xf numFmtId="167" fontId="39" fillId="9" borderId="6" xfId="0" applyNumberFormat="1" applyFont="1" applyFill="1" applyBorder="1" applyAlignment="1">
      <alignment horizontal="right"/>
    </xf>
    <xf numFmtId="167" fontId="39" fillId="9" borderId="11" xfId="0" applyNumberFormat="1" applyFont="1" applyFill="1" applyBorder="1" applyAlignment="1">
      <alignment horizontal="right"/>
    </xf>
    <xf numFmtId="0" fontId="0" fillId="9" borderId="12" xfId="0" applyFill="1" applyBorder="1"/>
    <xf numFmtId="49" fontId="21" fillId="9" borderId="0" xfId="2" applyNumberFormat="1" applyFont="1" applyFill="1" applyBorder="1"/>
    <xf numFmtId="0" fontId="0" fillId="9" borderId="13" xfId="0" applyFill="1" applyBorder="1"/>
    <xf numFmtId="0" fontId="0" fillId="9" borderId="4" xfId="0" applyFill="1" applyBorder="1"/>
    <xf numFmtId="0" fontId="0" fillId="9" borderId="14" xfId="0" applyFill="1" applyBorder="1"/>
    <xf numFmtId="0" fontId="0" fillId="0" borderId="0" xfId="0"/>
    <xf numFmtId="0" fontId="7" fillId="5" borderId="0" xfId="0" applyFont="1" applyFill="1"/>
    <xf numFmtId="0" fontId="0" fillId="0" borderId="0" xfId="0"/>
    <xf numFmtId="0" fontId="19" fillId="0" borderId="5" xfId="0" applyFont="1" applyBorder="1" applyAlignment="1">
      <alignment horizontal="left"/>
    </xf>
    <xf numFmtId="0" fontId="0" fillId="0" borderId="0" xfId="0" applyAlignment="1"/>
    <xf numFmtId="0" fontId="18" fillId="0" borderId="0" xfId="0" applyFont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10" borderId="10" xfId="0" applyFill="1" applyBorder="1"/>
    <xf numFmtId="0" fontId="0" fillId="10" borderId="4" xfId="0" applyFill="1" applyBorder="1"/>
    <xf numFmtId="0" fontId="0" fillId="10" borderId="14" xfId="0" applyFill="1" applyBorder="1"/>
    <xf numFmtId="43" fontId="20" fillId="0" borderId="6" xfId="3" applyFont="1" applyBorder="1" applyAlignment="1">
      <alignment horizontal="right"/>
    </xf>
    <xf numFmtId="43" fontId="20" fillId="0" borderId="0" xfId="3" applyFont="1" applyAlignment="1">
      <alignment horizontal="right"/>
    </xf>
    <xf numFmtId="174" fontId="0" fillId="10" borderId="10" xfId="0" applyNumberFormat="1" applyFill="1" applyBorder="1"/>
    <xf numFmtId="175" fontId="0" fillId="10" borderId="10" xfId="0" applyNumberFormat="1" applyFill="1" applyBorder="1"/>
    <xf numFmtId="173" fontId="0" fillId="10" borderId="0" xfId="0" applyNumberFormat="1" applyFill="1" applyBorder="1"/>
    <xf numFmtId="0" fontId="40" fillId="10" borderId="7" xfId="0" applyFont="1" applyFill="1" applyBorder="1"/>
    <xf numFmtId="0" fontId="40" fillId="10" borderId="8" xfId="0" applyFont="1" applyFill="1" applyBorder="1"/>
    <xf numFmtId="0" fontId="40" fillId="10" borderId="9" xfId="0" applyFont="1" applyFill="1" applyBorder="1"/>
    <xf numFmtId="0" fontId="40" fillId="10" borderId="10" xfId="0" applyFont="1" applyFill="1" applyBorder="1"/>
    <xf numFmtId="0" fontId="40" fillId="10" borderId="0" xfId="0" applyFont="1" applyFill="1" applyBorder="1"/>
    <xf numFmtId="0" fontId="40" fillId="10" borderId="12" xfId="0" applyFont="1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11" fontId="0" fillId="0" borderId="10" xfId="0" applyNumberFormat="1" applyBorder="1"/>
    <xf numFmtId="11" fontId="0" fillId="0" borderId="12" xfId="0" applyNumberFormat="1" applyBorder="1"/>
    <xf numFmtId="11" fontId="0" fillId="0" borderId="4" xfId="0" applyNumberFormat="1" applyBorder="1"/>
    <xf numFmtId="11" fontId="0" fillId="0" borderId="14" xfId="0" applyNumberFormat="1" applyBorder="1"/>
    <xf numFmtId="11" fontId="0" fillId="0" borderId="0" xfId="0" applyNumberFormat="1" applyBorder="1"/>
    <xf numFmtId="176" fontId="0" fillId="0" borderId="0" xfId="0" applyNumberFormat="1"/>
    <xf numFmtId="176" fontId="0" fillId="0" borderId="0" xfId="3" applyNumberFormat="1" applyFont="1" applyFill="1"/>
    <xf numFmtId="0" fontId="0" fillId="5" borderId="0" xfId="0" applyFill="1" applyAlignment="1">
      <alignment wrapText="1"/>
    </xf>
    <xf numFmtId="0" fontId="5" fillId="0" borderId="0" xfId="1" applyAlignment="1">
      <alignment wrapText="1"/>
    </xf>
    <xf numFmtId="0" fontId="0" fillId="0" borderId="0" xfId="0"/>
    <xf numFmtId="0" fontId="0" fillId="0" borderId="0" xfId="0"/>
    <xf numFmtId="0" fontId="0" fillId="12" borderId="0" xfId="0" applyFill="1"/>
    <xf numFmtId="0" fontId="0" fillId="12" borderId="23" xfId="0" applyFill="1" applyBorder="1"/>
    <xf numFmtId="0" fontId="0" fillId="12" borderId="24" xfId="0" applyFill="1" applyBorder="1"/>
    <xf numFmtId="0" fontId="0" fillId="12" borderId="17" xfId="0" applyFill="1" applyBorder="1"/>
    <xf numFmtId="0" fontId="0" fillId="12" borderId="10" xfId="0" applyFill="1" applyBorder="1"/>
    <xf numFmtId="0" fontId="41" fillId="12" borderId="0" xfId="0" applyFont="1" applyFill="1"/>
    <xf numFmtId="0" fontId="0" fillId="12" borderId="12" xfId="0" applyFill="1" applyBorder="1"/>
    <xf numFmtId="3" fontId="0" fillId="12" borderId="0" xfId="0" applyNumberFormat="1" applyFill="1"/>
    <xf numFmtId="0" fontId="0" fillId="12" borderId="0" xfId="0" applyFill="1" applyAlignment="1">
      <alignment wrapText="1"/>
    </xf>
    <xf numFmtId="43" fontId="0" fillId="12" borderId="0" xfId="3" applyFont="1" applyFill="1" applyBorder="1"/>
    <xf numFmtId="43" fontId="0" fillId="12" borderId="0" xfId="0" applyNumberFormat="1" applyFill="1"/>
    <xf numFmtId="0" fontId="0" fillId="12" borderId="13" xfId="0" applyFill="1" applyBorder="1"/>
    <xf numFmtId="0" fontId="0" fillId="12" borderId="4" xfId="0" applyFill="1" applyBorder="1"/>
    <xf numFmtId="0" fontId="0" fillId="12" borderId="14" xfId="0" applyFill="1" applyBorder="1"/>
    <xf numFmtId="0" fontId="0" fillId="12" borderId="7" xfId="0" applyFill="1" applyBorder="1"/>
    <xf numFmtId="0" fontId="0" fillId="12" borderId="8" xfId="0" applyFill="1" applyBorder="1"/>
    <xf numFmtId="0" fontId="42" fillId="12" borderId="25" xfId="0" applyFont="1" applyFill="1" applyBorder="1"/>
    <xf numFmtId="0" fontId="42" fillId="12" borderId="26" xfId="0" applyFont="1" applyFill="1" applyBorder="1"/>
    <xf numFmtId="43" fontId="0" fillId="12" borderId="12" xfId="3" applyFont="1" applyFill="1" applyBorder="1"/>
    <xf numFmtId="43" fontId="0" fillId="12" borderId="12" xfId="0" applyNumberFormat="1" applyFill="1" applyBorder="1"/>
    <xf numFmtId="0" fontId="42" fillId="12" borderId="27" xfId="0" applyFont="1" applyFill="1" applyBorder="1"/>
    <xf numFmtId="0" fontId="42" fillId="12" borderId="22" xfId="0" applyFont="1" applyFill="1" applyBorder="1"/>
    <xf numFmtId="0" fontId="42" fillId="12" borderId="0" xfId="0" applyFont="1" applyFill="1"/>
    <xf numFmtId="177" fontId="0" fillId="12" borderId="0" xfId="0" applyNumberFormat="1" applyFill="1"/>
    <xf numFmtId="0" fontId="7" fillId="0" borderId="0" xfId="0" applyFont="1" applyFill="1"/>
    <xf numFmtId="43" fontId="0" fillId="0" borderId="0" xfId="0" applyNumberFormat="1"/>
    <xf numFmtId="3" fontId="0" fillId="0" borderId="0" xfId="0" applyNumberFormat="1"/>
    <xf numFmtId="43" fontId="0" fillId="0" borderId="10" xfId="0" applyNumberFormat="1" applyBorder="1"/>
    <xf numFmtId="0" fontId="0" fillId="0" borderId="0" xfId="0"/>
    <xf numFmtId="0" fontId="0" fillId="12" borderId="0" xfId="0" applyFill="1" applyBorder="1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32" fillId="0" borderId="0" xfId="0" applyFont="1" applyAlignment="1">
      <alignment horizontal="left" wrapText="1"/>
    </xf>
    <xf numFmtId="0" fontId="0" fillId="0" borderId="0" xfId="0"/>
    <xf numFmtId="0" fontId="7" fillId="12" borderId="4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9" fillId="0" borderId="0" xfId="1" applyFont="1" applyAlignment="1" applyProtection="1">
      <alignment horizontal="right"/>
    </xf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31" fillId="7" borderId="0" xfId="1" applyFont="1" applyFill="1" applyAlignment="1" applyProtection="1">
      <alignment wrapText="1"/>
    </xf>
    <xf numFmtId="0" fontId="33" fillId="0" borderId="0" xfId="0" applyFont="1" applyAlignment="1">
      <alignment horizontal="left" wrapText="1"/>
    </xf>
    <xf numFmtId="0" fontId="1" fillId="7" borderId="0" xfId="1" applyFont="1" applyFill="1" applyBorder="1" applyAlignment="1" applyProtection="1">
      <alignment horizontal="left" vertical="top"/>
    </xf>
    <xf numFmtId="0" fontId="1" fillId="7" borderId="0" xfId="1" applyFont="1" applyFill="1" applyBorder="1" applyAlignment="1" applyProtection="1">
      <alignment vertical="top" wrapText="1"/>
    </xf>
    <xf numFmtId="0" fontId="8" fillId="7" borderId="0" xfId="4" applyFont="1" applyFill="1" applyAlignment="1">
      <alignment vertical="center" wrapText="1"/>
    </xf>
    <xf numFmtId="0" fontId="1" fillId="7" borderId="4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horizontal="center" wrapText="1"/>
    </xf>
    <xf numFmtId="0" fontId="37" fillId="7" borderId="0" xfId="0" applyFont="1" applyFill="1" applyAlignment="1">
      <alignment vertical="top" wrapText="1"/>
    </xf>
  </cellXfs>
  <cellStyles count="16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Normal 8" xfId="15" xr:uid="{A74F3ED0-8542-48AD-A142-F461A7DA926F}"/>
    <cellStyle name="Style 1" xfId="14" xr:uid="{C1AFD36A-D6A3-4D11-B04D-90B9048EDF5A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7CDAF34-261E-453B-9B5E-ABDB441BBE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Kidney_cancer_incidence!$I$78</c:f>
              <c:strCache>
                <c:ptCount val="1"/>
                <c:pt idx="0">
                  <c:v>Stage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Kidney_cancer_incidence!$I$79:$I$91</c:f>
              <c:numCache>
                <c:formatCode>_(* #,##0.00_);_(* \(#,##0.00\);_(* "-"??_);_(@_)</c:formatCode>
                <c:ptCount val="13"/>
                <c:pt idx="0">
                  <c:v>24.181780213237328</c:v>
                </c:pt>
                <c:pt idx="1">
                  <c:v>46.389537551924676</c:v>
                </c:pt>
                <c:pt idx="2">
                  <c:v>101.16867232068678</c:v>
                </c:pt>
                <c:pt idx="3">
                  <c:v>196.90878173636111</c:v>
                </c:pt>
                <c:pt idx="4">
                  <c:v>303.01251124342286</c:v>
                </c:pt>
                <c:pt idx="5">
                  <c:v>377.53187475768482</c:v>
                </c:pt>
                <c:pt idx="6">
                  <c:v>467.84342126834667</c:v>
                </c:pt>
                <c:pt idx="7">
                  <c:v>618.92538436305733</c:v>
                </c:pt>
                <c:pt idx="8">
                  <c:v>660.35146586624205</c:v>
                </c:pt>
                <c:pt idx="9">
                  <c:v>548.33742781320962</c:v>
                </c:pt>
                <c:pt idx="10">
                  <c:v>420.7711010541401</c:v>
                </c:pt>
                <c:pt idx="11">
                  <c:v>242.6769305400166</c:v>
                </c:pt>
                <c:pt idx="12">
                  <c:v>107.69098962614234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3-4400-9160-5E2E16C64B18}"/>
            </c:ext>
          </c:extLst>
        </c:ser>
        <c:ser>
          <c:idx val="1"/>
          <c:order val="1"/>
          <c:tx>
            <c:strRef>
              <c:f>Kidney_cancer_incidence!$J$78</c:f>
              <c:strCache>
                <c:ptCount val="1"/>
                <c:pt idx="0">
                  <c:v>Stage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Kidney_cancer_incidence!$J$79:$J$91</c:f>
              <c:numCache>
                <c:formatCode>_(* #,##0.00_);_(* \(#,##0.00\);_(* "-"??_);_(@_)</c:formatCode>
                <c:ptCount val="13"/>
                <c:pt idx="0">
                  <c:v>7.6233782054832471</c:v>
                </c:pt>
                <c:pt idx="1">
                  <c:v>14.62443982276378</c:v>
                </c:pt>
                <c:pt idx="2">
                  <c:v>31.893725145389091</c:v>
                </c:pt>
                <c:pt idx="3">
                  <c:v>62.076079673220718</c:v>
                </c:pt>
                <c:pt idx="4">
                  <c:v>95.525596289116578</c:v>
                </c:pt>
                <c:pt idx="5">
                  <c:v>119.01804749376903</c:v>
                </c:pt>
                <c:pt idx="6">
                  <c:v>147.4890314040432</c:v>
                </c:pt>
                <c:pt idx="7">
                  <c:v>172.74969484076436</c:v>
                </c:pt>
                <c:pt idx="8">
                  <c:v>184.31222421656048</c:v>
                </c:pt>
                <c:pt idx="9">
                  <c:v>227.67117161091107</c:v>
                </c:pt>
                <c:pt idx="10">
                  <c:v>174.70529038853502</c:v>
                </c:pt>
                <c:pt idx="11">
                  <c:v>147.81445415674327</c:v>
                </c:pt>
                <c:pt idx="12">
                  <c:v>65.594553276100797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3-4400-9160-5E2E16C64B18}"/>
            </c:ext>
          </c:extLst>
        </c:ser>
        <c:ser>
          <c:idx val="2"/>
          <c:order val="2"/>
          <c:tx>
            <c:strRef>
              <c:f>Kidney_cancer_incidence!$K$78</c:f>
              <c:strCache>
                <c:ptCount val="1"/>
                <c:pt idx="0">
                  <c:v>Stage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Kidney_cancer_incidence!$K$79:$K$91</c:f>
              <c:numCache>
                <c:formatCode>_(* #,##0.00_);_(* \(#,##0.00\);_(* "-"??_);_(@_)</c:formatCode>
                <c:ptCount val="13"/>
                <c:pt idx="0">
                  <c:v>8.1694700429243969</c:v>
                </c:pt>
                <c:pt idx="1">
                  <c:v>15.672044572140679</c:v>
                </c:pt>
                <c:pt idx="2">
                  <c:v>34.178395077540841</c:v>
                </c:pt>
                <c:pt idx="3">
                  <c:v>66.52282749238438</c:v>
                </c:pt>
                <c:pt idx="4">
                  <c:v>102.36846135419552</c:v>
                </c:pt>
                <c:pt idx="5">
                  <c:v>127.54376699667682</c:v>
                </c:pt>
                <c:pt idx="6">
                  <c:v>158.05423674882303</c:v>
                </c:pt>
                <c:pt idx="7">
                  <c:v>220.13108074840761</c:v>
                </c:pt>
                <c:pt idx="8">
                  <c:v>234.86495388216562</c:v>
                </c:pt>
                <c:pt idx="9">
                  <c:v>158.2081032091526</c:v>
                </c:pt>
                <c:pt idx="10">
                  <c:v>121.40225052388534</c:v>
                </c:pt>
                <c:pt idx="11">
                  <c:v>46.802593550263097</c:v>
                </c:pt>
                <c:pt idx="12">
                  <c:v>20.769249080587098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3-4400-9160-5E2E16C64B18}"/>
            </c:ext>
          </c:extLst>
        </c:ser>
        <c:ser>
          <c:idx val="3"/>
          <c:order val="3"/>
          <c:tx>
            <c:strRef>
              <c:f>Kidney_cancer_incidence!$L$78</c:f>
              <c:strCache>
                <c:ptCount val="1"/>
                <c:pt idx="0">
                  <c:v>Stage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Kidney_cancer_incidence!$A$79:$A$91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Kidney_cancer_incidence!$L$79:$L$91</c:f>
              <c:numCache>
                <c:formatCode>_(* #,##0.00_);_(* \(#,##0.00\);_(* "-"??_);_(@_)</c:formatCode>
                <c:ptCount val="13"/>
                <c:pt idx="0">
                  <c:v>9.0253715383550315</c:v>
                </c:pt>
                <c:pt idx="1">
                  <c:v>17.313978053170871</c:v>
                </c:pt>
                <c:pt idx="2">
                  <c:v>37.75920745638328</c:v>
                </c:pt>
                <c:pt idx="3">
                  <c:v>73.492311098033838</c:v>
                </c:pt>
                <c:pt idx="4">
                  <c:v>113.09343111326501</c:v>
                </c:pt>
                <c:pt idx="5">
                  <c:v>140.90631075186934</c:v>
                </c:pt>
                <c:pt idx="6">
                  <c:v>174.61331057878715</c:v>
                </c:pt>
                <c:pt idx="7">
                  <c:v>243.19384004777066</c:v>
                </c:pt>
                <c:pt idx="8">
                  <c:v>259.47135603503193</c:v>
                </c:pt>
                <c:pt idx="9">
                  <c:v>174.78329736672674</c:v>
                </c:pt>
                <c:pt idx="10">
                  <c:v>134.12135803343961</c:v>
                </c:pt>
                <c:pt idx="11">
                  <c:v>51.706021752977051</c:v>
                </c:pt>
                <c:pt idx="12">
                  <c:v>22.945208017169762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3-4400-9160-5E2E16C64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84912"/>
        <c:axId val="1811130592"/>
      </c:scatterChart>
      <c:valAx>
        <c:axId val="19078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30592"/>
        <c:crosses val="autoZero"/>
        <c:crossBetween val="midCat"/>
      </c:valAx>
      <c:valAx>
        <c:axId val="18111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8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171449</xdr:colOff>
      <xdr:row>55</xdr:row>
      <xdr:rowOff>133350</xdr:rowOff>
    </xdr:from>
    <xdr:to>
      <xdr:col>18</xdr:col>
      <xdr:colOff>19049</xdr:colOff>
      <xdr:row>69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F21FE-8E5A-6F44-1896-A6A549963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Paramet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1om/Documents/Research/Cancer/Bladder/Bladder_cancer_model/R%20calibration/Targets/Calibration_targets_bladder_count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extract"/>
      <sheetName val="life tables"/>
      <sheetName val="OC_mortality_details"/>
      <sheetName val="OC_mort_extract"/>
      <sheetName val="BCsurv_original"/>
      <sheetName val="mortality"/>
      <sheetName val="Survival"/>
      <sheetName val="sensitiv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G5">
            <v>0.99642799999999998</v>
          </cell>
          <cell r="H5">
            <v>0.99468900000000005</v>
          </cell>
          <cell r="I5">
            <v>0.99761299999999997</v>
          </cell>
        </row>
        <row r="11">
          <cell r="D11">
            <v>0.77159949999999999</v>
          </cell>
          <cell r="E11">
            <v>0.678342</v>
          </cell>
          <cell r="F11">
            <v>0.86823100000000009</v>
          </cell>
        </row>
        <row r="12">
          <cell r="D12">
            <v>0.1469713333333334</v>
          </cell>
          <cell r="E12">
            <v>0.12920800000000005</v>
          </cell>
          <cell r="F12">
            <v>0.16537733333333338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ality"/>
      <sheetName val="Mortality_export"/>
      <sheetName val="Incidence"/>
      <sheetName val="Incidence_export"/>
      <sheetName val="Incidence_by_stage"/>
      <sheetName val="Calibration_targets_bladder_cou"/>
      <sheetName val="CI_targets_wide"/>
      <sheetName val="CI_extrac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99A53-BCCB-4BEA-9795-7CD0990361B5}" name="Table33" displayName="Table33" ref="A5:E24" totalsRowShown="0">
  <autoFilter ref="A5:E24" xr:uid="{7A699A53-BCCB-4BEA-9795-7CD0990361B5}"/>
  <tableColumns count="5">
    <tableColumn id="1" xr3:uid="{6EEDCF82-AC85-4DEB-BC84-C9C6CACB104D}" name="Age Range"/>
    <tableColumn id="2" xr3:uid="{2391829A-813E-48A1-8B42-FD4F805675A3}" name="Female Cases" dataCellStyle="Comma"/>
    <tableColumn id="3" xr3:uid="{5D3CCEB1-EE90-4C16-8275-8BD00C09F313}" name="Male Cases" dataCellStyle="Comma"/>
    <tableColumn id="4" xr3:uid="{98520E7E-02A3-4AAD-AD09-660891983150}" name="Female Rates" dataCellStyle="Comma"/>
    <tableColumn id="5" xr3:uid="{3A0327B9-E827-426F-A6A8-278CCBCB54AE}" name="Male Rates" dataCellStyle="Comma"/>
  </tableColumns>
  <tableStyleInfo name="non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N3:R22" totalsRowShown="0" headerRowDxfId="4">
  <autoFilter ref="N3:R22" xr:uid="{28EBD15E-72A0-4224-9AA9-669CAF55C9ED}"/>
  <tableColumns count="5">
    <tableColumn id="1" xr3:uid="{5E9935A0-B27C-401E-B50A-0F88E6E1C384}" name="Age Range"/>
    <tableColumn id="2" xr3:uid="{575D5929-AC9E-4FCE-B23D-469F49A3E6E6}" name="Female Deaths" dataDxfId="3"/>
    <tableColumn id="3" xr3:uid="{48E39AFE-26AC-452D-A383-13E8D0FE09A0}" name="Male Deaths" dataDxfId="2"/>
    <tableColumn id="4" xr3:uid="{ED6796E7-F975-473A-AB8E-AFC09BA90FF4}" name="Female Rates" dataDxfId="1"/>
    <tableColumn id="5" xr3:uid="{8BF07ED8-E10B-4DA0-9F1B-A811ECCF3976}" name="Male Rates" dataDxfId="0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5" dT="2023-02-22T16:34:48.70" personId="{A9805F88-69CA-4444-A642-C730F976359E}" id="{352C739C-F181-4B24-A786-AC9EFCDBE2E3}">
    <text>What is the distribution here?</text>
  </threadedComment>
  <threadedComment ref="C29" dT="2023-02-22T17:42:39.46" personId="{A9805F88-69CA-4444-A642-C730F976359E}" id="{111A49BF-3A05-4ACB-AC0F-D33718D5F81A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cbi.nlm.nih.gov/pmc/articles/PMC3384013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healthandsocialcare/conditionsanddiseases/qmis/cancersurvivalstatisticalbulletinsqmi" TargetMode="External"/><Relationship Id="rId1" Type="http://schemas.openxmlformats.org/officeDocument/2006/relationships/hyperlink" Target="http://www.ons.gov.uk/ons/guide-method/method-quality/quality/quality-information/health-and-social-care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56"/>
  <sheetViews>
    <sheetView topLeftCell="A14" workbookViewId="0">
      <selection activeCell="G40" sqref="G40"/>
    </sheetView>
  </sheetViews>
  <sheetFormatPr defaultRowHeight="15"/>
  <cols>
    <col min="1" max="1" width="9.140625" style="42"/>
    <col min="2" max="2" width="28.140625" style="42" bestFit="1" customWidth="1"/>
    <col min="3" max="3" width="60.140625" style="42" bestFit="1" customWidth="1"/>
    <col min="4" max="4" width="28" style="42" bestFit="1" customWidth="1"/>
    <col min="5" max="7" width="9.140625" style="42"/>
    <col min="8" max="8" width="15.28515625" style="42" customWidth="1"/>
    <col min="9" max="9" width="12" style="42" bestFit="1" customWidth="1"/>
    <col min="10" max="10" width="12" style="61" customWidth="1"/>
    <col min="11" max="12" width="10.5703125" style="42" bestFit="1" customWidth="1"/>
    <col min="13" max="13" width="10" style="42" bestFit="1" customWidth="1"/>
    <col min="14" max="14" width="54.42578125" style="42" customWidth="1"/>
    <col min="15" max="15" width="54" style="42" customWidth="1"/>
    <col min="16" max="21" width="9.140625" style="42"/>
    <col min="22" max="22" width="20.7109375" style="42" customWidth="1"/>
    <col min="23" max="23" width="17.85546875" style="42" customWidth="1"/>
    <col min="24" max="24" width="13.28515625" style="42" customWidth="1"/>
    <col min="25" max="25" width="12.7109375" style="42" customWidth="1"/>
    <col min="26" max="16384" width="9.140625" style="42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92" t="s">
        <v>5</v>
      </c>
      <c r="I1" s="192"/>
      <c r="J1" s="60" t="s">
        <v>221</v>
      </c>
      <c r="K1" s="193" t="s">
        <v>6</v>
      </c>
      <c r="L1" s="193"/>
      <c r="M1" s="2" t="s">
        <v>7</v>
      </c>
      <c r="N1" s="3" t="s">
        <v>8</v>
      </c>
      <c r="O1" s="4" t="s">
        <v>12</v>
      </c>
      <c r="Q1" s="42" t="s">
        <v>66</v>
      </c>
    </row>
    <row r="2" spans="1:26" ht="30">
      <c r="A2" s="42">
        <v>1</v>
      </c>
      <c r="B2" s="42" t="s">
        <v>11</v>
      </c>
      <c r="C2" s="1" t="s">
        <v>42</v>
      </c>
      <c r="D2" s="5" t="s">
        <v>30</v>
      </c>
      <c r="E2" s="66">
        <f>H2</f>
        <v>9.8400000000000007E-6</v>
      </c>
      <c r="F2" s="5" t="s">
        <v>224</v>
      </c>
      <c r="G2" s="5">
        <v>7</v>
      </c>
      <c r="H2" s="65">
        <v>9.8400000000000007E-6</v>
      </c>
      <c r="I2" s="65">
        <v>9.5199999999999995E-7</v>
      </c>
      <c r="J2" s="5">
        <v>1.0000000000000001E-5</v>
      </c>
      <c r="M2" s="42">
        <v>0.01</v>
      </c>
      <c r="N2" s="42" t="s">
        <v>222</v>
      </c>
      <c r="O2" s="53"/>
      <c r="P2" s="42">
        <f>((1-H2)/(M2^2)^2 -1/H2)*H2^2</f>
        <v>9.6726247236096005E-3</v>
      </c>
      <c r="Q2" s="42">
        <f>P2*(1/H2-1)</f>
        <v>982.98064481527638</v>
      </c>
      <c r="V2" s="42" t="s">
        <v>9</v>
      </c>
      <c r="W2" s="42" t="s">
        <v>4</v>
      </c>
      <c r="X2" s="42" t="s">
        <v>36</v>
      </c>
      <c r="Y2" s="42" t="s">
        <v>37</v>
      </c>
      <c r="Z2" s="42" t="s">
        <v>38</v>
      </c>
    </row>
    <row r="3" spans="1:26" ht="60">
      <c r="A3" s="42">
        <v>2</v>
      </c>
      <c r="B3" s="42" t="s">
        <v>11</v>
      </c>
      <c r="C3" s="1" t="s">
        <v>23</v>
      </c>
      <c r="D3" s="5" t="s">
        <v>17</v>
      </c>
      <c r="E3" s="66">
        <v>0</v>
      </c>
      <c r="F3" s="5" t="s">
        <v>224</v>
      </c>
      <c r="G3" s="5">
        <v>6</v>
      </c>
      <c r="H3" s="65">
        <v>0</v>
      </c>
      <c r="I3" s="65">
        <v>0</v>
      </c>
      <c r="J3" s="65">
        <v>0</v>
      </c>
      <c r="M3" s="42">
        <v>0.05</v>
      </c>
      <c r="N3" s="1" t="s">
        <v>223</v>
      </c>
      <c r="O3" s="54" t="s">
        <v>29</v>
      </c>
      <c r="P3" s="42" t="e">
        <f>((1-E3)/(M3^2)^2 -1/E3)*E3^2</f>
        <v>#DIV/0!</v>
      </c>
      <c r="Q3" s="42" t="e">
        <f>P3*(1/E3-1)</f>
        <v>#DIV/0!</v>
      </c>
      <c r="V3" s="42" t="s">
        <v>35</v>
      </c>
      <c r="W3" s="42">
        <v>0.02</v>
      </c>
      <c r="X3" s="42">
        <v>0.01</v>
      </c>
      <c r="Y3" s="42">
        <f>((1-W3)/X3^2 -1/W3)*W3^2</f>
        <v>3.9000000000000004</v>
      </c>
      <c r="Z3" s="42">
        <f>Y3*(1/W3-1)</f>
        <v>191.10000000000002</v>
      </c>
    </row>
    <row r="4" spans="1:26" ht="45" customHeight="1">
      <c r="A4" s="42">
        <v>3</v>
      </c>
      <c r="B4" s="42" t="s">
        <v>11</v>
      </c>
      <c r="C4" s="1" t="s">
        <v>13</v>
      </c>
      <c r="D4" s="42" t="s">
        <v>20</v>
      </c>
      <c r="E4" s="42">
        <v>1</v>
      </c>
      <c r="F4" s="42" t="s">
        <v>177</v>
      </c>
      <c r="G4" s="42">
        <v>6</v>
      </c>
      <c r="H4" s="42">
        <v>1</v>
      </c>
      <c r="I4" s="42">
        <v>1</v>
      </c>
      <c r="J4" s="61">
        <f>E4</f>
        <v>1</v>
      </c>
      <c r="K4" s="42">
        <v>1</v>
      </c>
      <c r="L4" s="42">
        <v>1</v>
      </c>
      <c r="M4" s="42">
        <v>2.4781339999999999E-3</v>
      </c>
      <c r="N4" s="158" t="s">
        <v>347</v>
      </c>
      <c r="O4" s="1" t="s">
        <v>349</v>
      </c>
      <c r="Q4" s="117" t="s">
        <v>348</v>
      </c>
      <c r="W4" s="42" t="s">
        <v>4</v>
      </c>
      <c r="X4" s="42" t="s">
        <v>36</v>
      </c>
      <c r="Y4" s="42" t="s">
        <v>40</v>
      </c>
      <c r="Z4" s="42" t="s">
        <v>41</v>
      </c>
    </row>
    <row r="5" spans="1:26" ht="27" customHeight="1">
      <c r="A5" s="42">
        <v>4</v>
      </c>
      <c r="B5" s="42" t="s">
        <v>11</v>
      </c>
      <c r="C5" s="1" t="s">
        <v>31</v>
      </c>
      <c r="D5" s="42" t="s">
        <v>19</v>
      </c>
      <c r="E5" s="42">
        <v>1.2</v>
      </c>
      <c r="F5" s="42" t="s">
        <v>177</v>
      </c>
      <c r="G5" s="42">
        <v>3</v>
      </c>
      <c r="H5" s="42">
        <f>LN(E5)</f>
        <v>0.18232155679395459</v>
      </c>
      <c r="I5" s="42">
        <f>(LN(L5)-LN(K5))/(2*NORMINV(0.975,0,1))</f>
        <v>2.7548628167633833E-2</v>
      </c>
      <c r="J5" s="61">
        <f t="shared" ref="J5" si="0">E5</f>
        <v>1.2</v>
      </c>
      <c r="K5" s="42">
        <v>1.1399999999999999</v>
      </c>
      <c r="L5" s="42">
        <v>1.27</v>
      </c>
      <c r="M5" s="42">
        <f>((1.27-1.14)/3.92)*SQRT(46)</f>
        <v>0.22492420862405246</v>
      </c>
      <c r="N5" s="1" t="s">
        <v>63</v>
      </c>
      <c r="O5" s="1" t="s">
        <v>65</v>
      </c>
      <c r="V5" s="42" t="s">
        <v>39</v>
      </c>
      <c r="W5" s="42">
        <v>0.02</v>
      </c>
      <c r="X5" s="42">
        <v>0.01</v>
      </c>
      <c r="Y5" s="42">
        <f>W5^2/X5</f>
        <v>0.04</v>
      </c>
      <c r="Z5" s="42">
        <f>X5/W5</f>
        <v>0.5</v>
      </c>
    </row>
    <row r="6" spans="1:26" ht="31.5" customHeight="1">
      <c r="A6" s="42">
        <v>5</v>
      </c>
      <c r="B6" s="42" t="s">
        <v>11</v>
      </c>
      <c r="C6" s="1" t="s">
        <v>28</v>
      </c>
      <c r="D6" s="42" t="s">
        <v>18</v>
      </c>
      <c r="E6" s="42">
        <v>1.39</v>
      </c>
      <c r="F6" s="42" t="s">
        <v>177</v>
      </c>
      <c r="G6" s="42">
        <v>3</v>
      </c>
      <c r="H6" s="42">
        <f>LN(E6)</f>
        <v>0.3293037471426003</v>
      </c>
      <c r="I6" s="42">
        <f>(LN(L6)-LN(K6))/(2*NORMINV(0.975,0,1))</f>
        <v>4.2156277921118646E-2</v>
      </c>
      <c r="J6" s="61">
        <f>E6</f>
        <v>1.39</v>
      </c>
      <c r="K6" s="42">
        <v>1.28</v>
      </c>
      <c r="L6" s="42">
        <v>1.51</v>
      </c>
      <c r="M6" s="53">
        <f>((1.51-1.28)/1.51)*SQRT(47)</f>
        <v>1.0442387801935364</v>
      </c>
      <c r="N6" s="1" t="s">
        <v>64</v>
      </c>
      <c r="O6" s="1" t="s">
        <v>65</v>
      </c>
    </row>
    <row r="7" spans="1:26" ht="45">
      <c r="A7" s="42">
        <v>9</v>
      </c>
      <c r="B7" s="42" t="s">
        <v>11</v>
      </c>
      <c r="C7" s="1" t="s">
        <v>350</v>
      </c>
      <c r="D7" s="42" t="s">
        <v>16</v>
      </c>
      <c r="E7" s="65">
        <f>H7</f>
        <v>1.1100000000000001</v>
      </c>
      <c r="F7" s="61" t="s">
        <v>178</v>
      </c>
      <c r="G7" s="61">
        <v>5</v>
      </c>
      <c r="H7" s="65">
        <v>1.1100000000000001</v>
      </c>
      <c r="I7" s="65">
        <v>7.1500000000000001E-3</v>
      </c>
      <c r="J7" s="65">
        <v>1.1200000000000001</v>
      </c>
      <c r="K7" s="42">
        <f>0.001*1.004^(31-30)</f>
        <v>1.0040000000000001E-3</v>
      </c>
      <c r="N7" s="42" t="s">
        <v>10</v>
      </c>
    </row>
    <row r="8" spans="1:26" ht="30">
      <c r="A8" s="189">
        <v>10</v>
      </c>
      <c r="B8" s="117" t="s">
        <v>11</v>
      </c>
      <c r="C8" s="1" t="s">
        <v>351</v>
      </c>
      <c r="D8" s="117" t="s">
        <v>62</v>
      </c>
      <c r="E8" s="66">
        <f>H8</f>
        <v>3.75</v>
      </c>
      <c r="F8" s="117" t="s">
        <v>178</v>
      </c>
      <c r="G8" s="117">
        <v>7</v>
      </c>
      <c r="H8" s="66">
        <v>3.75</v>
      </c>
      <c r="I8" s="66">
        <v>0.86599999999999999</v>
      </c>
      <c r="J8" s="66">
        <v>3.25</v>
      </c>
      <c r="K8" s="117">
        <v>1E-3</v>
      </c>
      <c r="L8" s="117">
        <f>K8*K9^(31-30)</f>
        <v>0</v>
      </c>
      <c r="M8" s="117"/>
      <c r="N8" s="117" t="s">
        <v>10</v>
      </c>
      <c r="O8" s="117"/>
      <c r="P8" s="117"/>
    </row>
    <row r="9" spans="1:26">
      <c r="A9" s="189">
        <v>11</v>
      </c>
      <c r="B9" s="117" t="s">
        <v>11</v>
      </c>
      <c r="C9" s="1" t="s">
        <v>346</v>
      </c>
      <c r="D9" s="117" t="s">
        <v>321</v>
      </c>
      <c r="E9" s="66">
        <v>0.1</v>
      </c>
      <c r="F9" s="117" t="s">
        <v>224</v>
      </c>
      <c r="G9" s="117">
        <v>7</v>
      </c>
      <c r="H9" s="66">
        <f>E9</f>
        <v>0.1</v>
      </c>
      <c r="I9" s="66">
        <f>H9*0.1</f>
        <v>1.0000000000000002E-2</v>
      </c>
      <c r="J9" s="66">
        <f>E9</f>
        <v>0.1</v>
      </c>
      <c r="K9" s="117"/>
      <c r="L9" s="117"/>
      <c r="M9" s="117"/>
      <c r="N9" s="117" t="s">
        <v>10</v>
      </c>
      <c r="O9" s="117"/>
      <c r="P9" s="117"/>
    </row>
    <row r="10" spans="1:26">
      <c r="A10" s="189">
        <v>12</v>
      </c>
      <c r="B10" s="117" t="s">
        <v>11</v>
      </c>
      <c r="C10" s="1" t="s">
        <v>343</v>
      </c>
      <c r="D10" s="117" t="s">
        <v>322</v>
      </c>
      <c r="E10" s="66">
        <v>0.2</v>
      </c>
      <c r="F10" s="117" t="s">
        <v>224</v>
      </c>
      <c r="G10" s="117">
        <v>7</v>
      </c>
      <c r="H10" s="66">
        <f t="shared" ref="H10:H12" si="1">E10</f>
        <v>0.2</v>
      </c>
      <c r="I10" s="66">
        <f t="shared" ref="I10:I13" si="2">H10*0.1</f>
        <v>2.0000000000000004E-2</v>
      </c>
      <c r="J10" s="66">
        <f t="shared" ref="J10:J13" si="3">E10</f>
        <v>0.2</v>
      </c>
      <c r="K10" s="117"/>
      <c r="L10" s="117"/>
      <c r="M10" s="117"/>
      <c r="N10" s="117" t="s">
        <v>10</v>
      </c>
      <c r="O10" s="117"/>
      <c r="P10" s="117"/>
    </row>
    <row r="11" spans="1:26">
      <c r="A11" s="189">
        <v>13</v>
      </c>
      <c r="B11" s="117"/>
      <c r="C11" s="1" t="s">
        <v>344</v>
      </c>
      <c r="D11" s="117" t="s">
        <v>323</v>
      </c>
      <c r="E11" s="66">
        <v>0.3</v>
      </c>
      <c r="F11" s="117" t="s">
        <v>224</v>
      </c>
      <c r="G11" s="117">
        <v>7</v>
      </c>
      <c r="H11" s="66">
        <f t="shared" si="1"/>
        <v>0.3</v>
      </c>
      <c r="I11" s="66">
        <f t="shared" si="2"/>
        <v>0.03</v>
      </c>
      <c r="J11" s="66">
        <f t="shared" si="3"/>
        <v>0.3</v>
      </c>
      <c r="K11" s="117"/>
      <c r="L11" s="117"/>
      <c r="M11" s="117"/>
      <c r="N11" s="117" t="s">
        <v>10</v>
      </c>
      <c r="O11" s="117"/>
      <c r="P11" s="117"/>
    </row>
    <row r="12" spans="1:26">
      <c r="A12" s="189">
        <v>14</v>
      </c>
      <c r="B12" s="117"/>
      <c r="C12" s="1" t="s">
        <v>345</v>
      </c>
      <c r="D12" s="117" t="s">
        <v>324</v>
      </c>
      <c r="E12" s="66">
        <v>0.4</v>
      </c>
      <c r="F12" s="117" t="s">
        <v>224</v>
      </c>
      <c r="G12" s="117">
        <v>7</v>
      </c>
      <c r="H12" s="66">
        <f t="shared" si="1"/>
        <v>0.4</v>
      </c>
      <c r="I12" s="66">
        <f t="shared" si="2"/>
        <v>4.0000000000000008E-2</v>
      </c>
      <c r="J12" s="66">
        <f t="shared" si="3"/>
        <v>0.4</v>
      </c>
      <c r="K12" s="117"/>
      <c r="L12" s="117"/>
      <c r="M12" s="117"/>
      <c r="N12" s="117" t="s">
        <v>10</v>
      </c>
      <c r="O12" s="117"/>
      <c r="P12" s="117"/>
    </row>
    <row r="13" spans="1:26" ht="15.75">
      <c r="A13" s="189">
        <v>15</v>
      </c>
      <c r="B13" s="117" t="s">
        <v>11</v>
      </c>
      <c r="C13" s="1" t="s">
        <v>325</v>
      </c>
      <c r="D13" s="117" t="s">
        <v>43</v>
      </c>
      <c r="E13" s="66">
        <v>0</v>
      </c>
      <c r="F13" s="117" t="s">
        <v>224</v>
      </c>
      <c r="G13" s="117">
        <v>7</v>
      </c>
      <c r="H13" s="66">
        <v>0</v>
      </c>
      <c r="I13" s="66">
        <f t="shared" si="2"/>
        <v>0</v>
      </c>
      <c r="J13" s="66">
        <f t="shared" si="3"/>
        <v>0</v>
      </c>
      <c r="K13" s="117"/>
      <c r="L13" s="117"/>
      <c r="M13" s="117"/>
      <c r="N13" s="117" t="s">
        <v>10</v>
      </c>
      <c r="O13" s="53"/>
      <c r="P13" s="117"/>
    </row>
    <row r="14" spans="1:26" ht="45">
      <c r="A14" s="189">
        <v>16</v>
      </c>
      <c r="B14" s="117" t="s">
        <v>11</v>
      </c>
      <c r="C14" s="1" t="s">
        <v>326</v>
      </c>
      <c r="D14" s="117" t="s">
        <v>327</v>
      </c>
      <c r="E14" s="66">
        <f t="shared" ref="E14" si="4">H14</f>
        <v>0.876</v>
      </c>
      <c r="F14" s="117" t="s">
        <v>224</v>
      </c>
      <c r="G14" s="117">
        <v>7</v>
      </c>
      <c r="H14" s="66">
        <v>0.876</v>
      </c>
      <c r="I14" s="66">
        <v>9.2200000000000004E-2</v>
      </c>
      <c r="J14" s="66">
        <v>0.97</v>
      </c>
      <c r="K14" s="117"/>
      <c r="L14" s="117"/>
      <c r="M14" s="117"/>
      <c r="N14" s="117" t="s">
        <v>10</v>
      </c>
      <c r="O14" s="117"/>
      <c r="P14" s="117"/>
    </row>
    <row r="15" spans="1:26" ht="30">
      <c r="A15" s="189">
        <v>17</v>
      </c>
      <c r="B15" s="117" t="s">
        <v>11</v>
      </c>
      <c r="C15" s="1" t="s">
        <v>352</v>
      </c>
      <c r="D15" s="117" t="s">
        <v>44</v>
      </c>
      <c r="E15" s="117">
        <f>AVERAGE(H15:I15)</f>
        <v>5.5E-2</v>
      </c>
      <c r="F15" s="117" t="s">
        <v>226</v>
      </c>
      <c r="G15" s="117">
        <v>7</v>
      </c>
      <c r="H15" s="117">
        <v>0.01</v>
      </c>
      <c r="I15" s="117">
        <v>0.1</v>
      </c>
      <c r="J15" s="117">
        <f>E15</f>
        <v>5.5E-2</v>
      </c>
      <c r="K15" s="117"/>
      <c r="L15" s="117"/>
      <c r="M15" s="117"/>
      <c r="N15" s="117" t="s">
        <v>67</v>
      </c>
      <c r="O15" s="117"/>
      <c r="P15" s="117"/>
    </row>
    <row r="16" spans="1:26">
      <c r="A16" s="189">
        <v>18</v>
      </c>
      <c r="B16" s="117" t="s">
        <v>11</v>
      </c>
      <c r="C16" s="1" t="s">
        <v>46</v>
      </c>
      <c r="D16" s="117" t="s">
        <v>45</v>
      </c>
      <c r="E16" s="117">
        <v>5.0999999999999996</v>
      </c>
      <c r="F16" s="117" t="s">
        <v>179</v>
      </c>
      <c r="G16" s="117">
        <v>6</v>
      </c>
      <c r="H16" s="117">
        <v>5.0999999999999996</v>
      </c>
      <c r="I16" s="117">
        <v>5.0999999999999996</v>
      </c>
      <c r="J16" s="117">
        <f t="shared" ref="J16:J18" si="5">E16</f>
        <v>5.0999999999999996</v>
      </c>
      <c r="K16" s="117"/>
      <c r="L16" s="117"/>
      <c r="M16" s="117"/>
      <c r="N16" s="117" t="s">
        <v>21</v>
      </c>
      <c r="O16" s="117" t="s">
        <v>15</v>
      </c>
      <c r="P16" s="117"/>
    </row>
    <row r="17" spans="1:19">
      <c r="A17" s="189">
        <v>19</v>
      </c>
      <c r="B17" s="117" t="s">
        <v>11</v>
      </c>
      <c r="C17" s="1" t="s">
        <v>47</v>
      </c>
      <c r="D17" s="117" t="s">
        <v>49</v>
      </c>
      <c r="E17" s="66">
        <v>3.41</v>
      </c>
      <c r="F17" s="117" t="s">
        <v>179</v>
      </c>
      <c r="G17" s="117">
        <v>6</v>
      </c>
      <c r="H17" s="117">
        <v>5.0999999999999996</v>
      </c>
      <c r="I17" s="117">
        <v>5.0999999999999996</v>
      </c>
      <c r="J17" s="117">
        <f t="shared" si="5"/>
        <v>3.41</v>
      </c>
      <c r="K17" s="117"/>
      <c r="L17" s="117"/>
      <c r="M17" s="117"/>
      <c r="N17" s="117" t="s">
        <v>21</v>
      </c>
      <c r="O17" s="117"/>
      <c r="P17" s="117"/>
    </row>
    <row r="18" spans="1:19" ht="15.75">
      <c r="A18" s="189">
        <v>20</v>
      </c>
      <c r="B18" s="117" t="s">
        <v>11</v>
      </c>
      <c r="C18" s="1" t="s">
        <v>48</v>
      </c>
      <c r="D18" s="117" t="s">
        <v>50</v>
      </c>
      <c r="E18" s="66">
        <v>1.8</v>
      </c>
      <c r="F18" s="117" t="s">
        <v>179</v>
      </c>
      <c r="G18" s="117">
        <v>6</v>
      </c>
      <c r="H18" s="117">
        <v>5.0999999999999996</v>
      </c>
      <c r="I18" s="117">
        <v>5.0999999999999996</v>
      </c>
      <c r="J18" s="117">
        <f t="shared" si="5"/>
        <v>1.8</v>
      </c>
      <c r="K18" s="117"/>
      <c r="L18" s="117"/>
      <c r="M18" s="117"/>
      <c r="N18" s="117" t="s">
        <v>21</v>
      </c>
      <c r="O18" s="54"/>
      <c r="P18" s="117"/>
    </row>
    <row r="19" spans="1:19">
      <c r="A19" s="189">
        <v>21</v>
      </c>
      <c r="B19" s="117" t="s">
        <v>11</v>
      </c>
      <c r="C19" s="1" t="s">
        <v>54</v>
      </c>
      <c r="D19" s="117" t="s">
        <v>51</v>
      </c>
      <c r="E19" s="66">
        <f>H19</f>
        <v>0.66200000000000003</v>
      </c>
      <c r="F19" s="117" t="s">
        <v>224</v>
      </c>
      <c r="G19" s="117">
        <v>7</v>
      </c>
      <c r="H19" s="66">
        <v>0.66200000000000003</v>
      </c>
      <c r="I19" s="66">
        <v>5.5800000000000002E-2</v>
      </c>
      <c r="J19" s="66">
        <v>0.72250015899999998</v>
      </c>
      <c r="K19" s="117"/>
      <c r="L19" s="117"/>
      <c r="M19" s="117"/>
      <c r="N19" s="117" t="s">
        <v>10</v>
      </c>
      <c r="O19" s="1"/>
      <c r="P19" s="117"/>
    </row>
    <row r="20" spans="1:19">
      <c r="A20" s="189">
        <v>22</v>
      </c>
      <c r="B20" s="117" t="s">
        <v>11</v>
      </c>
      <c r="C20" s="1" t="s">
        <v>55</v>
      </c>
      <c r="D20" s="117" t="s">
        <v>52</v>
      </c>
      <c r="E20" s="66">
        <f t="shared" ref="E20:E21" si="6">H20</f>
        <v>0.76600000000000001</v>
      </c>
      <c r="F20" s="117" t="s">
        <v>224</v>
      </c>
      <c r="G20" s="117">
        <v>7</v>
      </c>
      <c r="H20" s="66">
        <v>0.76600000000000001</v>
      </c>
      <c r="I20" s="66">
        <v>0.122</v>
      </c>
      <c r="J20" s="66">
        <v>0.66778214800000002</v>
      </c>
      <c r="K20" s="117"/>
      <c r="L20" s="117"/>
      <c r="M20" s="117"/>
      <c r="N20" s="117" t="s">
        <v>10</v>
      </c>
      <c r="O20" s="117"/>
      <c r="P20" s="117"/>
    </row>
    <row r="21" spans="1:19">
      <c r="A21" s="189">
        <v>23</v>
      </c>
      <c r="B21" s="117" t="s">
        <v>11</v>
      </c>
      <c r="C21" s="1" t="s">
        <v>56</v>
      </c>
      <c r="D21" s="117" t="s">
        <v>53</v>
      </c>
      <c r="E21" s="66">
        <f t="shared" si="6"/>
        <v>0.42299999999999999</v>
      </c>
      <c r="F21" s="117" t="s">
        <v>224</v>
      </c>
      <c r="G21" s="117">
        <v>7</v>
      </c>
      <c r="H21" s="66">
        <v>0.42299999999999999</v>
      </c>
      <c r="I21" s="66">
        <v>8.8400000000000006E-2</v>
      </c>
      <c r="J21" s="66">
        <v>0.47116585599999999</v>
      </c>
      <c r="K21" s="117"/>
      <c r="L21" s="117"/>
      <c r="M21" s="117"/>
      <c r="N21" s="117" t="s">
        <v>10</v>
      </c>
      <c r="O21" s="117"/>
      <c r="P21" s="117"/>
    </row>
    <row r="22" spans="1:19" s="61" customFormat="1" ht="60">
      <c r="A22" s="189">
        <v>24</v>
      </c>
      <c r="B22" s="117" t="s">
        <v>11</v>
      </c>
      <c r="C22" s="1" t="s">
        <v>225</v>
      </c>
      <c r="D22" s="117" t="s">
        <v>58</v>
      </c>
      <c r="E22" s="66">
        <v>0</v>
      </c>
      <c r="F22" s="117" t="s">
        <v>224</v>
      </c>
      <c r="G22" s="117">
        <v>6</v>
      </c>
      <c r="H22" s="66">
        <v>0</v>
      </c>
      <c r="I22" s="66">
        <v>0</v>
      </c>
      <c r="J22" s="66">
        <v>0</v>
      </c>
      <c r="K22" s="117">
        <f>H22-1.96*SQRT(H22*(1-H22)/100000)</f>
        <v>0</v>
      </c>
      <c r="L22" s="117">
        <f>H22+1.96*SQRT(H22*(1-H22)/100000)</f>
        <v>0</v>
      </c>
      <c r="M22" s="117"/>
      <c r="N22" s="1" t="s">
        <v>26</v>
      </c>
      <c r="O22" s="1" t="s">
        <v>57</v>
      </c>
      <c r="P22" s="117"/>
    </row>
    <row r="23" spans="1:19" ht="45">
      <c r="A23" s="189">
        <v>25</v>
      </c>
      <c r="B23" s="117" t="s">
        <v>11</v>
      </c>
      <c r="C23" s="1" t="s">
        <v>25</v>
      </c>
      <c r="D23" s="117" t="s">
        <v>27</v>
      </c>
      <c r="E23" s="117">
        <v>0</v>
      </c>
      <c r="F23" s="117" t="s">
        <v>178</v>
      </c>
      <c r="G23" s="117">
        <v>6</v>
      </c>
      <c r="H23" s="117">
        <f t="shared" ref="H23" si="7">E23</f>
        <v>0</v>
      </c>
      <c r="I23" s="117">
        <v>0</v>
      </c>
      <c r="J23" s="117">
        <f>E23</f>
        <v>0</v>
      </c>
      <c r="K23" s="117">
        <v>0</v>
      </c>
      <c r="L23" s="117">
        <v>0.31900000000000001</v>
      </c>
      <c r="M23" s="117"/>
      <c r="N23" s="1" t="s">
        <v>26</v>
      </c>
      <c r="O23" s="1" t="s">
        <v>24</v>
      </c>
      <c r="P23" s="117"/>
    </row>
    <row r="24" spans="1:19">
      <c r="A24" s="189">
        <v>26</v>
      </c>
      <c r="B24" s="117" t="s">
        <v>11</v>
      </c>
      <c r="C24" s="1" t="s">
        <v>328</v>
      </c>
      <c r="D24" s="117" t="s">
        <v>329</v>
      </c>
      <c r="E24" s="66">
        <f>H24</f>
        <v>-5.0499999999999998E-3</v>
      </c>
      <c r="F24" s="117" t="s">
        <v>224</v>
      </c>
      <c r="G24" s="117">
        <v>7</v>
      </c>
      <c r="H24" s="117">
        <v>-5.0499999999999998E-3</v>
      </c>
      <c r="I24" s="117">
        <f>10%*H24*-1</f>
        <v>5.0500000000000002E-4</v>
      </c>
      <c r="J24" s="66">
        <f>E24</f>
        <v>-5.0499999999999998E-3</v>
      </c>
      <c r="K24" s="66">
        <v>-0.01</v>
      </c>
      <c r="L24" s="66">
        <v>-1E-4</v>
      </c>
      <c r="M24" s="117"/>
      <c r="N24" s="117" t="s">
        <v>330</v>
      </c>
      <c r="O24" s="1"/>
      <c r="P24" s="117"/>
    </row>
    <row r="25" spans="1:19" s="27" customFormat="1">
      <c r="A25" s="189">
        <v>27</v>
      </c>
      <c r="B25" s="117" t="s">
        <v>165</v>
      </c>
      <c r="C25" s="48" t="s">
        <v>169</v>
      </c>
      <c r="D25" s="117" t="s">
        <v>180</v>
      </c>
      <c r="E25" s="55">
        <v>0.23</v>
      </c>
      <c r="F25" s="117" t="s">
        <v>170</v>
      </c>
      <c r="G25" s="117">
        <v>1</v>
      </c>
      <c r="H25" s="117">
        <v>13</v>
      </c>
      <c r="I25" s="117">
        <f>H25/E25-H25</f>
        <v>43.521739130434781</v>
      </c>
      <c r="J25" s="117">
        <f t="shared" ref="J25:J50" si="8">E25</f>
        <v>0.23</v>
      </c>
      <c r="K25" s="117">
        <f>_xlfn.BETA.INV(0.025,H25,I25)</f>
        <v>0.1309696426876768</v>
      </c>
      <c r="L25" s="117">
        <f>_xlfn.BETA.INV(0.975,H25,I25)</f>
        <v>0.34710153733140003</v>
      </c>
      <c r="M25" s="117"/>
      <c r="N25" s="56" t="s">
        <v>166</v>
      </c>
      <c r="O25" s="117"/>
      <c r="P25" s="117"/>
      <c r="Q25" s="27" t="s">
        <v>176</v>
      </c>
    </row>
    <row r="26" spans="1:19">
      <c r="A26" s="189">
        <v>28</v>
      </c>
      <c r="B26" s="117" t="s">
        <v>165</v>
      </c>
      <c r="C26" s="48" t="s">
        <v>61</v>
      </c>
      <c r="D26" s="117" t="s">
        <v>181</v>
      </c>
      <c r="E26" s="55">
        <v>0.5</v>
      </c>
      <c r="F26" s="117" t="s">
        <v>170</v>
      </c>
      <c r="G26" s="117">
        <v>1</v>
      </c>
      <c r="H26" s="117">
        <v>22</v>
      </c>
      <c r="I26" s="117">
        <f>H26/E26-H26</f>
        <v>22</v>
      </c>
      <c r="J26" s="117">
        <f t="shared" si="8"/>
        <v>0.5</v>
      </c>
      <c r="K26" s="117">
        <f>_xlfn.BETA.INV(0.025,H26,I26)</f>
        <v>0.35464677305101361</v>
      </c>
      <c r="L26" s="117">
        <f>_xlfn.BETA.INV(0.975,H26,I26)</f>
        <v>0.64535322694898634</v>
      </c>
      <c r="M26" s="117"/>
      <c r="N26" s="56" t="s">
        <v>60</v>
      </c>
      <c r="O26" s="117"/>
      <c r="P26" s="117"/>
      <c r="Q26" s="51" t="s">
        <v>172</v>
      </c>
      <c r="R26" s="51"/>
      <c r="S26" s="51"/>
    </row>
    <row r="27" spans="1:19">
      <c r="A27" s="189">
        <v>29</v>
      </c>
      <c r="B27" s="117" t="s">
        <v>165</v>
      </c>
      <c r="C27" s="48" t="s">
        <v>167</v>
      </c>
      <c r="D27" s="117" t="s">
        <v>182</v>
      </c>
      <c r="E27" s="55">
        <v>0.88</v>
      </c>
      <c r="F27" s="117" t="s">
        <v>170</v>
      </c>
      <c r="G27" s="117">
        <v>1</v>
      </c>
      <c r="H27" s="117">
        <v>8</v>
      </c>
      <c r="I27" s="117">
        <f>H27/E27-H27</f>
        <v>1.0909090909090917</v>
      </c>
      <c r="J27" s="117">
        <f t="shared" si="8"/>
        <v>0.88</v>
      </c>
      <c r="K27" s="117">
        <f>_xlfn.BETA.INV(0.025,H27,I27)</f>
        <v>0.61748013831605253</v>
      </c>
      <c r="L27" s="117">
        <f>_xlfn.BETA.INV(0.975,H27,I27)</f>
        <v>0.99554589958652828</v>
      </c>
      <c r="M27" s="117"/>
      <c r="N27" s="56" t="s">
        <v>60</v>
      </c>
      <c r="O27" s="117"/>
      <c r="P27" s="117"/>
      <c r="Q27" s="51" t="s">
        <v>173</v>
      </c>
      <c r="R27" s="51"/>
      <c r="S27" s="51"/>
    </row>
    <row r="28" spans="1:19">
      <c r="A28" s="189">
        <v>30</v>
      </c>
      <c r="B28" s="27" t="s">
        <v>165</v>
      </c>
      <c r="C28" s="62" t="s">
        <v>168</v>
      </c>
      <c r="D28" s="27" t="s">
        <v>183</v>
      </c>
      <c r="E28" s="63">
        <v>0.82</v>
      </c>
      <c r="F28" s="27" t="s">
        <v>170</v>
      </c>
      <c r="G28" s="27">
        <v>1</v>
      </c>
      <c r="H28" s="27">
        <f>322*E28</f>
        <v>264.03999999999996</v>
      </c>
      <c r="I28" s="27">
        <f>H28/E28-H28</f>
        <v>57.960000000000036</v>
      </c>
      <c r="J28" s="117">
        <f t="shared" si="8"/>
        <v>0.82</v>
      </c>
      <c r="K28" s="27">
        <v>0.62</v>
      </c>
      <c r="L28" s="27">
        <v>0.93</v>
      </c>
      <c r="M28" s="27"/>
      <c r="N28" s="64" t="s">
        <v>220</v>
      </c>
      <c r="O28" s="27"/>
      <c r="P28" s="27"/>
      <c r="Q28" s="51">
        <v>0.878</v>
      </c>
      <c r="R28" s="51">
        <v>0.96</v>
      </c>
      <c r="S28" s="51"/>
    </row>
    <row r="29" spans="1:19">
      <c r="A29" s="189">
        <v>31</v>
      </c>
      <c r="B29" s="117" t="s">
        <v>165</v>
      </c>
      <c r="C29" s="57" t="s">
        <v>174</v>
      </c>
      <c r="D29" s="117" t="s">
        <v>184</v>
      </c>
      <c r="E29" s="55">
        <v>0.98</v>
      </c>
      <c r="F29" s="117" t="s">
        <v>170</v>
      </c>
      <c r="G29" s="117">
        <v>1</v>
      </c>
      <c r="H29" s="117">
        <v>763</v>
      </c>
      <c r="I29" s="117">
        <v>15</v>
      </c>
      <c r="J29" s="117">
        <f>E29</f>
        <v>0.98</v>
      </c>
      <c r="K29" s="51">
        <f>_xlfn.BETA.INV(0.025,H29,I29)</f>
        <v>0.96995346121331416</v>
      </c>
      <c r="L29" s="51">
        <f>_xlfn.BETA.INV(0.975,H29,I29)</f>
        <v>0.98915586560636681</v>
      </c>
      <c r="M29" s="117"/>
      <c r="N29" s="55" t="s">
        <v>331</v>
      </c>
      <c r="O29" s="117"/>
      <c r="P29" s="117"/>
      <c r="Q29" s="51"/>
      <c r="R29" s="51"/>
      <c r="S29" s="51"/>
    </row>
    <row r="30" spans="1:19">
      <c r="A30" s="189">
        <v>32</v>
      </c>
      <c r="B30" s="117" t="s">
        <v>165</v>
      </c>
      <c r="C30" s="57" t="s">
        <v>227</v>
      </c>
      <c r="D30" s="117" t="s">
        <v>228</v>
      </c>
      <c r="E30" s="55">
        <v>0.94</v>
      </c>
      <c r="F30" s="117" t="s">
        <v>170</v>
      </c>
      <c r="G30" s="117">
        <v>1</v>
      </c>
      <c r="H30" s="117">
        <v>716</v>
      </c>
      <c r="I30" s="52">
        <f>H30-H30*E30</f>
        <v>42.960000000000036</v>
      </c>
      <c r="J30" s="117">
        <f t="shared" si="8"/>
        <v>0.94</v>
      </c>
      <c r="K30" s="51">
        <f>_xlfn.BETA.INV(0.025,H30,I30)</f>
        <v>0.92589394767702393</v>
      </c>
      <c r="L30" s="51">
        <f>_xlfn.BETA.INV(0.975,H30,I30)</f>
        <v>0.9586880948079739</v>
      </c>
      <c r="M30" s="117"/>
      <c r="N30" s="55" t="s">
        <v>332</v>
      </c>
      <c r="O30" s="117"/>
      <c r="P30" s="117"/>
    </row>
    <row r="31" spans="1:19">
      <c r="A31" s="189">
        <v>33</v>
      </c>
      <c r="B31" s="117" t="s">
        <v>165</v>
      </c>
      <c r="C31" s="57" t="s">
        <v>175</v>
      </c>
      <c r="D31" s="117" t="s">
        <v>185</v>
      </c>
      <c r="E31" s="55">
        <v>0.98</v>
      </c>
      <c r="F31" s="117" t="s">
        <v>170</v>
      </c>
      <c r="G31" s="117">
        <v>1</v>
      </c>
      <c r="H31" s="117">
        <v>763</v>
      </c>
      <c r="I31" s="117">
        <v>15</v>
      </c>
      <c r="J31" s="117">
        <f>E31</f>
        <v>0.98</v>
      </c>
      <c r="K31" s="51">
        <f>_xlfn.BETA.INV(0.025,H31,I31)</f>
        <v>0.96995346121331416</v>
      </c>
      <c r="L31" s="51">
        <f>_xlfn.BETA.INV(0.975,H31,I31)</f>
        <v>0.98915586560636681</v>
      </c>
      <c r="M31" s="117"/>
      <c r="N31" s="55" t="s">
        <v>331</v>
      </c>
      <c r="O31" s="117"/>
      <c r="P31" s="117"/>
    </row>
    <row r="32" spans="1:19">
      <c r="A32" s="189">
        <v>34</v>
      </c>
      <c r="B32" s="117" t="s">
        <v>165</v>
      </c>
      <c r="C32" s="57" t="s">
        <v>333</v>
      </c>
      <c r="D32" s="117" t="s">
        <v>334</v>
      </c>
      <c r="E32" s="55">
        <f>H32</f>
        <v>0.77159949999999999</v>
      </c>
      <c r="F32" s="117" t="s">
        <v>178</v>
      </c>
      <c r="G32" s="117">
        <v>5</v>
      </c>
      <c r="H32" s="117">
        <f>[1]sensitivity!D11</f>
        <v>0.77159949999999999</v>
      </c>
      <c r="I32" s="117">
        <f>(L32-K32)/(2*NORMINV(0.975,0,1))</f>
        <v>4.8441961560982842E-2</v>
      </c>
      <c r="J32" s="117">
        <f>H32</f>
        <v>0.77159949999999999</v>
      </c>
      <c r="K32" s="51">
        <f>[1]sensitivity!E11</f>
        <v>0.678342</v>
      </c>
      <c r="L32" s="51">
        <f>[1]sensitivity!F11</f>
        <v>0.86823100000000009</v>
      </c>
      <c r="M32" s="117"/>
      <c r="N32" s="55" t="s">
        <v>335</v>
      </c>
      <c r="O32" s="117"/>
      <c r="P32" s="117"/>
    </row>
    <row r="33" spans="1:16">
      <c r="A33" s="189">
        <v>35</v>
      </c>
      <c r="B33" s="117" t="s">
        <v>165</v>
      </c>
      <c r="C33" s="57" t="s">
        <v>336</v>
      </c>
      <c r="D33" s="117" t="s">
        <v>337</v>
      </c>
      <c r="E33" s="55">
        <f>H33</f>
        <v>0.1469713333333334</v>
      </c>
      <c r="F33" s="117" t="s">
        <v>178</v>
      </c>
      <c r="G33" s="117">
        <v>5</v>
      </c>
      <c r="H33" s="117">
        <f>[1]sensitivity!D12</f>
        <v>0.1469713333333334</v>
      </c>
      <c r="I33" s="117">
        <f>(L33-K33)/(2*NORMINV(0.975,0,1))</f>
        <v>9.2270402973300605E-3</v>
      </c>
      <c r="J33" s="117">
        <f>H33</f>
        <v>0.1469713333333334</v>
      </c>
      <c r="K33" s="51">
        <f>[1]sensitivity!E12</f>
        <v>0.12920800000000005</v>
      </c>
      <c r="L33" s="51">
        <f>[1]sensitivity!F12</f>
        <v>0.16537733333333338</v>
      </c>
      <c r="M33" s="117"/>
      <c r="N33" s="55" t="s">
        <v>335</v>
      </c>
      <c r="O33" s="117"/>
      <c r="P33" s="117"/>
    </row>
    <row r="34" spans="1:16">
      <c r="A34" s="189">
        <v>36</v>
      </c>
      <c r="B34" s="117" t="s">
        <v>165</v>
      </c>
      <c r="C34" s="57" t="s">
        <v>338</v>
      </c>
      <c r="D34" s="117" t="s">
        <v>339</v>
      </c>
      <c r="E34" s="55">
        <f>H34</f>
        <v>0.99642799999999998</v>
      </c>
      <c r="F34" s="117" t="s">
        <v>178</v>
      </c>
      <c r="G34" s="117">
        <v>5</v>
      </c>
      <c r="H34" s="117">
        <f>[1]sensitivity!G5</f>
        <v>0.99642799999999998</v>
      </c>
      <c r="I34" s="117">
        <f t="shared" ref="I34" si="9">(L34-K34)/(2*NORMINV(0.975,0,1))</f>
        <v>7.4593207402382552E-4</v>
      </c>
      <c r="J34" s="117">
        <f>H34</f>
        <v>0.99642799999999998</v>
      </c>
      <c r="K34" s="51">
        <f>[1]sensitivity!H5</f>
        <v>0.99468900000000005</v>
      </c>
      <c r="L34" s="51">
        <f>[1]sensitivity!I5</f>
        <v>0.99761299999999997</v>
      </c>
      <c r="M34" s="117"/>
      <c r="N34" s="55" t="s">
        <v>335</v>
      </c>
      <c r="O34" s="117"/>
      <c r="P34" s="117"/>
    </row>
    <row r="35" spans="1:16" ht="33.75" customHeight="1">
      <c r="A35" s="189">
        <v>37</v>
      </c>
      <c r="B35" s="117" t="s">
        <v>186</v>
      </c>
      <c r="C35" s="117" t="s">
        <v>59</v>
      </c>
      <c r="D35" s="117" t="s">
        <v>187</v>
      </c>
      <c r="E35" s="117">
        <f>0.00139/3</f>
        <v>4.6333333333333334E-4</v>
      </c>
      <c r="F35" s="117" t="s">
        <v>178</v>
      </c>
      <c r="G35" s="117">
        <v>5</v>
      </c>
      <c r="H35" s="117">
        <f>E35</f>
        <v>4.6333333333333334E-4</v>
      </c>
      <c r="I35" s="155">
        <f>H35*10%</f>
        <v>4.6333333333333339E-5</v>
      </c>
      <c r="J35" s="117">
        <f t="shared" si="8"/>
        <v>4.6333333333333334E-4</v>
      </c>
      <c r="K35" s="156">
        <f>E35-(I35*NORMINV(0.975,0,1))</f>
        <v>3.7252166871631085E-4</v>
      </c>
      <c r="L35" s="156">
        <f>E35-(I35*NORMINV(0.025,0,1))</f>
        <v>5.5414499795035583E-4</v>
      </c>
      <c r="M35" s="117"/>
      <c r="N35" s="157" t="s">
        <v>340</v>
      </c>
      <c r="O35" s="1" t="s">
        <v>341</v>
      </c>
      <c r="P35" s="117"/>
    </row>
    <row r="36" spans="1:16">
      <c r="A36" s="189">
        <v>38</v>
      </c>
      <c r="B36" s="117" t="s">
        <v>22</v>
      </c>
      <c r="C36" s="117" t="s">
        <v>188</v>
      </c>
      <c r="D36" s="117" t="s">
        <v>189</v>
      </c>
      <c r="E36" s="191">
        <f>0.763/0.84606</f>
        <v>0.90182729357255986</v>
      </c>
      <c r="F36" s="191" t="s">
        <v>178</v>
      </c>
      <c r="G36" s="191">
        <v>5</v>
      </c>
      <c r="H36" s="191">
        <f>E36</f>
        <v>0.90182729357255986</v>
      </c>
      <c r="I36" s="191">
        <f>(L36-K36)/(2*NORMINV(0.975,0,1))</f>
        <v>2.3744845703419688E-2</v>
      </c>
      <c r="J36" s="191">
        <f t="shared" si="8"/>
        <v>0.90182729357255986</v>
      </c>
      <c r="K36" s="191">
        <f>0.71178/0.83292</f>
        <v>0.85455986169139886</v>
      </c>
      <c r="L36" s="191">
        <f>0.81422/0.85921</f>
        <v>0.9476379464857253</v>
      </c>
      <c r="M36" s="117"/>
      <c r="N36" s="117" t="s">
        <v>190</v>
      </c>
      <c r="O36" s="117"/>
      <c r="P36" s="117"/>
    </row>
    <row r="37" spans="1:16">
      <c r="A37" s="189">
        <v>39</v>
      </c>
      <c r="B37" s="117" t="s">
        <v>22</v>
      </c>
      <c r="C37" s="117" t="s">
        <v>219</v>
      </c>
      <c r="D37" s="117" t="s">
        <v>191</v>
      </c>
      <c r="E37" s="191">
        <f>0.74698/0.84606</f>
        <v>0.88289246625534823</v>
      </c>
      <c r="F37" s="191" t="s">
        <v>178</v>
      </c>
      <c r="G37" s="191">
        <v>5</v>
      </c>
      <c r="H37" s="191">
        <f>E37</f>
        <v>0.88289246625534823</v>
      </c>
      <c r="I37" s="191">
        <f>(L37-K37)/(2*NORMINV(0.975,0,1))</f>
        <v>3.5594818478965271E-2</v>
      </c>
      <c r="J37" s="191">
        <f t="shared" si="8"/>
        <v>0.88289246625534823</v>
      </c>
      <c r="K37" s="191">
        <f>0.67309/0.83292</f>
        <v>0.80810882197569989</v>
      </c>
      <c r="L37" s="191">
        <f>0.81422/0.85921</f>
        <v>0.9476379464857253</v>
      </c>
      <c r="M37" s="117"/>
      <c r="N37" s="117" t="s">
        <v>192</v>
      </c>
      <c r="O37" s="117"/>
      <c r="P37" s="117"/>
    </row>
    <row r="38" spans="1:16">
      <c r="A38" s="189">
        <v>40</v>
      </c>
      <c r="B38" s="117" t="s">
        <v>22</v>
      </c>
      <c r="C38" s="117" t="s">
        <v>193</v>
      </c>
      <c r="D38" s="117" t="s">
        <v>194</v>
      </c>
      <c r="E38" s="191">
        <v>1</v>
      </c>
      <c r="F38" s="191" t="s">
        <v>171</v>
      </c>
      <c r="G38" s="191">
        <v>6</v>
      </c>
      <c r="H38" s="191">
        <v>1</v>
      </c>
      <c r="I38" s="191">
        <v>1</v>
      </c>
      <c r="J38" s="191">
        <f t="shared" si="8"/>
        <v>1</v>
      </c>
      <c r="K38" s="191">
        <v>1</v>
      </c>
      <c r="L38" s="191">
        <v>1</v>
      </c>
      <c r="M38" s="117"/>
      <c r="N38" s="117" t="s">
        <v>192</v>
      </c>
      <c r="O38" s="117"/>
      <c r="P38" s="117"/>
    </row>
    <row r="39" spans="1:16">
      <c r="A39" s="189">
        <v>41</v>
      </c>
      <c r="B39" s="117" t="s">
        <v>195</v>
      </c>
      <c r="C39" s="117" t="s">
        <v>196</v>
      </c>
      <c r="D39" s="117" t="s">
        <v>197</v>
      </c>
      <c r="E39" s="117">
        <v>2348.8000000000002</v>
      </c>
      <c r="F39" s="117" t="s">
        <v>39</v>
      </c>
      <c r="G39" s="117">
        <v>2</v>
      </c>
      <c r="H39" s="117">
        <v>100</v>
      </c>
      <c r="I39" s="117">
        <f>E39/H39</f>
        <v>23.488000000000003</v>
      </c>
      <c r="J39" s="117">
        <f t="shared" si="8"/>
        <v>2348.8000000000002</v>
      </c>
      <c r="K39" s="117">
        <f>_xlfn.GAMMA.INV(0.025,H39,I39)</f>
        <v>1911.0774265016828</v>
      </c>
      <c r="L39" s="117">
        <f t="shared" ref="L39" si="10">_xlfn.GAMMA.INV(0.975,H39,I39)</f>
        <v>2830.9839248261155</v>
      </c>
      <c r="M39" s="50"/>
      <c r="N39" s="117" t="s">
        <v>192</v>
      </c>
      <c r="O39" s="117"/>
      <c r="P39" s="117"/>
    </row>
    <row r="40" spans="1:16">
      <c r="A40" s="189">
        <v>42</v>
      </c>
      <c r="B40" s="117" t="s">
        <v>195</v>
      </c>
      <c r="C40" s="117" t="s">
        <v>198</v>
      </c>
      <c r="D40" s="117" t="s">
        <v>199</v>
      </c>
      <c r="E40" s="117">
        <v>-57.2</v>
      </c>
      <c r="F40" s="117" t="s">
        <v>178</v>
      </c>
      <c r="G40" s="117">
        <v>5</v>
      </c>
      <c r="H40" s="117">
        <f>E40</f>
        <v>-57.2</v>
      </c>
      <c r="I40" s="117">
        <f>-E40*0.1</f>
        <v>5.7200000000000006</v>
      </c>
      <c r="J40" s="117">
        <f t="shared" si="8"/>
        <v>-57.2</v>
      </c>
      <c r="K40" s="117">
        <f t="shared" ref="K40:K48" si="11">E40-(I40*NORMINV(0.975,0,1))</f>
        <v>-68.410993991569114</v>
      </c>
      <c r="L40" s="117">
        <f>E40+(I40*NORMINV(0.975,0,1))</f>
        <v>-45.989006008430891</v>
      </c>
      <c r="M40" s="117"/>
      <c r="N40" s="117" t="s">
        <v>192</v>
      </c>
      <c r="O40" s="117"/>
      <c r="P40" s="117"/>
    </row>
    <row r="41" spans="1:16">
      <c r="A41" s="189">
        <v>43</v>
      </c>
      <c r="B41" s="117" t="s">
        <v>195</v>
      </c>
      <c r="C41" s="117" t="s">
        <v>200</v>
      </c>
      <c r="D41" s="117" t="s">
        <v>201</v>
      </c>
      <c r="E41" s="117">
        <v>-242</v>
      </c>
      <c r="F41" s="117" t="s">
        <v>178</v>
      </c>
      <c r="G41" s="117">
        <v>5</v>
      </c>
      <c r="H41" s="117">
        <f t="shared" ref="H41:H42" si="12">E41</f>
        <v>-242</v>
      </c>
      <c r="I41" s="117">
        <f>-E41*0.1</f>
        <v>24.200000000000003</v>
      </c>
      <c r="J41" s="117">
        <f t="shared" si="8"/>
        <v>-242</v>
      </c>
      <c r="K41" s="117">
        <f t="shared" si="11"/>
        <v>-289.4311284258693</v>
      </c>
      <c r="L41" s="117">
        <f>E41+(I41*NORMINV(0.975,0,1))</f>
        <v>-194.5688715741307</v>
      </c>
      <c r="M41" s="117"/>
      <c r="N41" s="117" t="s">
        <v>192</v>
      </c>
      <c r="O41" s="117"/>
      <c r="P41" s="117"/>
    </row>
    <row r="42" spans="1:16">
      <c r="A42" s="189">
        <v>44</v>
      </c>
      <c r="B42" s="117" t="s">
        <v>195</v>
      </c>
      <c r="C42" s="117" t="s">
        <v>202</v>
      </c>
      <c r="D42" s="117" t="s">
        <v>203</v>
      </c>
      <c r="E42" s="117">
        <v>-921.4</v>
      </c>
      <c r="F42" s="117" t="s">
        <v>178</v>
      </c>
      <c r="G42" s="117">
        <v>5</v>
      </c>
      <c r="H42" s="117">
        <f t="shared" si="12"/>
        <v>-921.4</v>
      </c>
      <c r="I42" s="117">
        <f>-E42*0.1</f>
        <v>92.14</v>
      </c>
      <c r="J42" s="117">
        <f>E42</f>
        <v>-921.4</v>
      </c>
      <c r="K42" s="117">
        <f t="shared" si="11"/>
        <v>-1101.9910815355206</v>
      </c>
      <c r="L42" s="117">
        <f>E42+(I42*NORMINV(0.975,0,1))</f>
        <v>-740.80891846447946</v>
      </c>
      <c r="M42" s="117"/>
      <c r="N42" s="117" t="s">
        <v>192</v>
      </c>
      <c r="O42" s="117"/>
      <c r="P42" s="117"/>
    </row>
    <row r="43" spans="1:16">
      <c r="A43" s="189">
        <v>45</v>
      </c>
      <c r="B43" s="117" t="s">
        <v>195</v>
      </c>
      <c r="C43" s="117" t="s">
        <v>204</v>
      </c>
      <c r="D43" s="117" t="s">
        <v>205</v>
      </c>
      <c r="E43" s="117">
        <v>-1514</v>
      </c>
      <c r="F43" s="117" t="s">
        <v>178</v>
      </c>
      <c r="G43" s="117">
        <v>5</v>
      </c>
      <c r="H43" s="117">
        <f>E43</f>
        <v>-1514</v>
      </c>
      <c r="I43" s="117">
        <f>-E43*0.1</f>
        <v>151.4</v>
      </c>
      <c r="J43" s="117">
        <f t="shared" si="8"/>
        <v>-1514</v>
      </c>
      <c r="K43" s="117">
        <f t="shared" si="11"/>
        <v>-1810.7385472593642</v>
      </c>
      <c r="L43" s="117">
        <f>E43+(I43*NORMINV(0.975,0,1))</f>
        <v>-1217.2614527406358</v>
      </c>
      <c r="M43" s="117"/>
      <c r="N43" s="117" t="s">
        <v>192</v>
      </c>
      <c r="O43" s="117"/>
      <c r="P43" s="117"/>
    </row>
    <row r="44" spans="1:16">
      <c r="A44" s="189">
        <v>46</v>
      </c>
      <c r="B44" s="117" t="s">
        <v>195</v>
      </c>
      <c r="C44" s="117" t="s">
        <v>206</v>
      </c>
      <c r="D44" s="117" t="s">
        <v>207</v>
      </c>
      <c r="E44" s="117">
        <v>1446.8</v>
      </c>
      <c r="F44" s="117" t="s">
        <v>178</v>
      </c>
      <c r="G44" s="117">
        <v>5</v>
      </c>
      <c r="H44" s="117">
        <f>E44</f>
        <v>1446.8</v>
      </c>
      <c r="I44" s="58">
        <f>H44*0.1</f>
        <v>144.68</v>
      </c>
      <c r="J44" s="117">
        <f t="shared" si="8"/>
        <v>1446.8</v>
      </c>
      <c r="K44" s="59">
        <f t="shared" si="11"/>
        <v>1163.2324107167451</v>
      </c>
      <c r="L44" s="59">
        <f>E44+(I44*NORMINV(0.975,0,1))</f>
        <v>1730.3675892832548</v>
      </c>
      <c r="M44" s="117"/>
      <c r="N44" s="117" t="s">
        <v>192</v>
      </c>
      <c r="O44" s="117"/>
      <c r="P44" s="117"/>
    </row>
    <row r="45" spans="1:16">
      <c r="A45" s="189">
        <v>47</v>
      </c>
      <c r="B45" s="117" t="s">
        <v>195</v>
      </c>
      <c r="C45" s="117" t="s">
        <v>208</v>
      </c>
      <c r="D45" s="117" t="s">
        <v>209</v>
      </c>
      <c r="E45" s="117">
        <v>1676.1</v>
      </c>
      <c r="F45" s="117" t="s">
        <v>178</v>
      </c>
      <c r="G45" s="117">
        <v>5</v>
      </c>
      <c r="H45" s="117">
        <f t="shared" ref="H45:H48" si="13">E45</f>
        <v>1676.1</v>
      </c>
      <c r="I45" s="58">
        <f>H45*0.1</f>
        <v>167.61</v>
      </c>
      <c r="J45" s="117">
        <f>E45</f>
        <v>1676.1</v>
      </c>
      <c r="K45" s="59">
        <f t="shared" si="11"/>
        <v>1347.5904365512415</v>
      </c>
      <c r="L45" s="59">
        <f t="shared" ref="L45:L48" si="14">E45+(I45*NORMINV(0.975,0,1))</f>
        <v>2004.6095634487583</v>
      </c>
      <c r="M45" s="117"/>
      <c r="N45" s="117" t="s">
        <v>192</v>
      </c>
      <c r="O45" s="117"/>
      <c r="P45" s="117"/>
    </row>
    <row r="46" spans="1:16">
      <c r="A46" s="189">
        <v>48</v>
      </c>
      <c r="B46" s="117" t="s">
        <v>195</v>
      </c>
      <c r="C46" s="117" t="s">
        <v>210</v>
      </c>
      <c r="D46" s="117" t="s">
        <v>211</v>
      </c>
      <c r="E46" s="117">
        <v>3956.7</v>
      </c>
      <c r="F46" s="117" t="s">
        <v>178</v>
      </c>
      <c r="G46" s="117">
        <v>5</v>
      </c>
      <c r="H46" s="117">
        <f t="shared" si="13"/>
        <v>3956.7</v>
      </c>
      <c r="I46" s="58">
        <f t="shared" ref="I46:I48" si="15">H46*0.1</f>
        <v>395.67</v>
      </c>
      <c r="J46" s="117">
        <f t="shared" si="8"/>
        <v>3956.7</v>
      </c>
      <c r="K46" s="59">
        <f t="shared" si="11"/>
        <v>3181.2010502370367</v>
      </c>
      <c r="L46" s="59">
        <f t="shared" si="14"/>
        <v>4732.1989497629629</v>
      </c>
      <c r="M46" s="117"/>
      <c r="N46" s="117" t="s">
        <v>192</v>
      </c>
      <c r="O46" s="117"/>
      <c r="P46" s="117"/>
    </row>
    <row r="47" spans="1:16">
      <c r="A47" s="189">
        <v>49</v>
      </c>
      <c r="B47" s="117" t="s">
        <v>195</v>
      </c>
      <c r="C47" s="117" t="s">
        <v>212</v>
      </c>
      <c r="D47" s="117" t="s">
        <v>213</v>
      </c>
      <c r="E47" s="117">
        <v>5406.9</v>
      </c>
      <c r="F47" s="117" t="s">
        <v>178</v>
      </c>
      <c r="G47" s="117">
        <v>5</v>
      </c>
      <c r="H47" s="117">
        <f t="shared" si="13"/>
        <v>5406.9</v>
      </c>
      <c r="I47" s="58">
        <f t="shared" si="15"/>
        <v>540.68999999999994</v>
      </c>
      <c r="J47" s="117">
        <f t="shared" si="8"/>
        <v>5406.9</v>
      </c>
      <c r="K47" s="59">
        <f t="shared" si="11"/>
        <v>4347.167073199038</v>
      </c>
      <c r="L47" s="59">
        <f t="shared" si="14"/>
        <v>6466.6329268009613</v>
      </c>
      <c r="M47" s="117"/>
      <c r="N47" s="117" t="s">
        <v>192</v>
      </c>
      <c r="O47" s="117"/>
      <c r="P47" s="117"/>
    </row>
    <row r="48" spans="1:16">
      <c r="A48" s="189">
        <v>50</v>
      </c>
      <c r="B48" s="117" t="s">
        <v>195</v>
      </c>
      <c r="C48" s="117" t="s">
        <v>214</v>
      </c>
      <c r="D48" s="117" t="s">
        <v>215</v>
      </c>
      <c r="E48" s="117">
        <v>1217.4000000000001</v>
      </c>
      <c r="F48" s="117" t="s">
        <v>178</v>
      </c>
      <c r="G48" s="117">
        <v>5</v>
      </c>
      <c r="H48" s="117">
        <f t="shared" si="13"/>
        <v>1217.4000000000001</v>
      </c>
      <c r="I48" s="58">
        <f t="shared" si="15"/>
        <v>121.74000000000001</v>
      </c>
      <c r="J48" s="117">
        <f t="shared" si="8"/>
        <v>1217.4000000000001</v>
      </c>
      <c r="K48" s="59">
        <f t="shared" si="11"/>
        <v>978.79398452209398</v>
      </c>
      <c r="L48" s="59">
        <f t="shared" si="14"/>
        <v>1456.0060154779062</v>
      </c>
      <c r="M48" s="117"/>
      <c r="N48" s="117" t="s">
        <v>192</v>
      </c>
      <c r="O48" s="117"/>
      <c r="P48" s="117"/>
    </row>
    <row r="49" spans="1:16">
      <c r="A49" s="189">
        <v>51</v>
      </c>
      <c r="B49" s="117" t="s">
        <v>195</v>
      </c>
      <c r="C49" s="117" t="s">
        <v>216</v>
      </c>
      <c r="D49" s="117" t="s">
        <v>218</v>
      </c>
      <c r="E49" s="117">
        <v>401</v>
      </c>
      <c r="F49" s="117" t="s">
        <v>39</v>
      </c>
      <c r="G49" s="117">
        <v>2</v>
      </c>
      <c r="H49" s="117">
        <v>100</v>
      </c>
      <c r="I49" s="58">
        <f>E49/H49</f>
        <v>4.01</v>
      </c>
      <c r="J49" s="117">
        <f t="shared" si="8"/>
        <v>401</v>
      </c>
      <c r="K49" s="59">
        <f>_xlfn.GAMMA.INV(0.025,H49,I49)</f>
        <v>326.26960491620173</v>
      </c>
      <c r="L49" s="59">
        <f>_xlfn.GAMMA.INV(0.975,H49,I49)</f>
        <v>483.32108049015335</v>
      </c>
      <c r="M49" s="117"/>
      <c r="N49" s="117" t="s">
        <v>217</v>
      </c>
      <c r="O49" s="117"/>
      <c r="P49" s="117"/>
    </row>
    <row r="50" spans="1:16">
      <c r="A50" s="189"/>
      <c r="B50" s="117"/>
      <c r="C50" s="117"/>
      <c r="D50" s="117"/>
      <c r="E50" s="117"/>
      <c r="F50" s="117"/>
      <c r="G50" s="117"/>
      <c r="H50" s="117"/>
      <c r="I50" s="117"/>
      <c r="J50" s="117">
        <f t="shared" si="8"/>
        <v>0</v>
      </c>
      <c r="K50" s="117"/>
      <c r="L50" s="117"/>
      <c r="M50" s="117"/>
      <c r="N50" s="117" t="s">
        <v>342</v>
      </c>
      <c r="O50" s="117"/>
      <c r="P50" s="117"/>
    </row>
    <row r="51" spans="1:16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</row>
    <row r="52" spans="1:16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</row>
    <row r="53" spans="1:16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</row>
    <row r="54" spans="1:16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</row>
    <row r="55" spans="1:16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</row>
    <row r="56" spans="1:1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</row>
  </sheetData>
  <mergeCells count="2">
    <mergeCell ref="H1:I1"/>
    <mergeCell ref="K1:L1"/>
  </mergeCells>
  <hyperlinks>
    <hyperlink ref="N4" r:id="rId1" xr:uid="{371706DB-C995-468A-94ED-C7C2A00F1064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workbookViewId="0">
      <selection activeCell="K35" sqref="K35"/>
    </sheetView>
  </sheetViews>
  <sheetFormatPr defaultRowHeight="15"/>
  <sheetData>
    <row r="1" spans="1:1">
      <c r="A1">
        <f>OC_mortality_details!L3</f>
        <v>2.1099957800000001E-4</v>
      </c>
    </row>
    <row r="2" spans="1:1">
      <c r="A2">
        <f>OC_mortality_details!L4</f>
        <v>1.12999774E-4</v>
      </c>
    </row>
    <row r="3" spans="1:1">
      <c r="A3">
        <f>OC_mortality_details!L5</f>
        <v>9.2999814000000009E-5</v>
      </c>
    </row>
    <row r="4" spans="1:1">
      <c r="A4">
        <f>OC_mortality_details!L6</f>
        <v>6.0999878000000005E-5</v>
      </c>
    </row>
    <row r="5" spans="1:1">
      <c r="A5">
        <f>OC_mortality_details!L7</f>
        <v>7.8999921E-5</v>
      </c>
    </row>
    <row r="6" spans="1:1">
      <c r="A6">
        <f>OC_mortality_details!L8</f>
        <v>6.8999931000000001E-5</v>
      </c>
    </row>
    <row r="7" spans="1:1">
      <c r="A7">
        <f>OC_mortality_details!L9</f>
        <v>5.0999949E-5</v>
      </c>
    </row>
    <row r="8" spans="1:1">
      <c r="A8">
        <f>OC_mortality_details!L10</f>
        <v>5.2999947000000002E-5</v>
      </c>
    </row>
    <row r="9" spans="1:1">
      <c r="A9">
        <f>OC_mortality_details!L11</f>
        <v>5.5999943999999999E-5</v>
      </c>
    </row>
    <row r="10" spans="1:1">
      <c r="A10">
        <f>OC_mortality_details!L12</f>
        <v>6.4999934999999997E-5</v>
      </c>
    </row>
    <row r="11" spans="1:1">
      <c r="A11">
        <f>OC_mortality_details!L13</f>
        <v>5.5999943999999999E-5</v>
      </c>
    </row>
    <row r="12" spans="1:1">
      <c r="A12">
        <f>OC_mortality_details!L14</f>
        <v>5.3999945999999997E-5</v>
      </c>
    </row>
    <row r="13" spans="1:1">
      <c r="A13">
        <f>OC_mortality_details!L15</f>
        <v>8.7999911999999997E-5</v>
      </c>
    </row>
    <row r="14" spans="1:1">
      <c r="A14">
        <f>OC_mortality_details!L16</f>
        <v>9.3999905999999991E-5</v>
      </c>
    </row>
    <row r="15" spans="1:1">
      <c r="A15">
        <f>OC_mortality_details!L17</f>
        <v>1.01999898E-4</v>
      </c>
    </row>
    <row r="16" spans="1:1">
      <c r="A16">
        <f>OC_mortality_details!L18</f>
        <v>1.2899987099999999E-4</v>
      </c>
    </row>
    <row r="17" spans="1:1">
      <c r="A17">
        <f>OC_mortality_details!L19</f>
        <v>1.56999843E-4</v>
      </c>
    </row>
    <row r="18" spans="1:1">
      <c r="A18">
        <f>OC_mortality_details!L20</f>
        <v>2.04999795E-4</v>
      </c>
    </row>
    <row r="19" spans="1:1">
      <c r="A19">
        <f>OC_mortality_details!L21</f>
        <v>2.01999798E-4</v>
      </c>
    </row>
    <row r="20" spans="1:1">
      <c r="A20">
        <f>OC_mortality_details!L22</f>
        <v>1.7699999999999999E-4</v>
      </c>
    </row>
    <row r="21" spans="1:1">
      <c r="A21">
        <f>OC_mortality_details!L23</f>
        <v>1.95E-4</v>
      </c>
    </row>
    <row r="22" spans="1:1">
      <c r="A22">
        <f>OC_mortality_details!L24</f>
        <v>2.32E-4</v>
      </c>
    </row>
    <row r="23" spans="1:1">
      <c r="A23">
        <f>OC_mortality_details!L25</f>
        <v>2.0000000000000001E-4</v>
      </c>
    </row>
    <row r="24" spans="1:1">
      <c r="A24">
        <f>OC_mortality_details!L26</f>
        <v>2.1499999999999999E-4</v>
      </c>
    </row>
    <row r="25" spans="1:1">
      <c r="A25">
        <f>OC_mortality_details!L27</f>
        <v>2.5099974899999995E-4</v>
      </c>
    </row>
    <row r="26" spans="1:1">
      <c r="A26">
        <f>OC_mortality_details!L28</f>
        <v>2.52999747E-4</v>
      </c>
    </row>
    <row r="27" spans="1:1">
      <c r="A27">
        <f>OC_mortality_details!L29</f>
        <v>2.8999970999999997E-4</v>
      </c>
    </row>
    <row r="28" spans="1:1">
      <c r="A28">
        <f>OC_mortality_details!L30</f>
        <v>2.9899970100000001E-4</v>
      </c>
    </row>
    <row r="29" spans="1:1">
      <c r="A29">
        <f>OC_mortality_details!L31</f>
        <v>3.1799968199999995E-4</v>
      </c>
    </row>
    <row r="30" spans="1:1">
      <c r="A30">
        <f>OC_mortality_details!L32</f>
        <v>3.7399962599999996E-4</v>
      </c>
    </row>
    <row r="31" spans="1:1">
      <c r="A31">
        <f>OC_mortality_details!L33</f>
        <v>3.65999634E-4</v>
      </c>
    </row>
    <row r="32" spans="1:1">
      <c r="A32">
        <f>OC_mortality_details!L34</f>
        <v>4.3699956300000001E-4</v>
      </c>
    </row>
    <row r="33" spans="1:1">
      <c r="A33">
        <f>OC_mortality_details!L35</f>
        <v>4.7199952799999997E-4</v>
      </c>
    </row>
    <row r="34" spans="1:1">
      <c r="A34">
        <f>OC_mortality_details!L36</f>
        <v>5.4899945100000003E-4</v>
      </c>
    </row>
    <row r="35" spans="1:1">
      <c r="A35">
        <f>OC_mortality_details!L37</f>
        <v>5.5999831999999994E-4</v>
      </c>
    </row>
    <row r="36" spans="1:1">
      <c r="A36">
        <f>OC_mortality_details!L38</f>
        <v>6.2499812500000002E-4</v>
      </c>
    </row>
    <row r="37" spans="1:1">
      <c r="A37">
        <f>OC_mortality_details!L39</f>
        <v>7.2399782800000004E-4</v>
      </c>
    </row>
    <row r="38" spans="1:1">
      <c r="A38">
        <f>OC_mortality_details!L40</f>
        <v>7.5699772899999994E-4</v>
      </c>
    </row>
    <row r="39" spans="1:1">
      <c r="A39">
        <f>OC_mortality_details!L41</f>
        <v>7.9099762700000009E-4</v>
      </c>
    </row>
    <row r="40" spans="1:1">
      <c r="A40">
        <f>OC_mortality_details!L42</f>
        <v>8.4899745300000002E-4</v>
      </c>
    </row>
    <row r="41" spans="1:1">
      <c r="A41">
        <f>OC_mortality_details!L43</f>
        <v>9.4299717100000007E-4</v>
      </c>
    </row>
    <row r="42" spans="1:1">
      <c r="A42">
        <f>OC_mortality_details!L44</f>
        <v>1.057996826E-3</v>
      </c>
    </row>
    <row r="43" spans="1:1">
      <c r="A43">
        <f>OC_mortality_details!L45</f>
        <v>1.1489965530000002E-3</v>
      </c>
    </row>
    <row r="44" spans="1:1">
      <c r="A44">
        <f>OC_mortality_details!L46</f>
        <v>1.2999960999999999E-3</v>
      </c>
    </row>
    <row r="45" spans="1:1">
      <c r="A45">
        <f>OC_mortality_details!L47</f>
        <v>1.4169844130000001E-3</v>
      </c>
    </row>
    <row r="46" spans="1:1">
      <c r="A46">
        <f>OC_mortality_details!L48</f>
        <v>1.5319831480000001E-3</v>
      </c>
    </row>
    <row r="47" spans="1:1">
      <c r="A47">
        <f>OC_mortality_details!L49</f>
        <v>1.6669816630000001E-3</v>
      </c>
    </row>
    <row r="48" spans="1:1">
      <c r="A48">
        <f>OC_mortality_details!L50</f>
        <v>1.893979166E-3</v>
      </c>
    </row>
    <row r="49" spans="1:1">
      <c r="A49">
        <f>OC_mortality_details!L51</f>
        <v>1.9879781320000004E-3</v>
      </c>
    </row>
    <row r="50" spans="1:1">
      <c r="A50">
        <f>OC_mortality_details!L52</f>
        <v>2.15496121E-3</v>
      </c>
    </row>
    <row r="51" spans="1:1">
      <c r="A51">
        <f>OC_mortality_details!L53</f>
        <v>2.3789571780000003E-3</v>
      </c>
    </row>
    <row r="52" spans="1:1">
      <c r="A52">
        <f>OC_mortality_details!L54</f>
        <v>2.5059548920000002E-3</v>
      </c>
    </row>
    <row r="53" spans="1:1">
      <c r="A53">
        <f>OC_mortality_details!L55</f>
        <v>2.6819517239999998E-3</v>
      </c>
    </row>
    <row r="54" spans="1:1">
      <c r="A54">
        <f>OC_mortality_details!L56</f>
        <v>2.8359489520000001E-3</v>
      </c>
    </row>
    <row r="55" spans="1:1">
      <c r="A55">
        <f>OC_mortality_details!L57</f>
        <v>3.1578894700000004E-3</v>
      </c>
    </row>
    <row r="56" spans="1:1">
      <c r="A56">
        <f>OC_mortality_details!L58</f>
        <v>3.5168769050000002E-3</v>
      </c>
    </row>
    <row r="57" spans="1:1">
      <c r="A57">
        <f>OC_mortality_details!L59</f>
        <v>3.7828675949999999E-3</v>
      </c>
    </row>
    <row r="58" spans="1:1">
      <c r="A58">
        <f>OC_mortality_details!L60</f>
        <v>4.20985265E-3</v>
      </c>
    </row>
    <row r="59" spans="1:1">
      <c r="A59">
        <f>OC_mortality_details!L61</f>
        <v>4.4818431299999996E-3</v>
      </c>
    </row>
    <row r="60" spans="1:1">
      <c r="A60">
        <f>OC_mortality_details!L62</f>
        <v>5.0426873340000001E-3</v>
      </c>
    </row>
    <row r="61" spans="1:1">
      <c r="A61">
        <f>OC_mortality_details!L63</f>
        <v>5.4236637120000002E-3</v>
      </c>
    </row>
    <row r="62" spans="1:1">
      <c r="A62">
        <f>OC_mortality_details!L64</f>
        <v>6.23461343E-3</v>
      </c>
    </row>
    <row r="63" spans="1:1">
      <c r="A63">
        <f>OC_mortality_details!L65</f>
        <v>6.6265891259999999E-3</v>
      </c>
    </row>
    <row r="64" spans="1:1">
      <c r="A64">
        <f>OC_mortality_details!L66</f>
        <v>7.0905603580000004E-3</v>
      </c>
    </row>
    <row r="65" spans="1:1">
      <c r="A65">
        <f>OC_mortality_details!L67</f>
        <v>7.8012041959999992E-3</v>
      </c>
    </row>
    <row r="66" spans="1:1">
      <c r="A66">
        <f>OC_mortality_details!L68</f>
        <v>8.4591370799999999E-3</v>
      </c>
    </row>
    <row r="67" spans="1:1">
      <c r="A67">
        <f>OC_mortality_details!L69</f>
        <v>9.1960619059999991E-3</v>
      </c>
    </row>
    <row r="68" spans="1:1">
      <c r="A68">
        <f>OC_mortality_details!L70</f>
        <v>1.0335945626000001E-2</v>
      </c>
    </row>
    <row r="69" spans="1:1">
      <c r="A69">
        <f>OC_mortality_details!L71</f>
        <v>1.0979879937999999E-2</v>
      </c>
    </row>
    <row r="70" spans="1:1">
      <c r="A70">
        <f>OC_mortality_details!L72</f>
        <v>1.2443183029999999E-2</v>
      </c>
    </row>
    <row r="71" spans="1:1">
      <c r="A71">
        <f>OC_mortality_details!L73</f>
        <v>1.3207071486E-2</v>
      </c>
    </row>
    <row r="72" spans="1:1">
      <c r="A72">
        <f>OC_mortality_details!L74</f>
        <v>1.4989811168E-2</v>
      </c>
    </row>
    <row r="73" spans="1:1">
      <c r="A73">
        <f>OC_mortality_details!L75</f>
        <v>1.6773550703999999E-2</v>
      </c>
    </row>
    <row r="74" spans="1:1">
      <c r="A74">
        <f>OC_mortality_details!L76</f>
        <v>1.9077214320000001E-2</v>
      </c>
    </row>
    <row r="75" spans="1:1">
      <c r="A75">
        <f>OC_mortality_details!L77</f>
        <v>2.0993233454000001E-2</v>
      </c>
    </row>
    <row r="76" spans="1:1">
      <c r="A76">
        <f>OC_mortality_details!L78</f>
        <v>2.3668626002000002E-2</v>
      </c>
    </row>
    <row r="77" spans="1:1">
      <c r="A77">
        <f>OC_mortality_details!L79</f>
        <v>2.7184827643000002E-2</v>
      </c>
    </row>
    <row r="78" spans="1:1">
      <c r="A78">
        <f>OC_mortality_details!L80</f>
        <v>3.0479079677999999E-2</v>
      </c>
    </row>
    <row r="79" spans="1:1">
      <c r="A79">
        <f>OC_mortality_details!L81</f>
        <v>3.4875081559000001E-2</v>
      </c>
    </row>
    <row r="80" spans="1:1">
      <c r="A80">
        <f>OC_mortality_details!L82</f>
        <v>3.870561024E-2</v>
      </c>
    </row>
    <row r="81" spans="1:1">
      <c r="A81">
        <f>OC_mortality_details!L83</f>
        <v>4.3808976640000004E-2</v>
      </c>
    </row>
    <row r="82" spans="1:1">
      <c r="A82">
        <f>OC_mortality_details!L84</f>
        <v>4.9148267519999997E-2</v>
      </c>
    </row>
    <row r="83" spans="1:1">
      <c r="A83">
        <f>OC_mortality_details!L85</f>
        <v>5.6006072319999996E-2</v>
      </c>
    </row>
    <row r="84" spans="1:1">
      <c r="A84">
        <f>OC_mortality_details!L86</f>
        <v>6.3817571840000004E-2</v>
      </c>
    </row>
    <row r="85" spans="1:1">
      <c r="A85">
        <f>OC_mortality_details!L87</f>
        <v>7.2576817229999993E-2</v>
      </c>
    </row>
    <row r="86" spans="1:1">
      <c r="A86">
        <f>OC_mortality_details!L88</f>
        <v>8.3119996793999992E-2</v>
      </c>
    </row>
    <row r="87" spans="1:1">
      <c r="A87">
        <f>OC_mortality_details!L89</f>
        <v>9.4496795219999999E-2</v>
      </c>
    </row>
    <row r="88" spans="1:1">
      <c r="A88">
        <f>OC_mortality_details!L90</f>
        <v>0.106565277402</v>
      </c>
    </row>
    <row r="89" spans="1:1">
      <c r="A89">
        <f>OC_mortality_details!L91</f>
        <v>0.119958154059</v>
      </c>
    </row>
    <row r="90" spans="1:1">
      <c r="A90">
        <f>OC_mortality_details!L92</f>
        <v>0.134650853953</v>
      </c>
    </row>
    <row r="91" spans="1:1">
      <c r="A91">
        <f>OC_mortality_details!L93</f>
        <v>0.15164150744399998</v>
      </c>
    </row>
    <row r="92" spans="1:1">
      <c r="A92">
        <f>OC_mortality_details!L94</f>
        <v>0.169499734747</v>
      </c>
    </row>
    <row r="93" spans="1:1">
      <c r="A93">
        <f>OC_mortality_details!L95</f>
        <v>0.18812558496199999</v>
      </c>
    </row>
    <row r="94" spans="1:1">
      <c r="A94">
        <f>OC_mortality_details!L96</f>
        <v>0.20581389573499997</v>
      </c>
    </row>
    <row r="95" spans="1:1">
      <c r="A95">
        <f>OC_mortality_details!L97</f>
        <v>0.22806296607499998</v>
      </c>
    </row>
    <row r="96" spans="1:1">
      <c r="A96">
        <f>OC_mortality_details!L98</f>
        <v>0.25160839958800002</v>
      </c>
    </row>
    <row r="97" spans="1:1">
      <c r="A97">
        <f>OC_mortality_details!L99</f>
        <v>0.27699292966100003</v>
      </c>
    </row>
    <row r="98" spans="1:1">
      <c r="A98">
        <f>OC_mortality_details!L100</f>
        <v>0.29834943846399997</v>
      </c>
    </row>
    <row r="99" spans="1:1">
      <c r="A99">
        <f>OC_mortality_details!L101</f>
        <v>0.31918620258699998</v>
      </c>
    </row>
    <row r="100" spans="1:1">
      <c r="A100">
        <f>OC_mortality_details!L102</f>
        <v>0.348651727907</v>
      </c>
    </row>
    <row r="101" spans="1:1">
      <c r="A101">
        <v>1</v>
      </c>
    </row>
    <row r="102" spans="1:1">
      <c r="A102">
        <f>OC_mortality_details!K3</f>
        <v>2.3099976900000001E-4</v>
      </c>
    </row>
    <row r="103" spans="1:1">
      <c r="A103">
        <f>OC_mortality_details!K4</f>
        <v>1.2799987199999999E-4</v>
      </c>
    </row>
    <row r="104" spans="1:1">
      <c r="A104">
        <f>OC_mortality_details!K5</f>
        <v>9.8999900999999997E-5</v>
      </c>
    </row>
    <row r="105" spans="1:1">
      <c r="A105">
        <f>OC_mortality_details!K6</f>
        <v>8.9999909999999999E-5</v>
      </c>
    </row>
    <row r="106" spans="1:1">
      <c r="A106">
        <f>OC_mortality_details!K7</f>
        <v>7.6999922999999997E-5</v>
      </c>
    </row>
    <row r="107" spans="1:1">
      <c r="A107">
        <f>OC_mortality_details!K8</f>
        <v>8.0999919000000002E-5</v>
      </c>
    </row>
    <row r="108" spans="1:1">
      <c r="A108">
        <f>OC_mortality_details!K9</f>
        <v>6.7999932E-5</v>
      </c>
    </row>
    <row r="109" spans="1:1">
      <c r="A109">
        <f>OC_mortality_details!K10</f>
        <v>6.4999934999999997E-5</v>
      </c>
    </row>
    <row r="110" spans="1:1">
      <c r="A110">
        <f>OC_mortality_details!K11</f>
        <v>6.1999938000000006E-5</v>
      </c>
    </row>
    <row r="111" spans="1:1">
      <c r="A111">
        <f>OC_mortality_details!K12</f>
        <v>7.2999926999999993E-5</v>
      </c>
    </row>
    <row r="112" spans="1:1">
      <c r="A112">
        <f>OC_mortality_details!K13</f>
        <v>7.3999925999999994E-5</v>
      </c>
    </row>
    <row r="113" spans="1:1">
      <c r="A113">
        <f>OC_mortality_details!K14</f>
        <v>1.01999898E-4</v>
      </c>
    </row>
    <row r="114" spans="1:1">
      <c r="A114">
        <f>OC_mortality_details!K15</f>
        <v>1.15999884E-4</v>
      </c>
    </row>
    <row r="115" spans="1:1">
      <c r="A115">
        <f>OC_mortality_details!K16</f>
        <v>1.2399987600000001E-4</v>
      </c>
    </row>
    <row r="116" spans="1:1">
      <c r="A116">
        <f>OC_mortality_details!K17</f>
        <v>1.6899999999999999E-4</v>
      </c>
    </row>
    <row r="117" spans="1:1">
      <c r="A117">
        <f>OC_mortality_details!K18</f>
        <v>1.9000000000000001E-4</v>
      </c>
    </row>
    <row r="118" spans="1:1">
      <c r="A118">
        <f>OC_mortality_details!K19</f>
        <v>2.8400000000000002E-4</v>
      </c>
    </row>
    <row r="119" spans="1:1">
      <c r="A119">
        <f>OC_mortality_details!K20</f>
        <v>3.7300000000000001E-4</v>
      </c>
    </row>
    <row r="120" spans="1:1">
      <c r="A120">
        <f>OC_mortality_details!K21</f>
        <v>4.15E-4</v>
      </c>
    </row>
    <row r="121" spans="1:1">
      <c r="A121">
        <f>OC_mortality_details!K22</f>
        <v>5.2400000000000005E-4</v>
      </c>
    </row>
    <row r="122" spans="1:1">
      <c r="A122">
        <f>OC_mortality_details!K23</f>
        <v>4.73E-4</v>
      </c>
    </row>
    <row r="123" spans="1:1">
      <c r="A123">
        <f>OC_mortality_details!K24</f>
        <v>4.6299999999999998E-4</v>
      </c>
    </row>
    <row r="124" spans="1:1">
      <c r="A124">
        <f>OC_mortality_details!K25</f>
        <v>4.7800000000000002E-4</v>
      </c>
    </row>
    <row r="125" spans="1:1">
      <c r="A125">
        <f>OC_mortality_details!K26</f>
        <v>5.1400000000000003E-4</v>
      </c>
    </row>
    <row r="126" spans="1:1">
      <c r="A126">
        <f>OC_mortality_details!K27</f>
        <v>5.3999946E-4</v>
      </c>
    </row>
    <row r="127" spans="1:1">
      <c r="A127">
        <f>OC_mortality_details!K28</f>
        <v>5.66999433E-4</v>
      </c>
    </row>
    <row r="128" spans="1:1">
      <c r="A128">
        <f>OC_mortality_details!K29</f>
        <v>5.8499941499999997E-4</v>
      </c>
    </row>
    <row r="129" spans="1:1">
      <c r="A129">
        <f>OC_mortality_details!K30</f>
        <v>6.2899937100000002E-4</v>
      </c>
    </row>
    <row r="130" spans="1:1">
      <c r="A130">
        <f>OC_mortality_details!K31</f>
        <v>6.5699934300000006E-4</v>
      </c>
    </row>
    <row r="131" spans="1:1">
      <c r="A131">
        <f>OC_mortality_details!K32</f>
        <v>7.2999854000000005E-4</v>
      </c>
    </row>
    <row r="132" spans="1:1">
      <c r="A132">
        <f>OC_mortality_details!K33</f>
        <v>7.7799844400000008E-4</v>
      </c>
    </row>
    <row r="133" spans="1:1">
      <c r="A133">
        <f>OC_mortality_details!K34</f>
        <v>7.7499844999999999E-4</v>
      </c>
    </row>
    <row r="134" spans="1:1">
      <c r="A134">
        <f>OC_mortality_details!K35</f>
        <v>8.8799822400000006E-4</v>
      </c>
    </row>
    <row r="135" spans="1:1">
      <c r="A135">
        <f>OC_mortality_details!K36</f>
        <v>9.1699816600000002E-4</v>
      </c>
    </row>
    <row r="136" spans="1:1">
      <c r="A136">
        <f>OC_mortality_details!K37</f>
        <v>9.8999505000000004E-4</v>
      </c>
    </row>
    <row r="137" spans="1:1">
      <c r="A137">
        <f>OC_mortality_details!K38</f>
        <v>1.0429947850000001E-3</v>
      </c>
    </row>
    <row r="138" spans="1:1">
      <c r="A138">
        <f>OC_mortality_details!K39</f>
        <v>1.256993715E-3</v>
      </c>
    </row>
    <row r="139" spans="1:1">
      <c r="A139">
        <f>OC_mortality_details!K40</f>
        <v>1.2299938499999998E-3</v>
      </c>
    </row>
    <row r="140" spans="1:1">
      <c r="A140">
        <f>OC_mortality_details!K41</f>
        <v>1.358993205E-3</v>
      </c>
    </row>
    <row r="141" spans="1:1">
      <c r="A141">
        <f>OC_mortality_details!K42</f>
        <v>1.4859821679999998E-3</v>
      </c>
    </row>
    <row r="142" spans="1:1">
      <c r="A142">
        <f>OC_mortality_details!K43</f>
        <v>1.5759810879999998E-3</v>
      </c>
    </row>
    <row r="143" spans="1:1">
      <c r="A143">
        <f>OC_mortality_details!K44</f>
        <v>1.7179793839999999E-3</v>
      </c>
    </row>
    <row r="144" spans="1:1">
      <c r="A144">
        <f>OC_mortality_details!K45</f>
        <v>1.877977464E-3</v>
      </c>
    </row>
    <row r="145" spans="1:1">
      <c r="A145">
        <f>OC_mortality_details!K46</f>
        <v>2.073975112E-3</v>
      </c>
    </row>
    <row r="146" spans="1:1">
      <c r="A146">
        <f>OC_mortality_details!K47</f>
        <v>2.306928483E-3</v>
      </c>
    </row>
    <row r="147" spans="1:1">
      <c r="A147">
        <f>OC_mortality_details!K48</f>
        <v>2.4399243599999999E-3</v>
      </c>
    </row>
    <row r="148" spans="1:1">
      <c r="A148">
        <f>OC_mortality_details!K49</f>
        <v>2.6379182220000004E-3</v>
      </c>
    </row>
    <row r="149" spans="1:1">
      <c r="A149">
        <f>OC_mortality_details!K50</f>
        <v>2.835912084E-3</v>
      </c>
    </row>
    <row r="150" spans="1:1">
      <c r="A150">
        <f>OC_mortality_details!K51</f>
        <v>3.1449025049999999E-3</v>
      </c>
    </row>
    <row r="151" spans="1:1">
      <c r="A151">
        <f>OC_mortality_details!K52</f>
        <v>3.423818528E-3</v>
      </c>
    </row>
    <row r="152" spans="1:1">
      <c r="A152">
        <f>OC_mortality_details!K53</f>
        <v>3.690804377E-3</v>
      </c>
    </row>
    <row r="153" spans="1:1">
      <c r="A153">
        <f>OC_mortality_details!K54</f>
        <v>3.91979224E-3</v>
      </c>
    </row>
    <row r="154" spans="1:1">
      <c r="A154">
        <f>OC_mortality_details!K55</f>
        <v>4.2767733190000002E-3</v>
      </c>
    </row>
    <row r="155" spans="1:1">
      <c r="A155">
        <f>OC_mortality_details!K56</f>
        <v>4.5787573130000002E-3</v>
      </c>
    </row>
    <row r="156" spans="1:1">
      <c r="A156">
        <f>OC_mortality_details!K57</f>
        <v>4.8875600799999997E-3</v>
      </c>
    </row>
    <row r="157" spans="1:1">
      <c r="A157">
        <f>OC_mortality_details!K58</f>
        <v>5.42551166E-3</v>
      </c>
    </row>
    <row r="158" spans="1:1">
      <c r="A158">
        <f>OC_mortality_details!K59</f>
        <v>5.8814706199999999E-3</v>
      </c>
    </row>
    <row r="159" spans="1:1">
      <c r="A159">
        <f>OC_mortality_details!K60</f>
        <v>6.5224129299999998E-3</v>
      </c>
    </row>
    <row r="160" spans="1:1">
      <c r="A160">
        <f>OC_mortality_details!K61</f>
        <v>7.0343668499999994E-3</v>
      </c>
    </row>
    <row r="161" spans="1:1">
      <c r="A161">
        <f>OC_mortality_details!K62</f>
        <v>7.6968453000000004E-3</v>
      </c>
    </row>
    <row r="162" spans="1:1">
      <c r="A162">
        <f>OC_mortality_details!K63</f>
        <v>8.352746900000001E-3</v>
      </c>
    </row>
    <row r="163" spans="1:1">
      <c r="A163">
        <f>OC_mortality_details!K64</f>
        <v>9.3266007999999994E-3</v>
      </c>
    </row>
    <row r="164" spans="1:1">
      <c r="A164">
        <f>OC_mortality_details!K65</f>
        <v>1.018547195E-2</v>
      </c>
    </row>
    <row r="165" spans="1:1">
      <c r="A165">
        <f>OC_mortality_details!K66</f>
        <v>1.09503572E-2</v>
      </c>
    </row>
    <row r="166" spans="1:1">
      <c r="A166">
        <f>OC_mortality_details!K67</f>
        <v>1.2209423268000001E-2</v>
      </c>
    </row>
    <row r="167" spans="1:1">
      <c r="A167">
        <f>OC_mortality_details!K68</f>
        <v>1.3473156564000001E-2</v>
      </c>
    </row>
    <row r="168" spans="1:1">
      <c r="A168">
        <f>OC_mortality_details!K69</f>
        <v>1.444695105E-2</v>
      </c>
    </row>
    <row r="169" spans="1:1">
      <c r="A169">
        <f>OC_mortality_details!K70</f>
        <v>1.6034615982000001E-2</v>
      </c>
    </row>
    <row r="170" spans="1:1">
      <c r="A170">
        <f>OC_mortality_details!K71</f>
        <v>1.7605284501000001E-2</v>
      </c>
    </row>
    <row r="171" spans="1:1">
      <c r="A171">
        <f>OC_mortality_details!K72</f>
        <v>1.8765387470999997E-2</v>
      </c>
    </row>
    <row r="172" spans="1:1">
      <c r="A172">
        <f>OC_mortality_details!K73</f>
        <v>2.0318922824999999E-2</v>
      </c>
    </row>
    <row r="173" spans="1:1">
      <c r="A173">
        <f>OC_mortality_details!K74</f>
        <v>2.2148375655E-2</v>
      </c>
    </row>
    <row r="174" spans="1:1">
      <c r="A174">
        <f>OC_mortality_details!K75</f>
        <v>2.5333423040999999E-2</v>
      </c>
    </row>
    <row r="175" spans="1:1">
      <c r="A175">
        <f>OC_mortality_details!K76</f>
        <v>2.7940643248999999E-2</v>
      </c>
    </row>
    <row r="176" spans="1:1">
      <c r="A176">
        <f>OC_mortality_details!K77</f>
        <v>3.1456121729999995E-2</v>
      </c>
    </row>
    <row r="177" spans="1:1">
      <c r="A177">
        <f>OC_mortality_details!K78</f>
        <v>3.4987563676999997E-2</v>
      </c>
    </row>
    <row r="178" spans="1:1">
      <c r="A178">
        <f>OC_mortality_details!K79</f>
        <v>3.9271673550999996E-2</v>
      </c>
    </row>
    <row r="179" spans="1:1">
      <c r="A179">
        <f>OC_mortality_details!K80</f>
        <v>4.4220490160000001E-2</v>
      </c>
    </row>
    <row r="180" spans="1:1">
      <c r="A180">
        <f>OC_mortality_details!K81</f>
        <v>4.9083344695000003E-2</v>
      </c>
    </row>
    <row r="181" spans="1:1">
      <c r="A181">
        <f>OC_mortality_details!K82</f>
        <v>5.4997596182999993E-2</v>
      </c>
    </row>
    <row r="182" spans="1:1">
      <c r="A182">
        <f>OC_mortality_details!K83</f>
        <v>6.0993954183E-2</v>
      </c>
    </row>
    <row r="183" spans="1:1">
      <c r="A183">
        <f>OC_mortality_details!K84</f>
        <v>6.7952727641999999E-2</v>
      </c>
    </row>
    <row r="184" spans="1:1">
      <c r="A184">
        <f>OC_mortality_details!K85</f>
        <v>7.5899900778000004E-2</v>
      </c>
    </row>
    <row r="185" spans="1:1">
      <c r="A185">
        <f>OC_mortality_details!K86</f>
        <v>8.5795890263999988E-2</v>
      </c>
    </row>
    <row r="186" spans="1:1">
      <c r="A186">
        <f>OC_mortality_details!K87</f>
        <v>9.6210765778000001E-2</v>
      </c>
    </row>
    <row r="187" spans="1:1">
      <c r="A187">
        <f>OC_mortality_details!K88</f>
        <v>0.10905378846199999</v>
      </c>
    </row>
    <row r="188" spans="1:1">
      <c r="A188">
        <f>OC_mortality_details!K89</f>
        <v>0.12154511175399998</v>
      </c>
    </row>
    <row r="189" spans="1:1">
      <c r="A189">
        <f>OC_mortality_details!K90</f>
        <v>0.13638143070800002</v>
      </c>
    </row>
    <row r="190" spans="1:1">
      <c r="A190">
        <f>OC_mortality_details!K91</f>
        <v>0.15311213047799999</v>
      </c>
    </row>
    <row r="191" spans="1:1">
      <c r="A191">
        <f>OC_mortality_details!K92</f>
        <v>0.16188668028600001</v>
      </c>
    </row>
    <row r="192" spans="1:1">
      <c r="A192">
        <f>OC_mortality_details!K93</f>
        <v>0.18140686672600001</v>
      </c>
    </row>
    <row r="193" spans="1:1">
      <c r="A193">
        <f>OC_mortality_details!K94</f>
        <v>0.19844557194199999</v>
      </c>
    </row>
    <row r="194" spans="1:1">
      <c r="A194">
        <f>OC_mortality_details!K95</f>
        <v>0.22218347727400001</v>
      </c>
    </row>
    <row r="195" spans="1:1">
      <c r="A195">
        <f>OC_mortality_details!K96</f>
        <v>0.243945388298</v>
      </c>
    </row>
    <row r="196" spans="1:1">
      <c r="A196">
        <f>OC_mortality_details!K97</f>
        <v>0.26936758402600003</v>
      </c>
    </row>
    <row r="197" spans="1:1">
      <c r="A197">
        <f>OC_mortality_details!K98</f>
        <v>0.29221539283199999</v>
      </c>
    </row>
    <row r="198" spans="1:1">
      <c r="A198">
        <f>OC_mortality_details!K99</f>
        <v>0.31390237990600001</v>
      </c>
    </row>
    <row r="199" spans="1:1">
      <c r="A199">
        <f>OC_mortality_details!K100</f>
        <v>0.33490306359800004</v>
      </c>
    </row>
    <row r="200" spans="1:1">
      <c r="A200">
        <f>OC_mortality_details!K101</f>
        <v>0.37506629674199998</v>
      </c>
    </row>
    <row r="201" spans="1:1">
      <c r="A201">
        <f>OC_mortality_details!K102</f>
        <v>0.39696307087600002</v>
      </c>
    </row>
    <row r="202" spans="1:1">
      <c r="A20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D15" sqref="D15"/>
    </sheetView>
  </sheetViews>
  <sheetFormatPr defaultRowHeight="15"/>
  <cols>
    <col min="1" max="4" width="9.140625" style="41"/>
    <col min="5" max="5" width="9.5703125" style="41" bestFit="1" customWidth="1"/>
    <col min="6" max="16384" width="9.140625" style="41"/>
  </cols>
  <sheetData>
    <row r="1" spans="1:7">
      <c r="A1" s="41" t="s">
        <v>14</v>
      </c>
      <c r="B1" s="41" t="s">
        <v>159</v>
      </c>
      <c r="C1" s="41" t="s">
        <v>160</v>
      </c>
      <c r="D1" s="41" t="s">
        <v>161</v>
      </c>
      <c r="E1" s="41" t="s">
        <v>162</v>
      </c>
      <c r="F1" s="41" t="s">
        <v>163</v>
      </c>
      <c r="G1" s="41" t="s">
        <v>164</v>
      </c>
    </row>
    <row r="2" spans="1:7">
      <c r="A2" s="41">
        <v>25</v>
      </c>
      <c r="B2" s="41">
        <v>0</v>
      </c>
      <c r="C2" s="41">
        <v>1</v>
      </c>
      <c r="D2" s="41">
        <v>100</v>
      </c>
      <c r="E2" s="41">
        <v>100</v>
      </c>
      <c r="F2" s="41">
        <v>100</v>
      </c>
      <c r="G2" s="41">
        <v>100</v>
      </c>
    </row>
    <row r="3" spans="1:7">
      <c r="A3" s="41">
        <v>35</v>
      </c>
      <c r="B3" s="41">
        <v>0</v>
      </c>
      <c r="C3" s="41">
        <v>1</v>
      </c>
      <c r="D3" s="41">
        <v>100</v>
      </c>
      <c r="E3" s="41">
        <v>100</v>
      </c>
      <c r="F3" s="41">
        <v>100</v>
      </c>
      <c r="G3" s="41">
        <v>100</v>
      </c>
    </row>
    <row r="4" spans="1:7">
      <c r="A4" s="41">
        <v>45</v>
      </c>
      <c r="B4" s="41">
        <v>0</v>
      </c>
      <c r="C4" s="41">
        <v>1</v>
      </c>
      <c r="D4" s="41">
        <v>100</v>
      </c>
      <c r="E4" s="41">
        <v>100</v>
      </c>
      <c r="F4" s="41">
        <v>100</v>
      </c>
      <c r="G4" s="41">
        <v>100</v>
      </c>
    </row>
    <row r="5" spans="1:7">
      <c r="A5" s="41">
        <v>55</v>
      </c>
      <c r="B5" s="41">
        <v>0</v>
      </c>
      <c r="C5" s="41">
        <v>1</v>
      </c>
      <c r="D5" s="41">
        <v>100</v>
      </c>
      <c r="E5" s="41">
        <v>100</v>
      </c>
      <c r="F5" s="41">
        <v>100</v>
      </c>
      <c r="G5" s="41">
        <v>100</v>
      </c>
    </row>
    <row r="6" spans="1:7">
      <c r="A6" s="41">
        <v>65</v>
      </c>
      <c r="B6" s="41">
        <v>0</v>
      </c>
      <c r="C6" s="41">
        <v>1</v>
      </c>
      <c r="D6" s="41">
        <v>100</v>
      </c>
      <c r="E6" s="41">
        <v>100</v>
      </c>
      <c r="F6" s="41">
        <v>100</v>
      </c>
      <c r="G6" s="41">
        <v>100</v>
      </c>
    </row>
    <row r="7" spans="1:7">
      <c r="A7" s="41">
        <v>75</v>
      </c>
      <c r="B7" s="41">
        <v>0</v>
      </c>
      <c r="C7" s="41">
        <v>1</v>
      </c>
      <c r="D7" s="41">
        <v>100</v>
      </c>
      <c r="E7" s="41">
        <v>100</v>
      </c>
      <c r="F7" s="41">
        <v>100</v>
      </c>
      <c r="G7" s="41">
        <v>100</v>
      </c>
    </row>
    <row r="8" spans="1:7">
      <c r="A8" s="41">
        <v>25</v>
      </c>
      <c r="B8" s="41">
        <v>0</v>
      </c>
      <c r="C8" s="41">
        <v>0</v>
      </c>
      <c r="D8" s="41">
        <v>100</v>
      </c>
      <c r="E8" s="41">
        <v>100</v>
      </c>
      <c r="F8" s="41">
        <v>100</v>
      </c>
      <c r="G8" s="41">
        <v>100</v>
      </c>
    </row>
    <row r="9" spans="1:7">
      <c r="A9" s="41">
        <v>35</v>
      </c>
      <c r="B9" s="41">
        <v>0</v>
      </c>
      <c r="C9" s="41">
        <v>0</v>
      </c>
      <c r="D9" s="41">
        <v>100</v>
      </c>
      <c r="E9" s="41">
        <v>100</v>
      </c>
      <c r="F9" s="41">
        <v>100</v>
      </c>
      <c r="G9" s="41">
        <v>100</v>
      </c>
    </row>
    <row r="10" spans="1:7">
      <c r="A10" s="41">
        <v>45</v>
      </c>
      <c r="B10" s="41">
        <v>0</v>
      </c>
      <c r="C10" s="41">
        <v>0</v>
      </c>
      <c r="D10" s="41">
        <v>100</v>
      </c>
      <c r="E10" s="41">
        <v>100</v>
      </c>
      <c r="F10" s="41">
        <v>100</v>
      </c>
      <c r="G10" s="41">
        <v>100</v>
      </c>
    </row>
    <row r="11" spans="1:7">
      <c r="A11" s="41">
        <v>55</v>
      </c>
      <c r="B11" s="41">
        <v>0</v>
      </c>
      <c r="C11" s="41">
        <v>0</v>
      </c>
      <c r="D11" s="41">
        <v>100</v>
      </c>
      <c r="E11" s="41">
        <v>100</v>
      </c>
      <c r="F11" s="41">
        <v>100</v>
      </c>
      <c r="G11" s="41">
        <v>100</v>
      </c>
    </row>
    <row r="12" spans="1:7">
      <c r="A12" s="41">
        <v>65</v>
      </c>
      <c r="B12" s="41">
        <v>0</v>
      </c>
      <c r="C12" s="41">
        <v>0</v>
      </c>
      <c r="D12" s="41">
        <v>100</v>
      </c>
      <c r="E12" s="41">
        <v>100</v>
      </c>
      <c r="F12" s="41">
        <v>100</v>
      </c>
      <c r="G12" s="41">
        <v>100</v>
      </c>
    </row>
    <row r="13" spans="1:7">
      <c r="A13" s="41">
        <v>75</v>
      </c>
      <c r="B13" s="41">
        <v>0</v>
      </c>
      <c r="C13" s="41">
        <v>0</v>
      </c>
      <c r="D13" s="41">
        <v>100</v>
      </c>
      <c r="E13" s="41">
        <v>100</v>
      </c>
      <c r="F13" s="41">
        <v>100</v>
      </c>
      <c r="G13" s="41">
        <v>100</v>
      </c>
    </row>
    <row r="14" spans="1:7">
      <c r="A14" s="41">
        <v>25</v>
      </c>
      <c r="B14" s="41">
        <v>1</v>
      </c>
      <c r="C14" s="41">
        <v>1</v>
      </c>
      <c r="D14" s="49">
        <f>Kidney_surv_original!P19</f>
        <v>99.4</v>
      </c>
      <c r="E14" s="49">
        <f>Kidney_surv_original!P30</f>
        <v>98.2</v>
      </c>
      <c r="F14" s="49">
        <f>Kidney_surv_original!P41</f>
        <v>94.8</v>
      </c>
      <c r="G14" s="49">
        <f>Kidney_surv_original!P52</f>
        <v>52.1</v>
      </c>
    </row>
    <row r="15" spans="1:7">
      <c r="A15" s="41">
        <v>35</v>
      </c>
      <c r="B15" s="41">
        <v>1</v>
      </c>
      <c r="C15" s="41">
        <v>1</v>
      </c>
      <c r="D15" s="49">
        <f>Kidney_surv_original!P19</f>
        <v>99.4</v>
      </c>
      <c r="E15" s="49">
        <f>Kidney_surv_original!P30</f>
        <v>98.2</v>
      </c>
      <c r="F15" s="49">
        <f>Kidney_surv_original!P41</f>
        <v>94.8</v>
      </c>
      <c r="G15" s="49">
        <f>Kidney_surv_original!P52</f>
        <v>52.1</v>
      </c>
    </row>
    <row r="16" spans="1:7">
      <c r="A16" s="41">
        <v>45</v>
      </c>
      <c r="B16" s="41">
        <v>1</v>
      </c>
      <c r="C16" s="41">
        <v>1</v>
      </c>
      <c r="D16" s="49">
        <f>Kidney_surv_original!P20</f>
        <v>98.9</v>
      </c>
      <c r="E16" s="49">
        <f>Kidney_surv_original!P31</f>
        <v>98.3</v>
      </c>
      <c r="F16" s="49">
        <f>Kidney_surv_original!P42</f>
        <v>96.4</v>
      </c>
      <c r="G16" s="49">
        <f>Kidney_surv_original!P53</f>
        <v>50.1</v>
      </c>
    </row>
    <row r="17" spans="1:7">
      <c r="A17" s="41">
        <v>55</v>
      </c>
      <c r="B17" s="41">
        <v>1</v>
      </c>
      <c r="C17" s="41">
        <v>1</v>
      </c>
      <c r="D17" s="49">
        <f>Kidney_surv_original!P21</f>
        <v>98.3</v>
      </c>
      <c r="E17" s="49">
        <f>Kidney_surv_original!P32</f>
        <v>97.8</v>
      </c>
      <c r="F17" s="49">
        <f>Kidney_surv_original!P43</f>
        <v>94.5</v>
      </c>
      <c r="G17" s="49">
        <f>Kidney_surv_original!P54</f>
        <v>46.5</v>
      </c>
    </row>
    <row r="18" spans="1:7">
      <c r="A18" s="41">
        <v>65</v>
      </c>
      <c r="B18" s="41">
        <v>1</v>
      </c>
      <c r="C18" s="41">
        <v>1</v>
      </c>
      <c r="D18" s="49">
        <f>Kidney_surv_original!P22</f>
        <v>97.6</v>
      </c>
      <c r="E18" s="49">
        <f>Kidney_surv_original!P33</f>
        <v>93</v>
      </c>
      <c r="F18" s="49">
        <f>Kidney_surv_original!P44</f>
        <v>95.2</v>
      </c>
      <c r="G18" s="49">
        <f>Kidney_surv_original!P55</f>
        <v>41.5</v>
      </c>
    </row>
    <row r="19" spans="1:7">
      <c r="A19" s="41">
        <v>75</v>
      </c>
      <c r="B19" s="41">
        <v>1</v>
      </c>
      <c r="C19" s="41">
        <v>1</v>
      </c>
      <c r="D19" s="49">
        <f>Kidney_surv_original!P23</f>
        <v>89.9</v>
      </c>
      <c r="E19" s="49">
        <f>Kidney_surv_original!P34</f>
        <v>83.6</v>
      </c>
      <c r="F19" s="49">
        <f>Kidney_surv_original!P45</f>
        <v>87.2</v>
      </c>
      <c r="G19" s="49">
        <f>Kidney_surv_original!P56</f>
        <v>29.3</v>
      </c>
    </row>
    <row r="20" spans="1:7">
      <c r="A20" s="41">
        <v>25</v>
      </c>
      <c r="B20" s="41">
        <v>1</v>
      </c>
      <c r="C20" s="41">
        <v>0</v>
      </c>
      <c r="D20" s="49">
        <f>Kidney_surv_original!P24</f>
        <v>99.8</v>
      </c>
      <c r="E20" s="49">
        <f>Kidney_surv_original!P35</f>
        <v>98.1</v>
      </c>
      <c r="F20" s="49">
        <f>Kidney_surv_original!P46</f>
        <v>96.6</v>
      </c>
      <c r="G20" s="49">
        <f>Kidney_surv_original!P57</f>
        <v>43.058349609375</v>
      </c>
    </row>
    <row r="21" spans="1:7">
      <c r="A21" s="41">
        <v>35</v>
      </c>
      <c r="B21" s="41">
        <v>1</v>
      </c>
      <c r="C21" s="41">
        <v>0</v>
      </c>
      <c r="D21" s="49">
        <f>Kidney_surv_original!P24</f>
        <v>99.8</v>
      </c>
      <c r="E21" s="41">
        <f>Kidney_surv_original!P35</f>
        <v>98.1</v>
      </c>
      <c r="F21" s="49">
        <f>Kidney_surv_original!P46</f>
        <v>96.6</v>
      </c>
      <c r="G21" s="49">
        <f>Kidney_surv_original!P57</f>
        <v>43.058349609375</v>
      </c>
    </row>
    <row r="22" spans="1:7">
      <c r="A22" s="41">
        <v>45</v>
      </c>
      <c r="B22" s="41">
        <v>1</v>
      </c>
      <c r="C22" s="41">
        <v>0</v>
      </c>
      <c r="D22" s="49">
        <f>Kidney_surv_original!P25</f>
        <v>99.8</v>
      </c>
      <c r="E22" s="49">
        <f>Kidney_surv_original!P36</f>
        <v>99</v>
      </c>
      <c r="F22" s="49">
        <f>Kidney_surv_original!P47</f>
        <v>92</v>
      </c>
      <c r="G22" s="49">
        <f>Kidney_surv_original!P58</f>
        <v>45.5</v>
      </c>
    </row>
    <row r="23" spans="1:7">
      <c r="A23" s="41">
        <v>55</v>
      </c>
      <c r="B23" s="41">
        <v>1</v>
      </c>
      <c r="C23" s="41">
        <v>0</v>
      </c>
      <c r="D23" s="49">
        <f>Kidney_surv_original!P26</f>
        <v>99.1</v>
      </c>
      <c r="E23" s="49">
        <f>Kidney_surv_original!P37</f>
        <v>97.1</v>
      </c>
      <c r="F23" s="49">
        <f>Kidney_surv_original!P48</f>
        <v>93</v>
      </c>
      <c r="G23" s="49">
        <f>Kidney_surv_original!P59</f>
        <v>45.8</v>
      </c>
    </row>
    <row r="24" spans="1:7">
      <c r="A24" s="41">
        <v>65</v>
      </c>
      <c r="B24" s="41">
        <v>1</v>
      </c>
      <c r="C24" s="41">
        <v>0</v>
      </c>
      <c r="D24" s="49">
        <f>Kidney_surv_original!P27</f>
        <v>97.2</v>
      </c>
      <c r="E24" s="49">
        <f>Kidney_surv_original!P38</f>
        <v>93.9</v>
      </c>
      <c r="F24" s="49">
        <f>Kidney_surv_original!P49</f>
        <v>93.1</v>
      </c>
      <c r="G24" s="49">
        <f>Kidney_surv_original!P60</f>
        <v>40.299999999999997</v>
      </c>
    </row>
    <row r="25" spans="1:7">
      <c r="A25" s="41">
        <v>75</v>
      </c>
      <c r="B25" s="41">
        <v>1</v>
      </c>
      <c r="C25" s="41">
        <v>0</v>
      </c>
      <c r="D25" s="49">
        <f>Kidney_surv_original!P28</f>
        <v>90.6</v>
      </c>
      <c r="E25" s="49">
        <f>Kidney_surv_original!P39</f>
        <v>85</v>
      </c>
      <c r="F25" s="49">
        <f>Kidney_surv_original!P50</f>
        <v>83.6</v>
      </c>
      <c r="G25" s="49">
        <f>Kidney_surv_original!P61</f>
        <v>24.2</v>
      </c>
    </row>
    <row r="26" spans="1:7">
      <c r="A26" s="41">
        <v>25</v>
      </c>
      <c r="B26" s="41">
        <v>5</v>
      </c>
      <c r="C26" s="41">
        <v>1</v>
      </c>
      <c r="D26" s="49">
        <f>Kidney_surv_original!Q19</f>
        <v>97.2</v>
      </c>
      <c r="E26" s="49">
        <f>Kidney_surv_original!Q30</f>
        <v>84.4</v>
      </c>
      <c r="F26" s="49">
        <f>Kidney_surv_original!Q41</f>
        <v>81.099999999999994</v>
      </c>
      <c r="G26" s="49">
        <f>Kidney_surv_original!Q52</f>
        <v>19.600000000000001</v>
      </c>
    </row>
    <row r="27" spans="1:7">
      <c r="A27" s="41">
        <v>35</v>
      </c>
      <c r="B27" s="41">
        <v>5</v>
      </c>
      <c r="C27" s="41">
        <v>1</v>
      </c>
      <c r="D27" s="49">
        <f>Kidney_surv_original!Q19</f>
        <v>97.2</v>
      </c>
      <c r="E27" s="49">
        <f>Kidney_surv_original!Q30</f>
        <v>84.4</v>
      </c>
      <c r="F27" s="49">
        <f>Kidney_surv_original!Q41</f>
        <v>81.099999999999994</v>
      </c>
      <c r="G27" s="49">
        <f>Kidney_surv_original!Q52</f>
        <v>19.600000000000001</v>
      </c>
    </row>
    <row r="28" spans="1:7">
      <c r="A28" s="41">
        <v>45</v>
      </c>
      <c r="B28" s="41">
        <v>5</v>
      </c>
      <c r="C28" s="41">
        <v>1</v>
      </c>
      <c r="D28" s="49">
        <f>Kidney_surv_original!Q20</f>
        <v>95.8</v>
      </c>
      <c r="E28" s="49">
        <f>Kidney_surv_original!Q31</f>
        <v>87.5</v>
      </c>
      <c r="F28" s="49">
        <f>Kidney_surv_original!Q42</f>
        <v>81.099999999999994</v>
      </c>
      <c r="G28" s="49">
        <f>Kidney_surv_original!Q53</f>
        <v>17.399999999999999</v>
      </c>
    </row>
    <row r="29" spans="1:7">
      <c r="A29" s="41">
        <v>55</v>
      </c>
      <c r="B29" s="41">
        <v>5</v>
      </c>
      <c r="C29" s="41">
        <v>1</v>
      </c>
      <c r="D29" s="49">
        <f>Kidney_surv_original!Q21</f>
        <v>91.8</v>
      </c>
      <c r="E29" s="49">
        <f>Kidney_surv_original!Q32</f>
        <v>92.4</v>
      </c>
      <c r="F29" s="49">
        <f>Kidney_surv_original!Q43</f>
        <v>79.7</v>
      </c>
      <c r="G29" s="49">
        <f>Kidney_surv_original!Q54</f>
        <v>16.7</v>
      </c>
    </row>
    <row r="30" spans="1:7">
      <c r="A30" s="41">
        <v>65</v>
      </c>
      <c r="B30" s="41">
        <v>5</v>
      </c>
      <c r="C30" s="41">
        <v>1</v>
      </c>
      <c r="D30" s="49">
        <f>Kidney_surv_original!Q22</f>
        <v>89.1</v>
      </c>
      <c r="E30" s="49">
        <f>Kidney_surv_original!Q33</f>
        <v>81.5</v>
      </c>
      <c r="F30" s="49">
        <f>Kidney_surv_original!Q44</f>
        <v>77.400000000000006</v>
      </c>
      <c r="G30" s="49">
        <f>Kidney_surv_original!Q55</f>
        <v>13.5</v>
      </c>
    </row>
    <row r="31" spans="1:7">
      <c r="A31" s="41">
        <v>75</v>
      </c>
      <c r="B31" s="41">
        <v>5</v>
      </c>
      <c r="C31" s="41">
        <v>1</v>
      </c>
      <c r="D31" s="49">
        <f>Kidney_surv_original!Q23</f>
        <v>72.5</v>
      </c>
      <c r="E31" s="49">
        <f>Kidney_surv_original!Q34</f>
        <v>56.2</v>
      </c>
      <c r="F31" s="49">
        <f>Kidney_surv_original!Q45</f>
        <v>66.599999999999994</v>
      </c>
      <c r="G31" s="49">
        <f>Kidney_surv_original!Q56</f>
        <v>6.1</v>
      </c>
    </row>
    <row r="32" spans="1:7">
      <c r="A32" s="41">
        <v>25</v>
      </c>
      <c r="B32" s="41">
        <v>5</v>
      </c>
      <c r="C32" s="41">
        <v>0</v>
      </c>
      <c r="D32" s="49">
        <f>Kidney_surv_original!Q24</f>
        <v>98.3</v>
      </c>
      <c r="E32" s="49">
        <f>Kidney_surv_original!Q35</f>
        <v>91.8</v>
      </c>
      <c r="F32" s="49">
        <f>Kidney_surv_original!Q46</f>
        <v>77.099999999999994</v>
      </c>
      <c r="G32" s="49">
        <f>Kidney_surv_original!Q57</f>
        <v>18.5</v>
      </c>
    </row>
    <row r="33" spans="1:7">
      <c r="A33" s="41">
        <v>35</v>
      </c>
      <c r="B33" s="41">
        <v>5</v>
      </c>
      <c r="C33" s="41">
        <v>0</v>
      </c>
      <c r="D33" s="49">
        <f>Kidney_surv_original!Q24</f>
        <v>98.3</v>
      </c>
      <c r="E33" s="49">
        <f>Kidney_surv_original!Q35</f>
        <v>91.8</v>
      </c>
      <c r="F33" s="49">
        <f>Kidney_surv_original!Q46</f>
        <v>77.099999999999994</v>
      </c>
      <c r="G33" s="49">
        <f>Kidney_surv_original!Q57</f>
        <v>18.5</v>
      </c>
    </row>
    <row r="34" spans="1:7">
      <c r="A34" s="41">
        <v>45</v>
      </c>
      <c r="B34" s="41">
        <v>5</v>
      </c>
      <c r="C34" s="41">
        <v>0</v>
      </c>
      <c r="D34" s="49">
        <f>Kidney_surv_original!Q25</f>
        <v>98.3</v>
      </c>
      <c r="E34" s="49">
        <f>Kidney_surv_original!Q36</f>
        <v>91.8</v>
      </c>
      <c r="F34" s="49">
        <f>Kidney_surv_original!Q47</f>
        <v>77.099999999999994</v>
      </c>
      <c r="G34" s="49">
        <f>Kidney_surv_original!Q58</f>
        <v>18.5</v>
      </c>
    </row>
    <row r="35" spans="1:7">
      <c r="A35" s="41">
        <v>55</v>
      </c>
      <c r="B35" s="41">
        <v>5</v>
      </c>
      <c r="C35" s="41">
        <v>0</v>
      </c>
      <c r="D35" s="49">
        <f>Kidney_surv_original!Q26</f>
        <v>94.5</v>
      </c>
      <c r="E35" s="49">
        <f>Kidney_surv_original!Q37</f>
        <v>87.8</v>
      </c>
      <c r="F35" s="49">
        <f>Kidney_surv_original!Q48</f>
        <v>76.900000000000006</v>
      </c>
      <c r="G35" s="49">
        <f>Kidney_surv_original!Q59</f>
        <v>16.899999999999999</v>
      </c>
    </row>
    <row r="36" spans="1:7">
      <c r="A36" s="41">
        <v>65</v>
      </c>
      <c r="B36" s="41">
        <v>5</v>
      </c>
      <c r="C36" s="41">
        <v>0</v>
      </c>
      <c r="D36" s="49">
        <f>Kidney_surv_original!Q27</f>
        <v>90.4</v>
      </c>
      <c r="E36" s="49">
        <f>Kidney_surv_original!Q38</f>
        <v>81.3</v>
      </c>
      <c r="F36" s="49">
        <f>Kidney_surv_original!Q49</f>
        <v>77.599999999999994</v>
      </c>
      <c r="G36" s="49">
        <f>Kidney_surv_original!Q60</f>
        <v>13.7</v>
      </c>
    </row>
    <row r="37" spans="1:7">
      <c r="A37" s="41">
        <v>75</v>
      </c>
      <c r="B37" s="41">
        <v>5</v>
      </c>
      <c r="C37" s="41">
        <v>0</v>
      </c>
      <c r="D37" s="49">
        <f>Kidney_surv_original!Q28</f>
        <v>76</v>
      </c>
      <c r="E37" s="49">
        <f>Kidney_surv_original!Q39</f>
        <v>58.5</v>
      </c>
      <c r="F37" s="49">
        <f>Kidney_surv_original!Q50</f>
        <v>61.4</v>
      </c>
      <c r="G37" s="49">
        <f>Kidney_surv_original!Q61</f>
        <v>8.3000000000000007</v>
      </c>
    </row>
    <row r="38" spans="1:7">
      <c r="A38" s="41">
        <v>25</v>
      </c>
      <c r="B38" s="41">
        <v>10</v>
      </c>
      <c r="C38" s="41">
        <v>1</v>
      </c>
      <c r="D38" s="49">
        <f>Kidney_surv_original!R19</f>
        <v>78.917868338557994</v>
      </c>
      <c r="E38" s="49">
        <f>Kidney_surv_original!R30</f>
        <v>68.525391849529782</v>
      </c>
      <c r="F38" s="49">
        <f>Kidney_surv_original!R41</f>
        <v>65.846081504702198</v>
      </c>
      <c r="G38" s="49">
        <f>Kidney_surv_original!R52</f>
        <v>15.913479623824452</v>
      </c>
    </row>
    <row r="39" spans="1:7">
      <c r="A39" s="41">
        <v>35</v>
      </c>
      <c r="B39" s="41">
        <v>10</v>
      </c>
      <c r="C39" s="41">
        <v>1</v>
      </c>
      <c r="D39" s="49">
        <f>Kidney_surv_original!R19</f>
        <v>78.917868338557994</v>
      </c>
      <c r="E39" s="49">
        <f>Kidney_surv_original!R30</f>
        <v>68.525391849529782</v>
      </c>
      <c r="F39" s="49">
        <f>Kidney_surv_original!R41</f>
        <v>65.846081504702198</v>
      </c>
      <c r="G39" s="49">
        <f>Kidney_surv_original!R52</f>
        <v>15.913479623824452</v>
      </c>
    </row>
    <row r="40" spans="1:7">
      <c r="A40" s="41">
        <v>45</v>
      </c>
      <c r="B40" s="41">
        <v>10</v>
      </c>
      <c r="C40" s="41">
        <v>1</v>
      </c>
      <c r="D40" s="49">
        <f>Kidney_surv_original!R20</f>
        <v>77.781191222570527</v>
      </c>
      <c r="E40" s="49">
        <f>Kidney_surv_original!R31</f>
        <v>71.042319749216304</v>
      </c>
      <c r="F40" s="49">
        <f>Kidney_surv_original!R42</f>
        <v>65.846081504702198</v>
      </c>
      <c r="G40" s="49">
        <f>Kidney_surv_original!R53</f>
        <v>14.127272727272727</v>
      </c>
    </row>
    <row r="41" spans="1:7">
      <c r="A41" s="41">
        <v>55</v>
      </c>
      <c r="B41" s="41">
        <v>10</v>
      </c>
      <c r="C41" s="41">
        <v>1</v>
      </c>
      <c r="D41" s="49">
        <f>Kidney_surv_original!R21</f>
        <v>74.533542319749216</v>
      </c>
      <c r="E41" s="49">
        <f>Kidney_surv_original!R32</f>
        <v>75.020689655172418</v>
      </c>
      <c r="F41" s="49">
        <f>Kidney_surv_original!R43</f>
        <v>64.709404388714731</v>
      </c>
      <c r="G41" s="49">
        <f>Kidney_surv_original!R54</f>
        <v>13.558934169278997</v>
      </c>
    </row>
    <row r="42" spans="1:7">
      <c r="A42" s="41">
        <v>65</v>
      </c>
      <c r="B42" s="41">
        <v>10</v>
      </c>
      <c r="C42" s="41">
        <v>1</v>
      </c>
      <c r="D42" s="49">
        <f>Kidney_surv_original!R22</f>
        <v>72.34137931034482</v>
      </c>
      <c r="E42" s="49">
        <f>Kidney_surv_original!R33</f>
        <v>66.170846394984324</v>
      </c>
      <c r="F42" s="49">
        <f>Kidney_surv_original!R44</f>
        <v>62.842006269592481</v>
      </c>
      <c r="G42" s="49">
        <f>Kidney_surv_original!R55</f>
        <v>10.960815047021944</v>
      </c>
    </row>
    <row r="43" spans="1:7">
      <c r="A43" s="41">
        <v>75</v>
      </c>
      <c r="B43" s="41">
        <v>10</v>
      </c>
      <c r="C43" s="41">
        <v>1</v>
      </c>
      <c r="D43" s="49">
        <f>Kidney_surv_original!R23</f>
        <v>58.863636363636367</v>
      </c>
      <c r="E43" s="49">
        <f>Kidney_surv_original!R34</f>
        <v>45.629467084639501</v>
      </c>
      <c r="F43" s="49">
        <f>Kidney_surv_original!R45</f>
        <v>54.073354231974918</v>
      </c>
      <c r="G43" s="49">
        <f>Kidney_surv_original!R56</f>
        <v>4.9526645768025075</v>
      </c>
    </row>
    <row r="44" spans="1:7">
      <c r="A44" s="41">
        <v>25</v>
      </c>
      <c r="B44" s="41">
        <v>10</v>
      </c>
      <c r="C44" s="41">
        <v>0</v>
      </c>
      <c r="D44" s="49">
        <f>Kidney_surv_original!R24</f>
        <v>79.810971786833861</v>
      </c>
      <c r="E44" s="49">
        <f>Kidney_surv_original!R35</f>
        <v>74.533542319749216</v>
      </c>
      <c r="F44" s="49">
        <f>Kidney_surv_original!R46</f>
        <v>62.598432601880873</v>
      </c>
      <c r="G44" s="49">
        <f>Kidney_surv_original!R57</f>
        <v>15.02037617554859</v>
      </c>
    </row>
    <row r="45" spans="1:7">
      <c r="A45" s="41">
        <v>35</v>
      </c>
      <c r="B45" s="41">
        <v>10</v>
      </c>
      <c r="C45" s="41">
        <v>0</v>
      </c>
      <c r="D45" s="49">
        <f>Kidney_surv_original!R24</f>
        <v>79.810971786833861</v>
      </c>
      <c r="E45" s="49">
        <f>Kidney_surv_original!R35</f>
        <v>74.533542319749216</v>
      </c>
      <c r="F45" s="49">
        <f>Kidney_surv_original!R46</f>
        <v>62.598432601880873</v>
      </c>
      <c r="G45" s="49">
        <f>Kidney_surv_original!R57</f>
        <v>15.02037617554859</v>
      </c>
    </row>
    <row r="46" spans="1:7">
      <c r="A46" s="41">
        <v>45</v>
      </c>
      <c r="B46" s="41">
        <v>10</v>
      </c>
      <c r="C46" s="41">
        <v>0</v>
      </c>
      <c r="D46" s="49">
        <f>Kidney_surv_original!R25</f>
        <v>79.810971786833861</v>
      </c>
      <c r="E46" s="49">
        <f>Kidney_surv_original!R36</f>
        <v>74.533542319749216</v>
      </c>
      <c r="F46" s="49">
        <f>Kidney_surv_original!R47</f>
        <v>62.598432601880873</v>
      </c>
      <c r="G46" s="49">
        <f>Kidney_surv_original!R58</f>
        <v>15.02037617554859</v>
      </c>
    </row>
    <row r="47" spans="1:7">
      <c r="A47" s="41">
        <v>55</v>
      </c>
      <c r="B47" s="41">
        <v>10</v>
      </c>
      <c r="C47" s="41">
        <v>0</v>
      </c>
      <c r="D47" s="49">
        <f>Kidney_surv_original!R26</f>
        <v>76.725705329153612</v>
      </c>
      <c r="E47" s="49">
        <f>Kidney_surv_original!R37</f>
        <v>71.285893416927905</v>
      </c>
      <c r="F47" s="49">
        <f>Kidney_surv_original!R48</f>
        <v>62.436050156739817</v>
      </c>
      <c r="G47" s="49">
        <f>Kidney_surv_original!R59</f>
        <v>13.721316614420061</v>
      </c>
    </row>
    <row r="48" spans="1:7">
      <c r="A48" s="41">
        <v>65</v>
      </c>
      <c r="B48" s="41">
        <v>10</v>
      </c>
      <c r="C48" s="41">
        <v>0</v>
      </c>
      <c r="D48" s="49">
        <f>Kidney_surv_original!R27</f>
        <v>73.396865203761763</v>
      </c>
      <c r="E48" s="49">
        <f>Kidney_surv_original!R38</f>
        <v>66.008463949843261</v>
      </c>
      <c r="F48" s="49">
        <f>Kidney_surv_original!R49</f>
        <v>63.004388714733537</v>
      </c>
      <c r="G48" s="49">
        <f>Kidney_surv_original!R60</f>
        <v>11.123197492163008</v>
      </c>
    </row>
    <row r="49" spans="1:7">
      <c r="A49" s="41">
        <v>75</v>
      </c>
      <c r="B49" s="41">
        <v>10</v>
      </c>
      <c r="C49" s="41">
        <v>0</v>
      </c>
      <c r="D49" s="49">
        <f>Kidney_surv_original!R28</f>
        <v>61.705329153605014</v>
      </c>
      <c r="E49" s="49">
        <f>Kidney_surv_original!R39</f>
        <v>47.496865203761757</v>
      </c>
      <c r="F49" s="49">
        <f>Kidney_surv_original!R50</f>
        <v>49.851410658307209</v>
      </c>
      <c r="G49" s="49">
        <f>Kidney_surv_original!R61</f>
        <v>6.7388714733542328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T83"/>
  <sheetViews>
    <sheetView topLeftCell="A13" workbookViewId="0">
      <selection activeCell="P21" sqref="P21"/>
    </sheetView>
  </sheetViews>
  <sheetFormatPr defaultRowHeight="15"/>
  <cols>
    <col min="1" max="1" width="16.85546875" style="70" customWidth="1"/>
    <col min="2" max="4" width="9.140625" style="70"/>
    <col min="5" max="5" width="19" style="70" bestFit="1" customWidth="1"/>
    <col min="6" max="16384" width="9.140625" style="70"/>
  </cols>
  <sheetData>
    <row r="1" spans="1:20" ht="15.75" thickBot="1">
      <c r="O1" s="71" t="s">
        <v>229</v>
      </c>
    </row>
    <row r="2" spans="1:20" s="44" customFormat="1" ht="12.75">
      <c r="A2" s="210" t="s">
        <v>130</v>
      </c>
      <c r="B2" s="212" t="s">
        <v>131</v>
      </c>
      <c r="C2" s="213" t="s">
        <v>230</v>
      </c>
      <c r="D2" s="213"/>
      <c r="E2" s="213"/>
      <c r="F2" s="213"/>
      <c r="G2" s="213"/>
      <c r="H2" s="72"/>
      <c r="I2" s="213" t="s">
        <v>231</v>
      </c>
      <c r="J2" s="213"/>
      <c r="K2" s="213"/>
      <c r="L2" s="213"/>
      <c r="M2" s="213"/>
    </row>
    <row r="3" spans="1:20" s="44" customFormat="1" ht="13.5" thickBot="1">
      <c r="A3" s="211"/>
      <c r="B3" s="211"/>
      <c r="C3" s="73" t="s">
        <v>232</v>
      </c>
      <c r="D3" s="73" t="s">
        <v>138</v>
      </c>
      <c r="E3" s="74" t="s">
        <v>152</v>
      </c>
      <c r="F3" s="73" t="s">
        <v>154</v>
      </c>
      <c r="G3" s="74" t="s">
        <v>155</v>
      </c>
      <c r="H3" s="75"/>
      <c r="I3" s="74" t="s">
        <v>232</v>
      </c>
      <c r="J3" s="74" t="s">
        <v>138</v>
      </c>
      <c r="K3" s="74" t="s">
        <v>152</v>
      </c>
      <c r="L3" s="74" t="s">
        <v>154</v>
      </c>
      <c r="M3" s="74" t="s">
        <v>155</v>
      </c>
      <c r="O3" s="76" t="s">
        <v>233</v>
      </c>
      <c r="P3" s="77"/>
      <c r="Q3" s="77"/>
      <c r="R3" s="77"/>
    </row>
    <row r="4" spans="1:20" s="44" customFormat="1" ht="12.75">
      <c r="A4" s="78" t="s">
        <v>234</v>
      </c>
      <c r="B4" s="44" t="s">
        <v>135</v>
      </c>
      <c r="C4" s="79">
        <v>79.2</v>
      </c>
      <c r="D4" s="79">
        <v>95.7</v>
      </c>
      <c r="E4" s="79">
        <v>92.1</v>
      </c>
      <c r="F4" s="79">
        <v>92.8</v>
      </c>
      <c r="G4" s="79">
        <v>40</v>
      </c>
      <c r="H4" s="79"/>
      <c r="I4" s="79">
        <v>62.9</v>
      </c>
      <c r="J4" s="79">
        <v>85.8</v>
      </c>
      <c r="K4" s="79">
        <v>76.2</v>
      </c>
      <c r="L4" s="79">
        <v>75.3</v>
      </c>
      <c r="M4" s="79">
        <v>11.9</v>
      </c>
      <c r="O4" s="206" t="s">
        <v>235</v>
      </c>
      <c r="P4" s="206"/>
      <c r="Q4" s="206"/>
      <c r="R4" s="206"/>
    </row>
    <row r="5" spans="1:20" s="44" customFormat="1" ht="12.75">
      <c r="A5" s="78" t="s">
        <v>234</v>
      </c>
      <c r="B5" s="44" t="s">
        <v>153</v>
      </c>
      <c r="C5" s="79">
        <v>79.599999999999994</v>
      </c>
      <c r="D5" s="79">
        <v>96.2</v>
      </c>
      <c r="E5" s="79">
        <v>92.8</v>
      </c>
      <c r="F5" s="79">
        <v>90.3</v>
      </c>
      <c r="G5" s="79">
        <v>36.5</v>
      </c>
      <c r="H5" s="79"/>
      <c r="I5" s="79">
        <v>65.400000000000006</v>
      </c>
      <c r="J5" s="79">
        <v>88.2</v>
      </c>
      <c r="K5" s="79">
        <v>77</v>
      </c>
      <c r="L5" s="79">
        <v>72.2</v>
      </c>
      <c r="M5" s="79">
        <v>13.2</v>
      </c>
      <c r="O5" s="80" t="s">
        <v>236</v>
      </c>
      <c r="P5" s="77"/>
      <c r="Q5" s="77"/>
      <c r="R5" s="80"/>
    </row>
    <row r="6" spans="1:20" s="44" customFormat="1" ht="12.75">
      <c r="A6" s="81" t="s">
        <v>234</v>
      </c>
      <c r="B6" s="82" t="s">
        <v>157</v>
      </c>
      <c r="C6" s="83">
        <v>79.3</v>
      </c>
      <c r="D6" s="83">
        <v>95.9</v>
      </c>
      <c r="E6" s="83">
        <v>92.4</v>
      </c>
      <c r="F6" s="83">
        <v>91.9</v>
      </c>
      <c r="G6" s="83">
        <v>38.700000000000003</v>
      </c>
      <c r="H6" s="83"/>
      <c r="I6" s="83">
        <v>63.8</v>
      </c>
      <c r="J6" s="83">
        <v>86.8</v>
      </c>
      <c r="K6" s="83">
        <v>76.599999999999994</v>
      </c>
      <c r="L6" s="83">
        <v>74.2</v>
      </c>
      <c r="M6" s="83">
        <v>12.4</v>
      </c>
    </row>
    <row r="8" spans="1:20">
      <c r="A8" s="70" t="s">
        <v>237</v>
      </c>
    </row>
    <row r="10" spans="1:20">
      <c r="A10" s="194" t="s">
        <v>238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2" spans="1:20">
      <c r="A12" s="207" t="s">
        <v>239</v>
      </c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4" spans="1:20" ht="51">
      <c r="A14" s="84" t="s">
        <v>131</v>
      </c>
      <c r="B14" s="85" t="s">
        <v>240</v>
      </c>
      <c r="C14" s="85" t="s">
        <v>241</v>
      </c>
      <c r="D14" s="85" t="s">
        <v>242</v>
      </c>
      <c r="E14" s="85" t="s">
        <v>243</v>
      </c>
      <c r="F14" s="85" t="s">
        <v>244</v>
      </c>
      <c r="I14" s="70" t="s">
        <v>245</v>
      </c>
    </row>
    <row r="15" spans="1:20">
      <c r="A15" s="86" t="s">
        <v>129</v>
      </c>
      <c r="B15" s="87" t="s">
        <v>246</v>
      </c>
      <c r="C15" s="87">
        <v>16359</v>
      </c>
      <c r="D15" s="87">
        <v>79.599999999999994</v>
      </c>
      <c r="E15" s="87">
        <v>79</v>
      </c>
      <c r="F15" s="87">
        <v>80.2</v>
      </c>
      <c r="I15" s="46" t="s">
        <v>148</v>
      </c>
      <c r="J15" s="70">
        <f>D21/D18</f>
        <v>0.81192660550458706</v>
      </c>
    </row>
    <row r="16" spans="1:20">
      <c r="A16" s="86" t="s">
        <v>128</v>
      </c>
      <c r="B16" s="87" t="s">
        <v>246</v>
      </c>
      <c r="C16" s="87">
        <v>27660</v>
      </c>
      <c r="D16" s="87">
        <v>79.2</v>
      </c>
      <c r="E16" s="87">
        <v>78.7</v>
      </c>
      <c r="F16" s="87">
        <v>79.7</v>
      </c>
      <c r="I16" s="47" t="s">
        <v>150</v>
      </c>
      <c r="J16" s="70">
        <f>D22/D19</f>
        <v>0.81399046104928463</v>
      </c>
    </row>
    <row r="17" spans="1:18" ht="27" thickBot="1">
      <c r="A17" s="86" t="s">
        <v>157</v>
      </c>
      <c r="B17" s="87" t="s">
        <v>246</v>
      </c>
      <c r="C17" s="87">
        <v>44019</v>
      </c>
      <c r="D17" s="87">
        <v>79.3</v>
      </c>
      <c r="E17" s="87">
        <v>78.900000000000006</v>
      </c>
      <c r="F17" s="87">
        <v>79.7</v>
      </c>
      <c r="I17" s="70" t="s">
        <v>247</v>
      </c>
      <c r="J17" s="70">
        <f>D23/D20</f>
        <v>0.81191222570532917</v>
      </c>
      <c r="O17" s="43" t="s">
        <v>132</v>
      </c>
      <c r="P17" s="43" t="s">
        <v>145</v>
      </c>
      <c r="Q17" s="43" t="s">
        <v>146</v>
      </c>
      <c r="R17" s="43" t="s">
        <v>147</v>
      </c>
    </row>
    <row r="18" spans="1:18">
      <c r="A18" s="86" t="s">
        <v>129</v>
      </c>
      <c r="B18" s="87" t="s">
        <v>248</v>
      </c>
      <c r="C18" s="87">
        <v>16359</v>
      </c>
      <c r="D18" s="87">
        <v>65.400000000000006</v>
      </c>
      <c r="E18" s="87">
        <v>64.2</v>
      </c>
      <c r="F18" s="87">
        <v>66.599999999999994</v>
      </c>
      <c r="N18" s="44" t="s">
        <v>138</v>
      </c>
    </row>
    <row r="19" spans="1:18">
      <c r="A19" s="86" t="s">
        <v>128</v>
      </c>
      <c r="B19" s="87" t="s">
        <v>248</v>
      </c>
      <c r="C19" s="87">
        <v>27660</v>
      </c>
      <c r="D19" s="87">
        <v>62.9</v>
      </c>
      <c r="E19" s="87">
        <v>61.9</v>
      </c>
      <c r="F19" s="87">
        <v>64</v>
      </c>
      <c r="N19" s="44" t="s">
        <v>135</v>
      </c>
      <c r="O19" s="88" t="s">
        <v>136</v>
      </c>
      <c r="P19" s="45">
        <f>F34</f>
        <v>99.4</v>
      </c>
      <c r="Q19" s="23">
        <f>H34</f>
        <v>97.2</v>
      </c>
      <c r="R19" s="70">
        <f>Q19*$J$17</f>
        <v>78.917868338557994</v>
      </c>
    </row>
    <row r="20" spans="1:18">
      <c r="A20" s="86" t="s">
        <v>157</v>
      </c>
      <c r="B20" s="87" t="s">
        <v>248</v>
      </c>
      <c r="C20" s="87">
        <v>44019</v>
      </c>
      <c r="D20" s="87">
        <v>63.8</v>
      </c>
      <c r="E20" s="87">
        <v>63</v>
      </c>
      <c r="F20" s="87">
        <v>64.5</v>
      </c>
      <c r="N20" s="44"/>
      <c r="O20" s="88" t="s">
        <v>141</v>
      </c>
      <c r="P20" s="45">
        <f>F35</f>
        <v>98.9</v>
      </c>
      <c r="Q20" s="23">
        <f t="shared" ref="Q20:Q23" si="0">H35</f>
        <v>95.8</v>
      </c>
      <c r="R20" s="70">
        <f t="shared" ref="R20:R61" si="1">Q20*$J$17</f>
        <v>77.781191222570527</v>
      </c>
    </row>
    <row r="21" spans="1:18">
      <c r="A21" s="86" t="s">
        <v>129</v>
      </c>
      <c r="B21" s="87" t="s">
        <v>249</v>
      </c>
      <c r="C21" s="87">
        <v>26742</v>
      </c>
      <c r="D21" s="87">
        <v>53.1</v>
      </c>
      <c r="E21" s="87">
        <v>50.4</v>
      </c>
      <c r="F21" s="87">
        <v>55.9</v>
      </c>
      <c r="N21" s="44"/>
      <c r="O21" s="88" t="s">
        <v>142</v>
      </c>
      <c r="P21" s="45">
        <f t="shared" ref="P21:P23" si="2">F36</f>
        <v>98.3</v>
      </c>
      <c r="Q21" s="23">
        <f t="shared" si="0"/>
        <v>91.8</v>
      </c>
      <c r="R21" s="70">
        <f t="shared" si="1"/>
        <v>74.533542319749216</v>
      </c>
    </row>
    <row r="22" spans="1:18">
      <c r="A22" s="86" t="s">
        <v>128</v>
      </c>
      <c r="B22" s="87" t="s">
        <v>249</v>
      </c>
      <c r="C22" s="87">
        <v>44458</v>
      </c>
      <c r="D22" s="87">
        <v>51.2</v>
      </c>
      <c r="E22" s="87">
        <v>48.8</v>
      </c>
      <c r="F22" s="87">
        <v>53.6</v>
      </c>
      <c r="N22" s="44"/>
      <c r="O22" s="88" t="s">
        <v>143</v>
      </c>
      <c r="P22" s="45">
        <f t="shared" si="2"/>
        <v>97.6</v>
      </c>
      <c r="Q22" s="23">
        <f t="shared" si="0"/>
        <v>89.1</v>
      </c>
      <c r="R22" s="70">
        <f t="shared" si="1"/>
        <v>72.34137931034482</v>
      </c>
    </row>
    <row r="23" spans="1:18">
      <c r="A23" s="86" t="s">
        <v>157</v>
      </c>
      <c r="B23" s="87" t="s">
        <v>249</v>
      </c>
      <c r="C23" s="87">
        <v>71200</v>
      </c>
      <c r="D23" s="87">
        <v>51.8</v>
      </c>
      <c r="E23" s="87">
        <v>50</v>
      </c>
      <c r="F23" s="87">
        <v>53.7</v>
      </c>
      <c r="O23" s="88" t="s">
        <v>144</v>
      </c>
      <c r="P23" s="45">
        <f t="shared" si="2"/>
        <v>89.9</v>
      </c>
      <c r="Q23" s="23">
        <f t="shared" si="0"/>
        <v>72.5</v>
      </c>
      <c r="R23" s="70">
        <f t="shared" si="1"/>
        <v>58.863636363636367</v>
      </c>
    </row>
    <row r="24" spans="1:18">
      <c r="N24" s="44" t="s">
        <v>153</v>
      </c>
      <c r="O24" s="88" t="s">
        <v>136</v>
      </c>
      <c r="P24" s="23">
        <f>F40</f>
        <v>99.8</v>
      </c>
      <c r="Q24" s="23">
        <f>H40</f>
        <v>98.3</v>
      </c>
      <c r="R24" s="70">
        <f t="shared" si="1"/>
        <v>79.810971786833861</v>
      </c>
    </row>
    <row r="25" spans="1:18">
      <c r="A25" s="89" t="s">
        <v>250</v>
      </c>
      <c r="B25" s="90"/>
      <c r="C25" s="90"/>
      <c r="D25" s="90"/>
      <c r="E25" s="91"/>
      <c r="F25" s="91"/>
      <c r="G25" s="91"/>
      <c r="H25" s="91"/>
      <c r="I25" s="90"/>
      <c r="O25" s="88" t="s">
        <v>141</v>
      </c>
      <c r="P25" s="23">
        <f>F40</f>
        <v>99.8</v>
      </c>
      <c r="Q25" s="23">
        <f>H40</f>
        <v>98.3</v>
      </c>
      <c r="R25" s="70">
        <f t="shared" si="1"/>
        <v>79.810971786833861</v>
      </c>
    </row>
    <row r="26" spans="1:18">
      <c r="A26" s="89" t="s">
        <v>140</v>
      </c>
      <c r="B26" s="90"/>
      <c r="C26" s="90"/>
      <c r="D26" s="90"/>
      <c r="E26" s="91"/>
      <c r="F26" s="91"/>
      <c r="G26" s="91"/>
      <c r="H26" s="91"/>
      <c r="I26" s="90"/>
      <c r="O26" s="88" t="s">
        <v>142</v>
      </c>
      <c r="P26" s="23">
        <f t="shared" ref="P26:P28" si="3">F41</f>
        <v>99.1</v>
      </c>
      <c r="Q26" s="23">
        <f t="shared" ref="Q26:Q28" si="4">H41</f>
        <v>94.5</v>
      </c>
      <c r="R26" s="70">
        <f t="shared" si="1"/>
        <v>76.725705329153612</v>
      </c>
    </row>
    <row r="27" spans="1:18">
      <c r="A27" s="91"/>
      <c r="B27" s="90"/>
      <c r="C27" s="90"/>
      <c r="D27" s="90"/>
      <c r="E27" s="91"/>
      <c r="F27" s="91"/>
      <c r="G27" s="91"/>
      <c r="H27" s="91"/>
      <c r="I27" s="90"/>
      <c r="O27" s="88" t="s">
        <v>143</v>
      </c>
      <c r="P27" s="23">
        <f t="shared" si="3"/>
        <v>97.2</v>
      </c>
      <c r="Q27" s="23">
        <f t="shared" si="4"/>
        <v>90.4</v>
      </c>
      <c r="R27" s="70">
        <f t="shared" si="1"/>
        <v>73.396865203761763</v>
      </c>
    </row>
    <row r="28" spans="1:18">
      <c r="A28" s="208" t="s">
        <v>251</v>
      </c>
      <c r="B28" s="208"/>
      <c r="C28" s="208"/>
      <c r="D28" s="208"/>
      <c r="E28" s="208"/>
      <c r="F28" s="208"/>
      <c r="G28" s="208"/>
      <c r="H28" s="208"/>
      <c r="I28" s="208"/>
      <c r="O28" s="88" t="s">
        <v>144</v>
      </c>
      <c r="P28" s="23">
        <f t="shared" si="3"/>
        <v>90.6</v>
      </c>
      <c r="Q28" s="23">
        <f t="shared" si="4"/>
        <v>76</v>
      </c>
      <c r="R28" s="70">
        <f t="shared" si="1"/>
        <v>61.705329153605014</v>
      </c>
    </row>
    <row r="29" spans="1:18">
      <c r="A29" s="209" t="s">
        <v>252</v>
      </c>
      <c r="B29" s="209"/>
      <c r="C29" s="209"/>
      <c r="D29" s="209"/>
      <c r="E29" s="209"/>
      <c r="F29" s="209"/>
      <c r="G29" s="209"/>
      <c r="H29" s="209"/>
      <c r="I29" s="209"/>
      <c r="N29" s="44" t="s">
        <v>152</v>
      </c>
    </row>
    <row r="30" spans="1:18">
      <c r="A30" s="92" t="s">
        <v>253</v>
      </c>
      <c r="B30" s="93"/>
      <c r="C30" s="93"/>
      <c r="D30" s="93"/>
      <c r="E30" s="93"/>
      <c r="F30" s="93"/>
      <c r="G30" s="93"/>
      <c r="H30" s="93"/>
      <c r="I30" s="93"/>
      <c r="N30" s="44" t="s">
        <v>135</v>
      </c>
      <c r="O30" s="88" t="s">
        <v>136</v>
      </c>
      <c r="P30" s="23">
        <f>F45</f>
        <v>98.2</v>
      </c>
      <c r="Q30" s="23">
        <f>H45</f>
        <v>84.4</v>
      </c>
      <c r="R30" s="70">
        <f t="shared" si="1"/>
        <v>68.525391849529782</v>
      </c>
    </row>
    <row r="31" spans="1:18">
      <c r="A31" s="214" t="s">
        <v>254</v>
      </c>
      <c r="B31" s="214"/>
      <c r="C31" s="214"/>
      <c r="D31" s="214"/>
      <c r="E31" s="214"/>
      <c r="F31" s="214"/>
      <c r="G31" s="214"/>
      <c r="H31" s="214"/>
      <c r="I31" s="214"/>
      <c r="N31" s="44"/>
      <c r="O31" s="88" t="s">
        <v>141</v>
      </c>
      <c r="P31" s="23">
        <f t="shared" ref="P31:P34" si="5">F46</f>
        <v>98.3</v>
      </c>
      <c r="Q31" s="23">
        <f t="shared" ref="Q31:Q34" si="6">H46</f>
        <v>87.5</v>
      </c>
      <c r="R31" s="70">
        <f t="shared" si="1"/>
        <v>71.042319749216304</v>
      </c>
    </row>
    <row r="32" spans="1:18">
      <c r="E32" s="205" t="s">
        <v>139</v>
      </c>
      <c r="F32" s="205"/>
      <c r="G32" s="205" t="s">
        <v>158</v>
      </c>
      <c r="H32" s="205"/>
      <c r="N32" s="44"/>
      <c r="O32" s="88" t="s">
        <v>142</v>
      </c>
      <c r="P32" s="23">
        <f t="shared" si="5"/>
        <v>97.8</v>
      </c>
      <c r="Q32" s="23">
        <f t="shared" si="6"/>
        <v>92.4</v>
      </c>
      <c r="R32" s="70">
        <f t="shared" si="1"/>
        <v>75.020689655172418</v>
      </c>
    </row>
    <row r="33" spans="1:18">
      <c r="A33" s="94" t="s">
        <v>134</v>
      </c>
      <c r="B33" s="94" t="s">
        <v>131</v>
      </c>
      <c r="C33" s="94" t="s">
        <v>133</v>
      </c>
      <c r="D33" s="94" t="s">
        <v>132</v>
      </c>
      <c r="E33" s="94" t="s">
        <v>255</v>
      </c>
      <c r="F33" s="94" t="s">
        <v>256</v>
      </c>
      <c r="G33" s="94" t="s">
        <v>255</v>
      </c>
      <c r="H33" s="94" t="s">
        <v>256</v>
      </c>
      <c r="I33" s="95"/>
      <c r="N33" s="44"/>
      <c r="O33" s="88" t="s">
        <v>143</v>
      </c>
      <c r="P33" s="23">
        <f t="shared" si="5"/>
        <v>93</v>
      </c>
      <c r="Q33" s="23">
        <f t="shared" si="6"/>
        <v>81.5</v>
      </c>
      <c r="R33" s="70">
        <f t="shared" si="1"/>
        <v>66.170846394984324</v>
      </c>
    </row>
    <row r="34" spans="1:18">
      <c r="A34" s="94" t="s">
        <v>138</v>
      </c>
      <c r="B34" s="88" t="s">
        <v>135</v>
      </c>
      <c r="C34" s="94" t="s">
        <v>137</v>
      </c>
      <c r="D34" s="88" t="s">
        <v>136</v>
      </c>
      <c r="E34" s="96">
        <v>710</v>
      </c>
      <c r="F34" s="97">
        <v>99.4</v>
      </c>
      <c r="G34" s="96">
        <v>710</v>
      </c>
      <c r="H34" s="97">
        <v>97.2</v>
      </c>
      <c r="I34" s="95"/>
      <c r="O34" s="88" t="s">
        <v>144</v>
      </c>
      <c r="P34" s="23">
        <f t="shared" si="5"/>
        <v>83.6</v>
      </c>
      <c r="Q34" s="23">
        <f t="shared" si="6"/>
        <v>56.2</v>
      </c>
      <c r="R34" s="70">
        <f t="shared" si="1"/>
        <v>45.629467084639501</v>
      </c>
    </row>
    <row r="35" spans="1:18">
      <c r="A35" s="94"/>
      <c r="B35" s="88"/>
      <c r="C35" s="94"/>
      <c r="D35" s="88" t="s">
        <v>141</v>
      </c>
      <c r="E35" s="96">
        <v>1566</v>
      </c>
      <c r="F35" s="97">
        <v>98.9</v>
      </c>
      <c r="G35" s="96">
        <v>1566</v>
      </c>
      <c r="H35" s="97">
        <v>95.8</v>
      </c>
      <c r="I35" s="95"/>
      <c r="N35" s="44" t="s">
        <v>153</v>
      </c>
      <c r="O35" s="88" t="s">
        <v>136</v>
      </c>
      <c r="P35" s="23">
        <f>F51</f>
        <v>98.1</v>
      </c>
      <c r="Q35" s="23">
        <f>H52</f>
        <v>91.8</v>
      </c>
      <c r="R35" s="70">
        <f t="shared" si="1"/>
        <v>74.533542319749216</v>
      </c>
    </row>
    <row r="36" spans="1:18">
      <c r="A36" s="94"/>
      <c r="B36" s="88"/>
      <c r="C36" s="94"/>
      <c r="D36" s="88" t="s">
        <v>142</v>
      </c>
      <c r="E36" s="96">
        <v>2368</v>
      </c>
      <c r="F36" s="97">
        <v>98.3</v>
      </c>
      <c r="G36" s="96">
        <v>2368</v>
      </c>
      <c r="H36" s="97">
        <v>91.8</v>
      </c>
      <c r="I36" s="95"/>
      <c r="O36" s="88" t="s">
        <v>141</v>
      </c>
      <c r="P36" s="23">
        <f>F53</f>
        <v>99</v>
      </c>
      <c r="Q36" s="23">
        <f>H52</f>
        <v>91.8</v>
      </c>
      <c r="R36" s="70">
        <f t="shared" si="1"/>
        <v>74.533542319749216</v>
      </c>
    </row>
    <row r="37" spans="1:18">
      <c r="A37" s="94"/>
      <c r="B37" s="88"/>
      <c r="C37" s="94"/>
      <c r="D37" s="88" t="s">
        <v>143</v>
      </c>
      <c r="E37" s="96">
        <v>3205</v>
      </c>
      <c r="F37" s="97">
        <v>97.6</v>
      </c>
      <c r="G37" s="96">
        <v>3205</v>
      </c>
      <c r="H37" s="97">
        <v>89.1</v>
      </c>
      <c r="I37" s="95"/>
      <c r="O37" s="88" t="s">
        <v>142</v>
      </c>
      <c r="P37" s="23">
        <f t="shared" ref="P37:P39" si="7">F54</f>
        <v>97.1</v>
      </c>
      <c r="Q37" s="23">
        <f>H54</f>
        <v>87.8</v>
      </c>
      <c r="R37" s="70">
        <f t="shared" si="1"/>
        <v>71.285893416927905</v>
      </c>
    </row>
    <row r="38" spans="1:18">
      <c r="A38" s="94"/>
      <c r="B38" s="88"/>
      <c r="C38" s="94"/>
      <c r="D38" s="88" t="s">
        <v>144</v>
      </c>
      <c r="E38" s="96">
        <v>2926</v>
      </c>
      <c r="F38" s="97">
        <v>89.9</v>
      </c>
      <c r="G38" s="96">
        <v>2926</v>
      </c>
      <c r="H38" s="97">
        <v>72.5</v>
      </c>
      <c r="I38" s="95"/>
      <c r="O38" s="88" t="s">
        <v>143</v>
      </c>
      <c r="P38" s="23">
        <f t="shared" si="7"/>
        <v>93.9</v>
      </c>
      <c r="Q38" s="23">
        <f t="shared" ref="Q38:Q39" si="8">H55</f>
        <v>81.3</v>
      </c>
      <c r="R38" s="70">
        <f t="shared" si="1"/>
        <v>66.008463949843261</v>
      </c>
    </row>
    <row r="39" spans="1:18">
      <c r="A39" s="94"/>
      <c r="B39" s="88"/>
      <c r="C39" s="94"/>
      <c r="D39" s="88" t="s">
        <v>149</v>
      </c>
      <c r="E39" s="96">
        <v>10775</v>
      </c>
      <c r="F39" s="97">
        <v>96</v>
      </c>
      <c r="G39" s="96">
        <v>10775</v>
      </c>
      <c r="H39" s="97">
        <v>86.7</v>
      </c>
      <c r="I39" s="95"/>
      <c r="O39" s="88" t="s">
        <v>144</v>
      </c>
      <c r="P39" s="23">
        <f t="shared" si="7"/>
        <v>85</v>
      </c>
      <c r="Q39" s="23">
        <f t="shared" si="8"/>
        <v>58.5</v>
      </c>
      <c r="R39" s="70">
        <f t="shared" si="1"/>
        <v>47.496865203761757</v>
      </c>
    </row>
    <row r="40" spans="1:18">
      <c r="A40" s="94"/>
      <c r="B40" s="88" t="s">
        <v>153</v>
      </c>
      <c r="C40" s="94" t="s">
        <v>137</v>
      </c>
      <c r="D40" s="88" t="s">
        <v>151</v>
      </c>
      <c r="E40" s="96">
        <v>1393</v>
      </c>
      <c r="F40" s="97">
        <v>99.8</v>
      </c>
      <c r="G40" s="96">
        <v>1393</v>
      </c>
      <c r="H40" s="97">
        <v>98.3</v>
      </c>
      <c r="I40" s="95"/>
      <c r="N40" s="44" t="s">
        <v>154</v>
      </c>
    </row>
    <row r="41" spans="1:18">
      <c r="A41" s="94"/>
      <c r="B41" s="88"/>
      <c r="C41" s="94"/>
      <c r="D41" s="88" t="s">
        <v>142</v>
      </c>
      <c r="E41" s="96">
        <v>1428</v>
      </c>
      <c r="F41" s="97">
        <v>99.1</v>
      </c>
      <c r="G41" s="96">
        <v>1428</v>
      </c>
      <c r="H41" s="97">
        <v>94.5</v>
      </c>
      <c r="I41" s="95"/>
      <c r="N41" s="44" t="s">
        <v>135</v>
      </c>
      <c r="O41" s="88" t="s">
        <v>136</v>
      </c>
      <c r="P41" s="23">
        <f>F57</f>
        <v>94.8</v>
      </c>
      <c r="Q41" s="23">
        <f>H58</f>
        <v>81.099999999999994</v>
      </c>
      <c r="R41" s="70">
        <f t="shared" si="1"/>
        <v>65.846081504702198</v>
      </c>
    </row>
    <row r="42" spans="1:18">
      <c r="A42" s="94"/>
      <c r="B42" s="88"/>
      <c r="C42" s="94"/>
      <c r="D42" s="88" t="s">
        <v>143</v>
      </c>
      <c r="E42" s="96">
        <v>1907</v>
      </c>
      <c r="F42" s="97">
        <v>97.2</v>
      </c>
      <c r="G42" s="96">
        <v>1907</v>
      </c>
      <c r="H42" s="97">
        <v>90.4</v>
      </c>
      <c r="I42" s="95"/>
      <c r="N42" s="44"/>
      <c r="O42" s="88" t="s">
        <v>141</v>
      </c>
      <c r="P42" s="23">
        <f>F59</f>
        <v>96.4</v>
      </c>
      <c r="Q42" s="23">
        <f>H58</f>
        <v>81.099999999999994</v>
      </c>
      <c r="R42" s="70">
        <f t="shared" si="1"/>
        <v>65.846081504702198</v>
      </c>
    </row>
    <row r="43" spans="1:18">
      <c r="A43" s="94"/>
      <c r="B43" s="88"/>
      <c r="C43" s="94"/>
      <c r="D43" s="88" t="s">
        <v>144</v>
      </c>
      <c r="E43" s="96">
        <v>2205</v>
      </c>
      <c r="F43" s="97">
        <v>90.6</v>
      </c>
      <c r="G43" s="96">
        <v>2205</v>
      </c>
      <c r="H43" s="97">
        <v>76</v>
      </c>
      <c r="I43" s="95"/>
      <c r="N43" s="44"/>
      <c r="O43" s="88" t="s">
        <v>142</v>
      </c>
      <c r="P43" s="23">
        <f t="shared" ref="P43:P45" si="9">F60</f>
        <v>94.5</v>
      </c>
      <c r="Q43" s="23">
        <f>H60</f>
        <v>79.7</v>
      </c>
      <c r="R43" s="70">
        <f t="shared" si="1"/>
        <v>64.709404388714731</v>
      </c>
    </row>
    <row r="44" spans="1:18">
      <c r="A44" s="94"/>
      <c r="B44" s="88"/>
      <c r="C44" s="94"/>
      <c r="D44" s="88" t="s">
        <v>149</v>
      </c>
      <c r="E44" s="96">
        <v>6933</v>
      </c>
      <c r="F44" s="97">
        <v>96</v>
      </c>
      <c r="G44" s="96">
        <v>6933</v>
      </c>
      <c r="H44" s="97">
        <v>88.2</v>
      </c>
      <c r="I44" s="95"/>
      <c r="N44" s="44"/>
      <c r="O44" s="88" t="s">
        <v>143</v>
      </c>
      <c r="P44" s="23">
        <f t="shared" si="9"/>
        <v>95.2</v>
      </c>
      <c r="Q44" s="23">
        <f t="shared" ref="Q44:Q45" si="10">H61</f>
        <v>77.400000000000006</v>
      </c>
      <c r="R44" s="70">
        <f t="shared" si="1"/>
        <v>62.842006269592481</v>
      </c>
    </row>
    <row r="45" spans="1:18">
      <c r="A45" s="94" t="s">
        <v>152</v>
      </c>
      <c r="B45" s="88" t="s">
        <v>135</v>
      </c>
      <c r="C45" s="94" t="s">
        <v>137</v>
      </c>
      <c r="D45" s="88" t="s">
        <v>136</v>
      </c>
      <c r="E45" s="96">
        <v>156</v>
      </c>
      <c r="F45" s="97">
        <v>98.2</v>
      </c>
      <c r="G45" s="96">
        <v>156</v>
      </c>
      <c r="H45" s="97">
        <v>84.4</v>
      </c>
      <c r="I45" s="95"/>
      <c r="O45" s="88" t="s">
        <v>144</v>
      </c>
      <c r="P45" s="23">
        <f t="shared" si="9"/>
        <v>87.2</v>
      </c>
      <c r="Q45" s="23">
        <f t="shared" si="10"/>
        <v>66.599999999999994</v>
      </c>
      <c r="R45" s="70">
        <f t="shared" si="1"/>
        <v>54.073354231974918</v>
      </c>
    </row>
    <row r="46" spans="1:18">
      <c r="A46" s="94"/>
      <c r="B46" s="88"/>
      <c r="C46" s="94"/>
      <c r="D46" s="88" t="s">
        <v>141</v>
      </c>
      <c r="E46" s="96">
        <v>344</v>
      </c>
      <c r="F46" s="97">
        <v>98.3</v>
      </c>
      <c r="G46" s="96">
        <v>344</v>
      </c>
      <c r="H46" s="97">
        <v>87.5</v>
      </c>
      <c r="I46" s="95"/>
      <c r="N46" s="44" t="s">
        <v>153</v>
      </c>
      <c r="O46" s="88" t="s">
        <v>136</v>
      </c>
      <c r="P46" s="23">
        <f>F64</f>
        <v>96.6</v>
      </c>
      <c r="Q46" s="23">
        <f>H65</f>
        <v>77.099999999999994</v>
      </c>
      <c r="R46" s="70">
        <f t="shared" si="1"/>
        <v>62.598432601880873</v>
      </c>
    </row>
    <row r="47" spans="1:18">
      <c r="A47" s="94"/>
      <c r="B47" s="88"/>
      <c r="C47" s="94"/>
      <c r="D47" s="88" t="s">
        <v>142</v>
      </c>
      <c r="E47" s="96">
        <v>504</v>
      </c>
      <c r="F47" s="97">
        <v>97.8</v>
      </c>
      <c r="G47" s="96">
        <v>504</v>
      </c>
      <c r="H47" s="97">
        <v>92.4</v>
      </c>
      <c r="I47" s="95"/>
      <c r="O47" s="88" t="s">
        <v>141</v>
      </c>
      <c r="P47" s="23">
        <f>F66</f>
        <v>92</v>
      </c>
      <c r="Q47" s="23">
        <f>H65</f>
        <v>77.099999999999994</v>
      </c>
      <c r="R47" s="70">
        <f t="shared" si="1"/>
        <v>62.598432601880873</v>
      </c>
    </row>
    <row r="48" spans="1:18">
      <c r="A48" s="94"/>
      <c r="B48" s="88"/>
      <c r="C48" s="94"/>
      <c r="D48" s="88" t="s">
        <v>143</v>
      </c>
      <c r="E48" s="96">
        <v>581</v>
      </c>
      <c r="F48" s="97">
        <v>93</v>
      </c>
      <c r="G48" s="96">
        <v>581</v>
      </c>
      <c r="H48" s="97">
        <v>81.5</v>
      </c>
      <c r="I48" s="95"/>
      <c r="O48" s="88" t="s">
        <v>142</v>
      </c>
      <c r="P48" s="23">
        <f t="shared" ref="P48:P50" si="11">F67</f>
        <v>93</v>
      </c>
      <c r="Q48" s="23">
        <f>H67</f>
        <v>76.900000000000006</v>
      </c>
      <c r="R48" s="70">
        <f t="shared" si="1"/>
        <v>62.436050156739817</v>
      </c>
    </row>
    <row r="49" spans="1:18">
      <c r="A49" s="94"/>
      <c r="B49" s="88"/>
      <c r="C49" s="94"/>
      <c r="D49" s="88" t="s">
        <v>144</v>
      </c>
      <c r="E49" s="96">
        <v>508</v>
      </c>
      <c r="F49" s="97">
        <v>83.6</v>
      </c>
      <c r="G49" s="96">
        <v>508</v>
      </c>
      <c r="H49" s="97">
        <v>56.2</v>
      </c>
      <c r="I49" s="95"/>
      <c r="O49" s="88" t="s">
        <v>143</v>
      </c>
      <c r="P49" s="23">
        <f t="shared" si="11"/>
        <v>93.1</v>
      </c>
      <c r="Q49" s="23">
        <f t="shared" ref="Q49:Q50" si="12">H68</f>
        <v>77.599999999999994</v>
      </c>
      <c r="R49" s="70">
        <f t="shared" si="1"/>
        <v>63.004388714733537</v>
      </c>
    </row>
    <row r="50" spans="1:18">
      <c r="A50" s="94"/>
      <c r="B50" s="88"/>
      <c r="C50" s="94"/>
      <c r="D50" s="88" t="s">
        <v>149</v>
      </c>
      <c r="E50" s="96">
        <v>2093</v>
      </c>
      <c r="F50" s="97">
        <v>93.1</v>
      </c>
      <c r="G50" s="96">
        <v>2093</v>
      </c>
      <c r="H50" s="97">
        <v>79.099999999999994</v>
      </c>
      <c r="I50" s="95"/>
      <c r="O50" s="88" t="s">
        <v>144</v>
      </c>
      <c r="P50" s="23">
        <f t="shared" si="11"/>
        <v>83.6</v>
      </c>
      <c r="Q50" s="23">
        <f t="shared" si="12"/>
        <v>61.4</v>
      </c>
      <c r="R50" s="70">
        <f t="shared" si="1"/>
        <v>49.851410658307209</v>
      </c>
    </row>
    <row r="51" spans="1:18">
      <c r="A51" s="94"/>
      <c r="B51" s="88" t="s">
        <v>153</v>
      </c>
      <c r="C51" s="94" t="s">
        <v>137</v>
      </c>
      <c r="D51" s="88" t="s">
        <v>136</v>
      </c>
      <c r="E51" s="96">
        <v>102</v>
      </c>
      <c r="F51" s="97">
        <v>98.1</v>
      </c>
      <c r="G51" s="96" t="s">
        <v>156</v>
      </c>
      <c r="H51" s="97" t="s">
        <v>156</v>
      </c>
      <c r="I51" s="95"/>
      <c r="N51" s="44" t="s">
        <v>155</v>
      </c>
    </row>
    <row r="52" spans="1:18">
      <c r="A52" s="94"/>
      <c r="B52" s="88"/>
      <c r="C52" s="94"/>
      <c r="D52" s="88" t="s">
        <v>151</v>
      </c>
      <c r="E52" s="96" t="s">
        <v>156</v>
      </c>
      <c r="F52" s="97" t="s">
        <v>156</v>
      </c>
      <c r="G52" s="96">
        <v>273</v>
      </c>
      <c r="H52" s="97">
        <v>91.8</v>
      </c>
      <c r="I52" s="95"/>
      <c r="N52" s="44" t="s">
        <v>135</v>
      </c>
      <c r="O52" s="88" t="s">
        <v>136</v>
      </c>
      <c r="P52" s="23">
        <f>F71</f>
        <v>52.1</v>
      </c>
      <c r="Q52" s="23">
        <f>H71</f>
        <v>19.600000000000001</v>
      </c>
      <c r="R52" s="70">
        <f>Q52*$J$17</f>
        <v>15.913479623824452</v>
      </c>
    </row>
    <row r="53" spans="1:18">
      <c r="A53" s="94"/>
      <c r="B53" s="88"/>
      <c r="C53" s="94"/>
      <c r="D53" s="88" t="s">
        <v>141</v>
      </c>
      <c r="E53" s="96">
        <v>171</v>
      </c>
      <c r="F53" s="97">
        <v>99</v>
      </c>
      <c r="G53" s="96" t="s">
        <v>156</v>
      </c>
      <c r="H53" s="97" t="s">
        <v>156</v>
      </c>
      <c r="I53" s="95"/>
      <c r="N53" s="44"/>
      <c r="O53" s="88" t="s">
        <v>141</v>
      </c>
      <c r="P53" s="23">
        <f t="shared" ref="P53:P56" si="13">F72</f>
        <v>50.1</v>
      </c>
      <c r="Q53" s="23">
        <f t="shared" ref="Q53:Q56" si="14">H72</f>
        <v>17.399999999999999</v>
      </c>
      <c r="R53" s="70">
        <f t="shared" si="1"/>
        <v>14.127272727272727</v>
      </c>
    </row>
    <row r="54" spans="1:18">
      <c r="A54" s="94"/>
      <c r="B54" s="88"/>
      <c r="C54" s="94"/>
      <c r="D54" s="88" t="s">
        <v>142</v>
      </c>
      <c r="E54" s="96">
        <v>268</v>
      </c>
      <c r="F54" s="97">
        <v>97.1</v>
      </c>
      <c r="G54" s="96">
        <v>268</v>
      </c>
      <c r="H54" s="97">
        <v>87.8</v>
      </c>
      <c r="I54" s="95"/>
      <c r="N54" s="44"/>
      <c r="O54" s="88" t="s">
        <v>142</v>
      </c>
      <c r="P54" s="23">
        <f t="shared" si="13"/>
        <v>46.5</v>
      </c>
      <c r="Q54" s="23">
        <f t="shared" si="14"/>
        <v>16.7</v>
      </c>
      <c r="R54" s="70">
        <f t="shared" si="1"/>
        <v>13.558934169278997</v>
      </c>
    </row>
    <row r="55" spans="1:18">
      <c r="A55" s="94"/>
      <c r="B55" s="88"/>
      <c r="C55" s="94"/>
      <c r="D55" s="88" t="s">
        <v>143</v>
      </c>
      <c r="E55" s="96">
        <v>333</v>
      </c>
      <c r="F55" s="97">
        <v>93.9</v>
      </c>
      <c r="G55" s="96">
        <v>333</v>
      </c>
      <c r="H55" s="97">
        <v>81.3</v>
      </c>
      <c r="I55" s="95"/>
      <c r="N55" s="44"/>
      <c r="O55" s="88" t="s">
        <v>143</v>
      </c>
      <c r="P55" s="23">
        <f t="shared" si="13"/>
        <v>41.5</v>
      </c>
      <c r="Q55" s="23">
        <f t="shared" si="14"/>
        <v>13.5</v>
      </c>
      <c r="R55" s="70">
        <f t="shared" si="1"/>
        <v>10.960815047021944</v>
      </c>
    </row>
    <row r="56" spans="1:18">
      <c r="A56" s="94"/>
      <c r="B56" s="88"/>
      <c r="C56" s="94"/>
      <c r="D56" s="88" t="s">
        <v>144</v>
      </c>
      <c r="E56" s="96">
        <v>379</v>
      </c>
      <c r="F56" s="97">
        <v>85</v>
      </c>
      <c r="G56" s="96">
        <v>379</v>
      </c>
      <c r="H56" s="97">
        <v>58.5</v>
      </c>
      <c r="I56" s="95"/>
      <c r="O56" s="88" t="s">
        <v>144</v>
      </c>
      <c r="P56" s="23">
        <f t="shared" si="13"/>
        <v>29.3</v>
      </c>
      <c r="Q56" s="23">
        <f t="shared" si="14"/>
        <v>6.1</v>
      </c>
      <c r="R56" s="70">
        <f t="shared" si="1"/>
        <v>4.9526645768025075</v>
      </c>
    </row>
    <row r="57" spans="1:18">
      <c r="A57" s="94" t="s">
        <v>154</v>
      </c>
      <c r="B57" s="88" t="s">
        <v>135</v>
      </c>
      <c r="C57" s="94" t="s">
        <v>137</v>
      </c>
      <c r="D57" s="88" t="s">
        <v>136</v>
      </c>
      <c r="E57" s="96">
        <v>205</v>
      </c>
      <c r="F57" s="97">
        <v>94.8</v>
      </c>
      <c r="G57" s="96" t="s">
        <v>156</v>
      </c>
      <c r="H57" s="97" t="s">
        <v>156</v>
      </c>
      <c r="I57" s="95"/>
      <c r="N57" s="44" t="s">
        <v>153</v>
      </c>
      <c r="O57" s="88" t="s">
        <v>136</v>
      </c>
      <c r="P57" s="23">
        <f>F77</f>
        <v>43.058349609375</v>
      </c>
      <c r="Q57" s="23">
        <f>H78</f>
        <v>18.5</v>
      </c>
      <c r="R57" s="70">
        <f t="shared" si="1"/>
        <v>15.02037617554859</v>
      </c>
    </row>
    <row r="58" spans="1:18">
      <c r="A58" s="94"/>
      <c r="B58" s="88"/>
      <c r="C58" s="94"/>
      <c r="D58" s="88" t="s">
        <v>151</v>
      </c>
      <c r="E58" s="96" t="s">
        <v>156</v>
      </c>
      <c r="F58" s="97" t="s">
        <v>156</v>
      </c>
      <c r="G58" s="96">
        <v>798</v>
      </c>
      <c r="H58" s="97">
        <v>81.099999999999994</v>
      </c>
      <c r="I58" s="95"/>
      <c r="O58" s="88" t="s">
        <v>141</v>
      </c>
      <c r="P58" s="23">
        <f>F79</f>
        <v>45.5</v>
      </c>
      <c r="Q58" s="23">
        <f>H78</f>
        <v>18.5</v>
      </c>
      <c r="R58" s="70">
        <f t="shared" si="1"/>
        <v>15.02037617554859</v>
      </c>
    </row>
    <row r="59" spans="1:18">
      <c r="A59" s="94"/>
      <c r="B59" s="88"/>
      <c r="C59" s="94"/>
      <c r="D59" s="88" t="s">
        <v>141</v>
      </c>
      <c r="E59" s="96">
        <v>593</v>
      </c>
      <c r="F59" s="97">
        <v>96.4</v>
      </c>
      <c r="G59" s="96" t="s">
        <v>156</v>
      </c>
      <c r="H59" s="97" t="s">
        <v>156</v>
      </c>
      <c r="I59" s="95"/>
      <c r="O59" s="88" t="s">
        <v>142</v>
      </c>
      <c r="P59" s="23">
        <f t="shared" ref="P59:P61" si="15">F80</f>
        <v>45.8</v>
      </c>
      <c r="Q59" s="23">
        <f>H80</f>
        <v>16.899999999999999</v>
      </c>
      <c r="R59" s="70">
        <f t="shared" si="1"/>
        <v>13.721316614420061</v>
      </c>
    </row>
    <row r="60" spans="1:18">
      <c r="A60" s="94"/>
      <c r="B60" s="88"/>
      <c r="C60" s="94"/>
      <c r="D60" s="88" t="s">
        <v>142</v>
      </c>
      <c r="E60" s="96">
        <v>1071</v>
      </c>
      <c r="F60" s="97">
        <v>94.5</v>
      </c>
      <c r="G60" s="96">
        <v>1071</v>
      </c>
      <c r="H60" s="97">
        <v>79.7</v>
      </c>
      <c r="I60" s="95"/>
      <c r="O60" s="88" t="s">
        <v>143</v>
      </c>
      <c r="P60" s="23">
        <f t="shared" si="15"/>
        <v>40.299999999999997</v>
      </c>
      <c r="Q60" s="23">
        <f t="shared" ref="Q60:Q61" si="16">H81</f>
        <v>13.7</v>
      </c>
      <c r="R60" s="70">
        <f t="shared" si="1"/>
        <v>11.123197492163008</v>
      </c>
    </row>
    <row r="61" spans="1:18">
      <c r="A61" s="94"/>
      <c r="B61" s="88"/>
      <c r="C61" s="94"/>
      <c r="D61" s="88" t="s">
        <v>143</v>
      </c>
      <c r="E61" s="96">
        <v>1482</v>
      </c>
      <c r="F61" s="97">
        <v>95.2</v>
      </c>
      <c r="G61" s="96">
        <v>1482</v>
      </c>
      <c r="H61" s="97">
        <v>77.400000000000006</v>
      </c>
      <c r="I61" s="95"/>
      <c r="O61" s="88" t="s">
        <v>144</v>
      </c>
      <c r="P61" s="23">
        <f t="shared" si="15"/>
        <v>24.2</v>
      </c>
      <c r="Q61" s="23">
        <f t="shared" si="16"/>
        <v>8.3000000000000007</v>
      </c>
      <c r="R61" s="70">
        <f t="shared" si="1"/>
        <v>6.7388714733542328</v>
      </c>
    </row>
    <row r="62" spans="1:18">
      <c r="A62" s="94"/>
      <c r="B62" s="88"/>
      <c r="C62" s="94"/>
      <c r="D62" s="88" t="s">
        <v>144</v>
      </c>
      <c r="E62" s="96">
        <v>1138</v>
      </c>
      <c r="F62" s="97">
        <v>87.2</v>
      </c>
      <c r="G62" s="96">
        <v>1138</v>
      </c>
      <c r="H62" s="97">
        <v>66.599999999999994</v>
      </c>
      <c r="I62" s="95"/>
    </row>
    <row r="63" spans="1:18">
      <c r="A63" s="94"/>
      <c r="B63" s="88"/>
      <c r="C63" s="94"/>
      <c r="D63" s="88" t="s">
        <v>149</v>
      </c>
      <c r="E63" s="96">
        <v>4489</v>
      </c>
      <c r="F63" s="97">
        <v>93.1</v>
      </c>
      <c r="G63" s="96">
        <v>4489</v>
      </c>
      <c r="H63" s="97">
        <v>75.900000000000006</v>
      </c>
      <c r="I63" s="95"/>
    </row>
    <row r="64" spans="1:18">
      <c r="A64" s="94"/>
      <c r="B64" s="88" t="s">
        <v>153</v>
      </c>
      <c r="C64" s="94" t="s">
        <v>137</v>
      </c>
      <c r="D64" s="88" t="s">
        <v>136</v>
      </c>
      <c r="E64" s="96">
        <v>87</v>
      </c>
      <c r="F64" s="97">
        <v>96.6</v>
      </c>
      <c r="G64" s="96" t="s">
        <v>156</v>
      </c>
      <c r="H64" s="97" t="s">
        <v>156</v>
      </c>
      <c r="I64" s="95"/>
    </row>
    <row r="65" spans="1:9">
      <c r="A65" s="94"/>
      <c r="B65" s="88"/>
      <c r="C65" s="94"/>
      <c r="D65" s="88" t="s">
        <v>151</v>
      </c>
      <c r="E65" s="96" t="s">
        <v>156</v>
      </c>
      <c r="F65" s="97" t="s">
        <v>156</v>
      </c>
      <c r="G65" s="96">
        <v>331</v>
      </c>
      <c r="H65" s="97">
        <v>77.099999999999994</v>
      </c>
      <c r="I65" s="95"/>
    </row>
    <row r="66" spans="1:9">
      <c r="A66" s="94"/>
      <c r="B66" s="88"/>
      <c r="C66" s="94"/>
      <c r="D66" s="88" t="s">
        <v>141</v>
      </c>
      <c r="E66" s="96">
        <v>244</v>
      </c>
      <c r="F66" s="97">
        <v>92</v>
      </c>
      <c r="G66" s="96" t="s">
        <v>156</v>
      </c>
      <c r="H66" s="97" t="s">
        <v>156</v>
      </c>
      <c r="I66" s="95"/>
    </row>
    <row r="67" spans="1:9">
      <c r="A67" s="94"/>
      <c r="B67" s="88"/>
      <c r="C67" s="94"/>
      <c r="D67" s="88" t="s">
        <v>142</v>
      </c>
      <c r="E67" s="96">
        <v>508</v>
      </c>
      <c r="F67" s="97">
        <v>93</v>
      </c>
      <c r="G67" s="96">
        <v>508</v>
      </c>
      <c r="H67" s="97">
        <v>76.900000000000006</v>
      </c>
      <c r="I67" s="95"/>
    </row>
    <row r="68" spans="1:9">
      <c r="A68" s="94"/>
      <c r="B68" s="88"/>
      <c r="C68" s="94"/>
      <c r="D68" s="88" t="s">
        <v>143</v>
      </c>
      <c r="E68" s="96">
        <v>781</v>
      </c>
      <c r="F68" s="97">
        <v>93.1</v>
      </c>
      <c r="G68" s="96">
        <v>781</v>
      </c>
      <c r="H68" s="97">
        <v>77.599999999999994</v>
      </c>
      <c r="I68" s="95"/>
    </row>
    <row r="69" spans="1:9">
      <c r="A69" s="94"/>
      <c r="B69" s="88"/>
      <c r="C69" s="94"/>
      <c r="D69" s="88" t="s">
        <v>144</v>
      </c>
      <c r="E69" s="96">
        <v>720</v>
      </c>
      <c r="F69" s="97">
        <v>83.6</v>
      </c>
      <c r="G69" s="96">
        <v>720</v>
      </c>
      <c r="H69" s="97">
        <v>61.4</v>
      </c>
      <c r="I69" s="95"/>
    </row>
    <row r="70" spans="1:9">
      <c r="A70" s="94"/>
      <c r="B70" s="88"/>
      <c r="C70" s="94"/>
      <c r="D70" s="88" t="s">
        <v>149</v>
      </c>
      <c r="E70" s="96">
        <v>2340</v>
      </c>
      <c r="F70" s="97">
        <v>90.2</v>
      </c>
      <c r="G70" s="96">
        <v>2340</v>
      </c>
      <c r="H70" s="97">
        <v>72.3</v>
      </c>
      <c r="I70" s="95"/>
    </row>
    <row r="71" spans="1:9">
      <c r="A71" s="94" t="s">
        <v>155</v>
      </c>
      <c r="B71" s="88" t="s">
        <v>135</v>
      </c>
      <c r="C71" s="94" t="s">
        <v>137</v>
      </c>
      <c r="D71" s="88" t="s">
        <v>136</v>
      </c>
      <c r="E71" s="96">
        <v>178</v>
      </c>
      <c r="F71" s="97">
        <v>52.1</v>
      </c>
      <c r="G71" s="96">
        <v>178</v>
      </c>
      <c r="H71" s="97">
        <v>19.600000000000001</v>
      </c>
      <c r="I71" s="95"/>
    </row>
    <row r="72" spans="1:9">
      <c r="A72" s="94"/>
      <c r="B72" s="88"/>
      <c r="C72" s="94"/>
      <c r="D72" s="88" t="s">
        <v>141</v>
      </c>
      <c r="E72" s="96">
        <v>669</v>
      </c>
      <c r="F72" s="97">
        <v>50.1</v>
      </c>
      <c r="G72" s="96">
        <v>669</v>
      </c>
      <c r="H72" s="97">
        <v>17.399999999999999</v>
      </c>
      <c r="I72" s="95"/>
    </row>
    <row r="73" spans="1:9">
      <c r="A73" s="94"/>
      <c r="B73" s="88"/>
      <c r="C73" s="94"/>
      <c r="D73" s="88" t="s">
        <v>142</v>
      </c>
      <c r="E73" s="96">
        <v>1359</v>
      </c>
      <c r="F73" s="97">
        <v>46.5</v>
      </c>
      <c r="G73" s="96">
        <v>1359</v>
      </c>
      <c r="H73" s="97">
        <v>16.7</v>
      </c>
      <c r="I73" s="95"/>
    </row>
    <row r="74" spans="1:9">
      <c r="A74" s="94"/>
      <c r="B74" s="88"/>
      <c r="C74" s="94"/>
      <c r="D74" s="88" t="s">
        <v>143</v>
      </c>
      <c r="E74" s="96">
        <v>1789</v>
      </c>
      <c r="F74" s="97">
        <v>41.5</v>
      </c>
      <c r="G74" s="96">
        <v>1789</v>
      </c>
      <c r="H74" s="97">
        <v>13.5</v>
      </c>
      <c r="I74" s="95"/>
    </row>
    <row r="75" spans="1:9">
      <c r="A75" s="94"/>
      <c r="B75" s="88"/>
      <c r="C75" s="94"/>
      <c r="D75" s="88" t="s">
        <v>144</v>
      </c>
      <c r="E75" s="96">
        <v>1913</v>
      </c>
      <c r="F75" s="97">
        <v>29.3</v>
      </c>
      <c r="G75" s="96">
        <v>1913</v>
      </c>
      <c r="H75" s="97">
        <v>6.1</v>
      </c>
      <c r="I75" s="95"/>
    </row>
    <row r="76" spans="1:9">
      <c r="A76" s="94"/>
      <c r="B76" s="88"/>
      <c r="C76" s="94"/>
      <c r="D76" s="88" t="s">
        <v>149</v>
      </c>
      <c r="E76" s="96">
        <v>5908</v>
      </c>
      <c r="F76" s="97">
        <v>40</v>
      </c>
      <c r="G76" s="96">
        <v>5908</v>
      </c>
      <c r="H76" s="97">
        <v>12.3</v>
      </c>
      <c r="I76" s="95"/>
    </row>
    <row r="77" spans="1:9">
      <c r="A77" s="94"/>
      <c r="B77" s="88" t="s">
        <v>153</v>
      </c>
      <c r="C77" s="94" t="s">
        <v>137</v>
      </c>
      <c r="D77" s="88" t="s">
        <v>136</v>
      </c>
      <c r="E77" s="96">
        <v>86</v>
      </c>
      <c r="F77" s="97">
        <v>43.058349609375</v>
      </c>
      <c r="G77" s="96" t="s">
        <v>156</v>
      </c>
      <c r="H77" s="97" t="s">
        <v>156</v>
      </c>
      <c r="I77" s="95"/>
    </row>
    <row r="78" spans="1:9">
      <c r="A78" s="94"/>
      <c r="B78" s="88"/>
      <c r="C78" s="94"/>
      <c r="D78" s="88" t="s">
        <v>151</v>
      </c>
      <c r="E78" s="96" t="s">
        <v>156</v>
      </c>
      <c r="F78" s="97" t="s">
        <v>156</v>
      </c>
      <c r="G78" s="96">
        <v>304</v>
      </c>
      <c r="H78" s="97">
        <v>18.5</v>
      </c>
      <c r="I78" s="95"/>
    </row>
    <row r="79" spans="1:9">
      <c r="A79" s="94"/>
      <c r="B79" s="88"/>
      <c r="C79" s="94"/>
      <c r="D79" s="88" t="s">
        <v>141</v>
      </c>
      <c r="E79" s="96">
        <v>218</v>
      </c>
      <c r="F79" s="97">
        <v>45.5</v>
      </c>
      <c r="G79" s="96" t="s">
        <v>156</v>
      </c>
      <c r="H79" s="97" t="s">
        <v>156</v>
      </c>
      <c r="I79" s="95"/>
    </row>
    <row r="80" spans="1:9">
      <c r="A80" s="94"/>
      <c r="B80" s="88"/>
      <c r="C80" s="94"/>
      <c r="D80" s="88" t="s">
        <v>142</v>
      </c>
      <c r="E80" s="96">
        <v>522</v>
      </c>
      <c r="F80" s="97">
        <v>45.8</v>
      </c>
      <c r="G80" s="96">
        <v>522</v>
      </c>
      <c r="H80" s="97">
        <v>16.899999999999999</v>
      </c>
      <c r="I80" s="95"/>
    </row>
    <row r="81" spans="1:9">
      <c r="A81" s="94"/>
      <c r="B81" s="88"/>
      <c r="C81" s="94"/>
      <c r="D81" s="88" t="s">
        <v>143</v>
      </c>
      <c r="E81" s="96">
        <v>899</v>
      </c>
      <c r="F81" s="97">
        <v>40.299999999999997</v>
      </c>
      <c r="G81" s="96">
        <v>899</v>
      </c>
      <c r="H81" s="97">
        <v>13.7</v>
      </c>
      <c r="I81" s="95"/>
    </row>
    <row r="82" spans="1:9">
      <c r="A82" s="94"/>
      <c r="B82" s="88"/>
      <c r="C82" s="94"/>
      <c r="D82" s="88" t="s">
        <v>144</v>
      </c>
      <c r="E82" s="96">
        <v>1391</v>
      </c>
      <c r="F82" s="97">
        <v>24.2</v>
      </c>
      <c r="G82" s="96">
        <v>1391</v>
      </c>
      <c r="H82" s="97">
        <v>8.3000000000000007</v>
      </c>
      <c r="I82" s="95"/>
    </row>
    <row r="83" spans="1:9">
      <c r="A83" s="94"/>
      <c r="B83" s="88"/>
      <c r="C83" s="94"/>
      <c r="D83" s="88" t="s">
        <v>149</v>
      </c>
      <c r="E83" s="96">
        <v>3116</v>
      </c>
      <c r="F83" s="97">
        <v>34.5</v>
      </c>
      <c r="G83" s="96">
        <v>3116</v>
      </c>
      <c r="H83" s="97">
        <v>12.2</v>
      </c>
      <c r="I83" s="95"/>
    </row>
  </sheetData>
  <mergeCells count="12">
    <mergeCell ref="A2:A3"/>
    <mergeCell ref="B2:B3"/>
    <mergeCell ref="C2:G2"/>
    <mergeCell ref="I2:M2"/>
    <mergeCell ref="A31:I31"/>
    <mergeCell ref="E32:F32"/>
    <mergeCell ref="G32:H32"/>
    <mergeCell ref="O4:R4"/>
    <mergeCell ref="A10:T10"/>
    <mergeCell ref="A12:T12"/>
    <mergeCell ref="A28:I28"/>
    <mergeCell ref="A29:I29"/>
  </mergeCells>
  <hyperlinks>
    <hyperlink ref="O4" r:id="rId1" display="http://www.ons.gov.uk/ons/guide-method/method-quality/quality/quality-information/health-and-social-care/index.html" xr:uid="{170B6BD7-4966-4C46-8D97-3271B02F4C84}"/>
    <hyperlink ref="O4:R4" r:id="rId2" display="Cancer survival statistical bulletins." xr:uid="{43E407C9-BB04-4642-945F-9E1D4670BE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9"/>
  <sheetViews>
    <sheetView tabSelected="1" topLeftCell="A13" workbookViewId="0">
      <selection activeCell="C15" sqref="C15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34</v>
      </c>
      <c r="B1" s="2" t="s">
        <v>4</v>
      </c>
      <c r="C1" s="2" t="s">
        <v>9</v>
      </c>
      <c r="D1" s="2" t="s">
        <v>32</v>
      </c>
      <c r="E1" s="2" t="s">
        <v>33</v>
      </c>
      <c r="F1" s="2" t="s">
        <v>221</v>
      </c>
    </row>
    <row r="2" spans="1:6">
      <c r="A2" s="5" t="str">
        <f>parameters!D2</f>
        <v>P.onset</v>
      </c>
      <c r="B2" s="68">
        <f>parameters!E2</f>
        <v>9.8400000000000007E-6</v>
      </c>
      <c r="C2" s="67">
        <f>parameters!G2</f>
        <v>7</v>
      </c>
      <c r="D2" s="69">
        <f>parameters!H2</f>
        <v>9.8400000000000007E-6</v>
      </c>
      <c r="E2" s="69">
        <f>parameters!I2</f>
        <v>9.5199999999999995E-7</v>
      </c>
      <c r="F2" s="69">
        <f>parameters!J2</f>
        <v>1.0000000000000001E-5</v>
      </c>
    </row>
    <row r="3" spans="1:6">
      <c r="A3" s="5" t="str">
        <f>parameters!D3</f>
        <v>P.onset_low.risk</v>
      </c>
      <c r="B3" s="68">
        <f>parameters!E3</f>
        <v>0</v>
      </c>
      <c r="C3" s="67">
        <f>parameters!G3</f>
        <v>6</v>
      </c>
      <c r="D3" s="69">
        <f>parameters!H3</f>
        <v>0</v>
      </c>
      <c r="E3" s="69">
        <f>parameters!I3</f>
        <v>0</v>
      </c>
      <c r="F3" s="69">
        <f>parameters!J3</f>
        <v>0</v>
      </c>
    </row>
    <row r="4" spans="1:6">
      <c r="A4" s="5" t="str">
        <f>parameters!D4</f>
        <v>RR.manufacture</v>
      </c>
      <c r="B4" s="68">
        <f>parameters!E4</f>
        <v>1</v>
      </c>
      <c r="C4" s="67">
        <f>parameters!G4</f>
        <v>6</v>
      </c>
      <c r="D4" s="69">
        <f>parameters!H4</f>
        <v>1</v>
      </c>
      <c r="E4" s="69">
        <f>parameters!I4</f>
        <v>1</v>
      </c>
      <c r="F4" s="69">
        <f>parameters!J4</f>
        <v>1</v>
      </c>
    </row>
    <row r="5" spans="1:6">
      <c r="A5" s="5" t="str">
        <f>parameters!D5</f>
        <v>RR.past_smoke</v>
      </c>
      <c r="B5" s="68">
        <f>parameters!E5</f>
        <v>1.2</v>
      </c>
      <c r="C5" s="67">
        <f>parameters!G5</f>
        <v>3</v>
      </c>
      <c r="D5" s="69">
        <f>parameters!H5</f>
        <v>0.18232155679395459</v>
      </c>
      <c r="E5" s="69">
        <f>parameters!I5</f>
        <v>2.7548628167633833E-2</v>
      </c>
      <c r="F5" s="69">
        <f>parameters!J5</f>
        <v>1.2</v>
      </c>
    </row>
    <row r="6" spans="1:6">
      <c r="A6" s="5" t="str">
        <f>parameters!D6</f>
        <v>RR.current_smoke</v>
      </c>
      <c r="B6" s="68">
        <f>parameters!E6</f>
        <v>1.39</v>
      </c>
      <c r="C6" s="67">
        <f>parameters!G6</f>
        <v>3</v>
      </c>
      <c r="D6" s="69">
        <f>parameters!H6</f>
        <v>0.3293037471426003</v>
      </c>
      <c r="E6" s="69">
        <f>parameters!I6</f>
        <v>4.2156277921118646E-2</v>
      </c>
      <c r="F6" s="69">
        <f>parameters!J6</f>
        <v>1.39</v>
      </c>
    </row>
    <row r="7" spans="1:6">
      <c r="A7" s="5" t="str">
        <f>parameters!D7</f>
        <v>P.onset_age</v>
      </c>
      <c r="B7" s="68">
        <f>parameters!E7</f>
        <v>1.1100000000000001</v>
      </c>
      <c r="C7" s="67">
        <f>parameters!G7</f>
        <v>5</v>
      </c>
      <c r="D7" s="69">
        <f>parameters!H7</f>
        <v>1.1100000000000001</v>
      </c>
      <c r="E7" s="69">
        <f>parameters!I7</f>
        <v>7.1500000000000001E-3</v>
      </c>
      <c r="F7" s="69">
        <f>parameters!J7</f>
        <v>1.1200000000000001</v>
      </c>
    </row>
    <row r="8" spans="1:6">
      <c r="A8" s="5" t="str">
        <f>parameters!D8</f>
        <v>RR.onset_sex</v>
      </c>
      <c r="B8" s="68">
        <f>parameters!E8</f>
        <v>3.75</v>
      </c>
      <c r="C8" s="67">
        <f>parameters!G8</f>
        <v>7</v>
      </c>
      <c r="D8" s="69">
        <f>parameters!H8</f>
        <v>3.75</v>
      </c>
      <c r="E8" s="69">
        <f>parameters!I8</f>
        <v>0.86599999999999999</v>
      </c>
      <c r="F8" s="69">
        <f>parameters!J8</f>
        <v>3.25</v>
      </c>
    </row>
    <row r="9" spans="1:6">
      <c r="A9" s="5" t="str">
        <f>parameters!D9</f>
        <v>P.sympt.diag_St1</v>
      </c>
      <c r="B9" s="68">
        <f>parameters!E9</f>
        <v>0.1</v>
      </c>
      <c r="C9" s="67">
        <f>parameters!G9</f>
        <v>7</v>
      </c>
      <c r="D9" s="69">
        <f>parameters!H9</f>
        <v>0.1</v>
      </c>
      <c r="E9" s="69">
        <f>parameters!I9</f>
        <v>1.0000000000000002E-2</v>
      </c>
      <c r="F9" s="69">
        <f>parameters!J9</f>
        <v>0.1</v>
      </c>
    </row>
    <row r="10" spans="1:6">
      <c r="A10" s="5" t="str">
        <f>parameters!D10</f>
        <v>P.sympt.diag_St2</v>
      </c>
      <c r="B10" s="68">
        <f>parameters!E10</f>
        <v>0.2</v>
      </c>
      <c r="C10" s="67">
        <f>parameters!G10</f>
        <v>7</v>
      </c>
      <c r="D10" s="69">
        <f>parameters!H10</f>
        <v>0.2</v>
      </c>
      <c r="E10" s="69">
        <f>parameters!I10</f>
        <v>2.0000000000000004E-2</v>
      </c>
      <c r="F10" s="69">
        <f>parameters!J10</f>
        <v>0.2</v>
      </c>
    </row>
    <row r="11" spans="1:6">
      <c r="A11" s="5" t="str">
        <f>parameters!D11</f>
        <v>P.sympt.diag_St3</v>
      </c>
      <c r="B11" s="68">
        <f>parameters!E11</f>
        <v>0.3</v>
      </c>
      <c r="C11" s="67">
        <f>parameters!G11</f>
        <v>7</v>
      </c>
      <c r="D11" s="69">
        <f>parameters!H11</f>
        <v>0.3</v>
      </c>
      <c r="E11" s="69">
        <f>parameters!I11</f>
        <v>0.03</v>
      </c>
      <c r="F11" s="69">
        <f>parameters!J11</f>
        <v>0.3</v>
      </c>
    </row>
    <row r="12" spans="1:6">
      <c r="A12" s="5" t="str">
        <f>parameters!D12</f>
        <v>P.sympt.diag_St4</v>
      </c>
      <c r="B12" s="68">
        <f>parameters!E12</f>
        <v>0.4</v>
      </c>
      <c r="C12" s="67">
        <f>parameters!G12</f>
        <v>7</v>
      </c>
      <c r="D12" s="69">
        <f>parameters!H12</f>
        <v>0.4</v>
      </c>
      <c r="E12" s="69">
        <f>parameters!I12</f>
        <v>4.0000000000000008E-2</v>
      </c>
      <c r="F12" s="69">
        <f>parameters!J12</f>
        <v>0.4</v>
      </c>
    </row>
    <row r="13" spans="1:6">
      <c r="A13" s="5" t="str">
        <f>parameters!D13</f>
        <v>P.sympt.diag_LGBC</v>
      </c>
      <c r="B13" s="68">
        <f>parameters!E13</f>
        <v>0</v>
      </c>
      <c r="C13" s="67">
        <v>6</v>
      </c>
      <c r="D13" s="69">
        <f>parameters!H13</f>
        <v>0</v>
      </c>
      <c r="E13" s="69">
        <f>parameters!I13</f>
        <v>0</v>
      </c>
      <c r="F13" s="69">
        <f>parameters!J13</f>
        <v>0</v>
      </c>
    </row>
    <row r="14" spans="1:6">
      <c r="A14" s="5" t="str">
        <f>parameters!D14</f>
        <v>P.sympt.diag_Age</v>
      </c>
      <c r="B14" s="68">
        <f>parameters!E14</f>
        <v>0.876</v>
      </c>
      <c r="C14" s="67">
        <f>parameters!G14</f>
        <v>7</v>
      </c>
      <c r="D14" s="69">
        <f>parameters!H14</f>
        <v>0.876</v>
      </c>
      <c r="E14" s="69">
        <f>parameters!I14</f>
        <v>9.2200000000000004E-2</v>
      </c>
      <c r="F14" s="69">
        <f>parameters!J14</f>
        <v>0.97</v>
      </c>
    </row>
    <row r="15" spans="1:6">
      <c r="A15" s="5" t="str">
        <f>parameters!D15</f>
        <v>C.age.80.undiag.mort</v>
      </c>
      <c r="B15" s="68">
        <f>parameters!E15</f>
        <v>5.5E-2</v>
      </c>
      <c r="C15" s="67">
        <f>parameters!G15</f>
        <v>7</v>
      </c>
      <c r="D15" s="69">
        <f>parameters!H15</f>
        <v>0.01</v>
      </c>
      <c r="E15" s="69">
        <f>parameters!I15</f>
        <v>0.1</v>
      </c>
      <c r="F15" s="69">
        <f>parameters!J15</f>
        <v>5.5E-2</v>
      </c>
    </row>
    <row r="16" spans="1:6">
      <c r="A16" s="5" t="str">
        <f>parameters!D16</f>
        <v>Mean.t.StI.StII</v>
      </c>
      <c r="B16" s="68">
        <f>parameters!E16</f>
        <v>5.0999999999999996</v>
      </c>
      <c r="C16" s="67">
        <f>parameters!G16</f>
        <v>6</v>
      </c>
      <c r="D16" s="69">
        <f>parameters!H16</f>
        <v>5.0999999999999996</v>
      </c>
      <c r="E16" s="69">
        <f>parameters!I16</f>
        <v>5.0999999999999996</v>
      </c>
      <c r="F16" s="69">
        <f>parameters!J16</f>
        <v>5.0999999999999996</v>
      </c>
    </row>
    <row r="17" spans="1:6">
      <c r="A17" s="5" t="str">
        <f>parameters!D17</f>
        <v>Mean.t.StII.StIII</v>
      </c>
      <c r="B17" s="68">
        <f>parameters!E17</f>
        <v>3.41</v>
      </c>
      <c r="C17" s="67">
        <f>parameters!G17</f>
        <v>6</v>
      </c>
      <c r="D17" s="69">
        <f>parameters!H17</f>
        <v>5.0999999999999996</v>
      </c>
      <c r="E17" s="69">
        <f>parameters!I17</f>
        <v>5.0999999999999996</v>
      </c>
      <c r="F17" s="69">
        <f>parameters!J17</f>
        <v>3.41</v>
      </c>
    </row>
    <row r="18" spans="1:6">
      <c r="A18" s="5" t="str">
        <f>parameters!D18</f>
        <v>Mean.t.StIII.StIV</v>
      </c>
      <c r="B18" s="68">
        <f>parameters!E18</f>
        <v>1.8</v>
      </c>
      <c r="C18" s="67">
        <f>parameters!G18</f>
        <v>6</v>
      </c>
      <c r="D18" s="69">
        <f>parameters!H18</f>
        <v>5.0999999999999996</v>
      </c>
      <c r="E18" s="69">
        <f>parameters!I18</f>
        <v>5.0999999999999996</v>
      </c>
      <c r="F18" s="69">
        <f>parameters!J18</f>
        <v>1.8</v>
      </c>
    </row>
    <row r="19" spans="1:6">
      <c r="A19" s="5" t="str">
        <f>parameters!D19</f>
        <v>shape.t.StI.StII</v>
      </c>
      <c r="B19" s="68">
        <f>parameters!E19</f>
        <v>0.66200000000000003</v>
      </c>
      <c r="C19" s="67">
        <f>parameters!G19</f>
        <v>7</v>
      </c>
      <c r="D19" s="69">
        <f>parameters!H19</f>
        <v>0.66200000000000003</v>
      </c>
      <c r="E19" s="69">
        <f>parameters!I19</f>
        <v>5.5800000000000002E-2</v>
      </c>
      <c r="F19" s="69">
        <f>parameters!J19</f>
        <v>0.72250015899999998</v>
      </c>
    </row>
    <row r="20" spans="1:6">
      <c r="A20" s="5" t="str">
        <f>parameters!D20</f>
        <v>shape.t.StII.StIII</v>
      </c>
      <c r="B20" s="68">
        <f>parameters!E20</f>
        <v>0.76600000000000001</v>
      </c>
      <c r="C20" s="67">
        <f>parameters!G20</f>
        <v>7</v>
      </c>
      <c r="D20" s="69">
        <f>parameters!H20</f>
        <v>0.76600000000000001</v>
      </c>
      <c r="E20" s="69">
        <f>parameters!I20</f>
        <v>0.122</v>
      </c>
      <c r="F20" s="69">
        <f>parameters!J20</f>
        <v>0.66778214800000002</v>
      </c>
    </row>
    <row r="21" spans="1:6">
      <c r="A21" s="5" t="str">
        <f>parameters!D21</f>
        <v>shape.t.StIII.StIV</v>
      </c>
      <c r="B21" s="68">
        <f>parameters!E21</f>
        <v>0.42299999999999999</v>
      </c>
      <c r="C21" s="67">
        <f>parameters!G21</f>
        <v>7</v>
      </c>
      <c r="D21" s="69">
        <f>parameters!H21</f>
        <v>0.42299999999999999</v>
      </c>
      <c r="E21" s="69">
        <f>parameters!I21</f>
        <v>8.8400000000000006E-2</v>
      </c>
      <c r="F21" s="69">
        <f>parameters!J21</f>
        <v>0.47116585599999999</v>
      </c>
    </row>
    <row r="22" spans="1:6">
      <c r="A22" s="5" t="str">
        <f>parameters!D22</f>
        <v>P.LGtoHGBC</v>
      </c>
      <c r="B22" s="68">
        <f>parameters!E22</f>
        <v>0</v>
      </c>
      <c r="C22" s="67">
        <f>parameters!G22</f>
        <v>6</v>
      </c>
      <c r="D22" s="69">
        <f>parameters!H22</f>
        <v>0</v>
      </c>
      <c r="E22" s="69">
        <f>parameters!I22</f>
        <v>0</v>
      </c>
      <c r="F22" s="69">
        <f>parameters!J22</f>
        <v>0</v>
      </c>
    </row>
    <row r="23" spans="1:6">
      <c r="A23" s="5" t="str">
        <f>parameters!D23</f>
        <v>P.Recurrence.LR</v>
      </c>
      <c r="B23" s="68">
        <f>parameters!E23</f>
        <v>0</v>
      </c>
      <c r="C23" s="67">
        <f>parameters!G23</f>
        <v>6</v>
      </c>
      <c r="D23" s="69">
        <f>parameters!H23</f>
        <v>0</v>
      </c>
      <c r="E23" s="69">
        <f>parameters!I23</f>
        <v>0</v>
      </c>
      <c r="F23" s="69">
        <f>parameters!J23</f>
        <v>0</v>
      </c>
    </row>
    <row r="24" spans="1:6">
      <c r="A24" s="5" t="str">
        <f>parameters!D24</f>
        <v>P.ungiag.dead</v>
      </c>
      <c r="B24" s="68">
        <f>parameters!E24</f>
        <v>-5.0499999999999998E-3</v>
      </c>
      <c r="C24" s="67">
        <f>parameters!G24</f>
        <v>7</v>
      </c>
      <c r="D24" s="69">
        <f>parameters!H24</f>
        <v>-5.0499999999999998E-3</v>
      </c>
      <c r="E24" s="69">
        <f>parameters!I24</f>
        <v>5.0500000000000002E-4</v>
      </c>
      <c r="F24" s="69">
        <f>parameters!J24</f>
        <v>-5.0499999999999998E-3</v>
      </c>
    </row>
    <row r="25" spans="1:6">
      <c r="A25" s="5" t="str">
        <f>parameters!D25</f>
        <v>Sens.dipstick.LG</v>
      </c>
      <c r="B25" s="68">
        <f>parameters!E25</f>
        <v>0.23</v>
      </c>
      <c r="C25" s="67">
        <f>parameters!G25</f>
        <v>1</v>
      </c>
      <c r="D25" s="69">
        <f>parameters!H25</f>
        <v>13</v>
      </c>
      <c r="E25" s="69">
        <f>parameters!I25</f>
        <v>43.521739130434781</v>
      </c>
      <c r="F25" s="69">
        <f>parameters!J25</f>
        <v>0.23</v>
      </c>
    </row>
    <row r="26" spans="1:6">
      <c r="A26" s="5" t="str">
        <f>parameters!D26</f>
        <v>Sens.dipstick.St1</v>
      </c>
      <c r="B26" s="68">
        <f>parameters!E26</f>
        <v>0.5</v>
      </c>
      <c r="C26" s="67">
        <f>parameters!G26</f>
        <v>1</v>
      </c>
      <c r="D26" s="69">
        <f>parameters!H26</f>
        <v>22</v>
      </c>
      <c r="E26" s="69">
        <f>parameters!I26</f>
        <v>22</v>
      </c>
      <c r="F26" s="69">
        <f>parameters!J26</f>
        <v>0.5</v>
      </c>
    </row>
    <row r="27" spans="1:6">
      <c r="A27" s="5" t="str">
        <f>parameters!D27</f>
        <v>Sens.dipstick.St2.4</v>
      </c>
      <c r="B27" s="68">
        <f>parameters!E27</f>
        <v>0.88</v>
      </c>
      <c r="C27" s="67">
        <f>parameters!G27</f>
        <v>1</v>
      </c>
      <c r="D27" s="69">
        <f>parameters!H27</f>
        <v>8</v>
      </c>
      <c r="E27" s="69">
        <f>parameters!I27</f>
        <v>1.0909090909090917</v>
      </c>
      <c r="F27" s="69">
        <f>parameters!J27</f>
        <v>0.88</v>
      </c>
    </row>
    <row r="28" spans="1:6">
      <c r="A28" s="5" t="str">
        <f>parameters!D28</f>
        <v>Spec.dipstick</v>
      </c>
      <c r="B28" s="68">
        <f>parameters!E28</f>
        <v>0.82</v>
      </c>
      <c r="C28" s="67">
        <f>parameters!G28</f>
        <v>1</v>
      </c>
      <c r="D28" s="69">
        <f>parameters!H28</f>
        <v>264.03999999999996</v>
      </c>
      <c r="E28" s="69">
        <f>parameters!I28</f>
        <v>57.960000000000036</v>
      </c>
      <c r="F28" s="69">
        <f>parameters!J28</f>
        <v>0.82</v>
      </c>
    </row>
    <row r="29" spans="1:6">
      <c r="A29" s="5" t="str">
        <f>parameters!D29</f>
        <v>Sens.cystoscopy.HG</v>
      </c>
      <c r="B29" s="68">
        <f>parameters!E29</f>
        <v>0.98</v>
      </c>
      <c r="C29" s="67">
        <f>parameters!G29</f>
        <v>1</v>
      </c>
      <c r="D29" s="69">
        <f>parameters!H29</f>
        <v>763</v>
      </c>
      <c r="E29" s="69">
        <f>parameters!I29</f>
        <v>15</v>
      </c>
      <c r="F29" s="69">
        <f>parameters!J29</f>
        <v>0.98</v>
      </c>
    </row>
    <row r="30" spans="1:6">
      <c r="A30" s="5" t="str">
        <f>parameters!D30</f>
        <v>Spec.cystoscopy</v>
      </c>
      <c r="B30" s="68">
        <f>parameters!E30</f>
        <v>0.94</v>
      </c>
      <c r="C30" s="67">
        <f>parameters!G30</f>
        <v>1</v>
      </c>
      <c r="D30" s="69">
        <f>parameters!H30</f>
        <v>716</v>
      </c>
      <c r="E30" s="69">
        <f>parameters!I30</f>
        <v>42.960000000000036</v>
      </c>
      <c r="F30" s="69">
        <f>parameters!J30</f>
        <v>0.94</v>
      </c>
    </row>
    <row r="31" spans="1:6">
      <c r="A31" s="5" t="str">
        <f>parameters!D31</f>
        <v>Sens.cystoscopy.LG</v>
      </c>
      <c r="B31" s="68">
        <f>parameters!E31</f>
        <v>0.98</v>
      </c>
      <c r="C31" s="67">
        <f>parameters!G31</f>
        <v>1</v>
      </c>
      <c r="D31" s="69">
        <f>parameters!H31</f>
        <v>763</v>
      </c>
      <c r="E31" s="69">
        <f>parameters!I31</f>
        <v>15</v>
      </c>
      <c r="F31" s="69">
        <f>parameters!J31</f>
        <v>0.98</v>
      </c>
    </row>
    <row r="32" spans="1:6">
      <c r="A32" s="5" t="str">
        <f>parameters!D32</f>
        <v>Sens.joined.diag.HG</v>
      </c>
      <c r="B32" s="68">
        <f>parameters!E32</f>
        <v>0.77159949999999999</v>
      </c>
      <c r="C32" s="67">
        <f>parameters!G32</f>
        <v>5</v>
      </c>
      <c r="D32" s="69">
        <f>parameters!H32</f>
        <v>0.77159949999999999</v>
      </c>
      <c r="E32" s="69">
        <f>parameters!I32</f>
        <v>4.8441961560982842E-2</v>
      </c>
      <c r="F32" s="69">
        <f>parameters!J32</f>
        <v>0.77159949999999999</v>
      </c>
    </row>
    <row r="33" spans="1:6">
      <c r="A33" s="5" t="str">
        <f>parameters!D33</f>
        <v>Sens.joined.diag.LG</v>
      </c>
      <c r="B33" s="68">
        <f>parameters!E33</f>
        <v>0.1469713333333334</v>
      </c>
      <c r="C33" s="67">
        <f>parameters!G33</f>
        <v>5</v>
      </c>
      <c r="D33" s="69">
        <f>parameters!H33</f>
        <v>0.1469713333333334</v>
      </c>
      <c r="E33" s="69">
        <f>parameters!I33</f>
        <v>9.2270402973300605E-3</v>
      </c>
      <c r="F33" s="69">
        <f>parameters!J33</f>
        <v>0.1469713333333334</v>
      </c>
    </row>
    <row r="34" spans="1:6">
      <c r="A34" s="5" t="str">
        <f>parameters!D34</f>
        <v>Spec.joined.diag</v>
      </c>
      <c r="B34" s="68">
        <f>parameters!E34</f>
        <v>0.99642799999999998</v>
      </c>
      <c r="C34" s="67">
        <f>parameters!G34</f>
        <v>5</v>
      </c>
      <c r="D34" s="69">
        <f>parameters!H34</f>
        <v>0.99642799999999998</v>
      </c>
      <c r="E34" s="69">
        <f>parameters!I34</f>
        <v>7.4593207402382552E-4</v>
      </c>
      <c r="F34" s="69">
        <f>parameters!J34</f>
        <v>0.99642799999999998</v>
      </c>
    </row>
    <row r="35" spans="1:6">
      <c r="A35" s="5" t="str">
        <f>parameters!D35</f>
        <v>Mort.TURBT</v>
      </c>
      <c r="B35" s="68">
        <f>parameters!E35</f>
        <v>4.6333333333333334E-4</v>
      </c>
      <c r="C35" s="67">
        <f>parameters!G35</f>
        <v>5</v>
      </c>
      <c r="D35" s="69">
        <f>parameters!H35</f>
        <v>4.6333333333333334E-4</v>
      </c>
      <c r="E35" s="69">
        <f>parameters!I35</f>
        <v>4.6333333333333339E-5</v>
      </c>
      <c r="F35" s="69">
        <f>parameters!J35</f>
        <v>4.6333333333333334E-4</v>
      </c>
    </row>
    <row r="36" spans="1:6">
      <c r="A36" s="5" t="str">
        <f>parameters!D36</f>
        <v>Disutility.HG.St1.3</v>
      </c>
      <c r="B36" s="68">
        <f>parameters!E36</f>
        <v>0.90182729357255986</v>
      </c>
      <c r="C36" s="67">
        <f>parameters!G36</f>
        <v>5</v>
      </c>
      <c r="D36" s="69">
        <f>parameters!H36</f>
        <v>0.90182729357255986</v>
      </c>
      <c r="E36" s="69">
        <f>parameters!I36</f>
        <v>2.3744845703419688E-2</v>
      </c>
      <c r="F36" s="69">
        <f>parameters!J36</f>
        <v>0.90182729357255986</v>
      </c>
    </row>
    <row r="37" spans="1:6">
      <c r="A37" s="5" t="str">
        <f>parameters!D37</f>
        <v>Disutility.HG.St4</v>
      </c>
      <c r="B37" s="68">
        <f>parameters!E37</f>
        <v>0.88289246625534823</v>
      </c>
      <c r="C37" s="67">
        <f>parameters!G37</f>
        <v>5</v>
      </c>
      <c r="D37" s="69">
        <f>parameters!H37</f>
        <v>0.88289246625534823</v>
      </c>
      <c r="E37" s="69">
        <f>parameters!I37</f>
        <v>3.5594818478965271E-2</v>
      </c>
      <c r="F37" s="69">
        <f>parameters!J37</f>
        <v>0.88289246625534823</v>
      </c>
    </row>
    <row r="38" spans="1:6">
      <c r="A38" s="5" t="str">
        <f>parameters!D38</f>
        <v>Disutility.LG</v>
      </c>
      <c r="B38" s="68">
        <f>parameters!E38</f>
        <v>1</v>
      </c>
      <c r="C38" s="67">
        <f>parameters!G38</f>
        <v>6</v>
      </c>
      <c r="D38" s="69">
        <f>parameters!H38</f>
        <v>1</v>
      </c>
      <c r="E38" s="69">
        <f>parameters!I38</f>
        <v>1</v>
      </c>
      <c r="F38" s="69">
        <f>parameters!J38</f>
        <v>1</v>
      </c>
    </row>
    <row r="39" spans="1:6">
      <c r="A39" s="5" t="str">
        <f>parameters!D39</f>
        <v>Cost.treat.intercept</v>
      </c>
      <c r="B39" s="68">
        <f>parameters!E39</f>
        <v>2348.8000000000002</v>
      </c>
      <c r="C39" s="67">
        <f>parameters!G39</f>
        <v>2</v>
      </c>
      <c r="D39" s="69">
        <f>parameters!H39</f>
        <v>100</v>
      </c>
      <c r="E39" s="69">
        <f>parameters!I39</f>
        <v>23.488000000000003</v>
      </c>
      <c r="F39" s="69">
        <f>parameters!J39</f>
        <v>2348.8000000000002</v>
      </c>
    </row>
    <row r="40" spans="1:6">
      <c r="A40" s="5" t="str">
        <f>parameters!D40</f>
        <v>Cost.treat.past.smoke</v>
      </c>
      <c r="B40" s="68">
        <f>parameters!E40</f>
        <v>-57.2</v>
      </c>
      <c r="C40" s="67">
        <f>parameters!G40</f>
        <v>5</v>
      </c>
      <c r="D40" s="69">
        <f>parameters!H40</f>
        <v>-57.2</v>
      </c>
      <c r="E40" s="69">
        <f>parameters!I40</f>
        <v>5.7200000000000006</v>
      </c>
      <c r="F40" s="69">
        <f>parameters!J40</f>
        <v>-57.2</v>
      </c>
    </row>
    <row r="41" spans="1:6">
      <c r="A41" s="5" t="str">
        <f>parameters!D41</f>
        <v>Cost.treat.current.smoke</v>
      </c>
      <c r="B41" s="68">
        <f>parameters!E41</f>
        <v>-242</v>
      </c>
      <c r="C41" s="67">
        <f>parameters!G41</f>
        <v>5</v>
      </c>
      <c r="D41" s="69">
        <f>parameters!H41</f>
        <v>-242</v>
      </c>
      <c r="E41" s="69">
        <f>parameters!I41</f>
        <v>24.200000000000003</v>
      </c>
      <c r="F41" s="69">
        <f>parameters!J41</f>
        <v>-242</v>
      </c>
    </row>
    <row r="42" spans="1:6">
      <c r="A42" s="5" t="str">
        <f>parameters!D42</f>
        <v>Cost.treat.Y2</v>
      </c>
      <c r="B42" s="68">
        <f>parameters!E42</f>
        <v>-921.4</v>
      </c>
      <c r="C42" s="67">
        <f>parameters!G42</f>
        <v>5</v>
      </c>
      <c r="D42" s="69">
        <f>parameters!H42</f>
        <v>-921.4</v>
      </c>
      <c r="E42" s="69">
        <f>parameters!I42</f>
        <v>92.14</v>
      </c>
      <c r="F42" s="69">
        <f>parameters!J42</f>
        <v>-921.4</v>
      </c>
    </row>
    <row r="43" spans="1:6">
      <c r="A43" s="5" t="str">
        <f>parameters!D43</f>
        <v>Cost.treat.Y3</v>
      </c>
      <c r="B43" s="68">
        <f>parameters!E43</f>
        <v>-1514</v>
      </c>
      <c r="C43" s="67">
        <f>parameters!G43</f>
        <v>5</v>
      </c>
      <c r="D43" s="69">
        <f>parameters!H43</f>
        <v>-1514</v>
      </c>
      <c r="E43" s="69">
        <f>parameters!I43</f>
        <v>151.4</v>
      </c>
      <c r="F43" s="69">
        <f>parameters!J43</f>
        <v>-1514</v>
      </c>
    </row>
    <row r="44" spans="1:6">
      <c r="A44" s="5" t="str">
        <f>parameters!D44</f>
        <v>Cost.treat.stage1</v>
      </c>
      <c r="B44" s="68">
        <f>parameters!E44</f>
        <v>1446.8</v>
      </c>
      <c r="C44" s="67">
        <f>parameters!G44</f>
        <v>5</v>
      </c>
      <c r="D44" s="69">
        <f>parameters!H44</f>
        <v>1446.8</v>
      </c>
      <c r="E44" s="69">
        <f>parameters!I44</f>
        <v>144.68</v>
      </c>
      <c r="F44" s="69">
        <f>parameters!J44</f>
        <v>1446.8</v>
      </c>
    </row>
    <row r="45" spans="1:6">
      <c r="A45" s="5" t="str">
        <f>parameters!D45</f>
        <v>Cost.treat.stage2</v>
      </c>
      <c r="B45" s="68">
        <f>parameters!E45</f>
        <v>1676.1</v>
      </c>
      <c r="C45" s="67">
        <f>parameters!G45</f>
        <v>5</v>
      </c>
      <c r="D45" s="69">
        <f>parameters!H45</f>
        <v>1676.1</v>
      </c>
      <c r="E45" s="69">
        <f>parameters!I45</f>
        <v>167.61</v>
      </c>
      <c r="F45" s="69">
        <f>parameters!J45</f>
        <v>1676.1</v>
      </c>
    </row>
    <row r="46" spans="1:6">
      <c r="A46" s="5" t="str">
        <f>parameters!D46</f>
        <v>Cost.treat.stage3</v>
      </c>
      <c r="B46" s="68">
        <f>parameters!E46</f>
        <v>3956.7</v>
      </c>
      <c r="C46" s="67">
        <f>parameters!G46</f>
        <v>5</v>
      </c>
      <c r="D46" s="69">
        <f>parameters!H46</f>
        <v>3956.7</v>
      </c>
      <c r="E46" s="69">
        <f>parameters!I46</f>
        <v>395.67</v>
      </c>
      <c r="F46" s="69">
        <f>parameters!J46</f>
        <v>3956.7</v>
      </c>
    </row>
    <row r="47" spans="1:6">
      <c r="A47" s="5" t="str">
        <f>parameters!D47</f>
        <v>Cost.treat.stage4</v>
      </c>
      <c r="B47" s="68">
        <f>parameters!E47</f>
        <v>5406.9</v>
      </c>
      <c r="C47" s="67">
        <f>parameters!G47</f>
        <v>5</v>
      </c>
      <c r="D47" s="69">
        <f>parameters!H47</f>
        <v>5406.9</v>
      </c>
      <c r="E47" s="69">
        <f>parameters!I47</f>
        <v>540.68999999999994</v>
      </c>
      <c r="F47" s="69">
        <f>parameters!J47</f>
        <v>5406.9</v>
      </c>
    </row>
    <row r="48" spans="1:6">
      <c r="A48" s="5" t="str">
        <f>parameters!D48</f>
        <v>Cost.treat.LG</v>
      </c>
      <c r="B48" s="68">
        <f>parameters!E48</f>
        <v>1217.4000000000001</v>
      </c>
      <c r="C48" s="67">
        <f>parameters!G48</f>
        <v>5</v>
      </c>
      <c r="D48" s="69">
        <f>parameters!H48</f>
        <v>1217.4000000000001</v>
      </c>
      <c r="E48" s="69">
        <f>parameters!I48</f>
        <v>121.74000000000001</v>
      </c>
      <c r="F48" s="69">
        <f>parameters!J48</f>
        <v>1217.4000000000001</v>
      </c>
    </row>
    <row r="49" spans="1:6">
      <c r="A49" s="5" t="str">
        <f>parameters!D49</f>
        <v>Cost.surv.Y4.5</v>
      </c>
      <c r="B49" s="68">
        <f>parameters!E49</f>
        <v>401</v>
      </c>
      <c r="C49" s="67">
        <f>parameters!G49</f>
        <v>2</v>
      </c>
      <c r="D49" s="69">
        <f>parameters!H49</f>
        <v>100</v>
      </c>
      <c r="E49" s="69">
        <f>parameters!I49</f>
        <v>4.01</v>
      </c>
      <c r="F49" s="69">
        <f>parameters!J49</f>
        <v>401</v>
      </c>
    </row>
    <row r="50" spans="1:6">
      <c r="A50" s="5"/>
      <c r="B50" s="68"/>
      <c r="C50" s="67"/>
      <c r="D50" s="69"/>
      <c r="E50" s="69"/>
      <c r="F50" s="69"/>
    </row>
    <row r="51" spans="1:6">
      <c r="A51" s="5"/>
      <c r="B51" s="68"/>
      <c r="C51" s="67"/>
      <c r="D51" s="69"/>
      <c r="E51" s="69"/>
      <c r="F51" s="69"/>
    </row>
    <row r="52" spans="1:6">
      <c r="A52" s="5"/>
      <c r="B52" s="68"/>
      <c r="C52" s="67"/>
      <c r="D52" s="69"/>
      <c r="E52" s="69"/>
      <c r="F52" s="69"/>
    </row>
    <row r="53" spans="1:6">
      <c r="A53" s="5"/>
      <c r="B53" s="68"/>
      <c r="C53" s="67"/>
      <c r="D53" s="69"/>
      <c r="E53" s="69"/>
      <c r="F53" s="69"/>
    </row>
    <row r="54" spans="1:6">
      <c r="A54" s="5"/>
      <c r="B54" s="68"/>
      <c r="C54" s="67"/>
      <c r="D54" s="69"/>
      <c r="E54" s="69"/>
      <c r="F54" s="69"/>
    </row>
    <row r="55" spans="1:6">
      <c r="A55" s="5"/>
      <c r="B55" s="68"/>
      <c r="C55" s="67"/>
      <c r="D55" s="69"/>
      <c r="E55" s="69"/>
      <c r="F55" s="69"/>
    </row>
    <row r="56" spans="1:6">
      <c r="A56" s="5"/>
      <c r="B56" s="68"/>
      <c r="C56" s="67"/>
      <c r="D56" s="69"/>
      <c r="E56" s="69"/>
      <c r="F56" s="69"/>
    </row>
    <row r="57" spans="1:6">
      <c r="A57" s="5"/>
      <c r="B57" s="68"/>
      <c r="C57" s="67"/>
      <c r="D57" s="69"/>
      <c r="E57" s="69"/>
      <c r="F57" s="69"/>
    </row>
    <row r="58" spans="1:6">
      <c r="A58" s="5"/>
      <c r="B58" s="68"/>
      <c r="C58" s="67"/>
      <c r="D58" s="69"/>
      <c r="E58" s="69"/>
      <c r="F58" s="69"/>
    </row>
    <row r="59" spans="1:6">
      <c r="A59" s="5"/>
      <c r="B59" s="68"/>
      <c r="C59" s="67"/>
      <c r="D59" s="69"/>
      <c r="E59" s="69"/>
      <c r="F59" s="69"/>
    </row>
    <row r="60" spans="1:6">
      <c r="A60" s="5"/>
      <c r="B60" s="68"/>
      <c r="C60" s="67"/>
      <c r="D60" s="69"/>
      <c r="E60" s="69"/>
      <c r="F60" s="69"/>
    </row>
    <row r="61" spans="1:6">
      <c r="A61" s="5"/>
      <c r="B61" s="68"/>
      <c r="C61" s="67"/>
      <c r="D61" s="69"/>
      <c r="E61" s="69"/>
      <c r="F61" s="69"/>
    </row>
    <row r="62" spans="1:6">
      <c r="A62" s="5"/>
      <c r="B62" s="68"/>
      <c r="C62" s="67"/>
      <c r="D62" s="69"/>
      <c r="E62" s="69"/>
      <c r="F62" s="69"/>
    </row>
    <row r="63" spans="1:6">
      <c r="A63" s="5"/>
      <c r="B63" s="68"/>
      <c r="C63" s="67"/>
      <c r="D63" s="69"/>
      <c r="E63" s="69"/>
      <c r="F63" s="69"/>
    </row>
    <row r="64" spans="1:6">
      <c r="A64" s="5"/>
      <c r="B64" s="68"/>
      <c r="C64" s="67"/>
      <c r="D64" s="69"/>
      <c r="E64" s="69"/>
      <c r="F64" s="69"/>
    </row>
    <row r="65" spans="1:6">
      <c r="A65" s="5"/>
      <c r="B65" s="68"/>
      <c r="C65" s="67"/>
      <c r="D65" s="69"/>
      <c r="E65" s="69"/>
      <c r="F65" s="69"/>
    </row>
    <row r="66" spans="1:6">
      <c r="A66" s="5"/>
      <c r="B66" s="68"/>
      <c r="C66" s="67"/>
      <c r="D66" s="69"/>
      <c r="E66" s="69"/>
      <c r="F66" s="69"/>
    </row>
    <row r="67" spans="1:6">
      <c r="A67" s="5"/>
      <c r="B67" s="68"/>
      <c r="C67" s="67"/>
      <c r="D67" s="69"/>
      <c r="E67" s="69"/>
      <c r="F67" s="69"/>
    </row>
    <row r="68" spans="1:6">
      <c r="A68" s="5"/>
      <c r="B68" s="68"/>
      <c r="C68" s="67"/>
      <c r="D68" s="69"/>
      <c r="E68" s="69"/>
      <c r="F68" s="69"/>
    </row>
    <row r="69" spans="1:6">
      <c r="A69" s="5"/>
      <c r="B69" s="68"/>
      <c r="C69" s="67"/>
      <c r="D69" s="69"/>
      <c r="E69" s="69"/>
      <c r="F69" s="69"/>
    </row>
    <row r="70" spans="1:6">
      <c r="A70" s="5"/>
      <c r="B70" s="68"/>
      <c r="C70" s="67"/>
      <c r="D70" s="69"/>
      <c r="E70" s="69"/>
      <c r="F70" s="69"/>
    </row>
    <row r="71" spans="1:6">
      <c r="A71" s="5"/>
      <c r="B71" s="68"/>
      <c r="C71" s="67"/>
      <c r="D71" s="69"/>
      <c r="E71" s="69"/>
      <c r="F71" s="69"/>
    </row>
    <row r="72" spans="1:6">
      <c r="A72" s="5"/>
      <c r="B72" s="68"/>
      <c r="C72" s="67"/>
      <c r="D72" s="69"/>
      <c r="E72" s="69"/>
      <c r="F72" s="69"/>
    </row>
    <row r="73" spans="1:6">
      <c r="A73" s="5"/>
      <c r="B73" s="68"/>
      <c r="C73" s="67"/>
      <c r="D73" s="69"/>
      <c r="E73" s="69"/>
      <c r="F73" s="69"/>
    </row>
    <row r="74" spans="1:6">
      <c r="A74" s="5"/>
      <c r="B74" s="68"/>
      <c r="C74" s="67"/>
      <c r="D74" s="69"/>
      <c r="E74" s="69"/>
      <c r="F74" s="69"/>
    </row>
    <row r="75" spans="1:6">
      <c r="A75" s="5"/>
      <c r="B75" s="68"/>
      <c r="C75" s="67"/>
      <c r="D75" s="69"/>
      <c r="E75" s="69"/>
      <c r="F75" s="69"/>
    </row>
    <row r="76" spans="1:6">
      <c r="A76" s="5"/>
      <c r="B76" s="68"/>
      <c r="C76" s="67"/>
      <c r="D76" s="69"/>
      <c r="E76" s="69"/>
      <c r="F76" s="69"/>
    </row>
    <row r="77" spans="1:6">
      <c r="A77" s="5"/>
      <c r="B77" s="68"/>
      <c r="C77" s="67"/>
      <c r="D77" s="69"/>
      <c r="E77" s="69"/>
      <c r="F77" s="69"/>
    </row>
    <row r="78" spans="1:6">
      <c r="A78" s="5"/>
      <c r="B78" s="68"/>
      <c r="C78" s="67"/>
      <c r="D78" s="69"/>
      <c r="E78" s="69"/>
      <c r="F78" s="69"/>
    </row>
    <row r="79" spans="1:6">
      <c r="A79" s="5"/>
      <c r="B79" s="68"/>
      <c r="C79" s="67"/>
      <c r="D79" s="69"/>
      <c r="E79" s="69"/>
      <c r="F79" s="6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6B0E-B7E5-44B2-BB08-ECB316FF8D97}">
  <dimension ref="A1:Q100"/>
  <sheetViews>
    <sheetView topLeftCell="A65" workbookViewId="0">
      <selection activeCell="P91" sqref="P91"/>
    </sheetView>
  </sheetViews>
  <sheetFormatPr defaultRowHeight="15"/>
  <cols>
    <col min="1" max="1" width="32.5703125" customWidth="1"/>
    <col min="2" max="2" width="17.5703125" bestFit="1" customWidth="1"/>
    <col min="3" max="3" width="15" bestFit="1" customWidth="1"/>
    <col min="4" max="4" width="17.140625" bestFit="1" customWidth="1"/>
    <col min="5" max="5" width="14.5703125" bestFit="1" customWidth="1"/>
    <col min="6" max="6" width="17.85546875" customWidth="1"/>
    <col min="7" max="7" width="13.28515625" bestFit="1" customWidth="1"/>
    <col min="8" max="8" width="13.140625" bestFit="1" customWidth="1"/>
    <col min="9" max="15" width="11" bestFit="1" customWidth="1"/>
    <col min="16" max="16" width="27.5703125" bestFit="1" customWidth="1"/>
    <col min="17" max="17" width="11.85546875" customWidth="1"/>
  </cols>
  <sheetData>
    <row r="1" spans="1:15">
      <c r="A1" s="194" t="s">
        <v>261</v>
      </c>
      <c r="B1" s="195"/>
      <c r="C1" s="195"/>
      <c r="D1" s="195"/>
      <c r="E1" s="195"/>
      <c r="F1" s="195"/>
    </row>
    <row r="2" spans="1:15">
      <c r="A2" s="115"/>
      <c r="B2" s="115"/>
      <c r="C2" s="115"/>
      <c r="D2" s="115"/>
      <c r="E2" s="115"/>
      <c r="F2" s="115"/>
    </row>
    <row r="3" spans="1:15" ht="15" customHeight="1" thickBot="1">
      <c r="A3" s="120" t="s">
        <v>262</v>
      </c>
      <c r="B3" s="119"/>
      <c r="C3" s="119"/>
      <c r="D3" s="119"/>
      <c r="E3" s="119"/>
      <c r="F3" s="115"/>
    </row>
    <row r="4" spans="1:15" ht="15.75">
      <c r="A4" s="115"/>
      <c r="B4" s="115"/>
      <c r="C4" s="115"/>
      <c r="D4" s="115"/>
      <c r="E4" s="115"/>
      <c r="F4" s="115"/>
      <c r="H4" s="137" t="s">
        <v>74</v>
      </c>
      <c r="I4" s="138"/>
      <c r="J4" s="138"/>
      <c r="K4" s="138"/>
      <c r="L4" s="138" t="s">
        <v>73</v>
      </c>
      <c r="M4" s="138"/>
      <c r="N4" s="138"/>
      <c r="O4" s="139"/>
    </row>
    <row r="5" spans="1:15" ht="16.5" thickBot="1">
      <c r="A5" s="118" t="s">
        <v>94</v>
      </c>
      <c r="B5" s="118" t="s">
        <v>263</v>
      </c>
      <c r="C5" s="118" t="s">
        <v>264</v>
      </c>
      <c r="D5" s="118" t="s">
        <v>97</v>
      </c>
      <c r="E5" s="118" t="s">
        <v>98</v>
      </c>
      <c r="F5" s="115"/>
      <c r="H5" s="140" t="s">
        <v>138</v>
      </c>
      <c r="I5" s="141" t="s">
        <v>152</v>
      </c>
      <c r="J5" s="141" t="s">
        <v>154</v>
      </c>
      <c r="K5" s="141" t="s">
        <v>155</v>
      </c>
      <c r="L5" s="141" t="s">
        <v>138</v>
      </c>
      <c r="M5" s="141" t="s">
        <v>152</v>
      </c>
      <c r="N5" s="141" t="s">
        <v>154</v>
      </c>
      <c r="O5" s="142" t="s">
        <v>155</v>
      </c>
    </row>
    <row r="6" spans="1:15" ht="15.75" thickTop="1">
      <c r="A6" s="26" t="s">
        <v>100</v>
      </c>
      <c r="B6" s="132">
        <v>38</v>
      </c>
      <c r="C6" s="133">
        <v>39</v>
      </c>
      <c r="D6" s="132">
        <v>2</v>
      </c>
      <c r="E6" s="133">
        <v>1.9</v>
      </c>
      <c r="F6" s="115"/>
      <c r="H6" s="134">
        <f>Table33[[#This Row],[Female Rates]]*$B$39/100000</f>
        <v>0</v>
      </c>
      <c r="I6" s="136">
        <f>Table33[[#This Row],[Female Rates]]*C$39/100000</f>
        <v>0</v>
      </c>
      <c r="J6" s="136">
        <f>Table33[[#This Row],[Female Rates]]*D$39/100000</f>
        <v>0</v>
      </c>
      <c r="K6" s="136">
        <f>Table33[[#This Row],[Female Rates]]*E$39/100000</f>
        <v>0</v>
      </c>
      <c r="L6" s="136">
        <f>Table33[[#This Row],[Male Rates]]*B$39/100000</f>
        <v>0</v>
      </c>
      <c r="M6" s="136">
        <f>Table33[[#This Row],[Male Rates]]*C$39/100000</f>
        <v>0</v>
      </c>
      <c r="N6" s="136">
        <f>Table33[[#This Row],[Male Rates]]*D$39/100000</f>
        <v>0</v>
      </c>
      <c r="O6" s="136">
        <f>Table33[[#This Row],[Male Rates]]*E$39/100000</f>
        <v>0</v>
      </c>
    </row>
    <row r="7" spans="1:15">
      <c r="A7" s="26" t="s">
        <v>101</v>
      </c>
      <c r="B7" s="132">
        <v>15</v>
      </c>
      <c r="C7" s="133">
        <v>8</v>
      </c>
      <c r="D7" s="132">
        <v>0.8</v>
      </c>
      <c r="E7" s="133">
        <v>0.4</v>
      </c>
      <c r="F7" s="115"/>
      <c r="H7" s="129">
        <f>Table33[[#This Row],[Female Rates]]*$B$39/100000</f>
        <v>0</v>
      </c>
      <c r="I7" s="136">
        <f>Table33[[#This Row],[Female Rates]]*$C$39/100000</f>
        <v>0</v>
      </c>
      <c r="J7" s="136">
        <f>Table33[[#This Row],[Female Rates]]*D$39/100000</f>
        <v>0</v>
      </c>
      <c r="K7" s="136">
        <f>Table33[[#This Row],[Female Rates]]*E$39/100000</f>
        <v>0</v>
      </c>
      <c r="L7" s="136">
        <f>Table33[[#This Row],[Male Rates]]*$B$39/100000</f>
        <v>0</v>
      </c>
      <c r="M7" s="136">
        <f>Table33[[#This Row],[Male Rates]]*C$39/100000</f>
        <v>0</v>
      </c>
      <c r="N7" s="136">
        <f>Table33[[#This Row],[Male Rates]]*D$39/100000</f>
        <v>0</v>
      </c>
      <c r="O7" s="136">
        <f>Table33[[#This Row],[Male Rates]]*E$39/100000</f>
        <v>0</v>
      </c>
    </row>
    <row r="8" spans="1:15">
      <c r="A8" s="26" t="s">
        <v>103</v>
      </c>
      <c r="B8" s="132">
        <v>5</v>
      </c>
      <c r="C8" s="133">
        <v>3</v>
      </c>
      <c r="D8" s="132">
        <v>0.3</v>
      </c>
      <c r="E8" s="133">
        <v>0.1</v>
      </c>
      <c r="F8" s="115"/>
      <c r="H8" s="129">
        <f>Table33[[#This Row],[Female Rates]]*$B$39/100000</f>
        <v>0</v>
      </c>
      <c r="I8" s="136">
        <f>Table33[[#This Row],[Female Rates]]*$C$39/100000</f>
        <v>0</v>
      </c>
      <c r="J8" s="136">
        <f>Table33[[#This Row],[Female Rates]]*D$39/100000</f>
        <v>0</v>
      </c>
      <c r="K8" s="136">
        <f>Table33[[#This Row],[Female Rates]]*E$39/100000</f>
        <v>0</v>
      </c>
      <c r="L8" s="136">
        <f>Table33[[#This Row],[Male Rates]]*$B$39/100000</f>
        <v>0</v>
      </c>
      <c r="M8" s="136">
        <f>Table33[[#This Row],[Male Rates]]*C$39/100000</f>
        <v>0</v>
      </c>
      <c r="N8" s="136">
        <f>Table33[[#This Row],[Male Rates]]*D$39/100000</f>
        <v>0</v>
      </c>
      <c r="O8" s="136">
        <f>Table33[[#This Row],[Male Rates]]*E$39/100000</f>
        <v>0</v>
      </c>
    </row>
    <row r="9" spans="1:15">
      <c r="A9" s="26" t="s">
        <v>104</v>
      </c>
      <c r="B9" s="132">
        <v>3</v>
      </c>
      <c r="C9" s="133">
        <v>2</v>
      </c>
      <c r="D9" s="132">
        <v>0.2</v>
      </c>
      <c r="E9" s="133">
        <v>0.1</v>
      </c>
      <c r="F9" s="115"/>
      <c r="H9" s="129">
        <f>Table33[[#This Row],[Female Rates]]*$B$39/100000</f>
        <v>0</v>
      </c>
      <c r="I9" s="136">
        <f>Table33[[#This Row],[Female Rates]]*$C$39/100000</f>
        <v>0</v>
      </c>
      <c r="J9" s="136">
        <f>Table33[[#This Row],[Female Rates]]*D$39/100000</f>
        <v>0</v>
      </c>
      <c r="K9" s="136">
        <f>Table33[[#This Row],[Female Rates]]*E$39/100000</f>
        <v>0</v>
      </c>
      <c r="L9" s="136">
        <f>Table33[[#This Row],[Male Rates]]*$B$39/100000</f>
        <v>0</v>
      </c>
      <c r="M9" s="136">
        <f>Table33[[#This Row],[Male Rates]]*C$39/100000</f>
        <v>0</v>
      </c>
      <c r="N9" s="136">
        <f>Table33[[#This Row],[Male Rates]]*D$39/100000</f>
        <v>0</v>
      </c>
      <c r="O9" s="136">
        <f>Table33[[#This Row],[Male Rates]]*E$39/100000</f>
        <v>0</v>
      </c>
    </row>
    <row r="10" spans="1:15">
      <c r="A10" s="26" t="s">
        <v>105</v>
      </c>
      <c r="B10" s="132">
        <v>5</v>
      </c>
      <c r="C10" s="133">
        <v>6</v>
      </c>
      <c r="D10" s="132">
        <v>0.2</v>
      </c>
      <c r="E10" s="133">
        <v>0.3</v>
      </c>
      <c r="F10" s="115"/>
      <c r="H10" s="129">
        <f>Table33[[#This Row],[Female Rates]]*$B$39/100000</f>
        <v>0</v>
      </c>
      <c r="I10" s="136">
        <f>Table33[[#This Row],[Female Rates]]*$C$39/100000</f>
        <v>0</v>
      </c>
      <c r="J10" s="136">
        <f>Table33[[#This Row],[Female Rates]]*D$39/100000</f>
        <v>0</v>
      </c>
      <c r="K10" s="136">
        <f>Table33[[#This Row],[Female Rates]]*E$39/100000</f>
        <v>0</v>
      </c>
      <c r="L10" s="136">
        <f>Table33[[#This Row],[Male Rates]]*$B$39/100000</f>
        <v>0</v>
      </c>
      <c r="M10" s="136">
        <f>Table33[[#This Row],[Male Rates]]*C$39/100000</f>
        <v>0</v>
      </c>
      <c r="N10" s="136">
        <f>Table33[[#This Row],[Male Rates]]*D$39/100000</f>
        <v>0</v>
      </c>
      <c r="O10" s="136">
        <f>Table33[[#This Row],[Male Rates]]*E$39/100000</f>
        <v>0</v>
      </c>
    </row>
    <row r="11" spans="1:15">
      <c r="A11" s="26" t="s">
        <v>106</v>
      </c>
      <c r="B11" s="132">
        <v>16</v>
      </c>
      <c r="C11" s="133">
        <v>18</v>
      </c>
      <c r="D11" s="132">
        <v>0.7</v>
      </c>
      <c r="E11" s="133">
        <v>0.8</v>
      </c>
      <c r="F11" s="115"/>
      <c r="H11" s="129">
        <f>Table33[[#This Row],[Female Rates]]*$B$39/100000</f>
        <v>0</v>
      </c>
      <c r="I11" s="136">
        <f>Table33[[#This Row],[Female Rates]]*$C$39/100000</f>
        <v>0</v>
      </c>
      <c r="J11" s="136">
        <f>Table33[[#This Row],[Female Rates]]*D$39/100000</f>
        <v>0</v>
      </c>
      <c r="K11" s="136">
        <f>Table33[[#This Row],[Female Rates]]*E$39/100000</f>
        <v>0</v>
      </c>
      <c r="L11" s="136">
        <f>Table33[[#This Row],[Male Rates]]*$B$39/100000</f>
        <v>0</v>
      </c>
      <c r="M11" s="136">
        <f>Table33[[#This Row],[Male Rates]]*C$39/100000</f>
        <v>0</v>
      </c>
      <c r="N11" s="136">
        <f>Table33[[#This Row],[Male Rates]]*D$39/100000</f>
        <v>0</v>
      </c>
      <c r="O11" s="136">
        <f>Table33[[#This Row],[Male Rates]]*E$39/100000</f>
        <v>0</v>
      </c>
    </row>
    <row r="12" spans="1:15">
      <c r="A12" s="26" t="s">
        <v>107</v>
      </c>
      <c r="B12" s="132">
        <v>36</v>
      </c>
      <c r="C12" s="133">
        <v>49</v>
      </c>
      <c r="D12" s="132">
        <v>1.6</v>
      </c>
      <c r="E12" s="133">
        <v>2.2000000000000002</v>
      </c>
      <c r="F12" s="115"/>
      <c r="H12" s="129">
        <f>Table33[[#This Row],[Female Rates]]*$B$39/100000</f>
        <v>0</v>
      </c>
      <c r="I12" s="136">
        <f>Table33[[#This Row],[Female Rates]]*$C$39/100000</f>
        <v>0</v>
      </c>
      <c r="J12" s="136">
        <f>Table33[[#This Row],[Female Rates]]*D$39/100000</f>
        <v>0</v>
      </c>
      <c r="K12" s="136">
        <f>Table33[[#This Row],[Female Rates]]*E$39/100000</f>
        <v>0</v>
      </c>
      <c r="L12" s="136">
        <f>Table33[[#This Row],[Male Rates]]*$B$39/100000</f>
        <v>0</v>
      </c>
      <c r="M12" s="136">
        <f>Table33[[#This Row],[Male Rates]]*C$39/100000</f>
        <v>0</v>
      </c>
      <c r="N12" s="136">
        <f>Table33[[#This Row],[Male Rates]]*D$39/100000</f>
        <v>0</v>
      </c>
      <c r="O12" s="136">
        <f>Table33[[#This Row],[Male Rates]]*E$39/100000</f>
        <v>0</v>
      </c>
    </row>
    <row r="13" spans="1:15">
      <c r="A13" s="26" t="s">
        <v>108</v>
      </c>
      <c r="B13" s="132">
        <v>61</v>
      </c>
      <c r="C13" s="133">
        <v>94</v>
      </c>
      <c r="D13" s="132">
        <v>2.8</v>
      </c>
      <c r="E13" s="133">
        <v>4.4000000000000004</v>
      </c>
      <c r="F13" s="115"/>
      <c r="H13" s="129">
        <f>Table33[[#This Row],[Female Rates]]*$B$39/100000</f>
        <v>0</v>
      </c>
      <c r="I13" s="136">
        <f>Table33[[#This Row],[Female Rates]]*$C$39/100000</f>
        <v>0</v>
      </c>
      <c r="J13" s="136">
        <f>Table33[[#This Row],[Female Rates]]*D$39/100000</f>
        <v>0</v>
      </c>
      <c r="K13" s="136">
        <f>Table33[[#This Row],[Female Rates]]*E$39/100000</f>
        <v>0</v>
      </c>
      <c r="L13" s="136">
        <f>Table33[[#This Row],[Male Rates]]*$B$39/100000</f>
        <v>0</v>
      </c>
      <c r="M13" s="136">
        <f>Table33[[#This Row],[Male Rates]]*C$39/100000</f>
        <v>0</v>
      </c>
      <c r="N13" s="136">
        <f>Table33[[#This Row],[Male Rates]]*D$39/100000</f>
        <v>0</v>
      </c>
      <c r="O13" s="136">
        <f>Table33[[#This Row],[Male Rates]]*E$39/100000</f>
        <v>0</v>
      </c>
    </row>
    <row r="14" spans="1:15">
      <c r="A14" s="26" t="s">
        <v>109</v>
      </c>
      <c r="B14" s="132">
        <v>102</v>
      </c>
      <c r="C14" s="133">
        <v>205</v>
      </c>
      <c r="D14" s="132">
        <v>5</v>
      </c>
      <c r="E14" s="133">
        <v>10.1</v>
      </c>
      <c r="F14" s="115"/>
      <c r="H14" s="129">
        <f>Table33[[#This Row],[Female Rates]]*$B$39/100000</f>
        <v>0</v>
      </c>
      <c r="I14" s="136">
        <f>Table33[[#This Row],[Female Rates]]*$C$39/100000</f>
        <v>0</v>
      </c>
      <c r="J14" s="136">
        <f>Table33[[#This Row],[Female Rates]]*D$39/100000</f>
        <v>0</v>
      </c>
      <c r="K14" s="136">
        <f>Table33[[#This Row],[Female Rates]]*E$39/100000</f>
        <v>0</v>
      </c>
      <c r="L14" s="136">
        <f>Table33[[#This Row],[Male Rates]]*$B$39/100000</f>
        <v>0</v>
      </c>
      <c r="M14" s="136">
        <f>Table33[[#This Row],[Male Rates]]*C$39/100000</f>
        <v>0</v>
      </c>
      <c r="N14" s="136">
        <f>Table33[[#This Row],[Male Rates]]*D$39/100000</f>
        <v>0</v>
      </c>
      <c r="O14" s="136">
        <f>Table33[[#This Row],[Male Rates]]*E$39/100000</f>
        <v>0</v>
      </c>
    </row>
    <row r="15" spans="1:15">
      <c r="A15" s="26" t="s">
        <v>110</v>
      </c>
      <c r="B15" s="132">
        <v>181</v>
      </c>
      <c r="C15" s="133">
        <v>399</v>
      </c>
      <c r="D15" s="132">
        <v>7.8</v>
      </c>
      <c r="E15" s="133">
        <v>17.7</v>
      </c>
      <c r="F15" s="115"/>
      <c r="H15" s="129">
        <f>Table33[[#This Row],[Female Rates]]*$B$39/100000</f>
        <v>0</v>
      </c>
      <c r="I15" s="136">
        <f>Table33[[#This Row],[Female Rates]]*$C$39/100000</f>
        <v>0</v>
      </c>
      <c r="J15" s="136">
        <f>Table33[[#This Row],[Female Rates]]*D$39/100000</f>
        <v>0</v>
      </c>
      <c r="K15" s="136">
        <f>Table33[[#This Row],[Female Rates]]*E$39/100000</f>
        <v>0</v>
      </c>
      <c r="L15" s="136">
        <f>Table33[[#This Row],[Male Rates]]*$B$39/100000</f>
        <v>0</v>
      </c>
      <c r="M15" s="136">
        <f>Table33[[#This Row],[Male Rates]]*C$39/100000</f>
        <v>0</v>
      </c>
      <c r="N15" s="136">
        <f>Table33[[#This Row],[Male Rates]]*D$39/100000</f>
        <v>0</v>
      </c>
      <c r="O15" s="136">
        <f>Table33[[#This Row],[Male Rates]]*E$39/100000</f>
        <v>0</v>
      </c>
    </row>
    <row r="16" spans="1:15">
      <c r="A16" s="26" t="s">
        <v>111</v>
      </c>
      <c r="B16" s="132">
        <v>301</v>
      </c>
      <c r="C16" s="133">
        <v>614</v>
      </c>
      <c r="D16" s="132">
        <v>12.7</v>
      </c>
      <c r="E16" s="133">
        <v>26.8</v>
      </c>
      <c r="F16" s="115"/>
      <c r="H16" s="129">
        <f>Table33[[#This Row],[Female Rates]]*$B$39/100000</f>
        <v>0</v>
      </c>
      <c r="I16" s="136">
        <f>Table33[[#This Row],[Female Rates]]*$C$39/100000</f>
        <v>0</v>
      </c>
      <c r="J16" s="136">
        <f>Table33[[#This Row],[Female Rates]]*D$39/100000</f>
        <v>0</v>
      </c>
      <c r="K16" s="136">
        <f>Table33[[#This Row],[Female Rates]]*E$39/100000</f>
        <v>0</v>
      </c>
      <c r="L16" s="136">
        <f>Table33[[#This Row],[Male Rates]]*$B$39/100000</f>
        <v>0</v>
      </c>
      <c r="M16" s="136">
        <f>Table33[[#This Row],[Male Rates]]*C$39/100000</f>
        <v>0</v>
      </c>
      <c r="N16" s="136">
        <f>Table33[[#This Row],[Male Rates]]*D$39/100000</f>
        <v>0</v>
      </c>
      <c r="O16" s="136">
        <f>Table33[[#This Row],[Male Rates]]*E$39/100000</f>
        <v>0</v>
      </c>
    </row>
    <row r="17" spans="1:15">
      <c r="A17" s="26" t="s">
        <v>112</v>
      </c>
      <c r="B17" s="132">
        <v>395</v>
      </c>
      <c r="C17" s="133">
        <v>765</v>
      </c>
      <c r="D17" s="132">
        <v>18.600000000000001</v>
      </c>
      <c r="E17" s="133">
        <v>37.1</v>
      </c>
      <c r="F17" s="115"/>
      <c r="H17" s="129">
        <f>Table33[[#This Row],[Female Rates]]*$B$39/100000</f>
        <v>0</v>
      </c>
      <c r="I17" s="136">
        <f>Table33[[#This Row],[Female Rates]]*$C$39/100000</f>
        <v>0</v>
      </c>
      <c r="J17" s="136">
        <f>Table33[[#This Row],[Female Rates]]*D$39/100000</f>
        <v>0</v>
      </c>
      <c r="K17" s="136">
        <f>Table33[[#This Row],[Female Rates]]*E$39/100000</f>
        <v>0</v>
      </c>
      <c r="L17" s="136">
        <f>Table33[[#This Row],[Male Rates]]*$B$39/100000</f>
        <v>0</v>
      </c>
      <c r="M17" s="136">
        <f>Table33[[#This Row],[Male Rates]]*C$39/100000</f>
        <v>0</v>
      </c>
      <c r="N17" s="136">
        <f>Table33[[#This Row],[Male Rates]]*D$39/100000</f>
        <v>0</v>
      </c>
      <c r="O17" s="136">
        <f>Table33[[#This Row],[Male Rates]]*E$39/100000</f>
        <v>0</v>
      </c>
    </row>
    <row r="18" spans="1:15">
      <c r="A18" s="26" t="s">
        <v>113</v>
      </c>
      <c r="B18" s="132">
        <v>481</v>
      </c>
      <c r="C18" s="133">
        <v>948</v>
      </c>
      <c r="D18" s="132">
        <v>26.2</v>
      </c>
      <c r="E18" s="133">
        <v>53.7</v>
      </c>
      <c r="F18" s="115"/>
      <c r="H18" s="129">
        <f>Table33[[#This Row],[Female Rates]]*$B$39/100000</f>
        <v>0</v>
      </c>
      <c r="I18" s="136">
        <f>Table33[[#This Row],[Female Rates]]*$C$39/100000</f>
        <v>0</v>
      </c>
      <c r="J18" s="136">
        <f>Table33[[#This Row],[Female Rates]]*D$39/100000</f>
        <v>0</v>
      </c>
      <c r="K18" s="136">
        <f>Table33[[#This Row],[Female Rates]]*E$39/100000</f>
        <v>0</v>
      </c>
      <c r="L18" s="136">
        <f>Table33[[#This Row],[Male Rates]]*$B$39/100000</f>
        <v>0</v>
      </c>
      <c r="M18" s="136">
        <f>Table33[[#This Row],[Male Rates]]*C$39/100000</f>
        <v>0</v>
      </c>
      <c r="N18" s="136">
        <f>Table33[[#This Row],[Male Rates]]*D$39/100000</f>
        <v>0</v>
      </c>
      <c r="O18" s="136">
        <f>Table33[[#This Row],[Male Rates]]*E$39/100000</f>
        <v>0</v>
      </c>
    </row>
    <row r="19" spans="1:15">
      <c r="A19" s="26" t="s">
        <v>114</v>
      </c>
      <c r="B19" s="132">
        <v>656</v>
      </c>
      <c r="C19" s="133">
        <v>1255</v>
      </c>
      <c r="D19" s="132">
        <v>36.4</v>
      </c>
      <c r="E19" s="133">
        <v>73.900000000000006</v>
      </c>
      <c r="F19" s="115"/>
      <c r="H19" s="129">
        <f>Table33[[#This Row],[Female Rates]]*$B$39/100000</f>
        <v>0</v>
      </c>
      <c r="I19" s="136">
        <f>Table33[[#This Row],[Female Rates]]*$C$39/100000</f>
        <v>0</v>
      </c>
      <c r="J19" s="136">
        <f>Table33[[#This Row],[Female Rates]]*D$39/100000</f>
        <v>0</v>
      </c>
      <c r="K19" s="136">
        <f>Table33[[#This Row],[Female Rates]]*E$39/100000</f>
        <v>0</v>
      </c>
      <c r="L19" s="136">
        <f>Table33[[#This Row],[Male Rates]]*$B$39/100000</f>
        <v>0</v>
      </c>
      <c r="M19" s="136">
        <f>Table33[[#This Row],[Male Rates]]*C$39/100000</f>
        <v>0</v>
      </c>
      <c r="N19" s="136">
        <f>Table33[[#This Row],[Male Rates]]*D$39/100000</f>
        <v>0</v>
      </c>
      <c r="O19" s="136">
        <f>Table33[[#This Row],[Male Rates]]*E$39/100000</f>
        <v>0</v>
      </c>
    </row>
    <row r="20" spans="1:15">
      <c r="A20" s="26" t="s">
        <v>115</v>
      </c>
      <c r="B20" s="132">
        <v>724</v>
      </c>
      <c r="C20" s="133">
        <v>1339</v>
      </c>
      <c r="D20" s="132">
        <v>45.1</v>
      </c>
      <c r="E20" s="133">
        <v>91.2</v>
      </c>
      <c r="F20" s="115"/>
      <c r="H20" s="129">
        <f>Table33[[#This Row],[Female Rates]]*$B$39/100000</f>
        <v>0</v>
      </c>
      <c r="I20" s="136">
        <f>Table33[[#This Row],[Female Rates]]*$C$39/100000</f>
        <v>0</v>
      </c>
      <c r="J20" s="136">
        <f>Table33[[#This Row],[Female Rates]]*D$39/100000</f>
        <v>0</v>
      </c>
      <c r="K20" s="136">
        <f>Table33[[#This Row],[Female Rates]]*E$39/100000</f>
        <v>0</v>
      </c>
      <c r="L20" s="136">
        <f>Table33[[#This Row],[Male Rates]]*$B$39/100000</f>
        <v>0</v>
      </c>
      <c r="M20" s="136">
        <f>Table33[[#This Row],[Male Rates]]*C$39/100000</f>
        <v>0</v>
      </c>
      <c r="N20" s="136">
        <f>Table33[[#This Row],[Male Rates]]*D$39/100000</f>
        <v>0</v>
      </c>
      <c r="O20" s="136">
        <f>Table33[[#This Row],[Male Rates]]*E$39/100000</f>
        <v>0</v>
      </c>
    </row>
    <row r="21" spans="1:15">
      <c r="A21" s="26" t="s">
        <v>116</v>
      </c>
      <c r="B21" s="132">
        <v>676</v>
      </c>
      <c r="C21" s="133">
        <v>1109</v>
      </c>
      <c r="D21" s="132">
        <v>57.2</v>
      </c>
      <c r="E21" s="133">
        <v>110.1</v>
      </c>
      <c r="F21" s="115"/>
      <c r="H21" s="129">
        <f>Table33[[#This Row],[Female Rates]]*$B$39/100000</f>
        <v>0</v>
      </c>
      <c r="I21" s="136">
        <f>Table33[[#This Row],[Female Rates]]*$C$39/100000</f>
        <v>0</v>
      </c>
      <c r="J21" s="136">
        <f>Table33[[#This Row],[Female Rates]]*D$39/100000</f>
        <v>0</v>
      </c>
      <c r="K21" s="136">
        <f>Table33[[#This Row],[Female Rates]]*E$39/100000</f>
        <v>0</v>
      </c>
      <c r="L21" s="136">
        <f>Table33[[#This Row],[Male Rates]]*$B$39/100000</f>
        <v>0</v>
      </c>
      <c r="M21" s="136">
        <f>Table33[[#This Row],[Male Rates]]*C$39/100000</f>
        <v>0</v>
      </c>
      <c r="N21" s="136">
        <f>Table33[[#This Row],[Male Rates]]*D$39/100000</f>
        <v>0</v>
      </c>
      <c r="O21" s="136">
        <f>Table33[[#This Row],[Male Rates]]*E$39/100000</f>
        <v>0</v>
      </c>
    </row>
    <row r="22" spans="1:15">
      <c r="A22" s="26" t="s">
        <v>117</v>
      </c>
      <c r="B22" s="132">
        <v>598</v>
      </c>
      <c r="C22" s="133">
        <v>851</v>
      </c>
      <c r="D22" s="132">
        <v>64.5</v>
      </c>
      <c r="E22" s="133">
        <v>119.5</v>
      </c>
      <c r="F22" s="115"/>
      <c r="H22" s="129">
        <f>Table33[[#This Row],[Female Rates]]*$B$39/100000</f>
        <v>0</v>
      </c>
      <c r="I22" s="136">
        <f>Table33[[#This Row],[Female Rates]]*$C$39/100000</f>
        <v>0</v>
      </c>
      <c r="J22" s="136">
        <f>Table33[[#This Row],[Female Rates]]*D$39/100000</f>
        <v>0</v>
      </c>
      <c r="K22" s="136">
        <f>Table33[[#This Row],[Female Rates]]*E$39/100000</f>
        <v>0</v>
      </c>
      <c r="L22" s="136">
        <f>Table33[[#This Row],[Male Rates]]*$B$39/100000</f>
        <v>0</v>
      </c>
      <c r="M22" s="136">
        <f>Table33[[#This Row],[Male Rates]]*C$39/100000</f>
        <v>0</v>
      </c>
      <c r="N22" s="136">
        <f>Table33[[#This Row],[Male Rates]]*D$39/100000</f>
        <v>0</v>
      </c>
      <c r="O22" s="136">
        <f>Table33[[#This Row],[Male Rates]]*E$39/100000</f>
        <v>0</v>
      </c>
    </row>
    <row r="23" spans="1:15">
      <c r="A23" s="26" t="s">
        <v>118</v>
      </c>
      <c r="B23" s="132">
        <v>413</v>
      </c>
      <c r="C23" s="133">
        <v>489</v>
      </c>
      <c r="D23" s="132">
        <v>66.7</v>
      </c>
      <c r="E23" s="133">
        <v>124.8</v>
      </c>
      <c r="F23" s="115"/>
      <c r="H23" s="129">
        <f>Table33[[#This Row],[Female Rates]]*$B$39/100000</f>
        <v>0</v>
      </c>
      <c r="I23" s="136">
        <f>Table33[[#This Row],[Female Rates]]*$C$39/100000</f>
        <v>0</v>
      </c>
      <c r="J23" s="136">
        <f>Table33[[#This Row],[Female Rates]]*D$39/100000</f>
        <v>0</v>
      </c>
      <c r="K23" s="136">
        <f>Table33[[#This Row],[Female Rates]]*E$39/100000</f>
        <v>0</v>
      </c>
      <c r="L23" s="136">
        <f>Table33[[#This Row],[Male Rates]]*$B$39/100000</f>
        <v>0</v>
      </c>
      <c r="M23" s="136">
        <f>Table33[[#This Row],[Male Rates]]*C$39/100000</f>
        <v>0</v>
      </c>
      <c r="N23" s="136">
        <f>Table33[[#This Row],[Male Rates]]*D$39/100000</f>
        <v>0</v>
      </c>
      <c r="O23" s="136">
        <f>Table33[[#This Row],[Male Rates]]*E$39/100000</f>
        <v>0</v>
      </c>
    </row>
    <row r="24" spans="1:15">
      <c r="A24" s="26" t="s">
        <v>119</v>
      </c>
      <c r="B24" s="132">
        <v>210</v>
      </c>
      <c r="C24" s="133">
        <v>217</v>
      </c>
      <c r="D24" s="132">
        <v>52.4</v>
      </c>
      <c r="E24" s="133">
        <v>121.8</v>
      </c>
      <c r="F24" s="115"/>
      <c r="H24" s="135">
        <f>Table33[[#This Row],[Female Rates]]*$B$39/100000</f>
        <v>0</v>
      </c>
      <c r="I24" s="136">
        <f>Table33[[#This Row],[Female Rates]]*$C$39/100000</f>
        <v>0</v>
      </c>
      <c r="J24" s="136">
        <f>Table33[[#This Row],[Female Rates]]*D$39/100000</f>
        <v>0</v>
      </c>
      <c r="K24" s="136">
        <f>Table33[[#This Row],[Female Rates]]*E$39/100000</f>
        <v>0</v>
      </c>
      <c r="L24" s="136">
        <f>Table33[[#This Row],[Male Rates]]*$B$39/100000</f>
        <v>0</v>
      </c>
      <c r="M24" s="136">
        <f>Table33[[#This Row],[Male Rates]]*C$39/100000</f>
        <v>0</v>
      </c>
      <c r="N24" s="136">
        <f>Table33[[#This Row],[Male Rates]]*D$39/100000</f>
        <v>0</v>
      </c>
      <c r="O24" s="136">
        <f>Table33[[#This Row],[Male Rates]]*E$39/100000</f>
        <v>0</v>
      </c>
    </row>
    <row r="25" spans="1:15" ht="15.75" thickBot="1">
      <c r="A25" s="26" t="s">
        <v>120</v>
      </c>
      <c r="B25" s="132">
        <v>4916</v>
      </c>
      <c r="C25" s="133">
        <v>8407</v>
      </c>
      <c r="D25" s="132">
        <v>14.8</v>
      </c>
      <c r="E25" s="133">
        <v>29.2</v>
      </c>
      <c r="F25" s="115"/>
      <c r="H25" s="129"/>
      <c r="I25" s="130"/>
      <c r="J25" s="130"/>
      <c r="K25" s="130"/>
      <c r="L25" s="130"/>
      <c r="M25" s="130"/>
      <c r="N25" s="130"/>
      <c r="O25" s="131"/>
    </row>
    <row r="26" spans="1:15">
      <c r="A26" s="115"/>
      <c r="B26" s="115"/>
      <c r="C26" s="115"/>
      <c r="D26" s="115"/>
      <c r="E26" s="115"/>
      <c r="F26" s="115"/>
    </row>
    <row r="30" spans="1:15">
      <c r="A30" t="s">
        <v>265</v>
      </c>
    </row>
    <row r="31" spans="1:15">
      <c r="B31" t="s">
        <v>138</v>
      </c>
      <c r="C31" s="115" t="s">
        <v>152</v>
      </c>
      <c r="D31" s="115" t="s">
        <v>154</v>
      </c>
      <c r="E31" s="115" t="s">
        <v>155</v>
      </c>
      <c r="F31" t="s">
        <v>267</v>
      </c>
      <c r="G31" t="s">
        <v>268</v>
      </c>
      <c r="H31" t="s">
        <v>270</v>
      </c>
    </row>
    <row r="32" spans="1:15" ht="15.75" thickBot="1">
      <c r="A32" t="s">
        <v>266</v>
      </c>
      <c r="B32">
        <v>3553</v>
      </c>
      <c r="C32">
        <v>535</v>
      </c>
      <c r="D32">
        <v>1489</v>
      </c>
      <c r="E32">
        <v>1645</v>
      </c>
      <c r="F32">
        <f>14+3174</f>
        <v>3188</v>
      </c>
      <c r="G32">
        <v>10410</v>
      </c>
      <c r="H32" s="115" t="s">
        <v>287</v>
      </c>
    </row>
    <row r="33" spans="1:17" ht="15.75" thickBot="1">
      <c r="A33" t="s">
        <v>271</v>
      </c>
      <c r="B33">
        <f>B32/$G$32</f>
        <v>0.34130643611911621</v>
      </c>
      <c r="C33" s="115">
        <f t="shared" ref="C33:E33" si="0">C32/$G$32</f>
        <v>5.139289145052834E-2</v>
      </c>
      <c r="D33" s="115">
        <f t="shared" si="0"/>
        <v>0.1430355427473583</v>
      </c>
      <c r="E33" s="115">
        <f t="shared" si="0"/>
        <v>0.1580211335254563</v>
      </c>
      <c r="F33" s="115">
        <f>F32/$G$32</f>
        <v>0.30624399615754083</v>
      </c>
      <c r="H33" s="115" t="s">
        <v>269</v>
      </c>
      <c r="M33" s="162" t="s">
        <v>354</v>
      </c>
      <c r="N33" s="163"/>
      <c r="O33" s="163"/>
      <c r="P33" s="163"/>
      <c r="Q33" s="164"/>
    </row>
    <row r="34" spans="1:17">
      <c r="M34" s="165"/>
      <c r="N34" s="166" t="s">
        <v>355</v>
      </c>
      <c r="O34" s="161"/>
      <c r="P34" s="161"/>
      <c r="Q34" s="167"/>
    </row>
    <row r="35" spans="1:17">
      <c r="A35" s="161" t="s">
        <v>353</v>
      </c>
      <c r="B35">
        <f>B33/$H$35</f>
        <v>0.4919689836610357</v>
      </c>
      <c r="C35" s="159">
        <f t="shared" ref="C35:E35" si="1">C33/$H$35</f>
        <v>7.407920243699806E-2</v>
      </c>
      <c r="D35" s="159">
        <f t="shared" si="1"/>
        <v>0.20617557463306563</v>
      </c>
      <c r="E35" s="159">
        <f t="shared" si="1"/>
        <v>0.22777623926890059</v>
      </c>
      <c r="F35" s="115"/>
      <c r="H35">
        <f>SUM(B33:E33)</f>
        <v>0.69375600384245917</v>
      </c>
      <c r="M35" s="165" t="s">
        <v>72</v>
      </c>
      <c r="N35" s="161" t="s">
        <v>356</v>
      </c>
      <c r="O35" s="161" t="s">
        <v>357</v>
      </c>
      <c r="P35" s="161" t="s">
        <v>358</v>
      </c>
      <c r="Q35" s="167"/>
    </row>
    <row r="36" spans="1:17">
      <c r="M36" s="165" t="s">
        <v>359</v>
      </c>
      <c r="N36" s="161">
        <v>1</v>
      </c>
      <c r="O36" s="168">
        <f>SUM(B56:C62)</f>
        <v>4631</v>
      </c>
      <c r="P36" s="161">
        <v>0.19134999999999999</v>
      </c>
      <c r="Q36" s="167"/>
    </row>
    <row r="37" spans="1:17">
      <c r="A37" s="5"/>
      <c r="B37" s="5"/>
      <c r="C37" s="5"/>
      <c r="D37" s="5"/>
      <c r="E37" s="5"/>
      <c r="F37" s="5"/>
      <c r="G37" s="5"/>
      <c r="H37" s="5"/>
      <c r="I37" s="5"/>
      <c r="M37" s="165" t="s">
        <v>143</v>
      </c>
      <c r="N37" s="161">
        <v>0.78</v>
      </c>
      <c r="O37" s="168">
        <f>SUM(B63:C64)</f>
        <v>3974</v>
      </c>
      <c r="P37" s="161">
        <f>P36*N37</f>
        <v>0.149253</v>
      </c>
      <c r="Q37" s="167"/>
    </row>
    <row r="38" spans="1:17">
      <c r="A38" s="185"/>
      <c r="B38" s="5"/>
      <c r="C38" s="5"/>
      <c r="D38" s="5"/>
      <c r="E38" s="5"/>
      <c r="F38" s="5"/>
      <c r="G38" s="5"/>
      <c r="H38" s="5"/>
      <c r="I38" s="5"/>
      <c r="M38" s="165" t="s">
        <v>360</v>
      </c>
      <c r="N38" s="161">
        <v>1.61</v>
      </c>
      <c r="O38" s="168">
        <f>SUM(B65:C66)</f>
        <v>3234</v>
      </c>
      <c r="P38" s="161">
        <f>N38*P36</f>
        <v>0.3080735</v>
      </c>
      <c r="Q38" s="167"/>
    </row>
    <row r="39" spans="1:17">
      <c r="A39" s="5"/>
      <c r="B39" s="5"/>
      <c r="C39" s="5"/>
      <c r="D39" s="5"/>
      <c r="E39" s="5"/>
      <c r="F39" s="5"/>
      <c r="G39" s="5"/>
      <c r="H39" s="5"/>
      <c r="I39" s="5"/>
      <c r="M39" s="165" t="s">
        <v>361</v>
      </c>
      <c r="N39" s="161">
        <v>2.8</v>
      </c>
      <c r="O39" s="168">
        <f>SUM(B67:C68)</f>
        <v>1329</v>
      </c>
      <c r="P39" s="161">
        <f>N39*P36</f>
        <v>0.53577999999999992</v>
      </c>
      <c r="Q39" s="167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M40" s="165"/>
      <c r="N40" s="161"/>
      <c r="O40" s="161"/>
      <c r="P40" s="161"/>
      <c r="Q40" s="167"/>
    </row>
    <row r="41" spans="1:17">
      <c r="A41" s="5"/>
      <c r="B41" s="5"/>
      <c r="C41" s="5"/>
      <c r="D41" s="5"/>
      <c r="E41" s="5"/>
      <c r="F41" s="5"/>
      <c r="G41" s="5"/>
      <c r="H41" s="5"/>
      <c r="I41" s="5"/>
      <c r="M41" s="165"/>
      <c r="N41" s="161"/>
      <c r="O41" s="161"/>
      <c r="P41" s="161"/>
      <c r="Q41" s="167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M42" s="165" t="s">
        <v>362</v>
      </c>
      <c r="N42" s="161"/>
      <c r="O42" s="168"/>
      <c r="P42" s="161"/>
      <c r="Q42" s="167"/>
    </row>
    <row r="43" spans="1:17">
      <c r="A43" s="5"/>
      <c r="B43" s="5"/>
      <c r="C43" s="5"/>
      <c r="D43" s="5"/>
      <c r="E43" s="5"/>
      <c r="F43" s="5"/>
      <c r="G43" s="5"/>
      <c r="H43" s="5"/>
      <c r="I43" s="5"/>
      <c r="M43" s="165"/>
      <c r="N43" s="161"/>
      <c r="O43" s="161"/>
      <c r="P43" s="161"/>
      <c r="Q43" s="167"/>
    </row>
    <row r="44" spans="1:17" ht="135">
      <c r="A44" s="5"/>
      <c r="B44" s="5"/>
      <c r="C44" s="5"/>
      <c r="D44" s="5"/>
      <c r="E44" s="5"/>
      <c r="F44" s="5"/>
      <c r="G44" s="5"/>
      <c r="H44" s="5"/>
      <c r="I44" s="5"/>
      <c r="M44" s="165" t="s">
        <v>363</v>
      </c>
      <c r="N44" s="165" t="s">
        <v>364</v>
      </c>
      <c r="O44" s="169" t="s">
        <v>365</v>
      </c>
      <c r="P44" s="161"/>
      <c r="Q44" s="167"/>
    </row>
    <row r="45" spans="1:17">
      <c r="M45" s="165">
        <v>1</v>
      </c>
      <c r="N45" s="170">
        <v>0.14499999999999999</v>
      </c>
      <c r="O45" s="161">
        <v>9.2999999999999999E-2</v>
      </c>
      <c r="P45" s="171"/>
      <c r="Q45" s="167"/>
    </row>
    <row r="46" spans="1:17">
      <c r="M46" s="165">
        <v>2</v>
      </c>
      <c r="N46" s="161">
        <v>0.30399999999999999</v>
      </c>
      <c r="O46" s="161">
        <v>0.218</v>
      </c>
      <c r="P46" s="171"/>
      <c r="Q46" s="167"/>
    </row>
    <row r="47" spans="1:17">
      <c r="M47" s="165">
        <v>3</v>
      </c>
      <c r="N47" s="161">
        <v>0.26</v>
      </c>
      <c r="O47" s="161">
        <v>0.184</v>
      </c>
      <c r="P47" s="171"/>
      <c r="Q47" s="167"/>
    </row>
    <row r="48" spans="1:17">
      <c r="M48" s="165">
        <v>4</v>
      </c>
      <c r="N48" s="161">
        <v>0.29199999999999998</v>
      </c>
      <c r="O48" s="161">
        <v>0.505</v>
      </c>
      <c r="P48" s="171"/>
      <c r="Q48" s="167"/>
    </row>
    <row r="49" spans="1:17">
      <c r="M49" s="165"/>
      <c r="N49" s="161"/>
      <c r="O49" s="161">
        <f>SUM(O45:O48)</f>
        <v>1</v>
      </c>
      <c r="P49" s="161"/>
      <c r="Q49" s="167"/>
    </row>
    <row r="50" spans="1:17">
      <c r="M50" s="165"/>
      <c r="N50" s="161"/>
      <c r="O50" s="161"/>
      <c r="P50" s="161"/>
      <c r="Q50" s="167"/>
    </row>
    <row r="51" spans="1:17">
      <c r="M51" s="165"/>
      <c r="N51" s="161"/>
      <c r="O51" s="161"/>
      <c r="P51" s="161"/>
      <c r="Q51" s="167"/>
    </row>
    <row r="52" spans="1:17" ht="15.75" thickBot="1">
      <c r="M52" s="172"/>
      <c r="N52" s="173"/>
      <c r="O52" s="173"/>
      <c r="P52" s="173"/>
      <c r="Q52" s="174"/>
    </row>
    <row r="54" spans="1:17" ht="15.75" thickBot="1"/>
    <row r="55" spans="1:17" ht="16.5" thickBot="1">
      <c r="A55" s="175" t="str">
        <f>Calibration_targets_exp!A1</f>
        <v>Age_lb</v>
      </c>
      <c r="B55" s="176" t="s">
        <v>366</v>
      </c>
      <c r="C55" s="176" t="s">
        <v>367</v>
      </c>
      <c r="D55" s="176" t="s">
        <v>368</v>
      </c>
      <c r="E55" s="176" t="s">
        <v>366</v>
      </c>
      <c r="F55" s="176" t="s">
        <v>367</v>
      </c>
      <c r="G55" s="177" t="s">
        <v>138</v>
      </c>
      <c r="H55" s="177" t="s">
        <v>152</v>
      </c>
      <c r="I55" s="177" t="s">
        <v>154</v>
      </c>
      <c r="J55" s="177" t="s">
        <v>155</v>
      </c>
      <c r="K55" s="177" t="s">
        <v>138</v>
      </c>
      <c r="L55" s="177" t="s">
        <v>152</v>
      </c>
      <c r="M55" s="177" t="s">
        <v>154</v>
      </c>
      <c r="N55" s="178" t="s">
        <v>155</v>
      </c>
    </row>
    <row r="56" spans="1:17" ht="15.75" thickBot="1">
      <c r="A56" s="175">
        <f>Calibration_targets_exp!A2</f>
        <v>30</v>
      </c>
      <c r="B56" s="184">
        <f>B12</f>
        <v>36</v>
      </c>
      <c r="C56" s="168">
        <f>C12</f>
        <v>49</v>
      </c>
      <c r="D56" s="161">
        <f>SUM(B56:C56)*$P$36</f>
        <v>16.264749999999999</v>
      </c>
      <c r="E56" s="161">
        <f>B56-D56/2</f>
        <v>27.867625</v>
      </c>
      <c r="F56" s="161">
        <f>C56-D56/2</f>
        <v>40.867625000000004</v>
      </c>
      <c r="G56" s="170">
        <f>B$16*$F56+$M$26*$D56/2</f>
        <v>12301.155125000001</v>
      </c>
      <c r="H56" s="170">
        <f>C$16*$F56+$M$27*$D56/2</f>
        <v>25092.721750000001</v>
      </c>
      <c r="I56" s="170">
        <f>D$16*$F56+$M$28*$D56/2</f>
        <v>519.01883750000002</v>
      </c>
      <c r="J56" s="170">
        <f t="shared" ref="J56:J68" si="2">E$16*$F56+$M$29*$D56/2</f>
        <v>1095.2523500000002</v>
      </c>
      <c r="K56" s="170">
        <f>B$16*$E56+$M$26*$D56/2</f>
        <v>8388.1551249999993</v>
      </c>
      <c r="L56" s="170">
        <f>C$16*$E56+$M$27*$D56/2</f>
        <v>17110.721750000001</v>
      </c>
      <c r="M56" s="170">
        <f>D$16*$E56+$M$28*$D56/2</f>
        <v>353.9188375</v>
      </c>
      <c r="N56" s="179">
        <f>B56-SUM(K56:M56)</f>
        <v>-25816.795712500003</v>
      </c>
    </row>
    <row r="57" spans="1:17" ht="15.75" thickBot="1">
      <c r="A57" s="175">
        <f>Calibration_targets_exp!A3</f>
        <v>35</v>
      </c>
      <c r="B57" s="184">
        <f t="shared" ref="B57:C57" si="3">B13</f>
        <v>61</v>
      </c>
      <c r="C57" s="168">
        <f t="shared" si="3"/>
        <v>94</v>
      </c>
      <c r="D57" s="161">
        <f t="shared" ref="D57:D61" si="4">SUM(B57:C57)*$P$36</f>
        <v>29.65925</v>
      </c>
      <c r="E57" s="161">
        <f t="shared" ref="E57:E68" si="5">B57-D57/2</f>
        <v>46.170375</v>
      </c>
      <c r="F57" s="161">
        <f t="shared" ref="F57:F68" si="6">C57-D57/2</f>
        <v>79.170375000000007</v>
      </c>
      <c r="G57" s="170">
        <f t="shared" ref="G57:G68" si="7">B$16*$F57+$M$26*$D57/2</f>
        <v>23830.282875000001</v>
      </c>
      <c r="H57" s="170">
        <f t="shared" ref="H57:H68" si="8">C$16*$F57+$M$27*$D57/2</f>
        <v>48610.610250000005</v>
      </c>
      <c r="I57" s="170">
        <f t="shared" ref="I57:I68" si="9">D$16*$F57+$M$28*$D57/2</f>
        <v>1005.4637625</v>
      </c>
      <c r="J57" s="170">
        <f t="shared" si="2"/>
        <v>2121.7660500000002</v>
      </c>
      <c r="K57" s="170">
        <f t="shared" ref="K57:K68" si="10">B$16*$E57+$M$26*$D57/2</f>
        <v>13897.282875000001</v>
      </c>
      <c r="L57" s="170">
        <f t="shared" ref="L57:L68" si="11">C$16*$E57+$M$27*$D57/2</f>
        <v>28348.610250000002</v>
      </c>
      <c r="M57" s="170">
        <f t="shared" ref="M57:M68" si="12">D$16*$E57+$M$28*$D57/2</f>
        <v>586.36376250000001</v>
      </c>
      <c r="N57" s="179">
        <f>B57-SUM(K57:M57)</f>
        <v>-42771.2568875</v>
      </c>
    </row>
    <row r="58" spans="1:17" ht="15.75" thickBot="1">
      <c r="A58" s="175">
        <f>Calibration_targets_exp!A4</f>
        <v>40</v>
      </c>
      <c r="B58" s="184">
        <f t="shared" ref="B58:C58" si="13">B14</f>
        <v>102</v>
      </c>
      <c r="C58" s="168">
        <f t="shared" si="13"/>
        <v>205</v>
      </c>
      <c r="D58" s="161">
        <f t="shared" si="4"/>
        <v>58.744450000000001</v>
      </c>
      <c r="E58" s="161">
        <f t="shared" si="5"/>
        <v>72.627775</v>
      </c>
      <c r="F58" s="161">
        <f t="shared" si="6"/>
        <v>175.62777499999999</v>
      </c>
      <c r="G58" s="170">
        <f t="shared" si="7"/>
        <v>52863.960274999998</v>
      </c>
      <c r="H58" s="170">
        <f t="shared" si="8"/>
        <v>107835.45384999999</v>
      </c>
      <c r="I58" s="170">
        <f t="shared" si="9"/>
        <v>2230.4727424999996</v>
      </c>
      <c r="J58" s="170">
        <f t="shared" si="2"/>
        <v>4706.8243699999994</v>
      </c>
      <c r="K58" s="170">
        <f t="shared" si="10"/>
        <v>21860.960275000001</v>
      </c>
      <c r="L58" s="170">
        <f t="shared" si="11"/>
        <v>44593.453849999998</v>
      </c>
      <c r="M58" s="170">
        <f>D$16*$E58+$M$28*$D58/2</f>
        <v>922.37274249999996</v>
      </c>
      <c r="N58" s="179">
        <f>B58-SUM(K58:M58)</f>
        <v>-67274.786867499992</v>
      </c>
    </row>
    <row r="59" spans="1:17" ht="15.75" thickBot="1">
      <c r="A59" s="175">
        <f>Calibration_targets_exp!A5</f>
        <v>45</v>
      </c>
      <c r="B59" s="184">
        <f t="shared" ref="B59:C59" si="14">B15</f>
        <v>181</v>
      </c>
      <c r="C59" s="168">
        <f t="shared" si="14"/>
        <v>399</v>
      </c>
      <c r="D59" s="161">
        <f t="shared" si="4"/>
        <v>110.98299999999999</v>
      </c>
      <c r="E59" s="161">
        <f>B59-D59/2</f>
        <v>125.5085</v>
      </c>
      <c r="F59" s="161">
        <f t="shared" si="6"/>
        <v>343.50850000000003</v>
      </c>
      <c r="G59" s="170">
        <f t="shared" si="7"/>
        <v>103396.05850000001</v>
      </c>
      <c r="H59" s="170">
        <f t="shared" si="8"/>
        <v>210914.21900000001</v>
      </c>
      <c r="I59" s="170">
        <f t="shared" si="9"/>
        <v>4362.5579500000003</v>
      </c>
      <c r="J59" s="170">
        <f t="shared" si="2"/>
        <v>9206.0278000000017</v>
      </c>
      <c r="K59" s="170">
        <f t="shared" si="10"/>
        <v>37778.058499999999</v>
      </c>
      <c r="L59" s="170">
        <f t="shared" si="11"/>
        <v>77062.218999999997</v>
      </c>
      <c r="M59" s="170">
        <f t="shared" si="12"/>
        <v>1593.95795</v>
      </c>
      <c r="N59" s="179">
        <f t="shared" ref="N59:N68" si="15">B59-SUM(K59:M59)</f>
        <v>-116253.23544999999</v>
      </c>
    </row>
    <row r="60" spans="1:17" ht="15.75" thickBot="1">
      <c r="A60" s="175">
        <f>Calibration_targets_exp!A6</f>
        <v>50</v>
      </c>
      <c r="B60" s="184">
        <f t="shared" ref="B60:C60" si="16">B16</f>
        <v>301</v>
      </c>
      <c r="C60" s="168">
        <f t="shared" si="16"/>
        <v>614</v>
      </c>
      <c r="D60" s="161">
        <f t="shared" si="4"/>
        <v>175.08525</v>
      </c>
      <c r="E60" s="161">
        <f t="shared" si="5"/>
        <v>213.45737500000001</v>
      </c>
      <c r="F60" s="161">
        <f t="shared" si="6"/>
        <v>526.45737499999996</v>
      </c>
      <c r="G60" s="170">
        <f t="shared" si="7"/>
        <v>158463.66987499999</v>
      </c>
      <c r="H60" s="170">
        <f t="shared" si="8"/>
        <v>323244.82824999996</v>
      </c>
      <c r="I60" s="170">
        <f t="shared" si="9"/>
        <v>6686.0086624999994</v>
      </c>
      <c r="J60" s="170">
        <f t="shared" si="2"/>
        <v>14109.057649999999</v>
      </c>
      <c r="K60" s="170">
        <f t="shared" si="10"/>
        <v>64250.669875000007</v>
      </c>
      <c r="L60" s="170">
        <f t="shared" si="11"/>
        <v>131062.82825000001</v>
      </c>
      <c r="M60" s="170">
        <f t="shared" si="12"/>
        <v>2710.9086625</v>
      </c>
      <c r="N60" s="179">
        <f t="shared" si="15"/>
        <v>-197723.40678750002</v>
      </c>
    </row>
    <row r="61" spans="1:17" ht="15.75" thickBot="1">
      <c r="A61" s="175">
        <f>Calibration_targets_exp!A7</f>
        <v>55</v>
      </c>
      <c r="B61" s="184">
        <f t="shared" ref="B61:C61" si="17">B17</f>
        <v>395</v>
      </c>
      <c r="C61" s="168">
        <f t="shared" si="17"/>
        <v>765</v>
      </c>
      <c r="D61" s="161">
        <f t="shared" si="4"/>
        <v>221.96599999999998</v>
      </c>
      <c r="E61" s="161">
        <f t="shared" si="5"/>
        <v>284.017</v>
      </c>
      <c r="F61" s="161">
        <f t="shared" si="6"/>
        <v>654.01700000000005</v>
      </c>
      <c r="G61" s="170">
        <f t="shared" si="7"/>
        <v>196859.11700000003</v>
      </c>
      <c r="H61" s="170">
        <f t="shared" si="8"/>
        <v>401566.43800000002</v>
      </c>
      <c r="I61" s="170">
        <f t="shared" si="9"/>
        <v>8306.0159000000003</v>
      </c>
      <c r="J61" s="170">
        <f t="shared" si="2"/>
        <v>17527.655600000002</v>
      </c>
      <c r="K61" s="170">
        <f t="shared" si="10"/>
        <v>85489.116999999998</v>
      </c>
      <c r="L61" s="170">
        <f t="shared" si="11"/>
        <v>174386.43799999999</v>
      </c>
      <c r="M61" s="170">
        <f t="shared" si="12"/>
        <v>3607.0158999999999</v>
      </c>
      <c r="N61" s="179">
        <f t="shared" si="15"/>
        <v>-263087.57089999999</v>
      </c>
    </row>
    <row r="62" spans="1:17" ht="15.75" thickBot="1">
      <c r="A62" s="175">
        <f>Calibration_targets_exp!A8</f>
        <v>60</v>
      </c>
      <c r="B62" s="184">
        <f t="shared" ref="B62:C62" si="18">B18</f>
        <v>481</v>
      </c>
      <c r="C62" s="168">
        <f t="shared" si="18"/>
        <v>948</v>
      </c>
      <c r="D62" s="161">
        <f>SUM(B62:C62)*$P$36</f>
        <v>273.43914999999998</v>
      </c>
      <c r="E62" s="161">
        <f t="shared" si="5"/>
        <v>344.28042500000004</v>
      </c>
      <c r="F62" s="161">
        <f t="shared" si="6"/>
        <v>811.28042500000004</v>
      </c>
      <c r="G62" s="170">
        <f t="shared" si="7"/>
        <v>244195.40792500001</v>
      </c>
      <c r="H62" s="170">
        <f t="shared" si="8"/>
        <v>498126.18095000001</v>
      </c>
      <c r="I62" s="170">
        <f t="shared" si="9"/>
        <v>10303.2613975</v>
      </c>
      <c r="J62" s="170">
        <f t="shared" si="2"/>
        <v>21742.31539</v>
      </c>
      <c r="K62" s="170">
        <f t="shared" si="10"/>
        <v>103628.40792500001</v>
      </c>
      <c r="L62" s="170">
        <f t="shared" si="11"/>
        <v>211388.18095000001</v>
      </c>
      <c r="M62" s="170">
        <f t="shared" si="12"/>
        <v>4372.3613974999998</v>
      </c>
      <c r="N62" s="179">
        <f t="shared" si="15"/>
        <v>-318907.95027249999</v>
      </c>
    </row>
    <row r="63" spans="1:17" ht="15.75" thickBot="1">
      <c r="A63" s="175">
        <f>Calibration_targets_exp!A9</f>
        <v>65</v>
      </c>
      <c r="B63" s="184">
        <f t="shared" ref="B63:C63" si="19">B19</f>
        <v>656</v>
      </c>
      <c r="C63" s="168">
        <f t="shared" si="19"/>
        <v>1255</v>
      </c>
      <c r="D63" s="161">
        <f>SUM(B63:C63)*$P$37</f>
        <v>285.22248300000001</v>
      </c>
      <c r="E63" s="161">
        <f t="shared" si="5"/>
        <v>513.38875849999999</v>
      </c>
      <c r="F63" s="161">
        <f t="shared" si="6"/>
        <v>1112.3887585</v>
      </c>
      <c r="G63" s="170">
        <f t="shared" si="7"/>
        <v>334829.01630850002</v>
      </c>
      <c r="H63" s="170">
        <f t="shared" si="8"/>
        <v>683006.69771900005</v>
      </c>
      <c r="I63" s="170">
        <f t="shared" si="9"/>
        <v>14127.33723295</v>
      </c>
      <c r="J63" s="170">
        <f t="shared" si="2"/>
        <v>29812.018727800001</v>
      </c>
      <c r="K63" s="170">
        <f t="shared" si="10"/>
        <v>154530.01630849999</v>
      </c>
      <c r="L63" s="170">
        <f t="shared" si="11"/>
        <v>315220.69771899999</v>
      </c>
      <c r="M63" s="170">
        <f t="shared" si="12"/>
        <v>6520.0372329499996</v>
      </c>
      <c r="N63" s="179">
        <f t="shared" si="15"/>
        <v>-475614.75126044999</v>
      </c>
    </row>
    <row r="64" spans="1:17" ht="15.75" thickBot="1">
      <c r="A64" s="175">
        <f>Calibration_targets_exp!A10</f>
        <v>70</v>
      </c>
      <c r="B64" s="184">
        <f t="shared" ref="B64:C64" si="20">B20</f>
        <v>724</v>
      </c>
      <c r="C64" s="168">
        <f t="shared" si="20"/>
        <v>1339</v>
      </c>
      <c r="D64" s="161">
        <f t="shared" ref="D64" si="21">SUM(B64:C64)*$P$37</f>
        <v>307.90893899999998</v>
      </c>
      <c r="E64" s="161">
        <f t="shared" si="5"/>
        <v>570.04553050000004</v>
      </c>
      <c r="F64" s="161">
        <f t="shared" si="6"/>
        <v>1185.0455305</v>
      </c>
      <c r="G64" s="170">
        <f t="shared" si="7"/>
        <v>356698.70468050003</v>
      </c>
      <c r="H64" s="170">
        <f t="shared" si="8"/>
        <v>727617.95572700002</v>
      </c>
      <c r="I64" s="170">
        <f t="shared" si="9"/>
        <v>15050.078237350001</v>
      </c>
      <c r="J64" s="170">
        <f t="shared" si="2"/>
        <v>31759.220217400001</v>
      </c>
      <c r="K64" s="170">
        <f t="shared" si="10"/>
        <v>171583.7046805</v>
      </c>
      <c r="L64" s="170">
        <f t="shared" si="11"/>
        <v>350007.95572700002</v>
      </c>
      <c r="M64" s="170">
        <f t="shared" si="12"/>
        <v>7239.5782373500006</v>
      </c>
      <c r="N64" s="179">
        <f t="shared" si="15"/>
        <v>-528107.23864484997</v>
      </c>
    </row>
    <row r="65" spans="1:17" ht="15.75" thickBot="1">
      <c r="A65" s="175">
        <f>Calibration_targets_exp!A11</f>
        <v>75</v>
      </c>
      <c r="B65" s="184">
        <f t="shared" ref="B65:C65" si="22">B21</f>
        <v>676</v>
      </c>
      <c r="C65" s="168">
        <f t="shared" si="22"/>
        <v>1109</v>
      </c>
      <c r="D65" s="161">
        <f>SUM(B65:C65)*$P$38</f>
        <v>549.91119749999996</v>
      </c>
      <c r="E65" s="161">
        <f t="shared" si="5"/>
        <v>401.04440125000002</v>
      </c>
      <c r="F65" s="161">
        <f t="shared" si="6"/>
        <v>834.04440124999996</v>
      </c>
      <c r="G65" s="170">
        <f t="shared" si="7"/>
        <v>251047.36477624997</v>
      </c>
      <c r="H65" s="170">
        <f t="shared" si="8"/>
        <v>512103.26236749999</v>
      </c>
      <c r="I65" s="170">
        <f t="shared" si="9"/>
        <v>10592.363895875</v>
      </c>
      <c r="J65" s="170">
        <f t="shared" si="2"/>
        <v>22352.389953499998</v>
      </c>
      <c r="K65" s="170">
        <f t="shared" si="10"/>
        <v>120714.36477625</v>
      </c>
      <c r="L65" s="170">
        <f t="shared" si="11"/>
        <v>246241.26236750002</v>
      </c>
      <c r="M65" s="170">
        <f t="shared" si="12"/>
        <v>5093.2638958750003</v>
      </c>
      <c r="N65" s="179">
        <f t="shared" si="15"/>
        <v>-371372.89103962504</v>
      </c>
    </row>
    <row r="66" spans="1:17" ht="15.75" thickBot="1">
      <c r="A66" s="175">
        <f>Calibration_targets_exp!A12</f>
        <v>80</v>
      </c>
      <c r="B66" s="184">
        <f t="shared" ref="B66:C66" si="23">B22</f>
        <v>598</v>
      </c>
      <c r="C66" s="168">
        <f t="shared" si="23"/>
        <v>851</v>
      </c>
      <c r="D66" s="161">
        <f t="shared" ref="D66" si="24">SUM(B66:C66)*$P$38</f>
        <v>446.39850150000001</v>
      </c>
      <c r="E66" s="161">
        <f>B66-D66/2</f>
        <v>374.80074924999997</v>
      </c>
      <c r="F66" s="161">
        <f t="shared" si="6"/>
        <v>627.80074924999997</v>
      </c>
      <c r="G66" s="170">
        <f t="shared" si="7"/>
        <v>188968.02552425</v>
      </c>
      <c r="H66" s="170">
        <f t="shared" si="8"/>
        <v>385469.66003949998</v>
      </c>
      <c r="I66" s="170">
        <f t="shared" si="9"/>
        <v>7973.0695154749992</v>
      </c>
      <c r="J66" s="170">
        <f t="shared" si="2"/>
        <v>16825.060079899999</v>
      </c>
      <c r="K66" s="170">
        <f t="shared" si="10"/>
        <v>112815.02552424998</v>
      </c>
      <c r="L66" s="170">
        <f t="shared" si="11"/>
        <v>230127.66003949998</v>
      </c>
      <c r="M66" s="170">
        <f t="shared" si="12"/>
        <v>4759.9695154749998</v>
      </c>
      <c r="N66" s="179">
        <f t="shared" si="15"/>
        <v>-347104.65507922496</v>
      </c>
    </row>
    <row r="67" spans="1:17" ht="15.75" thickBot="1">
      <c r="A67" s="175">
        <f>Calibration_targets_exp!A13</f>
        <v>85</v>
      </c>
      <c r="B67" s="184">
        <f t="shared" ref="B67:C67" si="25">B23</f>
        <v>413</v>
      </c>
      <c r="C67" s="168">
        <f t="shared" si="25"/>
        <v>489</v>
      </c>
      <c r="D67" s="161">
        <f>SUM(B67:C67)*$P$39</f>
        <v>483.27355999999992</v>
      </c>
      <c r="E67" s="161">
        <f t="shared" si="5"/>
        <v>171.36322000000004</v>
      </c>
      <c r="F67" s="161">
        <f t="shared" si="6"/>
        <v>247.36322000000004</v>
      </c>
      <c r="G67" s="170">
        <f t="shared" si="7"/>
        <v>74456.329220000014</v>
      </c>
      <c r="H67" s="170">
        <f t="shared" si="8"/>
        <v>151881.01708000002</v>
      </c>
      <c r="I67" s="170">
        <f t="shared" si="9"/>
        <v>3141.5128940000004</v>
      </c>
      <c r="J67" s="170">
        <f t="shared" si="2"/>
        <v>6629.3342960000009</v>
      </c>
      <c r="K67" s="170">
        <f t="shared" si="10"/>
        <v>51580.329220000014</v>
      </c>
      <c r="L67" s="170">
        <f t="shared" si="11"/>
        <v>105217.01708000002</v>
      </c>
      <c r="M67" s="170">
        <f t="shared" si="12"/>
        <v>2176.3128940000006</v>
      </c>
      <c r="N67" s="179">
        <f t="shared" si="15"/>
        <v>-158560.65919400004</v>
      </c>
    </row>
    <row r="68" spans="1:17" ht="15.75" thickBot="1">
      <c r="A68" s="175">
        <f>Calibration_targets_exp!A14</f>
        <v>90</v>
      </c>
      <c r="B68" s="184">
        <f t="shared" ref="B68:C68" si="26">B24</f>
        <v>210</v>
      </c>
      <c r="C68" s="168">
        <f t="shared" si="26"/>
        <v>217</v>
      </c>
      <c r="D68" s="161">
        <f>SUM(B68:C68)*$P$39</f>
        <v>228.77805999999995</v>
      </c>
      <c r="E68" s="161">
        <f t="shared" si="5"/>
        <v>95.610970000000023</v>
      </c>
      <c r="F68" s="161">
        <f t="shared" si="6"/>
        <v>102.61097000000002</v>
      </c>
      <c r="G68" s="170">
        <f t="shared" si="7"/>
        <v>30885.901970000006</v>
      </c>
      <c r="H68" s="170">
        <f t="shared" si="8"/>
        <v>63003.135580000016</v>
      </c>
      <c r="I68" s="170">
        <f t="shared" si="9"/>
        <v>1303.1593190000003</v>
      </c>
      <c r="J68" s="170">
        <f t="shared" si="2"/>
        <v>2749.9739960000006</v>
      </c>
      <c r="K68" s="170">
        <f t="shared" si="10"/>
        <v>28778.901970000006</v>
      </c>
      <c r="L68" s="170">
        <f t="shared" si="11"/>
        <v>58705.135580000016</v>
      </c>
      <c r="M68" s="170">
        <f t="shared" si="12"/>
        <v>1214.2593190000002</v>
      </c>
      <c r="N68" s="179">
        <f t="shared" si="15"/>
        <v>-88488.296869000027</v>
      </c>
    </row>
    <row r="69" spans="1:17" ht="15.75" thickBot="1">
      <c r="A69" s="175"/>
      <c r="B69" s="168"/>
      <c r="C69" s="168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7"/>
    </row>
    <row r="70" spans="1:17">
      <c r="A70" s="175"/>
      <c r="B70" s="168"/>
      <c r="C70" s="168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7"/>
    </row>
    <row r="71" spans="1:17">
      <c r="A71" s="165" t="s">
        <v>369</v>
      </c>
      <c r="B71" s="161"/>
      <c r="C71" s="161"/>
      <c r="D71" s="161">
        <f>SUM(D56:D68)</f>
        <v>3187.634591</v>
      </c>
      <c r="E71" s="161"/>
      <c r="F71" s="161"/>
      <c r="G71" s="171">
        <f>SUM(G56:G68)</f>
        <v>2028794.9940545</v>
      </c>
      <c r="H71" s="171">
        <f t="shared" ref="H71:I71" si="27">SUM(H56:H68)</f>
        <v>4138472.1805629996</v>
      </c>
      <c r="I71" s="171">
        <f t="shared" si="27"/>
        <v>85600.320347149987</v>
      </c>
      <c r="J71" s="171">
        <f>SUM(J56:J68)</f>
        <v>180636.8964806</v>
      </c>
      <c r="K71" s="171">
        <f t="shared" ref="K71:N71" si="28">SUM(K56:K68)</f>
        <v>975294.99405450001</v>
      </c>
      <c r="L71" s="171">
        <f t="shared" si="28"/>
        <v>1989472.180563</v>
      </c>
      <c r="M71" s="171">
        <f t="shared" si="28"/>
        <v>41150.320347150002</v>
      </c>
      <c r="N71" s="180">
        <f t="shared" si="28"/>
        <v>-3001083.4949646504</v>
      </c>
    </row>
    <row r="72" spans="1:17">
      <c r="A72" s="165" t="s">
        <v>370</v>
      </c>
      <c r="B72" s="168">
        <f>SUM(B70:C70)</f>
        <v>0</v>
      </c>
      <c r="C72" s="161" t="s">
        <v>373</v>
      </c>
      <c r="D72" s="161">
        <f>F32</f>
        <v>3188</v>
      </c>
      <c r="E72" s="161"/>
      <c r="F72" s="161"/>
      <c r="G72" s="161"/>
      <c r="H72" s="161"/>
      <c r="I72" s="161"/>
      <c r="J72" s="161"/>
      <c r="K72" s="161"/>
      <c r="L72" s="161"/>
      <c r="M72" s="161"/>
      <c r="N72" s="167"/>
    </row>
    <row r="73" spans="1:17">
      <c r="A73" s="165" t="s">
        <v>371</v>
      </c>
      <c r="B73" s="161"/>
      <c r="C73" s="161"/>
      <c r="D73" s="161"/>
      <c r="E73" s="161"/>
      <c r="F73" s="161"/>
      <c r="G73" s="171">
        <f>SUM(G56:J68)</f>
        <v>6433504.3914452521</v>
      </c>
      <c r="H73" s="161"/>
      <c r="I73" s="161"/>
      <c r="J73" s="161"/>
      <c r="K73" s="171">
        <f>SUM(K56:N68)</f>
        <v>4834</v>
      </c>
      <c r="L73" s="161"/>
      <c r="M73" s="161"/>
      <c r="N73" s="167"/>
    </row>
    <row r="74" spans="1:17" ht="15.75">
      <c r="A74" s="181" t="s">
        <v>138</v>
      </c>
      <c r="B74" s="182" t="s">
        <v>152</v>
      </c>
      <c r="C74" s="182" t="s">
        <v>154</v>
      </c>
      <c r="D74" s="182" t="s">
        <v>155</v>
      </c>
      <c r="E74" s="183"/>
      <c r="F74" s="183"/>
      <c r="G74" s="161">
        <f>G71/$G$62</f>
        <v>8.3080800384158167</v>
      </c>
      <c r="H74" s="161">
        <f t="shared" ref="H74:J74" si="29">H71/$G$62</f>
        <v>16.947379214575783</v>
      </c>
      <c r="I74" s="161">
        <f t="shared" si="29"/>
        <v>0.35054025411256096</v>
      </c>
      <c r="J74" s="161">
        <f t="shared" si="29"/>
        <v>0.7397227409619398</v>
      </c>
      <c r="K74" s="161"/>
      <c r="L74" s="161"/>
      <c r="M74" s="161"/>
      <c r="N74" s="167"/>
    </row>
    <row r="75" spans="1:17" ht="15.75" thickBot="1">
      <c r="A75" s="172" t="e">
        <f>M37*SUM(D56:D63)</f>
        <v>#VALUE!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4"/>
    </row>
    <row r="76" spans="1:17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</row>
    <row r="77" spans="1:17" ht="15.75" thickBot="1">
      <c r="A77" s="159"/>
      <c r="B77" s="159"/>
      <c r="C77" s="159"/>
      <c r="D77" s="159"/>
      <c r="E77" s="161" t="s">
        <v>372</v>
      </c>
      <c r="F77" s="161"/>
      <c r="G77" s="161" t="s">
        <v>374</v>
      </c>
      <c r="H77" s="161"/>
      <c r="I77" s="196" t="s">
        <v>73</v>
      </c>
      <c r="J77" s="196"/>
      <c r="K77" s="196"/>
      <c r="L77" s="196"/>
      <c r="M77" s="196" t="s">
        <v>74</v>
      </c>
      <c r="N77" s="196"/>
      <c r="O77" s="196"/>
      <c r="P77" s="196"/>
    </row>
    <row r="78" spans="1:17" ht="15.75">
      <c r="A78" s="175" t="s">
        <v>72</v>
      </c>
      <c r="B78" s="176" t="s">
        <v>366</v>
      </c>
      <c r="C78" s="176" t="s">
        <v>367</v>
      </c>
      <c r="D78" s="176" t="s">
        <v>368</v>
      </c>
      <c r="E78" s="176" t="s">
        <v>366</v>
      </c>
      <c r="F78" s="176" t="s">
        <v>367</v>
      </c>
      <c r="G78" s="176" t="s">
        <v>366</v>
      </c>
      <c r="H78" s="176" t="s">
        <v>367</v>
      </c>
      <c r="I78" s="177" t="s">
        <v>138</v>
      </c>
      <c r="J78" s="177" t="s">
        <v>152</v>
      </c>
      <c r="K78" s="177" t="s">
        <v>154</v>
      </c>
      <c r="L78" s="177" t="s">
        <v>155</v>
      </c>
      <c r="M78" s="177" t="s">
        <v>138</v>
      </c>
      <c r="N78" s="177" t="s">
        <v>152</v>
      </c>
      <c r="O78" s="177" t="s">
        <v>154</v>
      </c>
      <c r="P78" s="178" t="s">
        <v>155</v>
      </c>
    </row>
    <row r="79" spans="1:17">
      <c r="A79" s="165">
        <f>A56</f>
        <v>30</v>
      </c>
      <c r="B79" s="168">
        <f>B56</f>
        <v>36</v>
      </c>
      <c r="C79" s="168">
        <f>C56</f>
        <v>49</v>
      </c>
      <c r="D79" s="171">
        <f>D56</f>
        <v>16.264749999999999</v>
      </c>
      <c r="E79" s="171">
        <f>B79-$D79*B79/SUM($B79:$C79)</f>
        <v>29.1114</v>
      </c>
      <c r="F79" s="171">
        <f>C79-$D79*C79/SUM($B79:$C79)</f>
        <v>39.623849999999997</v>
      </c>
      <c r="G79" s="168">
        <f>B79-E79</f>
        <v>6.8886000000000003</v>
      </c>
      <c r="H79" s="168">
        <f>C79-F79</f>
        <v>9.3761500000000026</v>
      </c>
      <c r="I79" s="170">
        <f>B$35*$F79+$H79/2</f>
        <v>24.181780213237328</v>
      </c>
      <c r="J79" s="170">
        <f>C$35*$F79+$H79/2</f>
        <v>7.6233782054832471</v>
      </c>
      <c r="K79" s="170">
        <f>D$35*$F79</f>
        <v>8.1694700429243969</v>
      </c>
      <c r="L79" s="170">
        <f>C79-SUM(I79:K79)</f>
        <v>9.0253715383550315</v>
      </c>
      <c r="M79" s="170">
        <f>B$35*$E79+$G79/2</f>
        <v>17.766205870949875</v>
      </c>
      <c r="N79" s="170">
        <f>C$35*$E79+$G79/2</f>
        <v>5.6008492938244254</v>
      </c>
      <c r="O79" s="170">
        <f>D$35*$E79</f>
        <v>6.002059623373027</v>
      </c>
      <c r="P79" s="179">
        <f>B79-SUM(M79:O79)</f>
        <v>6.6308852118526715</v>
      </c>
      <c r="Q79" s="186"/>
    </row>
    <row r="80" spans="1:17">
      <c r="A80" s="165">
        <f t="shared" ref="A80:D93" si="30">A57</f>
        <v>35</v>
      </c>
      <c r="B80" s="168">
        <f t="shared" si="30"/>
        <v>61</v>
      </c>
      <c r="C80" s="168">
        <f t="shared" si="30"/>
        <v>94</v>
      </c>
      <c r="D80" s="171">
        <f t="shared" si="30"/>
        <v>29.65925</v>
      </c>
      <c r="E80" s="161">
        <f t="shared" ref="E80:F91" si="31">B80-$D80*B80/SUM($B80:$C80)</f>
        <v>49.327649999999998</v>
      </c>
      <c r="F80" s="161">
        <f t="shared" si="31"/>
        <v>76.013099999999994</v>
      </c>
      <c r="G80" s="168">
        <f t="shared" ref="G80:H91" si="32">B80-E80</f>
        <v>11.672350000000002</v>
      </c>
      <c r="H80" s="168">
        <f t="shared" si="32"/>
        <v>17.986900000000006</v>
      </c>
      <c r="I80" s="170">
        <f t="shared" ref="I80:I91" si="33">B$35*$F80+$H80/2</f>
        <v>46.389537551924676</v>
      </c>
      <c r="J80" s="170">
        <f t="shared" ref="J80:J91" si="34">C$35*$F80+$H80/2</f>
        <v>14.62443982276378</v>
      </c>
      <c r="K80" s="170">
        <f t="shared" ref="K80:K91" si="35">D$35*$F80</f>
        <v>15.672044572140679</v>
      </c>
      <c r="L80" s="170">
        <f t="shared" ref="L80:L91" si="36">C80-SUM(I80:K80)</f>
        <v>17.313978053170871</v>
      </c>
      <c r="M80" s="170">
        <f t="shared" ref="M80:M91" si="37">B$35*$E80+$G80/2</f>
        <v>30.103848836887288</v>
      </c>
      <c r="N80" s="170">
        <f t="shared" ref="N80:N91" si="38">C$35*$E80+$G80/2</f>
        <v>9.4903279700913874</v>
      </c>
      <c r="O80" s="170">
        <f t="shared" ref="O80:O91" si="39">D$35*$E80</f>
        <v>10.170156584048739</v>
      </c>
      <c r="P80" s="179">
        <f t="shared" ref="P80:P91" si="40">B80-SUM(M80:O80)</f>
        <v>11.235666608972586</v>
      </c>
      <c r="Q80" s="186"/>
    </row>
    <row r="81" spans="1:17">
      <c r="A81" s="165">
        <f t="shared" si="30"/>
        <v>40</v>
      </c>
      <c r="B81" s="168">
        <f t="shared" si="30"/>
        <v>102</v>
      </c>
      <c r="C81" s="168">
        <f t="shared" si="30"/>
        <v>205</v>
      </c>
      <c r="D81" s="171">
        <f t="shared" si="30"/>
        <v>58.744450000000001</v>
      </c>
      <c r="E81" s="161">
        <f t="shared" si="31"/>
        <v>82.482299999999995</v>
      </c>
      <c r="F81" s="161">
        <f t="shared" si="31"/>
        <v>165.77324999999999</v>
      </c>
      <c r="G81" s="168">
        <f t="shared" si="32"/>
        <v>19.517700000000005</v>
      </c>
      <c r="H81" s="168">
        <f t="shared" si="32"/>
        <v>39.22675000000001</v>
      </c>
      <c r="I81" s="170">
        <f t="shared" si="33"/>
        <v>101.16867232068678</v>
      </c>
      <c r="J81" s="170">
        <f t="shared" si="34"/>
        <v>31.893725145389091</v>
      </c>
      <c r="K81" s="170">
        <f t="shared" si="35"/>
        <v>34.178395077540841</v>
      </c>
      <c r="L81" s="170">
        <f t="shared" si="36"/>
        <v>37.75920745638328</v>
      </c>
      <c r="M81" s="170">
        <f t="shared" si="37"/>
        <v>50.337583301024644</v>
      </c>
      <c r="N81" s="170">
        <f t="shared" si="38"/>
        <v>15.869072999169207</v>
      </c>
      <c r="O81" s="170">
        <f t="shared" si="39"/>
        <v>17.005835599556907</v>
      </c>
      <c r="P81" s="179">
        <f t="shared" si="40"/>
        <v>18.787508100249241</v>
      </c>
      <c r="Q81" s="186"/>
    </row>
    <row r="82" spans="1:17">
      <c r="A82" s="165">
        <f t="shared" si="30"/>
        <v>45</v>
      </c>
      <c r="B82" s="168">
        <f t="shared" si="30"/>
        <v>181</v>
      </c>
      <c r="C82" s="168">
        <f t="shared" si="30"/>
        <v>399</v>
      </c>
      <c r="D82" s="171">
        <f t="shared" si="30"/>
        <v>110.98299999999999</v>
      </c>
      <c r="E82" s="161">
        <f t="shared" si="31"/>
        <v>146.36565000000002</v>
      </c>
      <c r="F82" s="161">
        <f t="shared" si="31"/>
        <v>322.65134999999998</v>
      </c>
      <c r="G82" s="168">
        <f t="shared" si="32"/>
        <v>34.634349999999984</v>
      </c>
      <c r="H82" s="168">
        <f t="shared" si="32"/>
        <v>76.348650000000021</v>
      </c>
      <c r="I82" s="170">
        <f t="shared" si="33"/>
        <v>196.90878173636111</v>
      </c>
      <c r="J82" s="170">
        <f t="shared" si="34"/>
        <v>62.076079673220718</v>
      </c>
      <c r="K82" s="170">
        <f t="shared" si="35"/>
        <v>66.52282749238438</v>
      </c>
      <c r="L82" s="170">
        <f t="shared" si="36"/>
        <v>73.492311098033838</v>
      </c>
      <c r="M82" s="170">
        <f t="shared" si="37"/>
        <v>89.324535073386869</v>
      </c>
      <c r="N82" s="170">
        <f t="shared" si="38"/>
        <v>28.159825616172796</v>
      </c>
      <c r="O82" s="170">
        <f t="shared" si="39"/>
        <v>30.177021995292165</v>
      </c>
      <c r="P82" s="179">
        <f t="shared" si="40"/>
        <v>33.338617315148156</v>
      </c>
      <c r="Q82" s="186"/>
    </row>
    <row r="83" spans="1:17">
      <c r="A83" s="165">
        <f t="shared" si="30"/>
        <v>50</v>
      </c>
      <c r="B83" s="168">
        <f t="shared" si="30"/>
        <v>301</v>
      </c>
      <c r="C83" s="168">
        <f t="shared" si="30"/>
        <v>614</v>
      </c>
      <c r="D83" s="171">
        <f t="shared" si="30"/>
        <v>175.08525</v>
      </c>
      <c r="E83" s="161">
        <f t="shared" si="31"/>
        <v>243.40365</v>
      </c>
      <c r="F83" s="161">
        <f t="shared" si="31"/>
        <v>496.5111</v>
      </c>
      <c r="G83" s="168">
        <f t="shared" si="32"/>
        <v>57.596350000000001</v>
      </c>
      <c r="H83" s="168">
        <f t="shared" si="32"/>
        <v>117.4889</v>
      </c>
      <c r="I83" s="170">
        <f t="shared" si="33"/>
        <v>303.01251124342286</v>
      </c>
      <c r="J83" s="170">
        <f t="shared" si="34"/>
        <v>95.525596289116578</v>
      </c>
      <c r="K83" s="170">
        <f t="shared" si="35"/>
        <v>102.36846135419552</v>
      </c>
      <c r="L83" s="170">
        <f t="shared" si="36"/>
        <v>113.09343111326501</v>
      </c>
      <c r="M83" s="170">
        <f t="shared" si="37"/>
        <v>148.54522130988647</v>
      </c>
      <c r="N83" s="170">
        <f t="shared" si="38"/>
        <v>46.829323262254221</v>
      </c>
      <c r="O83" s="170">
        <f t="shared" si="39"/>
        <v>50.183887406535582</v>
      </c>
      <c r="P83" s="179">
        <f t="shared" si="40"/>
        <v>55.441568021323747</v>
      </c>
      <c r="Q83" s="186"/>
    </row>
    <row r="84" spans="1:17">
      <c r="A84" s="165">
        <f t="shared" si="30"/>
        <v>55</v>
      </c>
      <c r="B84" s="168">
        <f t="shared" si="30"/>
        <v>395</v>
      </c>
      <c r="C84" s="168">
        <f t="shared" si="30"/>
        <v>765</v>
      </c>
      <c r="D84" s="171">
        <f t="shared" si="30"/>
        <v>221.96599999999998</v>
      </c>
      <c r="E84" s="161">
        <f t="shared" si="31"/>
        <v>319.41674999999998</v>
      </c>
      <c r="F84" s="161">
        <f t="shared" si="31"/>
        <v>618.61725000000001</v>
      </c>
      <c r="G84" s="168">
        <f t="shared" si="32"/>
        <v>75.583250000000021</v>
      </c>
      <c r="H84" s="168">
        <f t="shared" si="32"/>
        <v>146.38274999999999</v>
      </c>
      <c r="I84" s="170">
        <f t="shared" si="33"/>
        <v>377.53187475768482</v>
      </c>
      <c r="J84" s="170">
        <f t="shared" si="34"/>
        <v>119.01804749376903</v>
      </c>
      <c r="K84" s="170">
        <f t="shared" si="35"/>
        <v>127.54376699667682</v>
      </c>
      <c r="L84" s="170">
        <f t="shared" si="36"/>
        <v>140.90631075186934</v>
      </c>
      <c r="M84" s="170">
        <f t="shared" si="37"/>
        <v>194.93475886181113</v>
      </c>
      <c r="N84" s="170">
        <f t="shared" si="38"/>
        <v>61.453763085018011</v>
      </c>
      <c r="O84" s="170">
        <f t="shared" si="39"/>
        <v>65.855931978676267</v>
      </c>
      <c r="P84" s="179">
        <f t="shared" si="40"/>
        <v>72.755546074494589</v>
      </c>
      <c r="Q84" s="186"/>
    </row>
    <row r="85" spans="1:17">
      <c r="A85" s="165">
        <f t="shared" si="30"/>
        <v>60</v>
      </c>
      <c r="B85" s="168">
        <f t="shared" si="30"/>
        <v>481</v>
      </c>
      <c r="C85" s="168">
        <f t="shared" si="30"/>
        <v>948</v>
      </c>
      <c r="D85" s="171">
        <f t="shared" si="30"/>
        <v>273.43914999999998</v>
      </c>
      <c r="E85" s="161">
        <f t="shared" si="31"/>
        <v>388.96064999999999</v>
      </c>
      <c r="F85" s="161">
        <f t="shared" si="31"/>
        <v>766.60019999999997</v>
      </c>
      <c r="G85" s="168">
        <f t="shared" si="32"/>
        <v>92.039350000000013</v>
      </c>
      <c r="H85" s="168">
        <f t="shared" si="32"/>
        <v>181.39980000000003</v>
      </c>
      <c r="I85" s="170">
        <f t="shared" si="33"/>
        <v>467.84342126834667</v>
      </c>
      <c r="J85" s="170">
        <f t="shared" si="34"/>
        <v>147.4890314040432</v>
      </c>
      <c r="K85" s="170">
        <f t="shared" si="35"/>
        <v>158.05423674882303</v>
      </c>
      <c r="L85" s="170">
        <f t="shared" si="36"/>
        <v>174.61331057878715</v>
      </c>
      <c r="M85" s="170">
        <f t="shared" si="37"/>
        <v>237.37625066463582</v>
      </c>
      <c r="N85" s="170">
        <f t="shared" si="38"/>
        <v>74.833569731376357</v>
      </c>
      <c r="O85" s="170">
        <f t="shared" si="39"/>
        <v>80.194185523400719</v>
      </c>
      <c r="P85" s="179">
        <f t="shared" si="40"/>
        <v>88.595994080587104</v>
      </c>
      <c r="Q85" s="186"/>
    </row>
    <row r="86" spans="1:17">
      <c r="A86" s="165">
        <f t="shared" si="30"/>
        <v>65</v>
      </c>
      <c r="B86" s="168">
        <f t="shared" si="30"/>
        <v>656</v>
      </c>
      <c r="C86" s="168">
        <f t="shared" si="30"/>
        <v>1255</v>
      </c>
      <c r="D86" s="171">
        <f t="shared" si="30"/>
        <v>285.22248300000001</v>
      </c>
      <c r="E86" s="161">
        <f t="shared" si="31"/>
        <v>558.09003199999995</v>
      </c>
      <c r="F86" s="161">
        <f t="shared" si="31"/>
        <v>1067.6874849999999</v>
      </c>
      <c r="G86" s="168">
        <f t="shared" si="32"/>
        <v>97.909968000000049</v>
      </c>
      <c r="H86" s="168">
        <f t="shared" si="32"/>
        <v>187.31251500000008</v>
      </c>
      <c r="I86" s="170">
        <f t="shared" si="33"/>
        <v>618.92538436305733</v>
      </c>
      <c r="J86" s="170">
        <f t="shared" si="34"/>
        <v>172.74969484076436</v>
      </c>
      <c r="K86" s="170">
        <f t="shared" si="35"/>
        <v>220.13108074840761</v>
      </c>
      <c r="L86" s="170">
        <f t="shared" si="36"/>
        <v>243.19384004777066</v>
      </c>
      <c r="M86" s="170">
        <f t="shared" si="37"/>
        <v>323.51796983439488</v>
      </c>
      <c r="N86" s="170">
        <f t="shared" si="38"/>
        <v>90.297848458598736</v>
      </c>
      <c r="O86" s="170">
        <f t="shared" si="39"/>
        <v>115.06453304458597</v>
      </c>
      <c r="P86" s="179">
        <f t="shared" si="40"/>
        <v>127.11964866242033</v>
      </c>
      <c r="Q86" s="186"/>
    </row>
    <row r="87" spans="1:17">
      <c r="A87" s="165">
        <f t="shared" si="30"/>
        <v>70</v>
      </c>
      <c r="B87" s="168">
        <f t="shared" si="30"/>
        <v>724</v>
      </c>
      <c r="C87" s="168">
        <f t="shared" si="30"/>
        <v>1339</v>
      </c>
      <c r="D87" s="171">
        <f t="shared" si="30"/>
        <v>307.90893899999998</v>
      </c>
      <c r="E87" s="161">
        <f t="shared" si="31"/>
        <v>615.94082800000001</v>
      </c>
      <c r="F87" s="161">
        <f t="shared" si="31"/>
        <v>1139.1502330000001</v>
      </c>
      <c r="G87" s="168">
        <f t="shared" si="32"/>
        <v>108.05917199999999</v>
      </c>
      <c r="H87" s="168">
        <f t="shared" si="32"/>
        <v>199.84976699999993</v>
      </c>
      <c r="I87" s="170">
        <f t="shared" si="33"/>
        <v>660.35146586624205</v>
      </c>
      <c r="J87" s="170">
        <f t="shared" si="34"/>
        <v>184.31222421656048</v>
      </c>
      <c r="K87" s="170">
        <f t="shared" si="35"/>
        <v>234.86495388216562</v>
      </c>
      <c r="L87" s="170">
        <f t="shared" si="36"/>
        <v>259.47135603503193</v>
      </c>
      <c r="M87" s="170">
        <f t="shared" si="37"/>
        <v>357.05336914649678</v>
      </c>
      <c r="N87" s="170">
        <f t="shared" si="38"/>
        <v>99.657991286624195</v>
      </c>
      <c r="O87" s="170">
        <f t="shared" si="39"/>
        <v>126.99195415286624</v>
      </c>
      <c r="P87" s="179">
        <f t="shared" si="40"/>
        <v>140.29668541401281</v>
      </c>
      <c r="Q87" s="186"/>
    </row>
    <row r="88" spans="1:17">
      <c r="A88" s="165">
        <f t="shared" si="30"/>
        <v>75</v>
      </c>
      <c r="B88" s="168">
        <f t="shared" si="30"/>
        <v>676</v>
      </c>
      <c r="C88" s="168">
        <f t="shared" si="30"/>
        <v>1109</v>
      </c>
      <c r="D88" s="171">
        <f t="shared" si="30"/>
        <v>549.91119749999996</v>
      </c>
      <c r="E88" s="161">
        <f t="shared" si="31"/>
        <v>467.74231400000002</v>
      </c>
      <c r="F88" s="161">
        <f t="shared" si="31"/>
        <v>767.34648850000008</v>
      </c>
      <c r="G88" s="168">
        <f t="shared" si="32"/>
        <v>208.25768599999998</v>
      </c>
      <c r="H88" s="168">
        <f t="shared" si="32"/>
        <v>341.65351149999992</v>
      </c>
      <c r="I88" s="170">
        <f t="shared" si="33"/>
        <v>548.33742781320962</v>
      </c>
      <c r="J88" s="170">
        <f t="shared" si="34"/>
        <v>227.67117161091107</v>
      </c>
      <c r="K88" s="170">
        <f t="shared" si="35"/>
        <v>158.2081032091526</v>
      </c>
      <c r="L88" s="170">
        <f t="shared" si="36"/>
        <v>174.78329736672674</v>
      </c>
      <c r="M88" s="170">
        <f t="shared" si="37"/>
        <v>334.24355383384102</v>
      </c>
      <c r="N88" s="170">
        <f t="shared" si="38"/>
        <v>138.77882056715589</v>
      </c>
      <c r="O88" s="170">
        <f t="shared" si="39"/>
        <v>96.437040369149827</v>
      </c>
      <c r="P88" s="179">
        <f t="shared" si="40"/>
        <v>106.54058522985326</v>
      </c>
      <c r="Q88" s="186"/>
    </row>
    <row r="89" spans="1:17">
      <c r="A89" s="165">
        <f t="shared" si="30"/>
        <v>80</v>
      </c>
      <c r="B89" s="168">
        <f t="shared" si="30"/>
        <v>598</v>
      </c>
      <c r="C89" s="168">
        <f t="shared" si="30"/>
        <v>851</v>
      </c>
      <c r="D89" s="171">
        <f t="shared" si="30"/>
        <v>446.39850150000001</v>
      </c>
      <c r="E89" s="161">
        <f t="shared" si="31"/>
        <v>413.77204699999999</v>
      </c>
      <c r="F89" s="161">
        <f t="shared" si="31"/>
        <v>588.8294515</v>
      </c>
      <c r="G89" s="168">
        <f t="shared" si="32"/>
        <v>184.22795300000001</v>
      </c>
      <c r="H89" s="168">
        <f t="shared" si="32"/>
        <v>262.1705485</v>
      </c>
      <c r="I89" s="170">
        <f t="shared" si="33"/>
        <v>420.7711010541401</v>
      </c>
      <c r="J89" s="170">
        <f t="shared" si="34"/>
        <v>174.70529038853502</v>
      </c>
      <c r="K89" s="170">
        <f t="shared" si="35"/>
        <v>121.40225052388534</v>
      </c>
      <c r="L89" s="170">
        <f t="shared" si="36"/>
        <v>134.12135803343961</v>
      </c>
      <c r="M89" s="170">
        <f t="shared" si="37"/>
        <v>295.67698992993633</v>
      </c>
      <c r="N89" s="170">
        <f t="shared" si="38"/>
        <v>122.76587973248408</v>
      </c>
      <c r="O89" s="170">
        <f t="shared" si="39"/>
        <v>85.30968955732483</v>
      </c>
      <c r="P89" s="179">
        <f>B89-SUM(M89:O89)</f>
        <v>94.247440780254749</v>
      </c>
      <c r="Q89" s="186"/>
    </row>
    <row r="90" spans="1:17">
      <c r="A90" s="165">
        <f t="shared" si="30"/>
        <v>85</v>
      </c>
      <c r="B90" s="168">
        <f t="shared" si="30"/>
        <v>413</v>
      </c>
      <c r="C90" s="168">
        <f t="shared" si="30"/>
        <v>489</v>
      </c>
      <c r="D90" s="171">
        <f t="shared" si="30"/>
        <v>483.27355999999992</v>
      </c>
      <c r="E90" s="161">
        <f t="shared" si="31"/>
        <v>191.72286000000005</v>
      </c>
      <c r="F90" s="161">
        <f t="shared" si="31"/>
        <v>227.00358000000006</v>
      </c>
      <c r="G90" s="168">
        <f t="shared" si="32"/>
        <v>221.27713999999995</v>
      </c>
      <c r="H90" s="168">
        <f t="shared" si="32"/>
        <v>261.99641999999994</v>
      </c>
      <c r="I90" s="170">
        <f t="shared" si="33"/>
        <v>242.6769305400166</v>
      </c>
      <c r="J90" s="170">
        <f t="shared" si="34"/>
        <v>147.81445415674327</v>
      </c>
      <c r="K90" s="170">
        <f t="shared" si="35"/>
        <v>46.802593550263097</v>
      </c>
      <c r="L90" s="170">
        <f t="shared" si="36"/>
        <v>51.706021752977051</v>
      </c>
      <c r="M90" s="170">
        <f t="shared" si="37"/>
        <v>204.96027057878703</v>
      </c>
      <c r="N90" s="170">
        <f t="shared" si="38"/>
        <v>124.84124655774022</v>
      </c>
      <c r="O90" s="170">
        <f t="shared" si="39"/>
        <v>39.528570830794806</v>
      </c>
      <c r="P90" s="179">
        <f>B90-SUM(M90:O90)</f>
        <v>43.669912032677928</v>
      </c>
      <c r="Q90" s="186"/>
    </row>
    <row r="91" spans="1:17">
      <c r="A91" s="165">
        <f t="shared" si="30"/>
        <v>90</v>
      </c>
      <c r="B91" s="168">
        <f t="shared" si="30"/>
        <v>210</v>
      </c>
      <c r="C91" s="168">
        <f t="shared" si="30"/>
        <v>217</v>
      </c>
      <c r="D91" s="171">
        <f t="shared" si="30"/>
        <v>228.77805999999995</v>
      </c>
      <c r="E91" s="161">
        <f t="shared" si="31"/>
        <v>97.486200000000025</v>
      </c>
      <c r="F91" s="161">
        <f t="shared" si="31"/>
        <v>100.73574000000002</v>
      </c>
      <c r="G91" s="168">
        <f t="shared" si="32"/>
        <v>112.51379999999997</v>
      </c>
      <c r="H91" s="168">
        <f t="shared" si="32"/>
        <v>116.26425999999998</v>
      </c>
      <c r="I91" s="170">
        <f t="shared" si="33"/>
        <v>107.69098962614234</v>
      </c>
      <c r="J91" s="170">
        <f t="shared" si="34"/>
        <v>65.594553276100797</v>
      </c>
      <c r="K91" s="170">
        <f t="shared" si="35"/>
        <v>20.769249080587098</v>
      </c>
      <c r="L91" s="170">
        <f t="shared" si="36"/>
        <v>22.945208017169762</v>
      </c>
      <c r="M91" s="170">
        <f t="shared" si="37"/>
        <v>104.21708673497645</v>
      </c>
      <c r="N91" s="170">
        <f t="shared" si="38"/>
        <v>63.47859994461367</v>
      </c>
      <c r="O91" s="170">
        <f t="shared" si="39"/>
        <v>20.099273303793968</v>
      </c>
      <c r="P91" s="179">
        <f t="shared" si="40"/>
        <v>22.205040016615897</v>
      </c>
      <c r="Q91" s="186"/>
    </row>
    <row r="92" spans="1:17">
      <c r="A92" s="165">
        <f t="shared" si="30"/>
        <v>0</v>
      </c>
      <c r="B92" s="168"/>
      <c r="C92" s="168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7"/>
    </row>
    <row r="93" spans="1:17">
      <c r="A93" s="165">
        <f t="shared" si="30"/>
        <v>0</v>
      </c>
      <c r="B93" s="168">
        <f>[2]Incidence!B60</f>
        <v>0</v>
      </c>
      <c r="C93" s="168">
        <f>[2]Incidence!C60</f>
        <v>0</v>
      </c>
      <c r="D93" s="161">
        <f>SUM(B93:C93)*H49/100</f>
        <v>0</v>
      </c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7"/>
    </row>
    <row r="94" spans="1:17">
      <c r="A94" s="165" t="s">
        <v>369</v>
      </c>
      <c r="B94" s="161"/>
      <c r="C94" s="161"/>
      <c r="D94" s="161">
        <f>SUM(D79:D91)</f>
        <v>3187.634591</v>
      </c>
      <c r="E94" s="161"/>
      <c r="F94" s="161"/>
      <c r="G94" s="161"/>
      <c r="H94" s="161"/>
      <c r="I94" s="171">
        <f>SUM(I79:I91)</f>
        <v>4115.7898783544724</v>
      </c>
      <c r="J94" s="171">
        <f t="shared" ref="J94:K94" si="41">SUM(J79:J91)</f>
        <v>1451.0976865234009</v>
      </c>
      <c r="K94" s="171">
        <f t="shared" si="41"/>
        <v>1314.6874332791472</v>
      </c>
      <c r="L94" s="171">
        <f>SUM(L79:L91)</f>
        <v>1452.4250018429805</v>
      </c>
      <c r="M94" s="171">
        <f t="shared" ref="M94:P94" si="42">SUM(M79:M91)</f>
        <v>2388.0576439770148</v>
      </c>
      <c r="N94" s="171">
        <f t="shared" si="42"/>
        <v>882.05711850512319</v>
      </c>
      <c r="O94" s="171">
        <f t="shared" si="42"/>
        <v>743.02013996939911</v>
      </c>
      <c r="P94" s="180">
        <f t="shared" si="42"/>
        <v>820.86509754846315</v>
      </c>
    </row>
    <row r="95" spans="1:17">
      <c r="A95" s="165" t="s">
        <v>370</v>
      </c>
      <c r="B95" s="168">
        <f>SUM(B79:B91)</f>
        <v>4834</v>
      </c>
      <c r="C95" s="168">
        <f>SUM(C79:C91)</f>
        <v>8334</v>
      </c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7"/>
    </row>
    <row r="96" spans="1:17">
      <c r="A96" s="165" t="s">
        <v>371</v>
      </c>
      <c r="B96" s="161"/>
      <c r="C96" s="161"/>
      <c r="D96" s="161"/>
      <c r="E96" s="161"/>
      <c r="F96" s="161"/>
      <c r="G96" s="161"/>
      <c r="H96" s="161"/>
      <c r="I96" s="171">
        <f>SUM(I79:L91)</f>
        <v>8334.0000000000036</v>
      </c>
      <c r="J96" s="161"/>
      <c r="K96" s="161"/>
      <c r="L96" s="161"/>
      <c r="M96" s="171">
        <f>SUM(M79:P91)</f>
        <v>4834</v>
      </c>
      <c r="N96" s="161"/>
      <c r="O96" s="161"/>
      <c r="P96" s="167"/>
    </row>
    <row r="97" spans="1:16" ht="15.75">
      <c r="A97" s="181" t="s">
        <v>138</v>
      </c>
      <c r="B97" s="182" t="s">
        <v>152</v>
      </c>
      <c r="C97" s="182" t="s">
        <v>154</v>
      </c>
      <c r="D97" s="182" t="s">
        <v>155</v>
      </c>
      <c r="E97" s="183"/>
      <c r="F97" s="183"/>
      <c r="G97" s="161"/>
      <c r="H97" s="161"/>
      <c r="I97" s="161">
        <f>I94/$G$62</f>
        <v>1.6854493347469333E-2</v>
      </c>
      <c r="J97" s="161">
        <f t="shared" ref="J97:L97" si="43">J94/$G$62</f>
        <v>5.9423627121156924E-3</v>
      </c>
      <c r="K97" s="161">
        <f t="shared" si="43"/>
        <v>5.3837516620416073E-3</v>
      </c>
      <c r="L97" s="161">
        <f t="shared" si="43"/>
        <v>5.9477981759962712E-3</v>
      </c>
      <c r="M97" s="161"/>
      <c r="N97" s="161"/>
      <c r="O97" s="161"/>
      <c r="P97" s="167"/>
    </row>
    <row r="98" spans="1:16" ht="15.75" thickBot="1">
      <c r="A98" s="172">
        <f>M60*SUM(D79:D86)</f>
        <v>3175461.7172732344</v>
      </c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4"/>
    </row>
    <row r="100" spans="1:16">
      <c r="A100" s="190" t="s">
        <v>375</v>
      </c>
    </row>
  </sheetData>
  <mergeCells count="3">
    <mergeCell ref="A1:F1"/>
    <mergeCell ref="I77:L77"/>
    <mergeCell ref="M77:P77"/>
  </mergeCells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3E11-93DC-4CFE-B7E9-8415A4AEBD3E}">
  <dimension ref="A1:O29"/>
  <sheetViews>
    <sheetView workbookViewId="0">
      <selection activeCell="F15" sqref="F15"/>
    </sheetView>
  </sheetViews>
  <sheetFormatPr defaultRowHeight="15"/>
  <cols>
    <col min="2" max="2" width="12" bestFit="1" customWidth="1"/>
    <col min="3" max="3" width="9.5703125" bestFit="1" customWidth="1"/>
    <col min="4" max="5" width="12" bestFit="1" customWidth="1"/>
    <col min="6" max="6" width="19" bestFit="1" customWidth="1"/>
    <col min="7" max="7" width="11.85546875" customWidth="1"/>
    <col min="8" max="8" width="14.140625" bestFit="1" customWidth="1"/>
    <col min="9" max="9" width="12" bestFit="1" customWidth="1"/>
    <col min="10" max="12" width="8.7109375" bestFit="1" customWidth="1"/>
    <col min="13" max="13" width="18.140625" bestFit="1" customWidth="1"/>
    <col min="14" max="14" width="7.28515625" bestFit="1" customWidth="1"/>
    <col min="15" max="15" width="16" bestFit="1" customWidth="1"/>
  </cols>
  <sheetData>
    <row r="1" spans="1:15">
      <c r="A1" s="115" t="s">
        <v>272</v>
      </c>
      <c r="B1" s="115" t="s">
        <v>273</v>
      </c>
      <c r="C1" s="115" t="s">
        <v>274</v>
      </c>
      <c r="D1" s="115" t="s">
        <v>275</v>
      </c>
      <c r="E1" s="115" t="s">
        <v>276</v>
      </c>
      <c r="F1" s="115" t="s">
        <v>277</v>
      </c>
      <c r="G1" s="115" t="s">
        <v>278</v>
      </c>
      <c r="H1" s="115" t="s">
        <v>279</v>
      </c>
      <c r="I1" s="115" t="s">
        <v>280</v>
      </c>
      <c r="J1" s="115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</row>
    <row r="2" spans="1:15">
      <c r="A2" s="115">
        <v>30</v>
      </c>
      <c r="B2" s="186">
        <f>Kidney_cancer_incidence!I79</f>
        <v>24.181780213237328</v>
      </c>
      <c r="C2" s="186">
        <f>Kidney_cancer_incidence!J79</f>
        <v>7.6233782054832471</v>
      </c>
      <c r="D2" s="186">
        <f>Kidney_cancer_incidence!K79</f>
        <v>8.1694700429243969</v>
      </c>
      <c r="E2" s="186">
        <f>Kidney_cancer_incidence!L79</f>
        <v>9.0253715383550315</v>
      </c>
      <c r="F2" s="186">
        <f>SUM(B2:E2)</f>
        <v>49</v>
      </c>
      <c r="G2">
        <v>0</v>
      </c>
      <c r="H2" s="187">
        <f>OC_mortality_details!P10</f>
        <v>5</v>
      </c>
      <c r="I2" s="186">
        <f>Kidney_cancer_incidence!M79</f>
        <v>17.766205870949875</v>
      </c>
      <c r="J2" s="186">
        <f>Kidney_cancer_incidence!N79</f>
        <v>5.6008492938244254</v>
      </c>
      <c r="K2" s="186">
        <f>Kidney_cancer_incidence!O79</f>
        <v>6.002059623373027</v>
      </c>
      <c r="L2" s="186">
        <f>Kidney_cancer_incidence!P79</f>
        <v>6.6308852118526715</v>
      </c>
      <c r="M2">
        <f>SUM(I2:L2)</f>
        <v>36</v>
      </c>
      <c r="N2">
        <v>0</v>
      </c>
      <c r="O2" s="187">
        <f>OC_mortality_details!O10</f>
        <v>2</v>
      </c>
    </row>
    <row r="3" spans="1:15">
      <c r="A3" s="115">
        <v>35</v>
      </c>
      <c r="B3" s="186">
        <f>Kidney_cancer_incidence!I80</f>
        <v>46.389537551924676</v>
      </c>
      <c r="C3" s="186">
        <f>Kidney_cancer_incidence!J80</f>
        <v>14.62443982276378</v>
      </c>
      <c r="D3" s="186">
        <f>Kidney_cancer_incidence!K80</f>
        <v>15.672044572140679</v>
      </c>
      <c r="E3" s="186">
        <f>Kidney_cancer_incidence!L80</f>
        <v>17.313978053170871</v>
      </c>
      <c r="F3" s="115">
        <f t="shared" ref="F3:F14" si="0">SUM(B3:E3)</f>
        <v>94</v>
      </c>
      <c r="G3" s="115">
        <v>0</v>
      </c>
      <c r="H3" s="187">
        <f>OC_mortality_details!P11</f>
        <v>10</v>
      </c>
      <c r="I3" s="186">
        <f>Kidney_cancer_incidence!M80</f>
        <v>30.103848836887288</v>
      </c>
      <c r="J3" s="186">
        <f>Kidney_cancer_incidence!N80</f>
        <v>9.4903279700913874</v>
      </c>
      <c r="K3" s="186">
        <f>Kidney_cancer_incidence!O80</f>
        <v>10.170156584048739</v>
      </c>
      <c r="L3" s="186">
        <f>Kidney_cancer_incidence!P80</f>
        <v>11.235666608972586</v>
      </c>
      <c r="M3" s="115">
        <f t="shared" ref="M3:M14" si="1">SUM(I3:L3)</f>
        <v>61</v>
      </c>
      <c r="N3" s="115">
        <v>0</v>
      </c>
      <c r="O3" s="187">
        <f>OC_mortality_details!O11</f>
        <v>7</v>
      </c>
    </row>
    <row r="4" spans="1:15">
      <c r="A4" s="115">
        <v>40</v>
      </c>
      <c r="B4" s="186">
        <f>Kidney_cancer_incidence!I81</f>
        <v>101.16867232068678</v>
      </c>
      <c r="C4" s="186">
        <f>Kidney_cancer_incidence!J81</f>
        <v>31.893725145389091</v>
      </c>
      <c r="D4" s="186">
        <f>Kidney_cancer_incidence!K81</f>
        <v>34.178395077540841</v>
      </c>
      <c r="E4" s="186">
        <f>Kidney_cancer_incidence!L81</f>
        <v>37.75920745638328</v>
      </c>
      <c r="F4" s="115">
        <f t="shared" si="0"/>
        <v>205</v>
      </c>
      <c r="G4" s="115">
        <v>0</v>
      </c>
      <c r="H4" s="187">
        <f>OC_mortality_details!P12</f>
        <v>23</v>
      </c>
      <c r="I4" s="186">
        <f>Kidney_cancer_incidence!M81</f>
        <v>50.337583301024644</v>
      </c>
      <c r="J4" s="186">
        <f>Kidney_cancer_incidence!N81</f>
        <v>15.869072999169207</v>
      </c>
      <c r="K4" s="186">
        <f>Kidney_cancer_incidence!O81</f>
        <v>17.005835599556907</v>
      </c>
      <c r="L4" s="186">
        <f>Kidney_cancer_incidence!P81</f>
        <v>18.787508100249241</v>
      </c>
      <c r="M4" s="115">
        <f t="shared" si="1"/>
        <v>102</v>
      </c>
      <c r="N4" s="115">
        <v>0</v>
      </c>
      <c r="O4" s="187">
        <f>OC_mortality_details!O12</f>
        <v>7</v>
      </c>
    </row>
    <row r="5" spans="1:15">
      <c r="A5" s="115">
        <v>45</v>
      </c>
      <c r="B5" s="186">
        <f>Kidney_cancer_incidence!I82</f>
        <v>196.90878173636111</v>
      </c>
      <c r="C5" s="186">
        <f>Kidney_cancer_incidence!J82</f>
        <v>62.076079673220718</v>
      </c>
      <c r="D5" s="186">
        <f>Kidney_cancer_incidence!K82</f>
        <v>66.52282749238438</v>
      </c>
      <c r="E5" s="186">
        <f>Kidney_cancer_incidence!L82</f>
        <v>73.492311098033838</v>
      </c>
      <c r="F5" s="115">
        <f t="shared" si="0"/>
        <v>399</v>
      </c>
      <c r="G5" s="115">
        <v>0</v>
      </c>
      <c r="H5" s="187">
        <f>OC_mortality_details!P13</f>
        <v>70</v>
      </c>
      <c r="I5" s="186">
        <f>Kidney_cancer_incidence!M82</f>
        <v>89.324535073386869</v>
      </c>
      <c r="J5" s="186">
        <f>Kidney_cancer_incidence!N82</f>
        <v>28.159825616172796</v>
      </c>
      <c r="K5" s="186">
        <f>Kidney_cancer_incidence!O82</f>
        <v>30.177021995292165</v>
      </c>
      <c r="L5" s="186">
        <f>Kidney_cancer_incidence!P82</f>
        <v>33.338617315148156</v>
      </c>
      <c r="M5" s="115">
        <f t="shared" si="1"/>
        <v>181</v>
      </c>
      <c r="N5" s="115">
        <v>0</v>
      </c>
      <c r="O5" s="187">
        <f>OC_mortality_details!O13</f>
        <v>25</v>
      </c>
    </row>
    <row r="6" spans="1:15">
      <c r="A6" s="115">
        <v>50</v>
      </c>
      <c r="B6" s="186">
        <f>Kidney_cancer_incidence!I83</f>
        <v>303.01251124342286</v>
      </c>
      <c r="C6" s="186">
        <f>Kidney_cancer_incidence!J83</f>
        <v>95.525596289116578</v>
      </c>
      <c r="D6" s="186">
        <f>Kidney_cancer_incidence!K83</f>
        <v>102.36846135419552</v>
      </c>
      <c r="E6" s="186">
        <f>Kidney_cancer_incidence!L83</f>
        <v>113.09343111326501</v>
      </c>
      <c r="F6" s="115">
        <f t="shared" si="0"/>
        <v>614</v>
      </c>
      <c r="G6" s="115">
        <v>0</v>
      </c>
      <c r="H6" s="187">
        <f>OC_mortality_details!P14</f>
        <v>122</v>
      </c>
      <c r="I6" s="186">
        <f>Kidney_cancer_incidence!M83</f>
        <v>148.54522130988647</v>
      </c>
      <c r="J6" s="186">
        <f>Kidney_cancer_incidence!N83</f>
        <v>46.829323262254221</v>
      </c>
      <c r="K6" s="186">
        <f>Kidney_cancer_incidence!O83</f>
        <v>50.183887406535582</v>
      </c>
      <c r="L6" s="186">
        <f>Kidney_cancer_incidence!P83</f>
        <v>55.441568021323747</v>
      </c>
      <c r="M6" s="115">
        <f t="shared" si="1"/>
        <v>301</v>
      </c>
      <c r="N6" s="115">
        <v>0</v>
      </c>
      <c r="O6" s="187">
        <f>OC_mortality_details!O14</f>
        <v>43</v>
      </c>
    </row>
    <row r="7" spans="1:15">
      <c r="A7" s="115">
        <v>55</v>
      </c>
      <c r="B7" s="186">
        <f>Kidney_cancer_incidence!I84</f>
        <v>377.53187475768482</v>
      </c>
      <c r="C7" s="186">
        <f>Kidney_cancer_incidence!J84</f>
        <v>119.01804749376903</v>
      </c>
      <c r="D7" s="186">
        <f>Kidney_cancer_incidence!K84</f>
        <v>127.54376699667682</v>
      </c>
      <c r="E7" s="186">
        <f>Kidney_cancer_incidence!L84</f>
        <v>140.90631075186934</v>
      </c>
      <c r="F7" s="115">
        <f t="shared" si="0"/>
        <v>765</v>
      </c>
      <c r="G7" s="115">
        <v>0</v>
      </c>
      <c r="H7" s="187">
        <f>OC_mortality_details!P15</f>
        <v>190</v>
      </c>
      <c r="I7" s="186">
        <f>Kidney_cancer_incidence!M84</f>
        <v>194.93475886181113</v>
      </c>
      <c r="J7" s="186">
        <f>Kidney_cancer_incidence!N84</f>
        <v>61.453763085018011</v>
      </c>
      <c r="K7" s="186">
        <f>Kidney_cancer_incidence!O84</f>
        <v>65.855931978676267</v>
      </c>
      <c r="L7" s="186">
        <f>Kidney_cancer_incidence!P84</f>
        <v>72.755546074494589</v>
      </c>
      <c r="M7" s="115">
        <f t="shared" si="1"/>
        <v>395</v>
      </c>
      <c r="N7" s="115">
        <v>0</v>
      </c>
      <c r="O7" s="187">
        <f>OC_mortality_details!O15</f>
        <v>76</v>
      </c>
    </row>
    <row r="8" spans="1:15">
      <c r="A8" s="115">
        <v>60</v>
      </c>
      <c r="B8" s="186">
        <f>Kidney_cancer_incidence!I85</f>
        <v>467.84342126834667</v>
      </c>
      <c r="C8" s="186">
        <f>Kidney_cancer_incidence!J85</f>
        <v>147.4890314040432</v>
      </c>
      <c r="D8" s="186">
        <f>Kidney_cancer_incidence!K85</f>
        <v>158.05423674882303</v>
      </c>
      <c r="E8" s="186">
        <f>Kidney_cancer_incidence!L85</f>
        <v>174.61331057878715</v>
      </c>
      <c r="F8" s="115">
        <f t="shared" si="0"/>
        <v>948</v>
      </c>
      <c r="G8" s="115">
        <v>0</v>
      </c>
      <c r="H8" s="187">
        <f>OC_mortality_details!P16</f>
        <v>269</v>
      </c>
      <c r="I8" s="186">
        <f>Kidney_cancer_incidence!M85</f>
        <v>237.37625066463582</v>
      </c>
      <c r="J8" s="186">
        <f>Kidney_cancer_incidence!N85</f>
        <v>74.833569731376357</v>
      </c>
      <c r="K8" s="186">
        <f>Kidney_cancer_incidence!O85</f>
        <v>80.194185523400719</v>
      </c>
      <c r="L8" s="186">
        <f>Kidney_cancer_incidence!P85</f>
        <v>88.595994080587104</v>
      </c>
      <c r="M8" s="115">
        <f t="shared" si="1"/>
        <v>481</v>
      </c>
      <c r="N8" s="115">
        <v>0</v>
      </c>
      <c r="O8" s="187">
        <f>OC_mortality_details!O16</f>
        <v>116</v>
      </c>
    </row>
    <row r="9" spans="1:15">
      <c r="A9" s="115">
        <v>65</v>
      </c>
      <c r="B9" s="186">
        <f>Kidney_cancer_incidence!I86</f>
        <v>618.92538436305733</v>
      </c>
      <c r="C9" s="186">
        <f>Kidney_cancer_incidence!J86</f>
        <v>172.74969484076436</v>
      </c>
      <c r="D9" s="186">
        <f>Kidney_cancer_incidence!K86</f>
        <v>220.13108074840761</v>
      </c>
      <c r="E9" s="186">
        <f>Kidney_cancer_incidence!L86</f>
        <v>243.19384004777066</v>
      </c>
      <c r="F9" s="115">
        <f t="shared" si="0"/>
        <v>1255</v>
      </c>
      <c r="G9" s="115">
        <v>0</v>
      </c>
      <c r="H9" s="187">
        <f>OC_mortality_details!P17</f>
        <v>348</v>
      </c>
      <c r="I9" s="186">
        <f>Kidney_cancer_incidence!M86</f>
        <v>323.51796983439488</v>
      </c>
      <c r="J9" s="186">
        <f>Kidney_cancer_incidence!N86</f>
        <v>90.297848458598736</v>
      </c>
      <c r="K9" s="186">
        <f>Kidney_cancer_incidence!O86</f>
        <v>115.06453304458597</v>
      </c>
      <c r="L9" s="186">
        <f>Kidney_cancer_incidence!P86</f>
        <v>127.11964866242033</v>
      </c>
      <c r="M9" s="115">
        <f t="shared" si="1"/>
        <v>656</v>
      </c>
      <c r="N9" s="115">
        <v>0</v>
      </c>
      <c r="O9" s="187">
        <f>OC_mortality_details!O17</f>
        <v>179</v>
      </c>
    </row>
    <row r="10" spans="1:15">
      <c r="A10" s="115">
        <v>70</v>
      </c>
      <c r="B10" s="186">
        <f>Kidney_cancer_incidence!I87</f>
        <v>660.35146586624205</v>
      </c>
      <c r="C10" s="186">
        <f>Kidney_cancer_incidence!J87</f>
        <v>184.31222421656048</v>
      </c>
      <c r="D10" s="186">
        <f>Kidney_cancer_incidence!K87</f>
        <v>234.86495388216562</v>
      </c>
      <c r="E10" s="186">
        <f>Kidney_cancer_incidence!L87</f>
        <v>259.47135603503193</v>
      </c>
      <c r="F10" s="115">
        <f t="shared" si="0"/>
        <v>1339</v>
      </c>
      <c r="G10" s="115">
        <v>0</v>
      </c>
      <c r="H10" s="187">
        <f>OC_mortality_details!P18</f>
        <v>461</v>
      </c>
      <c r="I10" s="186">
        <f>Kidney_cancer_incidence!M87</f>
        <v>357.05336914649678</v>
      </c>
      <c r="J10" s="186">
        <f>Kidney_cancer_incidence!N87</f>
        <v>99.657991286624195</v>
      </c>
      <c r="K10" s="186">
        <f>Kidney_cancer_incidence!O87</f>
        <v>126.99195415286624</v>
      </c>
      <c r="L10" s="186">
        <f>Kidney_cancer_incidence!P87</f>
        <v>140.29668541401281</v>
      </c>
      <c r="M10" s="115">
        <f t="shared" si="1"/>
        <v>724</v>
      </c>
      <c r="N10" s="115">
        <v>0</v>
      </c>
      <c r="O10" s="187">
        <f>OC_mortality_details!O18</f>
        <v>246</v>
      </c>
    </row>
    <row r="11" spans="1:15">
      <c r="A11" s="115">
        <v>75</v>
      </c>
      <c r="B11" s="186">
        <f>Kidney_cancer_incidence!I88</f>
        <v>548.33742781320962</v>
      </c>
      <c r="C11" s="186">
        <f>Kidney_cancer_incidence!J88</f>
        <v>227.67117161091107</v>
      </c>
      <c r="D11" s="186">
        <f>Kidney_cancer_incidence!K88</f>
        <v>158.2081032091526</v>
      </c>
      <c r="E11" s="186">
        <f>Kidney_cancer_incidence!L88</f>
        <v>174.78329736672674</v>
      </c>
      <c r="F11" s="115">
        <f t="shared" si="0"/>
        <v>1109</v>
      </c>
      <c r="G11" s="115">
        <v>0</v>
      </c>
      <c r="H11" s="187">
        <f>OC_mortality_details!P19</f>
        <v>457</v>
      </c>
      <c r="I11" s="186">
        <f>Kidney_cancer_incidence!M88</f>
        <v>334.24355383384102</v>
      </c>
      <c r="J11" s="186">
        <f>Kidney_cancer_incidence!N88</f>
        <v>138.77882056715589</v>
      </c>
      <c r="K11" s="186">
        <f>Kidney_cancer_incidence!O88</f>
        <v>96.437040369149827</v>
      </c>
      <c r="L11" s="186">
        <f>Kidney_cancer_incidence!P88</f>
        <v>106.54058522985326</v>
      </c>
      <c r="M11" s="115">
        <f t="shared" si="1"/>
        <v>676</v>
      </c>
      <c r="N11" s="115">
        <v>0</v>
      </c>
      <c r="O11" s="187">
        <f>OC_mortality_details!O19</f>
        <v>275</v>
      </c>
    </row>
    <row r="12" spans="1:15">
      <c r="A12" s="115">
        <v>80</v>
      </c>
      <c r="B12" s="186">
        <f>Kidney_cancer_incidence!I89</f>
        <v>420.7711010541401</v>
      </c>
      <c r="C12" s="186">
        <f>Kidney_cancer_incidence!J89</f>
        <v>174.70529038853502</v>
      </c>
      <c r="D12" s="186">
        <f>Kidney_cancer_incidence!K89</f>
        <v>121.40225052388534</v>
      </c>
      <c r="E12" s="186">
        <f>Kidney_cancer_incidence!L89</f>
        <v>134.12135803343961</v>
      </c>
      <c r="F12" s="115">
        <f t="shared" si="0"/>
        <v>851</v>
      </c>
      <c r="G12" s="115">
        <v>0</v>
      </c>
      <c r="H12" s="187">
        <f>OC_mortality_details!P20</f>
        <v>444</v>
      </c>
      <c r="I12" s="186">
        <f>Kidney_cancer_incidence!M89</f>
        <v>295.67698992993633</v>
      </c>
      <c r="J12" s="186">
        <f>Kidney_cancer_incidence!N89</f>
        <v>122.76587973248408</v>
      </c>
      <c r="K12" s="186">
        <f>Kidney_cancer_incidence!O89</f>
        <v>85.30968955732483</v>
      </c>
      <c r="L12" s="186">
        <f>Kidney_cancer_incidence!P89</f>
        <v>94.247440780254749</v>
      </c>
      <c r="M12" s="115">
        <f t="shared" si="1"/>
        <v>598</v>
      </c>
      <c r="N12" s="115">
        <v>0</v>
      </c>
      <c r="O12" s="187">
        <f>OC_mortality_details!O20</f>
        <v>302</v>
      </c>
    </row>
    <row r="13" spans="1:15">
      <c r="A13" s="115">
        <v>85</v>
      </c>
      <c r="B13" s="186">
        <f>Kidney_cancer_incidence!I90</f>
        <v>242.6769305400166</v>
      </c>
      <c r="C13" s="186">
        <f>Kidney_cancer_incidence!J90</f>
        <v>147.81445415674327</v>
      </c>
      <c r="D13" s="186">
        <f>Kidney_cancer_incidence!K90</f>
        <v>46.802593550263097</v>
      </c>
      <c r="E13" s="186">
        <f>Kidney_cancer_incidence!L90</f>
        <v>51.706021752977051</v>
      </c>
      <c r="F13" s="115">
        <f t="shared" si="0"/>
        <v>489</v>
      </c>
      <c r="G13" s="115">
        <v>0</v>
      </c>
      <c r="H13" s="187">
        <f>OC_mortality_details!P21</f>
        <v>344</v>
      </c>
      <c r="I13" s="186">
        <f>Kidney_cancer_incidence!M90</f>
        <v>204.96027057878703</v>
      </c>
      <c r="J13" s="186">
        <f>Kidney_cancer_incidence!N90</f>
        <v>124.84124655774022</v>
      </c>
      <c r="K13" s="186">
        <f>Kidney_cancer_incidence!O90</f>
        <v>39.528570830794806</v>
      </c>
      <c r="L13" s="186">
        <f>Kidney_cancer_incidence!P90</f>
        <v>43.669912032677928</v>
      </c>
      <c r="M13" s="115">
        <f t="shared" si="1"/>
        <v>413</v>
      </c>
      <c r="N13" s="115">
        <v>0</v>
      </c>
      <c r="O13" s="187">
        <f>OC_mortality_details!O21</f>
        <v>285</v>
      </c>
    </row>
    <row r="14" spans="1:15">
      <c r="A14" s="115">
        <v>90</v>
      </c>
      <c r="B14" s="186">
        <f>Kidney_cancer_incidence!I91</f>
        <v>107.69098962614234</v>
      </c>
      <c r="C14" s="186">
        <f>Kidney_cancer_incidence!J91</f>
        <v>65.594553276100797</v>
      </c>
      <c r="D14" s="186">
        <f>Kidney_cancer_incidence!K91</f>
        <v>20.769249080587098</v>
      </c>
      <c r="E14" s="186">
        <f>Kidney_cancer_incidence!L91</f>
        <v>22.945208017169762</v>
      </c>
      <c r="F14" s="115">
        <f t="shared" si="0"/>
        <v>217</v>
      </c>
      <c r="G14" s="115">
        <v>0</v>
      </c>
      <c r="H14" s="187">
        <f>OC_mortality_details!P22</f>
        <v>188</v>
      </c>
      <c r="I14" s="186">
        <f>Kidney_cancer_incidence!M91</f>
        <v>104.21708673497645</v>
      </c>
      <c r="J14" s="186">
        <f>Kidney_cancer_incidence!N91</f>
        <v>63.47859994461367</v>
      </c>
      <c r="K14" s="186">
        <f>Kidney_cancer_incidence!O91</f>
        <v>20.099273303793968</v>
      </c>
      <c r="L14" s="186">
        <f>Kidney_cancer_incidence!P91</f>
        <v>22.205040016615897</v>
      </c>
      <c r="M14" s="115">
        <f t="shared" si="1"/>
        <v>210</v>
      </c>
      <c r="N14" s="115">
        <v>0</v>
      </c>
      <c r="O14" s="187">
        <f>OC_mortality_details!O22</f>
        <v>199</v>
      </c>
    </row>
    <row r="15" spans="1:15">
      <c r="A15" s="115"/>
      <c r="B15" s="115"/>
      <c r="C15" s="115"/>
      <c r="D15" s="115"/>
      <c r="E15" s="115"/>
      <c r="F15" s="115"/>
      <c r="G15" s="115"/>
      <c r="I15" s="115"/>
      <c r="J15" s="115"/>
      <c r="K15" s="115"/>
      <c r="L15" s="115"/>
      <c r="M15" s="115"/>
      <c r="N15" s="115"/>
      <c r="O15" s="115"/>
    </row>
    <row r="16" spans="1:15">
      <c r="A16" s="115"/>
      <c r="B16" s="115"/>
      <c r="C16" s="115"/>
      <c r="D16" s="115"/>
      <c r="E16" s="115"/>
      <c r="F16" s="115"/>
      <c r="G16" s="115"/>
      <c r="I16" s="115"/>
      <c r="J16" s="115"/>
      <c r="K16" s="115"/>
      <c r="L16" s="115"/>
      <c r="M16" s="115"/>
      <c r="N16" s="115"/>
      <c r="O16" s="115"/>
    </row>
    <row r="17" spans="5:13">
      <c r="E17" s="186"/>
      <c r="M17" s="186"/>
    </row>
    <row r="18" spans="5:13">
      <c r="E18" s="186"/>
      <c r="M18" s="186"/>
    </row>
    <row r="19" spans="5:13">
      <c r="E19" s="186"/>
      <c r="M19" s="186"/>
    </row>
    <row r="20" spans="5:13">
      <c r="E20" s="186"/>
      <c r="M20" s="186"/>
    </row>
    <row r="21" spans="5:13">
      <c r="E21" s="186"/>
      <c r="M21" s="186"/>
    </row>
    <row r="22" spans="5:13">
      <c r="E22" s="186"/>
      <c r="M22" s="186"/>
    </row>
    <row r="23" spans="5:13">
      <c r="E23" s="186"/>
      <c r="M23" s="186"/>
    </row>
    <row r="24" spans="5:13">
      <c r="E24" s="186"/>
      <c r="M24" s="186"/>
    </row>
    <row r="25" spans="5:13">
      <c r="E25" s="186"/>
      <c r="M25" s="186"/>
    </row>
    <row r="26" spans="5:13">
      <c r="E26" s="186"/>
      <c r="M26" s="186"/>
    </row>
    <row r="27" spans="5:13">
      <c r="E27" s="186"/>
      <c r="M27" s="186"/>
    </row>
    <row r="28" spans="5:13">
      <c r="E28" s="186"/>
      <c r="M28" s="186"/>
    </row>
    <row r="29" spans="5:13">
      <c r="E29" s="186"/>
      <c r="M29" s="1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CB3D-CB5D-4D3B-94D9-DCDEFC7DB4E1}">
  <dimension ref="A1:AE39"/>
  <sheetViews>
    <sheetView workbookViewId="0">
      <selection activeCell="D4" sqref="D4"/>
    </sheetView>
  </sheetViews>
  <sheetFormatPr defaultRowHeight="15"/>
  <cols>
    <col min="1" max="1" width="9.140625" style="115"/>
    <col min="2" max="2" width="15.28515625" style="115" bestFit="1" customWidth="1"/>
    <col min="3" max="3" width="17.28515625" style="115" bestFit="1" customWidth="1"/>
    <col min="4" max="4" width="9.5703125" style="115" bestFit="1" customWidth="1"/>
    <col min="5" max="5" width="12.28515625" style="115" bestFit="1" customWidth="1"/>
    <col min="6" max="6" width="14" style="115" bestFit="1" customWidth="1"/>
    <col min="7" max="8" width="19" style="115" bestFit="1" customWidth="1"/>
    <col min="9" max="9" width="14.140625" style="115" bestFit="1" customWidth="1"/>
    <col min="10" max="11" width="11.42578125" style="115" bestFit="1" customWidth="1"/>
    <col min="12" max="12" width="13.140625" style="115" bestFit="1" customWidth="1"/>
    <col min="13" max="13" width="20.85546875" style="115" bestFit="1" customWidth="1"/>
    <col min="14" max="14" width="10" style="115" bestFit="1" customWidth="1"/>
    <col min="15" max="15" width="18.85546875" style="115" bestFit="1" customWidth="1"/>
    <col min="16" max="17" width="18.85546875" style="115" customWidth="1"/>
    <col min="18" max="19" width="12.85546875" style="115" bestFit="1" customWidth="1"/>
    <col min="20" max="20" width="14.5703125" style="115" bestFit="1" customWidth="1"/>
    <col min="21" max="21" width="22.42578125" style="115" bestFit="1" customWidth="1"/>
    <col min="22" max="22" width="11.42578125" style="115" bestFit="1" customWidth="1"/>
    <col min="23" max="23" width="17.5703125" style="115" bestFit="1" customWidth="1"/>
    <col min="24" max="25" width="12" style="115" bestFit="1" customWidth="1"/>
    <col min="26" max="26" width="13.7109375" style="115" bestFit="1" customWidth="1"/>
    <col min="27" max="27" width="21.5703125" style="115" bestFit="1" customWidth="1"/>
    <col min="28" max="28" width="10.5703125" style="115" bestFit="1" customWidth="1"/>
    <col min="29" max="29" width="19.42578125" style="115" bestFit="1" customWidth="1"/>
    <col min="30" max="16384" width="9.140625" style="115"/>
  </cols>
  <sheetData>
    <row r="1" spans="1:31" ht="15.75" thickBot="1">
      <c r="A1" s="143"/>
      <c r="B1" s="144"/>
      <c r="C1" s="145"/>
      <c r="D1" s="197" t="s">
        <v>288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9"/>
      <c r="R1" s="200" t="s">
        <v>289</v>
      </c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</row>
    <row r="2" spans="1:31">
      <c r="A2" s="147" t="s">
        <v>272</v>
      </c>
      <c r="B2" s="148" t="s">
        <v>290</v>
      </c>
      <c r="C2" s="149" t="s">
        <v>291</v>
      </c>
      <c r="D2" s="121" t="s">
        <v>273</v>
      </c>
      <c r="E2" s="121" t="s">
        <v>274</v>
      </c>
      <c r="F2" s="121" t="s">
        <v>275</v>
      </c>
      <c r="G2" s="121" t="s">
        <v>276</v>
      </c>
      <c r="H2" s="121" t="s">
        <v>277</v>
      </c>
      <c r="I2" s="121" t="s">
        <v>278</v>
      </c>
      <c r="J2" s="121" t="s">
        <v>279</v>
      </c>
      <c r="K2" s="121" t="s">
        <v>280</v>
      </c>
      <c r="L2" s="121" t="s">
        <v>281</v>
      </c>
      <c r="M2" s="121" t="s">
        <v>282</v>
      </c>
      <c r="N2" s="121" t="s">
        <v>283</v>
      </c>
      <c r="O2" s="121" t="s">
        <v>284</v>
      </c>
      <c r="P2" s="121" t="s">
        <v>285</v>
      </c>
      <c r="Q2" s="121" t="s">
        <v>286</v>
      </c>
      <c r="R2" s="121" t="s">
        <v>273</v>
      </c>
      <c r="S2" s="121" t="s">
        <v>274</v>
      </c>
      <c r="T2" s="121" t="s">
        <v>275</v>
      </c>
      <c r="U2" s="121" t="s">
        <v>276</v>
      </c>
      <c r="V2" s="121" t="s">
        <v>277</v>
      </c>
      <c r="W2" s="121" t="s">
        <v>278</v>
      </c>
      <c r="X2" s="121" t="s">
        <v>279</v>
      </c>
      <c r="Y2" s="121" t="s">
        <v>280</v>
      </c>
      <c r="Z2" s="121" t="s">
        <v>281</v>
      </c>
      <c r="AA2" s="121" t="s">
        <v>282</v>
      </c>
      <c r="AB2" s="121" t="s">
        <v>283</v>
      </c>
      <c r="AC2" s="121" t="s">
        <v>284</v>
      </c>
      <c r="AD2" s="121" t="s">
        <v>285</v>
      </c>
      <c r="AE2" s="122" t="s">
        <v>286</v>
      </c>
    </row>
    <row r="3" spans="1:31">
      <c r="A3" s="123">
        <v>30</v>
      </c>
      <c r="B3" s="124">
        <f>B26*1000</f>
        <v>2263511</v>
      </c>
      <c r="C3" s="125">
        <f>C26*1000</f>
        <v>2258464</v>
      </c>
      <c r="D3" s="188">
        <f>Calibration_targets_exp!B2</f>
        <v>24.181780213237328</v>
      </c>
      <c r="E3" s="188">
        <f>Calibration_targets_exp!C2</f>
        <v>7.6233782054832471</v>
      </c>
      <c r="F3" s="188">
        <f>Calibration_targets_exp!D2</f>
        <v>8.1694700429243969</v>
      </c>
      <c r="G3" s="188">
        <f>Calibration_targets_exp!E2</f>
        <v>9.0253715383550315</v>
      </c>
      <c r="H3" s="188">
        <f>Calibration_targets_exp!F2</f>
        <v>49</v>
      </c>
      <c r="I3" s="150">
        <f>Calibration_targets_exp!G2</f>
        <v>0</v>
      </c>
      <c r="J3" s="150">
        <f>Calibration_targets_exp!H2</f>
        <v>5</v>
      </c>
      <c r="K3" s="188">
        <f>Calibration_targets_exp!I2</f>
        <v>17.766205870949875</v>
      </c>
      <c r="L3" s="188">
        <f>Calibration_targets_exp!J2</f>
        <v>5.6008492938244254</v>
      </c>
      <c r="M3" s="188">
        <f>Calibration_targets_exp!K2</f>
        <v>6.002059623373027</v>
      </c>
      <c r="N3" s="188">
        <f>Calibration_targets_exp!L2</f>
        <v>6.6308852118526715</v>
      </c>
      <c r="O3" s="150">
        <f>Calibration_targets_exp!M2</f>
        <v>36</v>
      </c>
      <c r="P3" s="150">
        <f>Calibration_targets_exp!N2</f>
        <v>0</v>
      </c>
      <c r="Q3" s="150">
        <f>Calibration_targets_exp!O2</f>
        <v>2</v>
      </c>
      <c r="R3" s="154">
        <f>$B3-D3</f>
        <v>2263486.818219787</v>
      </c>
      <c r="S3" s="154">
        <f>$B3-E3</f>
        <v>2263503.3766217944</v>
      </c>
      <c r="T3" s="154">
        <f t="shared" ref="T3:W15" si="0">$B3-F3</f>
        <v>2263502.8305299571</v>
      </c>
      <c r="U3" s="154">
        <f t="shared" si="0"/>
        <v>2263501.9746284615</v>
      </c>
      <c r="V3" s="154">
        <f>$B3-H3</f>
        <v>2263462</v>
      </c>
      <c r="W3" s="154">
        <f>$B3-I3</f>
        <v>2263511</v>
      </c>
      <c r="X3" s="154">
        <f>$C3-J3</f>
        <v>2258459</v>
      </c>
      <c r="Y3" s="154">
        <f t="shared" ref="Y3:AC15" si="1">$C3-K3</f>
        <v>2258446.233794129</v>
      </c>
      <c r="Z3" s="154">
        <f t="shared" si="1"/>
        <v>2258458.3991507064</v>
      </c>
      <c r="AA3" s="154">
        <f t="shared" si="1"/>
        <v>2258457.9979403764</v>
      </c>
      <c r="AB3" s="154">
        <f t="shared" si="1"/>
        <v>2258457.3691147882</v>
      </c>
      <c r="AC3" s="151">
        <f>$C3-O3</f>
        <v>2258428</v>
      </c>
      <c r="AD3" s="151">
        <f t="shared" ref="AD3" si="2">$C3-P3</f>
        <v>2258464</v>
      </c>
      <c r="AE3" s="151">
        <f t="shared" ref="AE3" si="3">$C3-Q3</f>
        <v>2258462</v>
      </c>
    </row>
    <row r="4" spans="1:31">
      <c r="A4" s="123">
        <v>35</v>
      </c>
      <c r="B4" s="124">
        <f t="shared" ref="B4:C15" si="4">B27*1000</f>
        <v>2179535</v>
      </c>
      <c r="C4" s="125">
        <f t="shared" si="4"/>
        <v>2224565</v>
      </c>
      <c r="D4" s="188">
        <f>Calibration_targets_exp!B3</f>
        <v>46.389537551924676</v>
      </c>
      <c r="E4" s="188">
        <f>Calibration_targets_exp!C3</f>
        <v>14.62443982276378</v>
      </c>
      <c r="F4" s="188">
        <f>Calibration_targets_exp!D3</f>
        <v>15.672044572140679</v>
      </c>
      <c r="G4" s="188">
        <f>Calibration_targets_exp!E3</f>
        <v>17.313978053170871</v>
      </c>
      <c r="H4" s="188">
        <f>Calibration_targets_exp!F3</f>
        <v>94</v>
      </c>
      <c r="I4" s="150">
        <f>Calibration_targets_exp!G3</f>
        <v>0</v>
      </c>
      <c r="J4" s="150">
        <f>Calibration_targets_exp!H3</f>
        <v>10</v>
      </c>
      <c r="K4" s="188">
        <f>Calibration_targets_exp!I3</f>
        <v>30.103848836887288</v>
      </c>
      <c r="L4" s="188">
        <f>Calibration_targets_exp!J3</f>
        <v>9.4903279700913874</v>
      </c>
      <c r="M4" s="188">
        <f>Calibration_targets_exp!K3</f>
        <v>10.170156584048739</v>
      </c>
      <c r="N4" s="188">
        <f>Calibration_targets_exp!L3</f>
        <v>11.235666608972586</v>
      </c>
      <c r="O4" s="150">
        <f>Calibration_targets_exp!M3</f>
        <v>61</v>
      </c>
      <c r="P4" s="150">
        <f>Calibration_targets_exp!N3</f>
        <v>0</v>
      </c>
      <c r="Q4" s="150">
        <f>Calibration_targets_exp!O3</f>
        <v>7</v>
      </c>
      <c r="R4" s="154">
        <f t="shared" ref="R4:S15" si="5">$B4-D4</f>
        <v>2179488.6104624481</v>
      </c>
      <c r="S4" s="154">
        <f t="shared" si="5"/>
        <v>2179520.375560177</v>
      </c>
      <c r="T4" s="154">
        <f t="shared" si="0"/>
        <v>2179519.327955428</v>
      </c>
      <c r="U4" s="154">
        <f t="shared" si="0"/>
        <v>2179517.6860219468</v>
      </c>
      <c r="V4" s="154">
        <f t="shared" si="0"/>
        <v>2179441</v>
      </c>
      <c r="W4" s="154">
        <f t="shared" si="0"/>
        <v>2179535</v>
      </c>
      <c r="X4" s="154">
        <f t="shared" ref="X4:X15" si="6">$C4-J4</f>
        <v>2224555</v>
      </c>
      <c r="Y4" s="154">
        <f t="shared" si="1"/>
        <v>2224534.8961511631</v>
      </c>
      <c r="Z4" s="154">
        <f t="shared" si="1"/>
        <v>2224555.5096720299</v>
      </c>
      <c r="AA4" s="154">
        <f t="shared" si="1"/>
        <v>2224554.8298434159</v>
      </c>
      <c r="AB4" s="154">
        <f t="shared" si="1"/>
        <v>2224553.7643333911</v>
      </c>
      <c r="AC4" s="151">
        <f t="shared" si="1"/>
        <v>2224504</v>
      </c>
      <c r="AD4" s="151">
        <f t="shared" ref="AD4:AD15" si="7">$C4-P4</f>
        <v>2224565</v>
      </c>
      <c r="AE4" s="151">
        <f t="shared" ref="AE4:AE15" si="8">$C4-Q4</f>
        <v>2224558</v>
      </c>
    </row>
    <row r="5" spans="1:31">
      <c r="A5" s="123">
        <v>40</v>
      </c>
      <c r="B5" s="124">
        <f t="shared" si="4"/>
        <v>2032071</v>
      </c>
      <c r="C5" s="125">
        <f t="shared" si="4"/>
        <v>2059472.0000000002</v>
      </c>
      <c r="D5" s="188">
        <f>Calibration_targets_exp!B4</f>
        <v>101.16867232068678</v>
      </c>
      <c r="E5" s="188">
        <f>Calibration_targets_exp!C4</f>
        <v>31.893725145389091</v>
      </c>
      <c r="F5" s="188">
        <f>Calibration_targets_exp!D4</f>
        <v>34.178395077540841</v>
      </c>
      <c r="G5" s="188">
        <f>Calibration_targets_exp!E4</f>
        <v>37.75920745638328</v>
      </c>
      <c r="H5" s="188">
        <f>Calibration_targets_exp!F4</f>
        <v>205</v>
      </c>
      <c r="I5" s="150">
        <f>Calibration_targets_exp!G4</f>
        <v>0</v>
      </c>
      <c r="J5" s="150">
        <f>Calibration_targets_exp!H4</f>
        <v>23</v>
      </c>
      <c r="K5" s="188">
        <f>Calibration_targets_exp!I4</f>
        <v>50.337583301024644</v>
      </c>
      <c r="L5" s="188">
        <f>Calibration_targets_exp!J4</f>
        <v>15.869072999169207</v>
      </c>
      <c r="M5" s="188">
        <f>Calibration_targets_exp!K4</f>
        <v>17.005835599556907</v>
      </c>
      <c r="N5" s="188">
        <f>Calibration_targets_exp!L4</f>
        <v>18.787508100249241</v>
      </c>
      <c r="O5" s="150">
        <f>Calibration_targets_exp!M4</f>
        <v>102</v>
      </c>
      <c r="P5" s="150">
        <f>Calibration_targets_exp!N4</f>
        <v>0</v>
      </c>
      <c r="Q5" s="150">
        <f>Calibration_targets_exp!O4</f>
        <v>7</v>
      </c>
      <c r="R5" s="154">
        <f t="shared" si="5"/>
        <v>2031969.8313276793</v>
      </c>
      <c r="S5" s="154">
        <f t="shared" si="5"/>
        <v>2032039.1062748546</v>
      </c>
      <c r="T5" s="154">
        <f t="shared" si="0"/>
        <v>2032036.8216049224</v>
      </c>
      <c r="U5" s="154">
        <f t="shared" si="0"/>
        <v>2032033.2407925436</v>
      </c>
      <c r="V5" s="154">
        <f t="shared" si="0"/>
        <v>2031866</v>
      </c>
      <c r="W5" s="154">
        <f t="shared" si="0"/>
        <v>2032071</v>
      </c>
      <c r="X5" s="154">
        <f t="shared" si="6"/>
        <v>2059449.0000000002</v>
      </c>
      <c r="Y5" s="154">
        <f t="shared" si="1"/>
        <v>2059421.6624166991</v>
      </c>
      <c r="Z5" s="154">
        <f t="shared" si="1"/>
        <v>2059456.1309270011</v>
      </c>
      <c r="AA5" s="154">
        <f t="shared" si="1"/>
        <v>2059454.9941644007</v>
      </c>
      <c r="AB5" s="154">
        <f t="shared" si="1"/>
        <v>2059453.2124919</v>
      </c>
      <c r="AC5" s="151">
        <f t="shared" si="1"/>
        <v>2059370.0000000002</v>
      </c>
      <c r="AD5" s="151">
        <f t="shared" si="7"/>
        <v>2059472.0000000002</v>
      </c>
      <c r="AE5" s="151">
        <f t="shared" si="8"/>
        <v>2059465.0000000002</v>
      </c>
    </row>
    <row r="6" spans="1:31">
      <c r="A6" s="123">
        <v>45</v>
      </c>
      <c r="B6" s="124">
        <f t="shared" si="4"/>
        <v>2126397</v>
      </c>
      <c r="C6" s="125">
        <f t="shared" si="4"/>
        <v>2177570</v>
      </c>
      <c r="D6" s="188">
        <f>Calibration_targets_exp!B5</f>
        <v>196.90878173636111</v>
      </c>
      <c r="E6" s="188">
        <f>Calibration_targets_exp!C5</f>
        <v>62.076079673220718</v>
      </c>
      <c r="F6" s="188">
        <f>Calibration_targets_exp!D5</f>
        <v>66.52282749238438</v>
      </c>
      <c r="G6" s="188">
        <f>Calibration_targets_exp!E5</f>
        <v>73.492311098033838</v>
      </c>
      <c r="H6" s="188">
        <f>Calibration_targets_exp!F5</f>
        <v>399</v>
      </c>
      <c r="I6" s="150">
        <f>Calibration_targets_exp!G5</f>
        <v>0</v>
      </c>
      <c r="J6" s="150">
        <f>Calibration_targets_exp!H5</f>
        <v>70</v>
      </c>
      <c r="K6" s="188">
        <f>Calibration_targets_exp!I5</f>
        <v>89.324535073386869</v>
      </c>
      <c r="L6" s="188">
        <f>Calibration_targets_exp!J5</f>
        <v>28.159825616172796</v>
      </c>
      <c r="M6" s="188">
        <f>Calibration_targets_exp!K5</f>
        <v>30.177021995292165</v>
      </c>
      <c r="N6" s="188">
        <f>Calibration_targets_exp!L5</f>
        <v>33.338617315148156</v>
      </c>
      <c r="O6" s="150">
        <f>Calibration_targets_exp!M5</f>
        <v>181</v>
      </c>
      <c r="P6" s="150">
        <f>Calibration_targets_exp!N5</f>
        <v>0</v>
      </c>
      <c r="Q6" s="150">
        <f>Calibration_targets_exp!O5</f>
        <v>25</v>
      </c>
      <c r="R6" s="154">
        <f t="shared" si="5"/>
        <v>2126200.0912182638</v>
      </c>
      <c r="S6" s="154">
        <f t="shared" si="5"/>
        <v>2126334.9239203269</v>
      </c>
      <c r="T6" s="154">
        <f t="shared" si="0"/>
        <v>2126330.4771725074</v>
      </c>
      <c r="U6" s="154">
        <f t="shared" si="0"/>
        <v>2126323.5076889019</v>
      </c>
      <c r="V6" s="154">
        <f t="shared" si="0"/>
        <v>2125998</v>
      </c>
      <c r="W6" s="154">
        <f t="shared" si="0"/>
        <v>2126397</v>
      </c>
      <c r="X6" s="154">
        <f t="shared" si="6"/>
        <v>2177500</v>
      </c>
      <c r="Y6" s="154">
        <f t="shared" si="1"/>
        <v>2177480.6754649268</v>
      </c>
      <c r="Z6" s="154">
        <f t="shared" si="1"/>
        <v>2177541.8401743839</v>
      </c>
      <c r="AA6" s="154">
        <f t="shared" si="1"/>
        <v>2177539.8229780048</v>
      </c>
      <c r="AB6" s="154">
        <f t="shared" si="1"/>
        <v>2177536.6613826849</v>
      </c>
      <c r="AC6" s="151">
        <f t="shared" si="1"/>
        <v>2177389</v>
      </c>
      <c r="AD6" s="151">
        <f t="shared" si="7"/>
        <v>2177570</v>
      </c>
      <c r="AE6" s="151">
        <f t="shared" si="8"/>
        <v>2177545</v>
      </c>
    </row>
    <row r="7" spans="1:31">
      <c r="A7" s="123">
        <v>50</v>
      </c>
      <c r="B7" s="124">
        <f t="shared" si="4"/>
        <v>2269897</v>
      </c>
      <c r="C7" s="125">
        <f t="shared" si="4"/>
        <v>2346120</v>
      </c>
      <c r="D7" s="188">
        <f>Calibration_targets_exp!B6</f>
        <v>303.01251124342286</v>
      </c>
      <c r="E7" s="188">
        <f>Calibration_targets_exp!C6</f>
        <v>95.525596289116578</v>
      </c>
      <c r="F7" s="188">
        <f>Calibration_targets_exp!D6</f>
        <v>102.36846135419552</v>
      </c>
      <c r="G7" s="188">
        <f>Calibration_targets_exp!E6</f>
        <v>113.09343111326501</v>
      </c>
      <c r="H7" s="188">
        <f>Calibration_targets_exp!F6</f>
        <v>614</v>
      </c>
      <c r="I7" s="150">
        <f>Calibration_targets_exp!G6</f>
        <v>0</v>
      </c>
      <c r="J7" s="150">
        <f>Calibration_targets_exp!H6</f>
        <v>122</v>
      </c>
      <c r="K7" s="188">
        <f>Calibration_targets_exp!I6</f>
        <v>148.54522130988647</v>
      </c>
      <c r="L7" s="188">
        <f>Calibration_targets_exp!J6</f>
        <v>46.829323262254221</v>
      </c>
      <c r="M7" s="188">
        <f>Calibration_targets_exp!K6</f>
        <v>50.183887406535582</v>
      </c>
      <c r="N7" s="188">
        <f>Calibration_targets_exp!L6</f>
        <v>55.441568021323747</v>
      </c>
      <c r="O7" s="150">
        <f>Calibration_targets_exp!M6</f>
        <v>301</v>
      </c>
      <c r="P7" s="150">
        <f>Calibration_targets_exp!N6</f>
        <v>0</v>
      </c>
      <c r="Q7" s="150">
        <f>Calibration_targets_exp!O6</f>
        <v>43</v>
      </c>
      <c r="R7" s="154">
        <f t="shared" si="5"/>
        <v>2269593.9874887564</v>
      </c>
      <c r="S7" s="154">
        <f t="shared" si="5"/>
        <v>2269801.474403711</v>
      </c>
      <c r="T7" s="154">
        <f t="shared" si="0"/>
        <v>2269794.6315386458</v>
      </c>
      <c r="U7" s="154">
        <f t="shared" si="0"/>
        <v>2269783.9065688867</v>
      </c>
      <c r="V7" s="154">
        <f t="shared" si="0"/>
        <v>2269283</v>
      </c>
      <c r="W7" s="154">
        <f t="shared" si="0"/>
        <v>2269897</v>
      </c>
      <c r="X7" s="154">
        <f t="shared" si="6"/>
        <v>2345998</v>
      </c>
      <c r="Y7" s="154">
        <f t="shared" si="1"/>
        <v>2345971.4547786899</v>
      </c>
      <c r="Z7" s="154">
        <f t="shared" si="1"/>
        <v>2346073.1706767376</v>
      </c>
      <c r="AA7" s="154">
        <f t="shared" si="1"/>
        <v>2346069.8161125933</v>
      </c>
      <c r="AB7" s="154">
        <f t="shared" si="1"/>
        <v>2346064.5584319788</v>
      </c>
      <c r="AC7" s="151">
        <f t="shared" si="1"/>
        <v>2345819</v>
      </c>
      <c r="AD7" s="151">
        <f t="shared" si="7"/>
        <v>2346120</v>
      </c>
      <c r="AE7" s="151">
        <f t="shared" si="8"/>
        <v>2346077</v>
      </c>
    </row>
    <row r="8" spans="1:31">
      <c r="A8" s="123">
        <v>55</v>
      </c>
      <c r="B8" s="124">
        <f t="shared" si="4"/>
        <v>2216617</v>
      </c>
      <c r="C8" s="125">
        <f t="shared" si="4"/>
        <v>2294234</v>
      </c>
      <c r="D8" s="188">
        <f>Calibration_targets_exp!B7</f>
        <v>377.53187475768482</v>
      </c>
      <c r="E8" s="188">
        <f>Calibration_targets_exp!C7</f>
        <v>119.01804749376903</v>
      </c>
      <c r="F8" s="188">
        <f>Calibration_targets_exp!D7</f>
        <v>127.54376699667682</v>
      </c>
      <c r="G8" s="188">
        <f>Calibration_targets_exp!E7</f>
        <v>140.90631075186934</v>
      </c>
      <c r="H8" s="188">
        <f>Calibration_targets_exp!F7</f>
        <v>765</v>
      </c>
      <c r="I8" s="150">
        <f>Calibration_targets_exp!G7</f>
        <v>0</v>
      </c>
      <c r="J8" s="150">
        <f>Calibration_targets_exp!H7</f>
        <v>190</v>
      </c>
      <c r="K8" s="188">
        <f>Calibration_targets_exp!I7</f>
        <v>194.93475886181113</v>
      </c>
      <c r="L8" s="188">
        <f>Calibration_targets_exp!J7</f>
        <v>61.453763085018011</v>
      </c>
      <c r="M8" s="188">
        <f>Calibration_targets_exp!K7</f>
        <v>65.855931978676267</v>
      </c>
      <c r="N8" s="188">
        <f>Calibration_targets_exp!L7</f>
        <v>72.755546074494589</v>
      </c>
      <c r="O8" s="150">
        <f>Calibration_targets_exp!M7</f>
        <v>395</v>
      </c>
      <c r="P8" s="150">
        <f>Calibration_targets_exp!N7</f>
        <v>0</v>
      </c>
      <c r="Q8" s="150">
        <f>Calibration_targets_exp!O7</f>
        <v>76</v>
      </c>
      <c r="R8" s="154">
        <f t="shared" si="5"/>
        <v>2216239.4681252423</v>
      </c>
      <c r="S8" s="154">
        <f t="shared" si="5"/>
        <v>2216497.9819525061</v>
      </c>
      <c r="T8" s="154">
        <f t="shared" si="0"/>
        <v>2216489.4562330032</v>
      </c>
      <c r="U8" s="154">
        <f t="shared" si="0"/>
        <v>2216476.093689248</v>
      </c>
      <c r="V8" s="154">
        <f t="shared" si="0"/>
        <v>2215852</v>
      </c>
      <c r="W8" s="154">
        <f t="shared" si="0"/>
        <v>2216617</v>
      </c>
      <c r="X8" s="154">
        <f t="shared" si="6"/>
        <v>2294044</v>
      </c>
      <c r="Y8" s="154">
        <f t="shared" si="1"/>
        <v>2294039.065241138</v>
      </c>
      <c r="Z8" s="154">
        <f t="shared" si="1"/>
        <v>2294172.546236915</v>
      </c>
      <c r="AA8" s="154">
        <f t="shared" si="1"/>
        <v>2294168.1440680213</v>
      </c>
      <c r="AB8" s="154">
        <f t="shared" si="1"/>
        <v>2294161.2444539256</v>
      </c>
      <c r="AC8" s="151">
        <f t="shared" si="1"/>
        <v>2293839</v>
      </c>
      <c r="AD8" s="151">
        <f t="shared" si="7"/>
        <v>2294234</v>
      </c>
      <c r="AE8" s="151">
        <f t="shared" si="8"/>
        <v>2294158</v>
      </c>
    </row>
    <row r="9" spans="1:31">
      <c r="A9" s="123">
        <v>60</v>
      </c>
      <c r="B9" s="124">
        <f t="shared" si="4"/>
        <v>1888526</v>
      </c>
      <c r="C9" s="125">
        <f t="shared" si="4"/>
        <v>1967292</v>
      </c>
      <c r="D9" s="188">
        <f>Calibration_targets_exp!B8</f>
        <v>467.84342126834667</v>
      </c>
      <c r="E9" s="188">
        <f>Calibration_targets_exp!C8</f>
        <v>147.4890314040432</v>
      </c>
      <c r="F9" s="188">
        <f>Calibration_targets_exp!D8</f>
        <v>158.05423674882303</v>
      </c>
      <c r="G9" s="188">
        <f>Calibration_targets_exp!E8</f>
        <v>174.61331057878715</v>
      </c>
      <c r="H9" s="188">
        <f>Calibration_targets_exp!F8</f>
        <v>948</v>
      </c>
      <c r="I9" s="150">
        <f>Calibration_targets_exp!G8</f>
        <v>0</v>
      </c>
      <c r="J9" s="150">
        <f>Calibration_targets_exp!H8</f>
        <v>269</v>
      </c>
      <c r="K9" s="188">
        <f>Calibration_targets_exp!I8</f>
        <v>237.37625066463582</v>
      </c>
      <c r="L9" s="188">
        <f>Calibration_targets_exp!J8</f>
        <v>74.833569731376357</v>
      </c>
      <c r="M9" s="188">
        <f>Calibration_targets_exp!K8</f>
        <v>80.194185523400719</v>
      </c>
      <c r="N9" s="188">
        <f>Calibration_targets_exp!L8</f>
        <v>88.595994080587104</v>
      </c>
      <c r="O9" s="150">
        <f>Calibration_targets_exp!M8</f>
        <v>481</v>
      </c>
      <c r="P9" s="150">
        <f>Calibration_targets_exp!N8</f>
        <v>0</v>
      </c>
      <c r="Q9" s="150">
        <f>Calibration_targets_exp!O8</f>
        <v>116</v>
      </c>
      <c r="R9" s="154">
        <f t="shared" si="5"/>
        <v>1888058.1565787317</v>
      </c>
      <c r="S9" s="154">
        <f t="shared" si="5"/>
        <v>1888378.510968596</v>
      </c>
      <c r="T9" s="154">
        <f t="shared" si="0"/>
        <v>1888367.9457632513</v>
      </c>
      <c r="U9" s="154">
        <f t="shared" si="0"/>
        <v>1888351.3866894213</v>
      </c>
      <c r="V9" s="154">
        <f t="shared" si="0"/>
        <v>1887578</v>
      </c>
      <c r="W9" s="154">
        <f t="shared" si="0"/>
        <v>1888526</v>
      </c>
      <c r="X9" s="154">
        <f t="shared" si="6"/>
        <v>1967023</v>
      </c>
      <c r="Y9" s="154">
        <f t="shared" si="1"/>
        <v>1967054.6237493353</v>
      </c>
      <c r="Z9" s="154">
        <f t="shared" si="1"/>
        <v>1967217.1664302687</v>
      </c>
      <c r="AA9" s="154">
        <f t="shared" si="1"/>
        <v>1967211.8058144767</v>
      </c>
      <c r="AB9" s="154">
        <f t="shared" si="1"/>
        <v>1967203.4040059194</v>
      </c>
      <c r="AC9" s="151">
        <f t="shared" si="1"/>
        <v>1966811</v>
      </c>
      <c r="AD9" s="151">
        <f t="shared" si="7"/>
        <v>1967292</v>
      </c>
      <c r="AE9" s="151">
        <f t="shared" si="8"/>
        <v>1967176</v>
      </c>
    </row>
    <row r="10" spans="1:31">
      <c r="A10" s="123">
        <v>65</v>
      </c>
      <c r="B10" s="124">
        <f t="shared" si="4"/>
        <v>1624419</v>
      </c>
      <c r="C10" s="125">
        <f t="shared" si="4"/>
        <v>1730962</v>
      </c>
      <c r="D10" s="188">
        <f>Calibration_targets_exp!B9</f>
        <v>618.92538436305733</v>
      </c>
      <c r="E10" s="188">
        <f>Calibration_targets_exp!C9</f>
        <v>172.74969484076436</v>
      </c>
      <c r="F10" s="188">
        <f>Calibration_targets_exp!D9</f>
        <v>220.13108074840761</v>
      </c>
      <c r="G10" s="188">
        <f>Calibration_targets_exp!E9</f>
        <v>243.19384004777066</v>
      </c>
      <c r="H10" s="188">
        <f>Calibration_targets_exp!F9</f>
        <v>1255</v>
      </c>
      <c r="I10" s="150">
        <f>Calibration_targets_exp!G9</f>
        <v>0</v>
      </c>
      <c r="J10" s="150">
        <f>Calibration_targets_exp!H9</f>
        <v>348</v>
      </c>
      <c r="K10" s="188">
        <f>Calibration_targets_exp!I9</f>
        <v>323.51796983439488</v>
      </c>
      <c r="L10" s="188">
        <f>Calibration_targets_exp!J9</f>
        <v>90.297848458598736</v>
      </c>
      <c r="M10" s="188">
        <f>Calibration_targets_exp!K9</f>
        <v>115.06453304458597</v>
      </c>
      <c r="N10" s="188">
        <f>Calibration_targets_exp!L9</f>
        <v>127.11964866242033</v>
      </c>
      <c r="O10" s="150">
        <f>Calibration_targets_exp!M9</f>
        <v>656</v>
      </c>
      <c r="P10" s="150">
        <f>Calibration_targets_exp!N9</f>
        <v>0</v>
      </c>
      <c r="Q10" s="150">
        <f>Calibration_targets_exp!O9</f>
        <v>179</v>
      </c>
      <c r="R10" s="154">
        <f t="shared" si="5"/>
        <v>1623800.0746156368</v>
      </c>
      <c r="S10" s="154">
        <f t="shared" si="5"/>
        <v>1624246.2503051593</v>
      </c>
      <c r="T10" s="154">
        <f t="shared" si="0"/>
        <v>1624198.8689192515</v>
      </c>
      <c r="U10" s="154">
        <f t="shared" si="0"/>
        <v>1624175.8061599522</v>
      </c>
      <c r="V10" s="154">
        <f>$B10-H10</f>
        <v>1623164</v>
      </c>
      <c r="W10" s="154">
        <f t="shared" si="0"/>
        <v>1624419</v>
      </c>
      <c r="X10" s="154">
        <f t="shared" si="6"/>
        <v>1730614</v>
      </c>
      <c r="Y10" s="154">
        <f t="shared" si="1"/>
        <v>1730638.4820301656</v>
      </c>
      <c r="Z10" s="154">
        <f t="shared" si="1"/>
        <v>1730871.7021515414</v>
      </c>
      <c r="AA10" s="154">
        <f t="shared" si="1"/>
        <v>1730846.9354669554</v>
      </c>
      <c r="AB10" s="154">
        <f t="shared" si="1"/>
        <v>1730834.8803513376</v>
      </c>
      <c r="AC10" s="151">
        <f t="shared" si="1"/>
        <v>1730306</v>
      </c>
      <c r="AD10" s="151">
        <f t="shared" si="7"/>
        <v>1730962</v>
      </c>
      <c r="AE10" s="151">
        <f t="shared" si="8"/>
        <v>1730783</v>
      </c>
    </row>
    <row r="11" spans="1:31">
      <c r="A11" s="123">
        <v>70</v>
      </c>
      <c r="B11" s="124">
        <f t="shared" si="4"/>
        <v>1606864</v>
      </c>
      <c r="C11" s="125">
        <f t="shared" si="4"/>
        <v>1757042</v>
      </c>
      <c r="D11" s="188">
        <f>Calibration_targets_exp!B10</f>
        <v>660.35146586624205</v>
      </c>
      <c r="E11" s="188">
        <f>Calibration_targets_exp!C10</f>
        <v>184.31222421656048</v>
      </c>
      <c r="F11" s="188">
        <f>Calibration_targets_exp!D10</f>
        <v>234.86495388216562</v>
      </c>
      <c r="G11" s="188">
        <f>Calibration_targets_exp!E10</f>
        <v>259.47135603503193</v>
      </c>
      <c r="H11" s="188">
        <f>Calibration_targets_exp!F10</f>
        <v>1339</v>
      </c>
      <c r="I11" s="150">
        <f>Calibration_targets_exp!G10</f>
        <v>0</v>
      </c>
      <c r="J11" s="150">
        <f>Calibration_targets_exp!H10</f>
        <v>461</v>
      </c>
      <c r="K11" s="188">
        <f>Calibration_targets_exp!I10</f>
        <v>357.05336914649678</v>
      </c>
      <c r="L11" s="188">
        <f>Calibration_targets_exp!J10</f>
        <v>99.657991286624195</v>
      </c>
      <c r="M11" s="188">
        <f>Calibration_targets_exp!K10</f>
        <v>126.99195415286624</v>
      </c>
      <c r="N11" s="188">
        <f>Calibration_targets_exp!L10</f>
        <v>140.29668541401281</v>
      </c>
      <c r="O11" s="150">
        <f>Calibration_targets_exp!M10</f>
        <v>724</v>
      </c>
      <c r="P11" s="150">
        <f>Calibration_targets_exp!N10</f>
        <v>0</v>
      </c>
      <c r="Q11" s="150">
        <f>Calibration_targets_exp!O10</f>
        <v>246</v>
      </c>
      <c r="R11" s="154">
        <f t="shared" si="5"/>
        <v>1606203.6485341338</v>
      </c>
      <c r="S11" s="154">
        <f t="shared" si="5"/>
        <v>1606679.6877757835</v>
      </c>
      <c r="T11" s="154">
        <f t="shared" si="0"/>
        <v>1606629.1350461179</v>
      </c>
      <c r="U11" s="154">
        <f t="shared" si="0"/>
        <v>1606604.528643965</v>
      </c>
      <c r="V11" s="154">
        <f t="shared" si="0"/>
        <v>1605525</v>
      </c>
      <c r="W11" s="154">
        <f t="shared" si="0"/>
        <v>1606864</v>
      </c>
      <c r="X11" s="154">
        <f t="shared" si="6"/>
        <v>1756581</v>
      </c>
      <c r="Y11" s="154">
        <f t="shared" si="1"/>
        <v>1756684.9466308535</v>
      </c>
      <c r="Z11" s="154">
        <f t="shared" si="1"/>
        <v>1756942.3420087134</v>
      </c>
      <c r="AA11" s="154">
        <f t="shared" si="1"/>
        <v>1756915.0080458471</v>
      </c>
      <c r="AB11" s="154">
        <f t="shared" si="1"/>
        <v>1756901.7033145861</v>
      </c>
      <c r="AC11" s="151">
        <f t="shared" si="1"/>
        <v>1756318</v>
      </c>
      <c r="AD11" s="151">
        <f t="shared" si="7"/>
        <v>1757042</v>
      </c>
      <c r="AE11" s="151">
        <f t="shared" si="8"/>
        <v>1756796</v>
      </c>
    </row>
    <row r="12" spans="1:31">
      <c r="A12" s="123">
        <v>75</v>
      </c>
      <c r="B12" s="124">
        <f t="shared" si="4"/>
        <v>1114488</v>
      </c>
      <c r="C12" s="125">
        <f t="shared" si="4"/>
        <v>1289271</v>
      </c>
      <c r="D12" s="188">
        <f>Calibration_targets_exp!B11</f>
        <v>548.33742781320962</v>
      </c>
      <c r="E12" s="188">
        <f>Calibration_targets_exp!C11</f>
        <v>227.67117161091107</v>
      </c>
      <c r="F12" s="188">
        <f>Calibration_targets_exp!D11</f>
        <v>158.2081032091526</v>
      </c>
      <c r="G12" s="188">
        <f>Calibration_targets_exp!E11</f>
        <v>174.78329736672674</v>
      </c>
      <c r="H12" s="188">
        <f>Calibration_targets_exp!F11</f>
        <v>1109</v>
      </c>
      <c r="I12" s="150">
        <f>Calibration_targets_exp!G11</f>
        <v>0</v>
      </c>
      <c r="J12" s="150">
        <f>Calibration_targets_exp!H11</f>
        <v>457</v>
      </c>
      <c r="K12" s="188">
        <f>Calibration_targets_exp!I11</f>
        <v>334.24355383384102</v>
      </c>
      <c r="L12" s="188">
        <f>Calibration_targets_exp!J11</f>
        <v>138.77882056715589</v>
      </c>
      <c r="M12" s="188">
        <f>Calibration_targets_exp!K11</f>
        <v>96.437040369149827</v>
      </c>
      <c r="N12" s="188">
        <f>Calibration_targets_exp!L11</f>
        <v>106.54058522985326</v>
      </c>
      <c r="O12" s="150">
        <f>Calibration_targets_exp!M11</f>
        <v>676</v>
      </c>
      <c r="P12" s="150">
        <f>Calibration_targets_exp!N11</f>
        <v>0</v>
      </c>
      <c r="Q12" s="150">
        <f>Calibration_targets_exp!O11</f>
        <v>275</v>
      </c>
      <c r="R12" s="154">
        <f t="shared" si="5"/>
        <v>1113939.6625721869</v>
      </c>
      <c r="S12" s="154">
        <f t="shared" si="5"/>
        <v>1114260.3288283891</v>
      </c>
      <c r="T12" s="154">
        <f t="shared" si="0"/>
        <v>1114329.7918967907</v>
      </c>
      <c r="U12" s="154">
        <f t="shared" si="0"/>
        <v>1114313.2167026333</v>
      </c>
      <c r="V12" s="154">
        <f t="shared" si="0"/>
        <v>1113379</v>
      </c>
      <c r="W12" s="154">
        <f t="shared" si="0"/>
        <v>1114488</v>
      </c>
      <c r="X12" s="154">
        <f t="shared" si="6"/>
        <v>1288814</v>
      </c>
      <c r="Y12" s="154">
        <f t="shared" si="1"/>
        <v>1288936.7564461662</v>
      </c>
      <c r="Z12" s="154">
        <f t="shared" si="1"/>
        <v>1289132.2211794329</v>
      </c>
      <c r="AA12" s="154">
        <f t="shared" si="1"/>
        <v>1289174.5629596307</v>
      </c>
      <c r="AB12" s="154">
        <f t="shared" si="1"/>
        <v>1289164.4594147701</v>
      </c>
      <c r="AC12" s="151">
        <f t="shared" si="1"/>
        <v>1288595</v>
      </c>
      <c r="AD12" s="151">
        <f t="shared" si="7"/>
        <v>1289271</v>
      </c>
      <c r="AE12" s="151">
        <f t="shared" si="8"/>
        <v>1288996</v>
      </c>
    </row>
    <row r="13" spans="1:31">
      <c r="A13" s="123">
        <v>80</v>
      </c>
      <c r="B13" s="124">
        <f t="shared" si="4"/>
        <v>759183</v>
      </c>
      <c r="C13" s="125">
        <f t="shared" si="4"/>
        <v>967040</v>
      </c>
      <c r="D13" s="188">
        <f>Calibration_targets_exp!B12</f>
        <v>420.7711010541401</v>
      </c>
      <c r="E13" s="188">
        <f>Calibration_targets_exp!C12</f>
        <v>174.70529038853502</v>
      </c>
      <c r="F13" s="188">
        <f>Calibration_targets_exp!D12</f>
        <v>121.40225052388534</v>
      </c>
      <c r="G13" s="188">
        <f>Calibration_targets_exp!E12</f>
        <v>134.12135803343961</v>
      </c>
      <c r="H13" s="188">
        <f>Calibration_targets_exp!F12</f>
        <v>851</v>
      </c>
      <c r="I13" s="150">
        <f>Calibration_targets_exp!G12</f>
        <v>0</v>
      </c>
      <c r="J13" s="150">
        <f>Calibration_targets_exp!H12</f>
        <v>444</v>
      </c>
      <c r="K13" s="188">
        <f>Calibration_targets_exp!I12</f>
        <v>295.67698992993633</v>
      </c>
      <c r="L13" s="188">
        <f>Calibration_targets_exp!J12</f>
        <v>122.76587973248408</v>
      </c>
      <c r="M13" s="188">
        <f>Calibration_targets_exp!K12</f>
        <v>85.30968955732483</v>
      </c>
      <c r="N13" s="188">
        <f>Calibration_targets_exp!L12</f>
        <v>94.247440780254749</v>
      </c>
      <c r="O13" s="150">
        <f>Calibration_targets_exp!M12</f>
        <v>598</v>
      </c>
      <c r="P13" s="150">
        <f>Calibration_targets_exp!N12</f>
        <v>0</v>
      </c>
      <c r="Q13" s="150">
        <f>Calibration_targets_exp!O12</f>
        <v>302</v>
      </c>
      <c r="R13" s="154">
        <f t="shared" si="5"/>
        <v>758762.22889894585</v>
      </c>
      <c r="S13" s="154">
        <f t="shared" si="5"/>
        <v>759008.29470961145</v>
      </c>
      <c r="T13" s="154">
        <f t="shared" si="0"/>
        <v>759061.59774947609</v>
      </c>
      <c r="U13" s="154">
        <f t="shared" si="0"/>
        <v>759048.87864196661</v>
      </c>
      <c r="V13" s="154">
        <f t="shared" si="0"/>
        <v>758332</v>
      </c>
      <c r="W13" s="154">
        <f>$B13-I13</f>
        <v>759183</v>
      </c>
      <c r="X13" s="154">
        <f t="shared" si="6"/>
        <v>966596</v>
      </c>
      <c r="Y13" s="154">
        <f t="shared" si="1"/>
        <v>966744.32301007002</v>
      </c>
      <c r="Z13" s="154">
        <f t="shared" si="1"/>
        <v>966917.23412026756</v>
      </c>
      <c r="AA13" s="154">
        <f t="shared" si="1"/>
        <v>966954.6903104427</v>
      </c>
      <c r="AB13" s="154">
        <f t="shared" si="1"/>
        <v>966945.75255921972</v>
      </c>
      <c r="AC13" s="151">
        <f t="shared" si="1"/>
        <v>966442</v>
      </c>
      <c r="AD13" s="151">
        <f t="shared" si="7"/>
        <v>967040</v>
      </c>
      <c r="AE13" s="151">
        <f t="shared" si="8"/>
        <v>966738</v>
      </c>
    </row>
    <row r="14" spans="1:31">
      <c r="A14" s="123">
        <v>85</v>
      </c>
      <c r="B14" s="124">
        <f t="shared" si="4"/>
        <v>420012</v>
      </c>
      <c r="C14" s="125">
        <f t="shared" si="4"/>
        <v>629854</v>
      </c>
      <c r="D14" s="188">
        <f>Calibration_targets_exp!B13</f>
        <v>242.6769305400166</v>
      </c>
      <c r="E14" s="188">
        <f>Calibration_targets_exp!C13</f>
        <v>147.81445415674327</v>
      </c>
      <c r="F14" s="188">
        <f>Calibration_targets_exp!D13</f>
        <v>46.802593550263097</v>
      </c>
      <c r="G14" s="188">
        <f>Calibration_targets_exp!E13</f>
        <v>51.706021752977051</v>
      </c>
      <c r="H14" s="188">
        <f>Calibration_targets_exp!F13</f>
        <v>489</v>
      </c>
      <c r="I14" s="150">
        <f>Calibration_targets_exp!G13</f>
        <v>0</v>
      </c>
      <c r="J14" s="150">
        <f>Calibration_targets_exp!H13</f>
        <v>344</v>
      </c>
      <c r="K14" s="188">
        <f>Calibration_targets_exp!I13</f>
        <v>204.96027057878703</v>
      </c>
      <c r="L14" s="188">
        <f>Calibration_targets_exp!J13</f>
        <v>124.84124655774022</v>
      </c>
      <c r="M14" s="188">
        <f>Calibration_targets_exp!K13</f>
        <v>39.528570830794806</v>
      </c>
      <c r="N14" s="188">
        <f>Calibration_targets_exp!L13</f>
        <v>43.669912032677928</v>
      </c>
      <c r="O14" s="150">
        <f>Calibration_targets_exp!M13</f>
        <v>413</v>
      </c>
      <c r="P14" s="150">
        <f>Calibration_targets_exp!N13</f>
        <v>0</v>
      </c>
      <c r="Q14" s="150">
        <f>Calibration_targets_exp!O13</f>
        <v>285</v>
      </c>
      <c r="R14" s="154">
        <f t="shared" si="5"/>
        <v>419769.32306945999</v>
      </c>
      <c r="S14" s="154">
        <f t="shared" si="5"/>
        <v>419864.18554584327</v>
      </c>
      <c r="T14" s="154">
        <f t="shared" si="0"/>
        <v>419965.19740644976</v>
      </c>
      <c r="U14" s="154">
        <f t="shared" si="0"/>
        <v>419960.29397824703</v>
      </c>
      <c r="V14" s="154">
        <f t="shared" si="0"/>
        <v>419523</v>
      </c>
      <c r="W14" s="154">
        <f t="shared" si="0"/>
        <v>420012</v>
      </c>
      <c r="X14" s="154">
        <f t="shared" si="6"/>
        <v>629510</v>
      </c>
      <c r="Y14" s="154">
        <f t="shared" si="1"/>
        <v>629649.03972942126</v>
      </c>
      <c r="Z14" s="154">
        <f t="shared" si="1"/>
        <v>629729.15875344223</v>
      </c>
      <c r="AA14" s="154">
        <f t="shared" si="1"/>
        <v>629814.47142916918</v>
      </c>
      <c r="AB14" s="154">
        <f t="shared" si="1"/>
        <v>629810.33008796733</v>
      </c>
      <c r="AC14" s="151">
        <f t="shared" si="1"/>
        <v>629441</v>
      </c>
      <c r="AD14" s="151">
        <f t="shared" si="7"/>
        <v>629854</v>
      </c>
      <c r="AE14" s="151">
        <f t="shared" si="8"/>
        <v>629569</v>
      </c>
    </row>
    <row r="15" spans="1:31">
      <c r="A15" s="123">
        <v>90</v>
      </c>
      <c r="B15" s="124">
        <f t="shared" si="4"/>
        <v>162104</v>
      </c>
      <c r="C15" s="125">
        <f t="shared" si="4"/>
        <v>308570</v>
      </c>
      <c r="D15" s="188">
        <f>Calibration_targets_exp!B14</f>
        <v>107.69098962614234</v>
      </c>
      <c r="E15" s="188">
        <f>Calibration_targets_exp!C14</f>
        <v>65.594553276100797</v>
      </c>
      <c r="F15" s="188">
        <f>Calibration_targets_exp!D14</f>
        <v>20.769249080587098</v>
      </c>
      <c r="G15" s="188">
        <f>Calibration_targets_exp!E14</f>
        <v>22.945208017169762</v>
      </c>
      <c r="H15" s="188">
        <f>Calibration_targets_exp!F14</f>
        <v>217</v>
      </c>
      <c r="I15" s="150">
        <f>Calibration_targets_exp!G14</f>
        <v>0</v>
      </c>
      <c r="J15" s="150">
        <f>Calibration_targets_exp!H14</f>
        <v>188</v>
      </c>
      <c r="K15" s="188">
        <f>Calibration_targets_exp!I14</f>
        <v>104.21708673497645</v>
      </c>
      <c r="L15" s="188">
        <f>Calibration_targets_exp!J14</f>
        <v>63.47859994461367</v>
      </c>
      <c r="M15" s="188">
        <f>Calibration_targets_exp!K14</f>
        <v>20.099273303793968</v>
      </c>
      <c r="N15" s="188">
        <f>Calibration_targets_exp!L14</f>
        <v>22.205040016615897</v>
      </c>
      <c r="O15" s="150">
        <f>Calibration_targets_exp!M14</f>
        <v>210</v>
      </c>
      <c r="P15" s="150">
        <f>Calibration_targets_exp!N14</f>
        <v>0</v>
      </c>
      <c r="Q15" s="150">
        <f>Calibration_targets_exp!O14</f>
        <v>199</v>
      </c>
      <c r="R15" s="154">
        <f t="shared" si="5"/>
        <v>161996.30901037387</v>
      </c>
      <c r="S15" s="154">
        <f t="shared" si="5"/>
        <v>162038.40544672389</v>
      </c>
      <c r="T15" s="154">
        <f t="shared" si="0"/>
        <v>162083.23075091941</v>
      </c>
      <c r="U15" s="154">
        <f t="shared" si="0"/>
        <v>162081.05479198284</v>
      </c>
      <c r="V15" s="154">
        <f t="shared" si="0"/>
        <v>161887</v>
      </c>
      <c r="W15" s="154">
        <f t="shared" si="0"/>
        <v>162104</v>
      </c>
      <c r="X15" s="154">
        <f t="shared" si="6"/>
        <v>308382</v>
      </c>
      <c r="Y15" s="154">
        <f t="shared" si="1"/>
        <v>308465.78291326505</v>
      </c>
      <c r="Z15" s="154">
        <f t="shared" si="1"/>
        <v>308506.52140005538</v>
      </c>
      <c r="AA15" s="154">
        <f t="shared" si="1"/>
        <v>308549.90072669619</v>
      </c>
      <c r="AB15" s="154">
        <f t="shared" si="1"/>
        <v>308547.79495998338</v>
      </c>
      <c r="AC15" s="151">
        <f t="shared" si="1"/>
        <v>308360</v>
      </c>
      <c r="AD15" s="151">
        <f t="shared" si="7"/>
        <v>308570</v>
      </c>
      <c r="AE15" s="151">
        <f t="shared" si="8"/>
        <v>308371</v>
      </c>
    </row>
    <row r="16" spans="1:31" ht="15.75" thickBot="1">
      <c r="A16" s="126"/>
      <c r="B16" s="127"/>
      <c r="C16" s="128"/>
      <c r="D16" s="188"/>
      <c r="E16" s="188"/>
      <c r="F16" s="188"/>
      <c r="G16" s="188"/>
      <c r="H16" s="188"/>
      <c r="I16" s="150"/>
      <c r="J16" s="150"/>
      <c r="K16" s="188"/>
      <c r="L16" s="188"/>
      <c r="M16" s="188"/>
      <c r="N16" s="188"/>
      <c r="O16" s="150"/>
      <c r="P16" s="150"/>
      <c r="Q16" s="150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3"/>
      <c r="AD16" s="153"/>
      <c r="AE16" s="153"/>
    </row>
    <row r="23" spans="1:3">
      <c r="A23" s="115" t="s">
        <v>292</v>
      </c>
    </row>
    <row r="25" spans="1:3">
      <c r="A25" s="146" t="s">
        <v>272</v>
      </c>
      <c r="B25" s="146" t="s">
        <v>290</v>
      </c>
      <c r="C25" s="146" t="s">
        <v>291</v>
      </c>
    </row>
    <row r="26" spans="1:3">
      <c r="A26" s="115">
        <v>30</v>
      </c>
      <c r="B26" s="115">
        <v>2263.511</v>
      </c>
      <c r="C26" s="115">
        <v>2258.4639999999999</v>
      </c>
    </row>
    <row r="27" spans="1:3">
      <c r="A27" s="115">
        <v>35</v>
      </c>
      <c r="B27" s="115">
        <v>2179.5349999999999</v>
      </c>
      <c r="C27" s="115">
        <v>2224.5650000000001</v>
      </c>
    </row>
    <row r="28" spans="1:3">
      <c r="A28" s="115">
        <v>40</v>
      </c>
      <c r="B28" s="115">
        <v>2032.0709999999999</v>
      </c>
      <c r="C28" s="115">
        <v>2059.4720000000002</v>
      </c>
    </row>
    <row r="29" spans="1:3">
      <c r="A29" s="115">
        <v>45</v>
      </c>
      <c r="B29" s="115">
        <v>2126.3969999999999</v>
      </c>
      <c r="C29" s="115">
        <v>2177.5700000000002</v>
      </c>
    </row>
    <row r="30" spans="1:3">
      <c r="A30" s="115">
        <v>50</v>
      </c>
      <c r="B30" s="115">
        <v>2269.8969999999999</v>
      </c>
      <c r="C30" s="115">
        <v>2346.12</v>
      </c>
    </row>
    <row r="31" spans="1:3">
      <c r="A31" s="115">
        <v>55</v>
      </c>
      <c r="B31" s="115">
        <v>2216.6170000000002</v>
      </c>
      <c r="C31" s="115">
        <v>2294.2339999999999</v>
      </c>
    </row>
    <row r="32" spans="1:3">
      <c r="A32" s="115">
        <v>60</v>
      </c>
      <c r="B32" s="115">
        <v>1888.5260000000001</v>
      </c>
      <c r="C32" s="115">
        <v>1967.2919999999999</v>
      </c>
    </row>
    <row r="33" spans="1:3">
      <c r="A33" s="115">
        <v>65</v>
      </c>
      <c r="B33" s="115">
        <v>1624.4190000000001</v>
      </c>
      <c r="C33" s="115">
        <v>1730.962</v>
      </c>
    </row>
    <row r="34" spans="1:3">
      <c r="A34" s="115">
        <v>70</v>
      </c>
      <c r="B34" s="115">
        <v>1606.864</v>
      </c>
      <c r="C34" s="115">
        <v>1757.0419999999999</v>
      </c>
    </row>
    <row r="35" spans="1:3">
      <c r="A35" s="115">
        <v>75</v>
      </c>
      <c r="B35" s="115">
        <v>1114.4880000000001</v>
      </c>
      <c r="C35" s="115">
        <v>1289.271</v>
      </c>
    </row>
    <row r="36" spans="1:3">
      <c r="A36" s="115">
        <v>80</v>
      </c>
      <c r="B36" s="115">
        <v>759.18299999999999</v>
      </c>
      <c r="C36" s="115">
        <v>967.04</v>
      </c>
    </row>
    <row r="37" spans="1:3">
      <c r="A37" s="115">
        <v>85</v>
      </c>
      <c r="B37" s="115">
        <v>420.012</v>
      </c>
      <c r="C37" s="115">
        <v>629.85400000000004</v>
      </c>
    </row>
    <row r="38" spans="1:3">
      <c r="A38" s="115">
        <v>90</v>
      </c>
      <c r="B38" s="115">
        <v>162.10400000000001</v>
      </c>
      <c r="C38" s="115">
        <v>308.57</v>
      </c>
    </row>
    <row r="39" spans="1:3">
      <c r="A39" s="115">
        <v>95</v>
      </c>
      <c r="B39" s="115">
        <v>32.415999999999997</v>
      </c>
      <c r="C39" s="115">
        <v>91.292000000000002</v>
      </c>
    </row>
  </sheetData>
  <mergeCells count="2">
    <mergeCell ref="D1:Q1"/>
    <mergeCell ref="R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D219-33FE-4B73-93FF-8BB9FDED9434}">
  <dimension ref="A1:AB16"/>
  <sheetViews>
    <sheetView workbookViewId="0">
      <selection activeCell="R3" sqref="R3"/>
    </sheetView>
  </sheetViews>
  <sheetFormatPr defaultRowHeight="15"/>
  <cols>
    <col min="1" max="2" width="12.28515625" bestFit="1" customWidth="1"/>
    <col min="3" max="3" width="14" bestFit="1" customWidth="1"/>
    <col min="4" max="4" width="21.85546875" bestFit="1" customWidth="1"/>
    <col min="5" max="5" width="10.85546875" bestFit="1" customWidth="1"/>
    <col min="6" max="6" width="16.85546875" bestFit="1" customWidth="1"/>
    <col min="7" max="8" width="11.42578125" bestFit="1" customWidth="1"/>
    <col min="9" max="9" width="13.140625" bestFit="1" customWidth="1"/>
    <col min="10" max="10" width="20.85546875" bestFit="1" customWidth="1"/>
    <col min="11" max="11" width="10" bestFit="1" customWidth="1"/>
    <col min="12" max="12" width="18.85546875" bestFit="1" customWidth="1"/>
    <col min="13" max="13" width="12.85546875" bestFit="1" customWidth="1"/>
    <col min="14" max="14" width="18.85546875" bestFit="1" customWidth="1"/>
    <col min="15" max="15" width="14.5703125" bestFit="1" customWidth="1"/>
    <col min="16" max="16" width="12.85546875" bestFit="1" customWidth="1"/>
    <col min="17" max="17" width="14.5703125" bestFit="1" customWidth="1"/>
    <col min="18" max="19" width="22.42578125" bestFit="1" customWidth="1"/>
    <col min="20" max="20" width="17.5703125" bestFit="1" customWidth="1"/>
    <col min="21" max="22" width="12" bestFit="1" customWidth="1"/>
    <col min="23" max="23" width="13.7109375" bestFit="1" customWidth="1"/>
    <col min="24" max="24" width="21.5703125" bestFit="1" customWidth="1"/>
    <col min="25" max="25" width="10.5703125" bestFit="1" customWidth="1"/>
    <col min="26" max="26" width="19.42578125" bestFit="1" customWidth="1"/>
  </cols>
  <sheetData>
    <row r="1" spans="1:28">
      <c r="A1" s="115" t="s">
        <v>293</v>
      </c>
      <c r="B1" s="115" t="s">
        <v>294</v>
      </c>
      <c r="C1" s="115" t="s">
        <v>313</v>
      </c>
      <c r="D1" s="115" t="s">
        <v>314</v>
      </c>
      <c r="E1" s="115" t="s">
        <v>295</v>
      </c>
      <c r="F1" s="115" t="s">
        <v>296</v>
      </c>
      <c r="G1" s="115" t="s">
        <v>297</v>
      </c>
      <c r="H1" s="115" t="s">
        <v>298</v>
      </c>
      <c r="I1" s="115" t="s">
        <v>299</v>
      </c>
      <c r="J1" s="115" t="s">
        <v>315</v>
      </c>
      <c r="K1" s="115" t="s">
        <v>316</v>
      </c>
      <c r="L1" s="115" t="s">
        <v>300</v>
      </c>
      <c r="M1" s="115" t="s">
        <v>301</v>
      </c>
      <c r="N1" s="115" t="s">
        <v>302</v>
      </c>
      <c r="O1" s="115" t="s">
        <v>303</v>
      </c>
      <c r="P1" s="115" t="s">
        <v>304</v>
      </c>
      <c r="Q1" s="115" t="s">
        <v>317</v>
      </c>
      <c r="R1" s="115" t="s">
        <v>318</v>
      </c>
      <c r="S1" s="115" t="s">
        <v>305</v>
      </c>
      <c r="T1" s="115" t="s">
        <v>306</v>
      </c>
      <c r="U1" s="115" t="s">
        <v>307</v>
      </c>
      <c r="V1" s="115" t="s">
        <v>308</v>
      </c>
      <c r="W1" s="115" t="s">
        <v>309</v>
      </c>
      <c r="X1" s="115" t="s">
        <v>319</v>
      </c>
      <c r="Y1" s="115" t="s">
        <v>320</v>
      </c>
      <c r="Z1" s="115" t="s">
        <v>310</v>
      </c>
      <c r="AA1" s="115" t="s">
        <v>311</v>
      </c>
      <c r="AB1" s="115" t="s">
        <v>312</v>
      </c>
    </row>
    <row r="2" spans="1:28">
      <c r="A2">
        <f>_xlfn.BETA.INV(0.025,Pop_size!D3,Pop_size!R3)</f>
        <v>6.857782011521563E-6</v>
      </c>
      <c r="B2" s="115">
        <v>0</v>
      </c>
      <c r="C2" s="115">
        <f>_xlfn.BETA.INV(0.025,Pop_size!F3,Pop_size!T3)</f>
        <v>1.5747690028140238E-6</v>
      </c>
      <c r="D2" s="115">
        <f>_xlfn.BETA.INV(0.025,Pop_size!G3,Pop_size!U3)</f>
        <v>1.8256664685569302E-6</v>
      </c>
      <c r="E2" s="115">
        <f>_xlfn.BETA.INV(0.025,Pop_size!H3,Pop_size!V3)</f>
        <v>1.60151993297205E-5</v>
      </c>
      <c r="F2" s="115">
        <v>0</v>
      </c>
      <c r="G2" s="115">
        <v>0</v>
      </c>
      <c r="H2" s="115">
        <f>_xlfn.BETA.INV(0.025,Pop_size!K3,Pop_size!Y3)</f>
        <v>4.6441075857629395E-6</v>
      </c>
      <c r="I2" s="115">
        <v>0</v>
      </c>
      <c r="J2" s="115">
        <f>_xlfn.BETA.INV(0.025,Pop_size!M3,Pop_size!AA3)</f>
        <v>9.7549748620582817E-7</v>
      </c>
      <c r="K2" s="115">
        <f>_xlfn.BETA.INV(0.025,Pop_size!N3,Pop_size!AB3)</f>
        <v>1.144509312808827E-6</v>
      </c>
      <c r="L2" s="115">
        <f>_xlfn.BETA.INV(0.025,Pop_size!O3,Pop_size!AC3)</f>
        <v>1.1164235165403286E-5</v>
      </c>
      <c r="M2" s="115">
        <v>0</v>
      </c>
      <c r="N2" s="115">
        <f>_xlfn.BETA.INV(0.025,Pop_size!Q3,Pop_size!AE3)</f>
        <v>1.0724520135122958E-7</v>
      </c>
      <c r="O2">
        <f>_xlfn.BETA.INV(0.975,Pop_size!D3,Pop_size!R3)</f>
        <v>1.5343174815551919E-5</v>
      </c>
      <c r="P2" s="115">
        <f>_xlfn.BETA.INV(0.975,Pop_size!E3,Pop_size!S3)</f>
        <v>6.1462722339422626E-6</v>
      </c>
      <c r="Q2" s="115">
        <f>_xlfn.BETA.INV(0.975,Pop_size!F3,Pop_size!T3)</f>
        <v>6.472825816783434E-6</v>
      </c>
      <c r="R2" s="115">
        <f>_xlfn.BETA.INV(0.975,Pop_size!G3,Pop_size!U3)</f>
        <v>6.9789457557423162E-6</v>
      </c>
      <c r="S2" s="115">
        <f>_xlfn.BETA.INV(0.975,Pop_size!H3,Pop_size!V3)</f>
        <v>2.8115986365984114E-5</v>
      </c>
      <c r="T2" s="115">
        <v>0</v>
      </c>
      <c r="U2" s="115">
        <f>_xlfn.BETA.INV(0.975,Pop_size!J3,Pop_size!X3)</f>
        <v>4.5347541772766675E-6</v>
      </c>
      <c r="V2" s="115">
        <f>_xlfn.BETA.INV(0.975,Pop_size!K3,Pop_size!Y3)</f>
        <v>1.1924173458188747E-5</v>
      </c>
      <c r="W2" s="115">
        <f>_xlfn.BETA.INV(0.975,Pop_size!L3,Pop_size!Z3)</f>
        <v>4.9164598709960927E-6</v>
      </c>
      <c r="X2" s="115">
        <f>_xlfn.BETA.INV(0.975,Pop_size!M3,Pop_size!AA3)</f>
        <v>5.1677682898487731E-6</v>
      </c>
      <c r="Y2" s="115">
        <f>_xlfn.BETA.INV(0.975,Pop_size!N3,Pop_size!AB3)</f>
        <v>5.5566810182039461E-6</v>
      </c>
      <c r="Z2" s="115">
        <f>_xlfn.BETA.INV(0.975,Pop_size!O3,Pop_size!AC3)</f>
        <v>2.1552879096997657E-5</v>
      </c>
      <c r="AA2" s="115">
        <v>0</v>
      </c>
      <c r="AB2" s="115">
        <f>_xlfn.BETA.INV(0.975,Pop_size!Q3,Pop_size!AE3)</f>
        <v>2.4670042200192199E-6</v>
      </c>
    </row>
    <row r="3" spans="1:28">
      <c r="A3" s="115">
        <f>_xlfn.BETA.INV(0.025,Pop_size!D4,Pop_size!R4)</f>
        <v>1.5604780330671744E-5</v>
      </c>
      <c r="B3" s="115">
        <f>_xlfn.BETA.INV(0.025,Pop_size!E4,Pop_size!S4)</f>
        <v>3.7236798204457702E-6</v>
      </c>
      <c r="C3" s="115">
        <f>_xlfn.BETA.INV(0.025,Pop_size!F4,Pop_size!T4)</f>
        <v>4.0827713639646296E-6</v>
      </c>
      <c r="D3" s="115">
        <f>_xlfn.BETA.INV(0.025,Pop_size!G4,Pop_size!U4)</f>
        <v>4.6535376452795315E-6</v>
      </c>
      <c r="E3" s="115">
        <f>_xlfn.BETA.INV(0.025,Pop_size!H4,Pop_size!V4)</f>
        <v>3.4852342434952401E-5</v>
      </c>
      <c r="F3" s="115">
        <v>0</v>
      </c>
      <c r="G3" s="115">
        <f>_xlfn.BETA.INV(0.025,Pop_size!J4,Pop_size!X4)</f>
        <v>2.1556553230128179E-6</v>
      </c>
      <c r="H3" s="115">
        <f>_xlfn.BETA.INV(0.025,Pop_size!K4,Pop_size!Y4)</f>
        <v>9.1371402971018296E-6</v>
      </c>
      <c r="I3" s="115">
        <f>_xlfn.BETA.INV(0.025,Pop_size!L4,Pop_size!Z4)</f>
        <v>1.9989017450125911E-6</v>
      </c>
      <c r="J3" s="115">
        <f>_xlfn.BETA.INV(0.025,Pop_size!M4,Pop_size!AA4)</f>
        <v>2.2084038939142335E-6</v>
      </c>
      <c r="K3" s="115">
        <f>_xlfn.BETA.INV(0.025,Pop_size!N4,Pop_size!AB4)</f>
        <v>2.5430561821018167E-6</v>
      </c>
      <c r="L3" s="115">
        <f>_xlfn.BETA.INV(0.025,Pop_size!O4,Pop_size!AC4)</f>
        <v>2.0975034417336946E-5</v>
      </c>
      <c r="M3" s="115">
        <v>0</v>
      </c>
      <c r="N3" s="115">
        <f>_xlfn.BETA.INV(0.025,Pop_size!Q4,Pop_size!AE4)</f>
        <v>1.2651310848531185E-6</v>
      </c>
      <c r="O3" s="115">
        <f>_xlfn.BETA.INV(0.975,Pop_size!D4,Pop_size!R4)</f>
        <v>2.783124707195217E-5</v>
      </c>
      <c r="P3" s="115">
        <f>_xlfn.BETA.INV(0.975,Pop_size!E4,Pop_size!S4)</f>
        <v>1.0560842907070267E-5</v>
      </c>
      <c r="Q3" s="115">
        <f>_xlfn.BETA.INV(0.975,Pop_size!F4,Pop_size!T4)</f>
        <v>1.1163360173815917E-5</v>
      </c>
      <c r="R3" s="115">
        <f>_xlfn.BETA.INV(0.975,Pop_size!G4,Pop_size!U4)</f>
        <v>1.2099669740806007E-5</v>
      </c>
      <c r="S3" s="115">
        <f>_xlfn.BETA.INV(0.975,Pop_size!H4,Pop_size!V4)</f>
        <v>5.2272979429779376E-5</v>
      </c>
      <c r="T3" s="115">
        <v>0</v>
      </c>
      <c r="U3" s="115">
        <f>_xlfn.BETA.INV(0.975,Pop_size!J4,Pop_size!X4)</f>
        <v>7.6800543412636202E-6</v>
      </c>
      <c r="V3" s="115">
        <f>_xlfn.BETA.INV(0.975,Pop_size!K4,Pop_size!Y4)</f>
        <v>1.8777249373158611E-5</v>
      </c>
      <c r="W3" s="115">
        <f>_xlfn.BETA.INV(0.975,Pop_size!L4,Pop_size!Z4)</f>
        <v>7.3782331411198498E-6</v>
      </c>
      <c r="X3" s="115">
        <f>_xlfn.BETA.INV(0.975,Pop_size!M4,Pop_size!AA4)</f>
        <v>7.7803951248345271E-6</v>
      </c>
      <c r="Y3" s="115">
        <f>_xlfn.BETA.INV(0.975,Pop_size!N4,Pop_size!AB4)</f>
        <v>8.4043009657142065E-6</v>
      </c>
      <c r="Z3" s="115">
        <f>_xlfn.BETA.INV(0.975,Pop_size!O4,Pop_size!AC4)</f>
        <v>3.4717631985037301E-5</v>
      </c>
      <c r="AA3" s="115">
        <v>0</v>
      </c>
      <c r="AB3" s="115">
        <f>_xlfn.BETA.INV(0.975,Pop_size!Q4,Pop_size!AE4)</f>
        <v>5.8705675812786851E-6</v>
      </c>
    </row>
    <row r="4" spans="1:28">
      <c r="A4" s="115">
        <f>_xlfn.BETA.INV(0.025,Pop_size!D5,Pop_size!R5)</f>
        <v>4.0559005026077769E-5</v>
      </c>
      <c r="B4" s="115">
        <f>_xlfn.BETA.INV(0.025,Pop_size!E5,Pop_size!S5)</f>
        <v>1.0728084548084833E-5</v>
      </c>
      <c r="C4" s="115">
        <f>_xlfn.BETA.INV(0.025,Pop_size!F5,Pop_size!T5)</f>
        <v>1.1660243453811847E-5</v>
      </c>
      <c r="D4" s="115">
        <f>_xlfn.BETA.INV(0.025,Pop_size!G5,Pop_size!U5)</f>
        <v>1.3133775688544122E-5</v>
      </c>
      <c r="E4" s="115">
        <f>_xlfn.BETA.INV(0.025,Pop_size!H5,Pop_size!V5)</f>
        <v>8.7544989970779317E-5</v>
      </c>
      <c r="F4" s="115">
        <v>0</v>
      </c>
      <c r="G4" s="115">
        <f>_xlfn.BETA.INV(0.025,Pop_size!J5,Pop_size!X5)</f>
        <v>7.0795137693682417E-6</v>
      </c>
      <c r="H4" s="115">
        <f>_xlfn.BETA.INV(0.025,Pop_size!K5,Pop_size!Y5)</f>
        <v>1.8160914575482911E-5</v>
      </c>
      <c r="I4" s="115">
        <f>_xlfn.BETA.INV(0.025,Pop_size!L5,Pop_size!Z5)</f>
        <v>4.3927513178317457E-6</v>
      </c>
      <c r="J4" s="115">
        <f>_xlfn.BETA.INV(0.025,Pop_size!M5,Pop_size!AA5)</f>
        <v>4.8107423648784294E-6</v>
      </c>
      <c r="K4" s="115">
        <f>_xlfn.BETA.INV(0.025,Pop_size!N5,Pop_size!AB5)</f>
        <v>5.4746328443829717E-6</v>
      </c>
      <c r="L4" s="115">
        <f>_xlfn.BETA.INV(0.025,Pop_size!O5,Pop_size!AC5)</f>
        <v>4.0383754004324007E-5</v>
      </c>
      <c r="M4" s="115">
        <v>0</v>
      </c>
      <c r="N4" s="115">
        <f>_xlfn.BETA.INV(0.025,Pop_size!Q5,Pop_size!AE5)</f>
        <v>1.3665476368366169E-6</v>
      </c>
      <c r="O4" s="115">
        <f>_xlfn.BETA.INV(0.975,Pop_size!D5,Pop_size!R5)</f>
        <v>5.9944427807101519E-5</v>
      </c>
      <c r="P4" s="115">
        <f>_xlfn.BETA.INV(0.975,Pop_size!E5,Pop_size!S5)</f>
        <v>2.159233069753963E-5</v>
      </c>
      <c r="Q4" s="115">
        <f>_xlfn.BETA.INV(0.975,Pop_size!F5,Pop_size!T5)</f>
        <v>2.2908925549458559E-5</v>
      </c>
      <c r="R4" s="115">
        <f>_xlfn.BETA.INV(0.975,Pop_size!G5,Pop_size!U5)</f>
        <v>2.4959878223596021E-5</v>
      </c>
      <c r="S4" s="115">
        <f>_xlfn.BETA.INV(0.975,Pop_size!H5,Pop_size!V5)</f>
        <v>1.1515130288453079E-4</v>
      </c>
      <c r="T4" s="115">
        <v>0</v>
      </c>
      <c r="U4" s="115">
        <f>_xlfn.BETA.INV(0.975,Pop_size!J5,Pop_size!X5)</f>
        <v>1.6173169198108184E-5</v>
      </c>
      <c r="V4" s="115">
        <f>_xlfn.BETA.INV(0.975,Pop_size!K5,Pop_size!Y5)</f>
        <v>3.1641488780875804E-5</v>
      </c>
      <c r="W4" s="115">
        <f>_xlfn.BETA.INV(0.975,Pop_size!L5,Pop_size!Z5)</f>
        <v>1.1933591107293751E-5</v>
      </c>
      <c r="X4" s="115">
        <f>_xlfn.BETA.INV(0.975,Pop_size!M5,Pop_size!AA5)</f>
        <v>1.2619825873638746E-5</v>
      </c>
      <c r="Y4" s="115">
        <f>_xlfn.BETA.INV(0.975,Pop_size!N5,Pop_size!AB5)</f>
        <v>1.368654015132531E-5</v>
      </c>
      <c r="Z4" s="115">
        <f>_xlfn.BETA.INV(0.975,Pop_size!O5,Pop_size!AC5)</f>
        <v>5.9589821088890105E-5</v>
      </c>
      <c r="AA4" s="115">
        <v>0</v>
      </c>
      <c r="AB4" s="115">
        <f>_xlfn.BETA.INV(0.975,Pop_size!Q5,Pop_size!AE5)</f>
        <v>6.3411680183422803E-6</v>
      </c>
    </row>
    <row r="5" spans="1:28">
      <c r="A5" s="115">
        <f>_xlfn.BETA.INV(0.025,Pop_size!D6,Pop_size!R6)</f>
        <v>8.0119515774086685E-5</v>
      </c>
      <c r="B5" s="115">
        <f>_xlfn.BETA.INV(0.025,Pop_size!E6,Pop_size!S6)</f>
        <v>2.2386139401088273E-5</v>
      </c>
      <c r="C5" s="115">
        <f>_xlfn.BETA.INV(0.025,Pop_size!F6,Pop_size!T6)</f>
        <v>2.4221440958187899E-5</v>
      </c>
      <c r="D5" s="115">
        <f>_xlfn.BETA.INV(0.025,Pop_size!G6,Pop_size!U6)</f>
        <v>2.7114623138306561E-5</v>
      </c>
      <c r="E5" s="115">
        <f>_xlfn.BETA.INV(0.025,Pop_size!H6,Pop_size!V6)</f>
        <v>1.6968076147066681E-4</v>
      </c>
      <c r="F5" s="115">
        <v>0</v>
      </c>
      <c r="G5" s="115">
        <f>_xlfn.BETA.INV(0.025,Pop_size!J6,Pop_size!X6)</f>
        <v>2.5059419440935043E-5</v>
      </c>
      <c r="H5" s="115">
        <f>_xlfn.BETA.INV(0.025,Pop_size!K6,Pop_size!Y6)</f>
        <v>3.2956661595582207E-5</v>
      </c>
      <c r="I5" s="115">
        <f>_xlfn.BETA.INV(0.025,Pop_size!L6,Pop_size!Z6)</f>
        <v>8.6041015866166611E-6</v>
      </c>
      <c r="J5" s="115">
        <f>_xlfn.BETA.INV(0.025,Pop_size!M6,Pop_size!AA6)</f>
        <v>9.3619234936991288E-6</v>
      </c>
      <c r="K5" s="115">
        <f>_xlfn.BETA.INV(0.025,Pop_size!N6,Pop_size!AB6)</f>
        <v>1.0560676488825468E-5</v>
      </c>
      <c r="L5" s="115">
        <f>_xlfn.BETA.INV(0.025,Pop_size!O6,Pop_size!AC6)</f>
        <v>7.1452062857000332E-5</v>
      </c>
      <c r="M5" s="115">
        <v>0</v>
      </c>
      <c r="N5" s="115">
        <f>_xlfn.BETA.INV(0.025,Pop_size!Q6,Pop_size!AE6)</f>
        <v>7.4297121712558518E-6</v>
      </c>
      <c r="O5" s="115">
        <f>_xlfn.BETA.INV(0.975,Pop_size!D6,Pop_size!R6)</f>
        <v>1.0597500276920968E-4</v>
      </c>
      <c r="P5" s="115">
        <f>_xlfn.BETA.INV(0.975,Pop_size!E6,Pop_size!S6)</f>
        <v>3.6889785198890301E-5</v>
      </c>
      <c r="Q5" s="115">
        <f>_xlfn.BETA.INV(0.975,Pop_size!F6,Pop_size!T6)</f>
        <v>3.9236974503253919E-5</v>
      </c>
      <c r="R5" s="115">
        <f>_xlfn.BETA.INV(0.975,Pop_size!G6,Pop_size!U6)</f>
        <v>4.2899083246061842E-5</v>
      </c>
      <c r="S5" s="115">
        <f>_xlfn.BETA.INV(0.975,Pop_size!H6,Pop_size!V6)</f>
        <v>2.0649229261804347E-4</v>
      </c>
      <c r="T5" s="115">
        <v>0</v>
      </c>
      <c r="U5" s="115">
        <f>_xlfn.BETA.INV(0.975,Pop_size!J6,Pop_size!X6)</f>
        <v>4.0101392279390247E-5</v>
      </c>
      <c r="V5" s="115">
        <f>_xlfn.BETA.INV(0.975,Pop_size!K6,Pop_size!Y6)</f>
        <v>4.9953045137107743E-5</v>
      </c>
      <c r="W5" s="115">
        <f>_xlfn.BETA.INV(0.975,Pop_size!L6,Pop_size!Z6)</f>
        <v>1.8127075835705497E-5</v>
      </c>
      <c r="X5" s="115">
        <f>_xlfn.BETA.INV(0.975,Pop_size!M6,Pop_size!AA6)</f>
        <v>1.9222108514682645E-5</v>
      </c>
      <c r="Y5" s="115">
        <f>_xlfn.BETA.INV(0.975,Pop_size!N6,Pop_size!AB6)</f>
        <v>2.0927336972231814E-5</v>
      </c>
      <c r="Z5" s="115">
        <f>_xlfn.BETA.INV(0.975,Pop_size!O6,Pop_size!AC6)</f>
        <v>9.5657714262675775E-5</v>
      </c>
      <c r="AA5" s="115">
        <v>0</v>
      </c>
      <c r="AB5" s="115">
        <f>_xlfn.BETA.INV(0.975,Pop_size!Q6,Pop_size!AE6)</f>
        <v>1.6399021834145877E-5</v>
      </c>
    </row>
    <row r="6" spans="1:28">
      <c r="A6" s="115">
        <f>_xlfn.BETA.INV(0.025,Pop_size!D7,Pop_size!R7)</f>
        <v>1.1888369825664816E-4</v>
      </c>
      <c r="B6" s="115">
        <f>_xlfn.BETA.INV(0.025,Pop_size!E7,Pop_size!S7)</f>
        <v>3.4069290054846659E-5</v>
      </c>
      <c r="C6" s="115">
        <f>_xlfn.BETA.INV(0.025,Pop_size!F7,Pop_size!T7)</f>
        <v>3.6786642010692347E-5</v>
      </c>
      <c r="D6" s="115">
        <f>_xlfn.BETA.INV(0.025,Pop_size!G7,Pop_size!U7)</f>
        <v>4.1064962695008961E-5</v>
      </c>
      <c r="E6" s="115">
        <f>_xlfn.BETA.INV(0.025,Pop_size!H7,Pop_size!V7)</f>
        <v>2.4952412000104745E-4</v>
      </c>
      <c r="F6" s="115">
        <v>0</v>
      </c>
      <c r="G6" s="115">
        <f>_xlfn.BETA.INV(0.025,Pop_size!J7,Pop_size!X7)</f>
        <v>4.3183679698934644E-5</v>
      </c>
      <c r="H6" s="115">
        <f>_xlfn.BETA.INV(0.025,Pop_size!K7,Pop_size!Y7)</f>
        <v>5.3543201132861348E-5</v>
      </c>
      <c r="I6" s="115">
        <f>_xlfn.BETA.INV(0.025,Pop_size!L7,Pop_size!Z7)</f>
        <v>1.4657269550806785E-5</v>
      </c>
      <c r="J6" s="115">
        <f>_xlfn.BETA.INV(0.025,Pop_size!M7,Pop_size!AA7)</f>
        <v>1.5885573216989267E-5</v>
      </c>
      <c r="K6" s="115">
        <f>_xlfn.BETA.INV(0.025,Pop_size!N7,Pop_size!AB7)</f>
        <v>1.7823858683406432E-5</v>
      </c>
      <c r="L6" s="115">
        <f>_xlfn.BETA.INV(0.025,Pop_size!O7,Pop_size!AC7)</f>
        <v>1.1421183556544787E-4</v>
      </c>
      <c r="M6" s="115">
        <v>0</v>
      </c>
      <c r="N6" s="115">
        <f>_xlfn.BETA.INV(0.025,Pop_size!Q7,Pop_size!AE7)</f>
        <v>1.3264197329313965E-5</v>
      </c>
      <c r="O6" s="115">
        <f>_xlfn.BETA.INV(0.975,Pop_size!D7,Pop_size!R7)</f>
        <v>1.4893390445958055E-4</v>
      </c>
      <c r="P6" s="115">
        <f>_xlfn.BETA.INV(0.975,Pop_size!E7,Pop_size!S7)</f>
        <v>5.0931883226579266E-5</v>
      </c>
      <c r="Q6" s="115">
        <f>_xlfn.BETA.INV(0.975,Pop_size!F7,Pop_size!T7)</f>
        <v>5.4243798109143704E-5</v>
      </c>
      <c r="R6" s="115">
        <f>_xlfn.BETA.INV(0.975,Pop_size!G7,Pop_size!U7)</f>
        <v>5.9415266835172176E-5</v>
      </c>
      <c r="S6" s="115">
        <f>_xlfn.BETA.INV(0.975,Pop_size!H7,Pop_size!V7)</f>
        <v>2.92303575030739E-4</v>
      </c>
      <c r="T6" s="115">
        <v>0</v>
      </c>
      <c r="U6" s="115">
        <f>_xlfn.BETA.INV(0.975,Pop_size!J7,Pop_size!X7)</f>
        <v>6.1624680291028078E-5</v>
      </c>
      <c r="V6" s="115">
        <f>_xlfn.BETA.INV(0.975,Pop_size!K7,Pop_size!Y7)</f>
        <v>7.3894265774754331E-5</v>
      </c>
      <c r="W6" s="115">
        <f>_xlfn.BETA.INV(0.975,Pop_size!L7,Pop_size!Z7)</f>
        <v>2.6069524642791109E-5</v>
      </c>
      <c r="X6" s="115">
        <f>_xlfn.BETA.INV(0.975,Pop_size!M7,Pop_size!AA7)</f>
        <v>2.7700972469624219E-5</v>
      </c>
      <c r="Y6" s="115">
        <f>_xlfn.BETA.INV(0.975,Pop_size!N7,Pop_size!AB7)</f>
        <v>3.0244816488944615E-5</v>
      </c>
      <c r="Z6" s="115">
        <f>_xlfn.BETA.INV(0.975,Pop_size!O7,Pop_size!AC7)</f>
        <v>1.4318905063104292E-4</v>
      </c>
      <c r="AA6" s="115">
        <v>0</v>
      </c>
      <c r="AB6" s="115">
        <f>_xlfn.BETA.INV(0.975,Pop_size!Q7,Pop_size!AE7)</f>
        <v>2.419809909592896E-5</v>
      </c>
    </row>
    <row r="7" spans="1:28">
      <c r="A7" s="115">
        <f>_xlfn.BETA.INV(0.025,Pop_size!D8,Pop_size!R8)</f>
        <v>1.5357103567097472E-4</v>
      </c>
      <c r="B7" s="115">
        <f>_xlfn.BETA.INV(0.025,Pop_size!E8,Pop_size!S8)</f>
        <v>4.4481538641966821E-5</v>
      </c>
      <c r="C7" s="115">
        <f>_xlfn.BETA.INV(0.025,Pop_size!F8,Pop_size!T8)</f>
        <v>4.79880879984298E-5</v>
      </c>
      <c r="D7" s="115">
        <f>_xlfn.BETA.INV(0.025,Pop_size!G8,Pop_size!U8)</f>
        <v>5.3506094723006557E-5</v>
      </c>
      <c r="E7" s="115">
        <f>_xlfn.BETA.INV(0.025,Pop_size!H8,Pop_size!V8)</f>
        <v>3.2109835205341552E-4</v>
      </c>
      <c r="F7" s="115">
        <v>0</v>
      </c>
      <c r="G7" s="115">
        <f>_xlfn.BETA.INV(0.025,Pop_size!J8,Pop_size!X8)</f>
        <v>7.1459137875760608E-5</v>
      </c>
      <c r="H7" s="115">
        <f>_xlfn.BETA.INV(0.025,Pop_size!K8,Pop_size!Y8)</f>
        <v>7.3458088214728437E-5</v>
      </c>
      <c r="I7" s="115">
        <f>_xlfn.BETA.INV(0.025,Pop_size!L8,Pop_size!Z8)</f>
        <v>2.0511066157527052E-5</v>
      </c>
      <c r="J7" s="115">
        <f>_xlfn.BETA.INV(0.025,Pop_size!M8,Pop_size!AA8)</f>
        <v>2.219386198607529E-5</v>
      </c>
      <c r="K7" s="115">
        <f>_xlfn.BETA.INV(0.025,Pop_size!N8,Pop_size!AB8)</f>
        <v>2.4846721558363893E-5</v>
      </c>
      <c r="L7" s="115">
        <f>_xlfn.BETA.INV(0.025,Pop_size!O8,Pop_size!AC8)</f>
        <v>1.5560973680646875E-4</v>
      </c>
      <c r="M7" s="115">
        <v>0</v>
      </c>
      <c r="N7" s="115">
        <f>_xlfn.BETA.INV(0.025,Pop_size!Q8,Pop_size!AE8)</f>
        <v>2.6100031340567688E-5</v>
      </c>
      <c r="O7" s="115">
        <f>_xlfn.BETA.INV(0.975,Pop_size!D8,Pop_size!R8)</f>
        <v>1.8792099898201631E-4</v>
      </c>
      <c r="P7" s="115">
        <f>_xlfn.BETA.INV(0.975,Pop_size!E8,Pop_size!S8)</f>
        <v>6.3759555780862343E-5</v>
      </c>
      <c r="Q7" s="115">
        <f>_xlfn.BETA.INV(0.975,Pop_size!F8,Pop_size!T8)</f>
        <v>6.7945585419670884E-5</v>
      </c>
      <c r="R7" s="115">
        <f>_xlfn.BETA.INV(0.975,Pop_size!G8,Pop_size!U8)</f>
        <v>7.4484314920741923E-5</v>
      </c>
      <c r="S7" s="115">
        <f>_xlfn.BETA.INV(0.975,Pop_size!H8,Pop_size!V8)</f>
        <v>3.6999660056524775E-4</v>
      </c>
      <c r="T7" s="115">
        <v>0</v>
      </c>
      <c r="U7" s="115">
        <f>_xlfn.BETA.INV(0.975,Pop_size!J8,Pop_size!X8)</f>
        <v>9.4998718767058676E-5</v>
      </c>
      <c r="V7" s="115">
        <f>_xlfn.BETA.INV(0.975,Pop_size!K8,Pop_size!Y8)</f>
        <v>9.7301652101977609E-5</v>
      </c>
      <c r="W7" s="115">
        <f>_xlfn.BETA.INV(0.975,Pop_size!L8,Pop_size!Z8)</f>
        <v>3.3885957720580784E-5</v>
      </c>
      <c r="X7" s="115">
        <f>_xlfn.BETA.INV(0.975,Pop_size!M8,Pop_size!AA8)</f>
        <v>3.6040817659066526E-5</v>
      </c>
      <c r="Y7" s="115">
        <f>_xlfn.BETA.INV(0.975,Pop_size!N8,Pop_size!AB8)</f>
        <v>3.9402782626707378E-5</v>
      </c>
      <c r="Z7" s="115">
        <f>_xlfn.BETA.INV(0.975,Pop_size!O8,Pop_size!AC8)</f>
        <v>1.8955701986123064E-4</v>
      </c>
      <c r="AA7" s="115">
        <v>0</v>
      </c>
      <c r="AB7" s="115">
        <f>_xlfn.BETA.INV(0.975,Pop_size!Q8,Pop_size!AE8)</f>
        <v>4.0977860525148735E-5</v>
      </c>
    </row>
    <row r="8" spans="1:28">
      <c r="A8" s="115">
        <f>_xlfn.BETA.INV(0.025,Pop_size!D9,Pop_size!R9)</f>
        <v>2.2578971983875688E-4</v>
      </c>
      <c r="B8" s="115">
        <f>_xlfn.BETA.INV(0.025,Pop_size!E9,Pop_size!S9)</f>
        <v>6.6002720574256509E-5</v>
      </c>
      <c r="C8" s="115">
        <f>_xlfn.BETA.INV(0.025,Pop_size!F9,Pop_size!T9)</f>
        <v>7.1153324525078605E-5</v>
      </c>
      <c r="D8" s="115">
        <f>_xlfn.BETA.INV(0.025,Pop_size!G9,Pop_size!U9)</f>
        <v>7.925486566099449E-5</v>
      </c>
      <c r="E8" s="115">
        <f>_xlfn.BETA.INV(0.025,Pop_size!H9,Pop_size!V9)</f>
        <v>4.7053646672656996E-4</v>
      </c>
      <c r="F8" s="115">
        <v>0</v>
      </c>
      <c r="G8" s="115">
        <f>_xlfn.BETA.INV(0.025,Pop_size!J9,Pop_size!X9)</f>
        <v>1.2088369314483608E-4</v>
      </c>
      <c r="H8" s="115">
        <f>_xlfn.BETA.INV(0.025,Pop_size!K9,Pop_size!Y9)</f>
        <v>1.0579957852175601E-4</v>
      </c>
      <c r="I8" s="115">
        <f>_xlfn.BETA.INV(0.025,Pop_size!L9,Pop_size!Z9)</f>
        <v>2.9911647502986377E-5</v>
      </c>
      <c r="J8" s="115">
        <f>_xlfn.BETA.INV(0.025,Pop_size!M9,Pop_size!AA9)</f>
        <v>3.2332877013331554E-5</v>
      </c>
      <c r="K8" s="115">
        <f>_xlfn.BETA.INV(0.025,Pop_size!N9,Pop_size!AB9)</f>
        <v>3.6147500738041063E-5</v>
      </c>
      <c r="L8" s="115">
        <f>_xlfn.BETA.INV(0.025,Pop_size!O9,Pop_size!AC9)</f>
        <v>2.2313631318933265E-4</v>
      </c>
      <c r="M8" s="115">
        <v>0</v>
      </c>
      <c r="N8" s="115">
        <f>_xlfn.BETA.INV(0.025,Pop_size!Q9,Pop_size!AE9)</f>
        <v>4.8723605690295093E-5</v>
      </c>
      <c r="O8" s="115">
        <f>_xlfn.BETA.INV(0.975,Pop_size!D9,Pop_size!R9)</f>
        <v>2.7067149856219164E-4</v>
      </c>
      <c r="P8" s="115">
        <f>_xlfn.BETA.INV(0.975,Pop_size!E9,Pop_size!S9)</f>
        <v>9.1194557900964313E-5</v>
      </c>
      <c r="Q8" s="115">
        <f>_xlfn.BETA.INV(0.975,Pop_size!F9,Pop_size!T9)</f>
        <v>9.7232813152103859E-5</v>
      </c>
      <c r="R8" s="115">
        <f>_xlfn.BETA.INV(0.975,Pop_size!G9,Pop_size!U9)</f>
        <v>1.066678039535196E-4</v>
      </c>
      <c r="S8" s="115">
        <f>_xlfn.BETA.INV(0.975,Pop_size!H9,Pop_size!V9)</f>
        <v>5.3442309473705762E-4</v>
      </c>
      <c r="T8" s="115">
        <v>0</v>
      </c>
      <c r="U8" s="115">
        <f>_xlfn.BETA.INV(0.975,Pop_size!J9,Pop_size!X9)</f>
        <v>1.5355105332481855E-4</v>
      </c>
      <c r="V8" s="115">
        <f>_xlfn.BETA.INV(0.975,Pop_size!K9,Pop_size!Y9)</f>
        <v>1.3648564189183698E-4</v>
      </c>
      <c r="W8" s="115">
        <f>_xlfn.BETA.INV(0.975,Pop_size!L9,Pop_size!Z9)</f>
        <v>4.7127995252749244E-5</v>
      </c>
      <c r="X8" s="115">
        <f>_xlfn.BETA.INV(0.975,Pop_size!M9,Pop_size!AA9)</f>
        <v>5.0156563764169881E-5</v>
      </c>
      <c r="Y8" s="115">
        <f>_xlfn.BETA.INV(0.975,Pop_size!N9,Pop_size!AB9)</f>
        <v>5.4883510568481952E-5</v>
      </c>
      <c r="Z8" s="115">
        <f>_xlfn.BETA.INV(0.975,Pop_size!O9,Pop_size!AC9)</f>
        <v>2.6682303021463571E-4</v>
      </c>
      <c r="AA8" s="115">
        <v>0</v>
      </c>
      <c r="AB8" s="115">
        <f>_xlfn.BETA.INV(0.975,Pop_size!Q9,Pop_size!AE9)</f>
        <v>7.0167186896563649E-5</v>
      </c>
    </row>
    <row r="9" spans="1:28">
      <c r="A9" s="115">
        <f>_xlfn.BETA.INV(0.025,Pop_size!D10,Pop_size!R10)</f>
        <v>3.515887958358909E-4</v>
      </c>
      <c r="B9" s="115">
        <f>_xlfn.BETA.INV(0.025,Pop_size!E10,Pop_size!S10)</f>
        <v>9.1078749296503097E-5</v>
      </c>
      <c r="C9" s="115">
        <f>_xlfn.BETA.INV(0.025,Pop_size!F10,Pop_size!T10)</f>
        <v>1.182032477437258E-4</v>
      </c>
      <c r="D9" s="115">
        <f>_xlfn.BETA.INV(0.025,Pop_size!G10,Pop_size!U10)</f>
        <v>1.3148623869533056E-4</v>
      </c>
      <c r="E9" s="160">
        <f>_xlfn.BETA.INV(0.025,Pop_size!H10,Pop_size!V10)</f>
        <v>7.3044189308433367E-4</v>
      </c>
      <c r="F9" s="115">
        <v>0</v>
      </c>
      <c r="G9" s="115">
        <f>_xlfn.BETA.INV(0.025,Pop_size!J10,Pop_size!X10)</f>
        <v>1.8047583902784715E-4</v>
      </c>
      <c r="H9" s="115">
        <f>_xlfn.BETA.INV(0.025,Pop_size!K10,Pop_size!Y10)</f>
        <v>1.6708877321039328E-4</v>
      </c>
      <c r="I9" s="115">
        <f>_xlfn.BETA.INV(0.025,Pop_size!L10,Pop_size!Z10)</f>
        <v>4.1964005467776148E-5</v>
      </c>
      <c r="J9" s="115">
        <f>_xlfn.BETA.INV(0.025,Pop_size!M10,Pop_size!AA10)</f>
        <v>5.488480088407111E-5</v>
      </c>
      <c r="K9" s="115">
        <f>_xlfn.BETA.INV(0.025,Pop_size!N10,Pop_size!AB10)</f>
        <v>6.1228435659883308E-5</v>
      </c>
      <c r="L9" s="115">
        <f>_xlfn.BETA.INV(0.025,Pop_size!O10,Pop_size!AC10)</f>
        <v>3.505351340248128E-4</v>
      </c>
      <c r="M9" s="115">
        <v>0</v>
      </c>
      <c r="N9" s="115">
        <f>_xlfn.BETA.INV(0.025,Pop_size!Q10,Pop_size!AE10)</f>
        <v>8.8816649775338581E-5</v>
      </c>
      <c r="O9" s="115">
        <f>_xlfn.BETA.INV(0.975,Pop_size!D10,Pop_size!R10)</f>
        <v>4.1160309701770981E-4</v>
      </c>
      <c r="P9" s="115">
        <f>_xlfn.BETA.INV(0.975,Pop_size!E10,Pop_size!S10)</f>
        <v>1.2277771451774111E-4</v>
      </c>
      <c r="Q9" s="115">
        <f>_xlfn.BETA.INV(0.975,Pop_size!F10,Pop_size!T10)</f>
        <v>1.5398966229374089E-4</v>
      </c>
      <c r="R9" s="115">
        <f>_xlfn.BETA.INV(0.975,Pop_size!G10,Pop_size!U10)</f>
        <v>1.6910176131990085E-4</v>
      </c>
      <c r="S9" s="115">
        <f>_xlfn.BETA.INV(0.975,Pop_size!H10,Pop_size!V10)</f>
        <v>8.1589022368533382E-4</v>
      </c>
      <c r="T9" s="115">
        <v>0</v>
      </c>
      <c r="U9" s="115">
        <f>_xlfn.BETA.INV(0.975,Pop_size!J10,Pop_size!X10)</f>
        <v>2.2270641042620998E-4</v>
      </c>
      <c r="V9" s="115">
        <f>_xlfn.BETA.INV(0.975,Pop_size!K10,Pop_size!Y10)</f>
        <v>2.0780629464922651E-4</v>
      </c>
      <c r="W9" s="115">
        <f>_xlfn.BETA.INV(0.975,Pop_size!L10,Pop_size!Z10)</f>
        <v>6.34619318392593E-5</v>
      </c>
      <c r="X9" s="115">
        <f>_xlfn.BETA.INV(0.975,Pop_size!M10,Pop_size!AA10)</f>
        <v>7.9157386764450166E-5</v>
      </c>
      <c r="Y9" s="115">
        <f>_xlfn.BETA.INV(0.975,Pop_size!N10,Pop_size!AB10)</f>
        <v>8.6742606445588955E-5</v>
      </c>
      <c r="Z9" s="115">
        <f>_xlfn.BETA.INV(0.975,Pop_size!O10,Pop_size!AC10)</f>
        <v>4.0851830723831473E-4</v>
      </c>
      <c r="AA9" s="115">
        <v>0</v>
      </c>
      <c r="AB9" s="115">
        <f>_xlfn.BETA.INV(0.975,Pop_size!Q10,Pop_size!AE10)</f>
        <v>1.1909845878410596E-4</v>
      </c>
    </row>
    <row r="10" spans="1:28">
      <c r="A10" s="115">
        <f>_xlfn.BETA.INV(0.025,Pop_size!D11,Pop_size!R11)</f>
        <v>3.8021201443616152E-4</v>
      </c>
      <c r="B10" s="115">
        <f>_xlfn.BETA.INV(0.025,Pop_size!E11,Pop_size!S11)</f>
        <v>9.8741513408572528E-5</v>
      </c>
      <c r="C10" s="115">
        <f>_xlfn.BETA.INV(0.025,Pop_size!F11,Pop_size!T11)</f>
        <v>1.2806803136558933E-4</v>
      </c>
      <c r="D10" s="115">
        <f>_xlfn.BETA.INV(0.025,Pop_size!G11,Pop_size!U11)</f>
        <v>1.424263909717364E-4</v>
      </c>
      <c r="E10" s="160">
        <f>_xlfn.BETA.INV(0.025,Pop_size!H11,Pop_size!V11)</f>
        <v>7.8927677930684388E-4</v>
      </c>
      <c r="F10" s="115">
        <v>0</v>
      </c>
      <c r="G10" s="115">
        <f>_xlfn.BETA.INV(0.025,Pop_size!J11,Pop_size!X11)</f>
        <v>2.3896858078669144E-4</v>
      </c>
      <c r="H10" s="115">
        <f>_xlfn.BETA.INV(0.025,Pop_size!K11,Pop_size!Y11)</f>
        <v>1.8268067386740619E-4</v>
      </c>
      <c r="I10" s="115">
        <f>_xlfn.BETA.INV(0.025,Pop_size!L11,Pop_size!Z11)</f>
        <v>4.6132082549493565E-5</v>
      </c>
      <c r="J10" s="115">
        <f>_xlfn.BETA.INV(0.025,Pop_size!M11,Pop_size!AA11)</f>
        <v>6.0253254440542455E-5</v>
      </c>
      <c r="K10" s="115">
        <f>_xlfn.BETA.INV(0.025,Pop_size!N11,Pop_size!AB11)</f>
        <v>6.7183063338931766E-5</v>
      </c>
      <c r="L10" s="115">
        <f>_xlfn.BETA.INV(0.025,Pop_size!O11,Pop_size!AC11)</f>
        <v>3.8258977817494784E-4</v>
      </c>
      <c r="M10" s="115">
        <v>0</v>
      </c>
      <c r="N10" s="115">
        <f>_xlfn.BETA.INV(0.025,Pop_size!Q11,Pop_size!AE11)</f>
        <v>1.2305846465317797E-4</v>
      </c>
      <c r="O10" s="115">
        <f>_xlfn.BETA.INV(0.975,Pop_size!D11,Pop_size!R11)</f>
        <v>4.4287909643947465E-4</v>
      </c>
      <c r="P10" s="115">
        <f>_xlfn.BETA.INV(0.975,Pop_size!E11,Pop_size!S11)</f>
        <v>1.3184276742983503E-4</v>
      </c>
      <c r="Q10" s="115">
        <f>_xlfn.BETA.INV(0.975,Pop_size!F11,Pop_size!T11)</f>
        <v>1.6543725569773127E-4</v>
      </c>
      <c r="R10" s="115">
        <f>_xlfn.BETA.INV(0.975,Pop_size!G11,Pop_size!U11)</f>
        <v>1.8170550882512515E-4</v>
      </c>
      <c r="S10" s="115">
        <f>_xlfn.BETA.INV(0.975,Pop_size!H11,Pop_size!V11)</f>
        <v>8.7850036149528243E-4</v>
      </c>
      <c r="T10" s="115">
        <v>0</v>
      </c>
      <c r="U10" s="115">
        <f>_xlfn.BETA.INV(0.975,Pop_size!J11,Pop_size!X11)</f>
        <v>2.8685437428788152E-4</v>
      </c>
      <c r="V10" s="115">
        <f>_xlfn.BETA.INV(0.975,Pop_size!K11,Pop_size!Y11)</f>
        <v>2.2482232998444207E-4</v>
      </c>
      <c r="W10" s="115">
        <f>_xlfn.BETA.INV(0.975,Pop_size!L11,Pop_size!Z11)</f>
        <v>6.8383508104008506E-5</v>
      </c>
      <c r="X10" s="115">
        <f>_xlfn.BETA.INV(0.975,Pop_size!M11,Pop_size!AA11)</f>
        <v>8.5376084687838194E-5</v>
      </c>
      <c r="Y10" s="115">
        <f>_xlfn.BETA.INV(0.975,Pop_size!N11,Pop_size!AB11)</f>
        <v>9.3590783484698292E-5</v>
      </c>
      <c r="Z10" s="115">
        <f>_xlfn.BETA.INV(0.975,Pop_size!O11,Pop_size!AC11)</f>
        <v>4.4259969196680515E-4</v>
      </c>
      <c r="AA10" s="115">
        <v>0</v>
      </c>
      <c r="AB10" s="115">
        <f>_xlfn.BETA.INV(0.975,Pop_size!Q11,Pop_size!AE11)</f>
        <v>1.5803511275336302E-4</v>
      </c>
    </row>
    <row r="11" spans="1:28">
      <c r="A11" s="115">
        <f>_xlfn.BETA.INV(0.025,Pop_size!D12,Pop_size!R12)</f>
        <v>4.5169303770828476E-4</v>
      </c>
      <c r="B11" s="115">
        <f>_xlfn.BETA.INV(0.025,Pop_size!E12,Pop_size!S12)</f>
        <v>1.786099072316516E-4</v>
      </c>
      <c r="C11" s="115">
        <f>_xlfn.BETA.INV(0.025,Pop_size!F12,Pop_size!T12)</f>
        <v>1.2069881848257115E-4</v>
      </c>
      <c r="D11" s="115">
        <f>_xlfn.BETA.INV(0.025,Pop_size!G12,Pop_size!U12)</f>
        <v>1.3444107831526013E-4</v>
      </c>
      <c r="E11" s="160">
        <f>_xlfn.BETA.INV(0.025,Pop_size!H12,Pop_size!V12)</f>
        <v>9.3739263046608461E-4</v>
      </c>
      <c r="F11" s="115">
        <v>0</v>
      </c>
      <c r="G11" s="115">
        <f>_xlfn.BETA.INV(0.025,Pop_size!J12,Pop_size!X12)</f>
        <v>3.2271149231118395E-4</v>
      </c>
      <c r="H11" s="115">
        <f>_xlfn.BETA.INV(0.025,Pop_size!K12,Pop_size!Y12)</f>
        <v>2.3220204456347846E-4</v>
      </c>
      <c r="I11" s="115">
        <f>_xlfn.BETA.INV(0.025,Pop_size!L12,Pop_size!Z12)</f>
        <v>9.0478930608266334E-5</v>
      </c>
      <c r="J11" s="115">
        <f>_xlfn.BETA.INV(0.025,Pop_size!M12,Pop_size!AA12)</f>
        <v>6.0618934294639214E-5</v>
      </c>
      <c r="K11" s="115">
        <f>_xlfn.BETA.INV(0.025,Pop_size!N12,Pop_size!AB12)</f>
        <v>6.7692484594106706E-5</v>
      </c>
      <c r="L11" s="115">
        <f>_xlfn.BETA.INV(0.025,Pop_size!O12,Pop_size!AC12)</f>
        <v>4.8555112530619817E-4</v>
      </c>
      <c r="M11" s="115">
        <v>0</v>
      </c>
      <c r="N11" s="115">
        <f>_xlfn.BETA.INV(0.025,Pop_size!Q12,Pop_size!AE12)</f>
        <v>1.8883385600214567E-4</v>
      </c>
      <c r="O11" s="115">
        <f>_xlfn.BETA.INV(0.975,Pop_size!D12,Pop_size!R12)</f>
        <v>5.3402152327441943E-4</v>
      </c>
      <c r="P11" s="115">
        <f>_xlfn.BETA.INV(0.975,Pop_size!E12,Pop_size!S12)</f>
        <v>2.3165496479382597E-4</v>
      </c>
      <c r="Q11" s="115">
        <f>_xlfn.BETA.INV(0.975,Pop_size!F12,Pop_size!T12)</f>
        <v>1.6491135619567387E-4</v>
      </c>
      <c r="R11" s="115">
        <f>_xlfn.BETA.INV(0.975,Pop_size!G12,Pop_size!U12)</f>
        <v>1.809140680109067E-4</v>
      </c>
      <c r="S11" s="115">
        <f>_xlfn.BETA.INV(0.975,Pop_size!H12,Pop_size!V12)</f>
        <v>1.0544551182599671E-3</v>
      </c>
      <c r="T11" s="115">
        <v>0</v>
      </c>
      <c r="U11" s="115">
        <f>_xlfn.BETA.INV(0.975,Pop_size!J12,Pop_size!X12)</f>
        <v>3.8768427809410255E-4</v>
      </c>
      <c r="V11" s="115">
        <f>_xlfn.BETA.INV(0.975,Pop_size!K12,Pop_size!Y12)</f>
        <v>2.8776623521864497E-4</v>
      </c>
      <c r="W11" s="115">
        <f>_xlfn.BETA.INV(0.975,Pop_size!L12,Pop_size!Z12)</f>
        <v>1.2627189669700556E-4</v>
      </c>
      <c r="X11" s="115">
        <f>_xlfn.BETA.INV(0.975,Pop_size!M12,Pop_size!AA12)</f>
        <v>9.0448363644468621E-5</v>
      </c>
      <c r="Y11" s="115">
        <f>_xlfn.BETA.INV(0.975,Pop_size!N12,Pop_size!AB12)</f>
        <v>9.9048162791826044E-5</v>
      </c>
      <c r="Z11" s="115">
        <f>_xlfn.BETA.INV(0.975,Pop_size!O12,Pop_size!AC12)</f>
        <v>5.6457108983476445E-4</v>
      </c>
      <c r="AA11" s="115">
        <v>0</v>
      </c>
      <c r="AB11" s="115">
        <f>_xlfn.BETA.INV(0.975,Pop_size!Q12,Pop_size!AE12)</f>
        <v>2.3923208395404405E-4</v>
      </c>
    </row>
    <row r="12" spans="1:28">
      <c r="A12" s="115">
        <f>_xlfn.BETA.INV(0.025,Pop_size!D13,Pop_size!R13)</f>
        <v>5.0255659234272232E-4</v>
      </c>
      <c r="B12" s="115">
        <f>_xlfn.BETA.INV(0.025,Pop_size!E13,Pop_size!S13)</f>
        <v>1.9726674848292067E-4</v>
      </c>
      <c r="C12" s="115">
        <f>_xlfn.BETA.INV(0.025,Pop_size!F13,Pop_size!T13)</f>
        <v>1.327353846108E-4</v>
      </c>
      <c r="D12" s="115">
        <f>_xlfn.BETA.INV(0.025,Pop_size!G13,Pop_size!U13)</f>
        <v>1.4803547521628573E-4</v>
      </c>
      <c r="E12" s="115">
        <f>_xlfn.BETA.INV(0.025,Pop_size!H13,Pop_size!V13)</f>
        <v>1.0469241887268231E-3</v>
      </c>
      <c r="F12" s="115">
        <v>0</v>
      </c>
      <c r="G12" s="115">
        <f>_xlfn.BETA.INV(0.025,Pop_size!J13,Pop_size!X13)</f>
        <v>4.1742304632968498E-4</v>
      </c>
      <c r="H12" s="115">
        <f>_xlfn.BETA.INV(0.025,Pop_size!K13,Pop_size!Y13)</f>
        <v>2.7189816587049281E-4</v>
      </c>
      <c r="I12" s="115">
        <f>_xlfn.BETA.INV(0.025,Pop_size!L13,Pop_size!Z13)</f>
        <v>1.0548970415973937E-4</v>
      </c>
      <c r="J12" s="115">
        <f>_xlfn.BETA.INV(0.025,Pop_size!M13,Pop_size!AA13)</f>
        <v>7.0495937069326833E-5</v>
      </c>
      <c r="K12" s="115">
        <f>_xlfn.BETA.INV(0.025,Pop_size!N13,Pop_size!AB13)</f>
        <v>7.8781378893653082E-5</v>
      </c>
      <c r="L12" s="115">
        <f>_xlfn.BETA.INV(0.025,Pop_size!O13,Pop_size!AC13)</f>
        <v>5.6981997062787967E-4</v>
      </c>
      <c r="M12" s="115">
        <v>0</v>
      </c>
      <c r="N12" s="115">
        <f>_xlfn.BETA.INV(0.025,Pop_size!Q13,Pop_size!AE13)</f>
        <v>2.7806607291214381E-4</v>
      </c>
      <c r="O12" s="115">
        <f>_xlfn.BETA.INV(0.975,Pop_size!D13,Pop_size!R13)</f>
        <v>6.0841939797651179E-4</v>
      </c>
      <c r="P12" s="115">
        <f>_xlfn.BETA.INV(0.975,Pop_size!E13,Pop_size!S13)</f>
        <v>2.6547179368829887E-4</v>
      </c>
      <c r="Q12" s="115">
        <f>_xlfn.BETA.INV(0.975,Pop_size!F13,Pop_size!T13)</f>
        <v>1.8958094350840504E-4</v>
      </c>
      <c r="R12" s="115">
        <f>_xlfn.BETA.INV(0.975,Pop_size!G13,Pop_size!U13)</f>
        <v>2.0778826618317314E-4</v>
      </c>
      <c r="S12" s="115">
        <f>_xlfn.BETA.INV(0.975,Pop_size!H13,Pop_size!V13)</f>
        <v>1.1974489070818439E-3</v>
      </c>
      <c r="T12" s="115">
        <v>0</v>
      </c>
      <c r="U12" s="115">
        <f>_xlfn.BETA.INV(0.975,Pop_size!J13,Pop_size!X13)</f>
        <v>5.0279975750466832E-4</v>
      </c>
      <c r="V12" s="115">
        <f>_xlfn.BETA.INV(0.975,Pop_size!K13,Pop_size!Y13)</f>
        <v>3.4156835772747307E-4</v>
      </c>
      <c r="W12" s="115">
        <f>_xlfn.BETA.INV(0.975,Pop_size!L13,Pop_size!Z13)</f>
        <v>1.5036783279520627E-4</v>
      </c>
      <c r="X12" s="115">
        <f>_xlfn.BETA.INV(0.975,Pop_size!M13,Pop_size!AA13)</f>
        <v>1.078955962200423E-4</v>
      </c>
      <c r="Y12" s="115">
        <f>_xlfn.BETA.INV(0.975,Pop_size!N13,Pop_size!AB13)</f>
        <v>1.180950361452382E-4</v>
      </c>
      <c r="Z12" s="115">
        <f>_xlfn.BETA.INV(0.975,Pop_size!O13,Pop_size!AC13)</f>
        <v>6.6889997476826668E-4</v>
      </c>
      <c r="AA12" s="115">
        <v>0</v>
      </c>
      <c r="AB12" s="115">
        <f>_xlfn.BETA.INV(0.975,Pop_size!Q13,Pop_size!AE13)</f>
        <v>3.4847747442390276E-4</v>
      </c>
    </row>
    <row r="13" spans="1:28">
      <c r="A13" s="115">
        <f>_xlfn.BETA.INV(0.025,Pop_size!D14,Pop_size!R14)</f>
        <v>5.0739048316145055E-4</v>
      </c>
      <c r="B13" s="115">
        <f>_xlfn.BETA.INV(0.025,Pop_size!E14,Pop_size!S14)</f>
        <v>2.9749097842518893E-4</v>
      </c>
      <c r="C13" s="115">
        <f>_xlfn.BETA.INV(0.025,Pop_size!F14,Pop_size!T14)</f>
        <v>8.1819732272182477E-5</v>
      </c>
      <c r="D13" s="115">
        <f>_xlfn.BETA.INV(0.025,Pop_size!G14,Pop_size!U14)</f>
        <v>9.186124450425718E-5</v>
      </c>
      <c r="E13" s="115">
        <f>_xlfn.BETA.INV(0.025,Pop_size!H14,Pop_size!V14)</f>
        <v>1.0633898620789159E-3</v>
      </c>
      <c r="F13" s="115">
        <v>0</v>
      </c>
      <c r="G13" s="115">
        <f>_xlfn.BETA.INV(0.025,Pop_size!J14,Pop_size!X14)</f>
        <v>4.8997580710840477E-4</v>
      </c>
      <c r="H13" s="115">
        <f>_xlfn.BETA.INV(0.025,Pop_size!K14,Pop_size!Y14)</f>
        <v>2.8238824261734506E-4</v>
      </c>
      <c r="I13" s="115">
        <f>_xlfn.BETA.INV(0.025,Pop_size!L14,Pop_size!Z14)</f>
        <v>1.6496820489083887E-4</v>
      </c>
      <c r="J13" s="115">
        <f>_xlfn.BETA.INV(0.025,Pop_size!M14,Pop_size!AA14)</f>
        <v>4.4738678969811727E-5</v>
      </c>
      <c r="K13" s="115">
        <f>_xlfn.BETA.INV(0.025,Pop_size!N14,Pop_size!AB14)</f>
        <v>5.031268955809525E-5</v>
      </c>
      <c r="L13" s="115">
        <f>_xlfn.BETA.INV(0.025,Pop_size!O14,Pop_size!AC14)</f>
        <v>5.9400450825548802E-4</v>
      </c>
      <c r="M13" s="115">
        <v>0</v>
      </c>
      <c r="N13" s="115">
        <f>_xlfn.BETA.INV(0.025,Pop_size!Q14,Pop_size!AE14)</f>
        <v>4.0148311161564392E-4</v>
      </c>
      <c r="O13" s="115">
        <f>_xlfn.BETA.INV(0.975,Pop_size!D14,Pop_size!R14)</f>
        <v>6.5268450939459655E-4</v>
      </c>
      <c r="P13" s="115">
        <f>_xlfn.BETA.INV(0.975,Pop_size!E14,Pop_size!S14)</f>
        <v>4.1087201858625022E-4</v>
      </c>
      <c r="Q13" s="115">
        <f>_xlfn.BETA.INV(0.975,Pop_size!F14,Pop_size!T14)</f>
        <v>1.4554553414602989E-4</v>
      </c>
      <c r="R13" s="115">
        <f>_xlfn.BETA.INV(0.975,Pop_size!G14,Pop_size!U14)</f>
        <v>1.5885357427680713E-4</v>
      </c>
      <c r="S13" s="115">
        <f>_xlfn.BETA.INV(0.975,Pop_size!H14,Pop_size!V14)</f>
        <v>1.2696140000314493E-3</v>
      </c>
      <c r="T13" s="115">
        <v>0</v>
      </c>
      <c r="U13" s="115">
        <f>_xlfn.BETA.INV(0.975,Pop_size!J14,Pop_size!X14)</f>
        <v>6.0534444427529088E-4</v>
      </c>
      <c r="V13" s="115">
        <f>_xlfn.BETA.INV(0.975,Pop_size!K14,Pop_size!Y14)</f>
        <v>3.7143462707756036E-4</v>
      </c>
      <c r="W13" s="115">
        <f>_xlfn.BETA.INV(0.975,Pop_size!L14,Pop_size!Z14)</f>
        <v>2.3444968435371027E-4</v>
      </c>
      <c r="X13" s="115">
        <f>_xlfn.BETA.INV(0.975,Pop_size!M14,Pop_size!AA14)</f>
        <v>8.3779571470321557E-5</v>
      </c>
      <c r="Y13" s="115">
        <f>_xlfn.BETA.INV(0.975,Pop_size!N14,Pop_size!AB14)</f>
        <v>9.1356211535997822E-5</v>
      </c>
      <c r="Z13" s="115">
        <f>_xlfn.BETA.INV(0.975,Pop_size!O14,Pop_size!AC14)</f>
        <v>7.2041358363494901E-4</v>
      </c>
      <c r="AA13" s="115">
        <v>0</v>
      </c>
      <c r="AB13" s="115">
        <f>_xlfn.BETA.INV(0.975,Pop_size!Q14,Pop_size!AE14)</f>
        <v>5.0649256902057793E-4</v>
      </c>
    </row>
    <row r="14" spans="1:28">
      <c r="A14" s="115">
        <f>_xlfn.BETA.INV(0.025,Pop_size!D15,Pop_size!R15)</f>
        <v>5.4483675006400314E-4</v>
      </c>
      <c r="B14" s="115">
        <f>_xlfn.BETA.INV(0.025,Pop_size!E15,Pop_size!S15)</f>
        <v>3.1270343311482651E-4</v>
      </c>
      <c r="C14" s="115">
        <f>_xlfn.BETA.INV(0.025,Pop_size!F15,Pop_size!T15)</f>
        <v>7.9076276297016326E-5</v>
      </c>
      <c r="D14" s="115">
        <f>_xlfn.BETA.INV(0.025,Pop_size!G15,Pop_size!U15)</f>
        <v>8.967634459230372E-5</v>
      </c>
      <c r="E14" s="115">
        <f>_xlfn.BETA.INV(0.025,Pop_size!H15,Pop_size!V15)</f>
        <v>1.1665554120437163E-3</v>
      </c>
      <c r="F14" s="115">
        <v>0</v>
      </c>
      <c r="G14" s="115">
        <f>_xlfn.BETA.INV(0.025,Pop_size!J15,Pop_size!X15)</f>
        <v>5.253029006160976E-4</v>
      </c>
      <c r="H14" s="115">
        <f>_xlfn.BETA.INV(0.025,Pop_size!K15,Pop_size!Y15)</f>
        <v>2.7602982658694598E-4</v>
      </c>
      <c r="I14" s="115">
        <f>_xlfn.BETA.INV(0.025,Pop_size!L15,Pop_size!Z15)</f>
        <v>1.5825166439478649E-4</v>
      </c>
      <c r="J14" s="115">
        <f>_xlfn.BETA.INV(0.025,Pop_size!M15,Pop_size!AA15)</f>
        <v>3.9842391378532294E-5</v>
      </c>
      <c r="K14" s="115">
        <f>_xlfn.BETA.INV(0.025,Pop_size!N15,Pop_size!AB15)</f>
        <v>4.5207429359109331E-5</v>
      </c>
      <c r="L14" s="115">
        <f>_xlfn.BETA.INV(0.025,Pop_size!O15,Pop_size!AC15)</f>
        <v>5.9164702455823104E-4</v>
      </c>
      <c r="M14" s="115">
        <v>0</v>
      </c>
      <c r="N14" s="115">
        <f>_xlfn.BETA.INV(0.025,Pop_size!Q15,Pop_size!AE15)</f>
        <v>5.5844063266935441E-4</v>
      </c>
      <c r="O14" s="115">
        <f>_xlfn.BETA.INV(0.975,Pop_size!D15,Pop_size!R15)</f>
        <v>7.954910899543588E-4</v>
      </c>
      <c r="P14" s="115">
        <f>_xlfn.BETA.INV(0.975,Pop_size!E15,Pop_size!S15)</f>
        <v>5.0824976067642691E-4</v>
      </c>
      <c r="Q14" s="115">
        <f>_xlfn.BETA.INV(0.975,Pop_size!F15,Pop_size!T15)</f>
        <v>1.8881132641479503E-4</v>
      </c>
      <c r="R14" s="115">
        <f>_xlfn.BETA.INV(0.975,Pop_size!G15,Pop_size!U15)</f>
        <v>2.0506136375475492E-4</v>
      </c>
      <c r="S14" s="115">
        <f>_xlfn.BETA.INV(0.975,Pop_size!H15,Pop_size!V15)</f>
        <v>1.5223887871147479E-3</v>
      </c>
      <c r="T14" s="115">
        <v>0</v>
      </c>
      <c r="U14" s="115">
        <f>_xlfn.BETA.INV(0.975,Pop_size!J15,Pop_size!X15)</f>
        <v>6.9935041740609716E-4</v>
      </c>
      <c r="V14" s="115">
        <f>_xlfn.BETA.INV(0.975,Pop_size!K15,Pop_size!Y15)</f>
        <v>4.0558501271614755E-4</v>
      </c>
      <c r="W14" s="115">
        <f>_xlfn.BETA.INV(0.975,Pop_size!L15,Pop_size!Z15)</f>
        <v>2.5931508292320604E-4</v>
      </c>
      <c r="X14" s="115">
        <f>_xlfn.BETA.INV(0.975,Pop_size!M15,Pop_size!AA15)</f>
        <v>9.6547116316014758E-5</v>
      </c>
      <c r="Y14" s="115">
        <f>_xlfn.BETA.INV(0.975,Pop_size!N15,Pop_size!AB15)</f>
        <v>1.0483269961780728E-4</v>
      </c>
      <c r="Z14" s="115">
        <f>_xlfn.BETA.INV(0.975,Pop_size!O15,Pop_size!AC15)</f>
        <v>7.7559891768252953E-4</v>
      </c>
      <c r="AA14" s="115">
        <v>0</v>
      </c>
      <c r="AB14" s="115">
        <f>_xlfn.BETA.INV(0.975,Pop_size!Q15,Pop_size!AE15)</f>
        <v>7.3750900429692123E-4</v>
      </c>
    </row>
    <row r="15" spans="1:28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</row>
    <row r="16" spans="1:28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68</v>
      </c>
      <c r="B1" s="7"/>
      <c r="C1" s="7"/>
      <c r="E1" s="8"/>
      <c r="F1" s="8"/>
      <c r="G1" s="8"/>
      <c r="H1" s="9"/>
      <c r="I1" s="9"/>
      <c r="J1" s="8"/>
      <c r="K1" s="202"/>
      <c r="L1" s="195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69</v>
      </c>
      <c r="B3" s="7"/>
      <c r="C3" s="7"/>
      <c r="E3" s="8"/>
      <c r="F3" s="8"/>
      <c r="H3" s="10"/>
      <c r="I3" s="10"/>
      <c r="L3" s="11" t="s">
        <v>70</v>
      </c>
    </row>
    <row r="4" spans="1:12">
      <c r="A4" s="12" t="s">
        <v>71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72</v>
      </c>
      <c r="B6" s="203" t="s">
        <v>73</v>
      </c>
      <c r="C6" s="203"/>
      <c r="D6" s="203"/>
      <c r="E6" s="203"/>
      <c r="F6" s="203"/>
      <c r="G6" s="15"/>
      <c r="H6" s="203" t="s">
        <v>74</v>
      </c>
      <c r="I6" s="203"/>
      <c r="J6" s="203"/>
      <c r="K6" s="203"/>
      <c r="L6" s="203"/>
    </row>
    <row r="7" spans="1:12" ht="18.75">
      <c r="A7" s="16" t="s">
        <v>75</v>
      </c>
      <c r="B7" s="17" t="s">
        <v>76</v>
      </c>
      <c r="C7" s="17" t="s">
        <v>77</v>
      </c>
      <c r="D7" s="18" t="s">
        <v>78</v>
      </c>
      <c r="E7" s="18" t="s">
        <v>79</v>
      </c>
      <c r="F7" s="18" t="s">
        <v>80</v>
      </c>
      <c r="G7" s="19"/>
      <c r="H7" s="20" t="s">
        <v>81</v>
      </c>
      <c r="I7" s="20" t="s">
        <v>82</v>
      </c>
      <c r="J7" s="21" t="s">
        <v>83</v>
      </c>
      <c r="K7" s="21" t="s">
        <v>84</v>
      </c>
      <c r="L7" s="21" t="s">
        <v>85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86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86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86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86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86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86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86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86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86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86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86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86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86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86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86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86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86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86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86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86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86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86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86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86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86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86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86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86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86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86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86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86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86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86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86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86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86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86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86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86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86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86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86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86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86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86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86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86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86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86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86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86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86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86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86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86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86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86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86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86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86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86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86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86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86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86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86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86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86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86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86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86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86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86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86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86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86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86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86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86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86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86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86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86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86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86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86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86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86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86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86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86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86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86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86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86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86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86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86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86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86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K102"/>
  <sheetViews>
    <sheetView workbookViewId="0">
      <selection activeCell="N2" sqref="N2:R2"/>
    </sheetView>
  </sheetViews>
  <sheetFormatPr defaultRowHeight="15"/>
  <cols>
    <col min="2" max="2" width="21" customWidth="1"/>
    <col min="3" max="3" width="20.140625" customWidth="1"/>
    <col min="7" max="7" width="11.5703125" bestFit="1" customWidth="1"/>
    <col min="8" max="8" width="13.7109375" bestFit="1" customWidth="1"/>
    <col min="11" max="12" width="10.5703125" bestFit="1" customWidth="1"/>
    <col min="20" max="20" width="19.42578125" customWidth="1"/>
  </cols>
  <sheetData>
    <row r="1" spans="1:22" ht="30">
      <c r="A1" s="30" t="s">
        <v>14</v>
      </c>
      <c r="B1" s="31" t="s">
        <v>87</v>
      </c>
      <c r="C1" s="31" t="s">
        <v>88</v>
      </c>
      <c r="D1" s="1"/>
      <c r="E1" s="6" t="s">
        <v>260</v>
      </c>
      <c r="F1" s="6"/>
      <c r="G1" s="6"/>
      <c r="H1" s="6"/>
      <c r="K1" s="40" t="s">
        <v>257</v>
      </c>
      <c r="L1" s="40" t="s">
        <v>258</v>
      </c>
      <c r="N1" s="116" t="s">
        <v>259</v>
      </c>
      <c r="O1" s="27"/>
      <c r="P1" s="27"/>
      <c r="Q1" s="27"/>
      <c r="R1" s="27"/>
      <c r="S1">
        <v>100000</v>
      </c>
      <c r="T1" t="s">
        <v>90</v>
      </c>
      <c r="U1">
        <v>1.2</v>
      </c>
      <c r="V1" t="s">
        <v>91</v>
      </c>
    </row>
    <row r="2" spans="1:22" ht="54" customHeight="1">
      <c r="A2" s="32">
        <v>0</v>
      </c>
      <c r="B2" s="33">
        <f>'life tables'!C8</f>
        <v>4.2440000000000004E-3</v>
      </c>
      <c r="C2" s="33">
        <f>'life tables'!I8</f>
        <v>3.519E-3</v>
      </c>
      <c r="E2" s="36" t="s">
        <v>127</v>
      </c>
      <c r="F2" s="6"/>
      <c r="G2" s="6" t="s">
        <v>128</v>
      </c>
      <c r="H2" s="6" t="s">
        <v>129</v>
      </c>
      <c r="K2" s="39"/>
      <c r="L2" s="39"/>
      <c r="N2" s="204" t="s">
        <v>89</v>
      </c>
      <c r="O2" s="195"/>
      <c r="P2" s="195"/>
      <c r="Q2" s="195"/>
      <c r="R2" s="195"/>
      <c r="T2" t="s">
        <v>92</v>
      </c>
      <c r="U2">
        <v>2.76</v>
      </c>
      <c r="V2" t="s">
        <v>93</v>
      </c>
    </row>
    <row r="3" spans="1:22" ht="30.75" thickBot="1">
      <c r="A3" s="32">
        <v>1</v>
      </c>
      <c r="B3" s="33">
        <f>'life tables'!C9</f>
        <v>2.31E-4</v>
      </c>
      <c r="C3" s="33">
        <f>'life tables'!I9</f>
        <v>2.1100000000000001E-4</v>
      </c>
      <c r="E3" s="6">
        <v>1</v>
      </c>
      <c r="F3" s="6"/>
      <c r="G3" s="37">
        <f>HLOOKUP(E3,All_cause_mort,2)</f>
        <v>9.9999999999999995E-7</v>
      </c>
      <c r="H3" s="38">
        <f>HLOOKUP(E3,All_cause_mort,3)</f>
        <v>1.9999999999999999E-6</v>
      </c>
      <c r="K3" s="39">
        <f>B3*(1-G3)</f>
        <v>2.3099976900000001E-4</v>
      </c>
      <c r="L3" s="39">
        <f>C3*(1-H3)</f>
        <v>2.1099957800000001E-4</v>
      </c>
      <c r="N3" s="28" t="s">
        <v>94</v>
      </c>
      <c r="O3" s="28" t="s">
        <v>95</v>
      </c>
      <c r="P3" s="28" t="s">
        <v>96</v>
      </c>
      <c r="Q3" s="28" t="s">
        <v>97</v>
      </c>
      <c r="R3" s="28" t="s">
        <v>98</v>
      </c>
      <c r="T3" t="s">
        <v>99</v>
      </c>
      <c r="U3">
        <v>1</v>
      </c>
      <c r="V3">
        <v>1</v>
      </c>
    </row>
    <row r="4" spans="1:22" ht="15.75" thickTop="1">
      <c r="A4" s="32">
        <v>2</v>
      </c>
      <c r="B4" s="33">
        <f>'life tables'!C10</f>
        <v>1.2799999999999999E-4</v>
      </c>
      <c r="C4" s="33">
        <f>'life tables'!I10</f>
        <v>1.13E-4</v>
      </c>
      <c r="E4" s="6">
        <v>2</v>
      </c>
      <c r="F4" s="6"/>
      <c r="G4" s="37">
        <f t="shared" ref="G4:G34" si="0">HLOOKUP(E4,All_cause_mort,2)</f>
        <v>9.9999999999999995E-7</v>
      </c>
      <c r="H4" s="38">
        <f t="shared" ref="H4:H34" si="1">HLOOKUP(E4,All_cause_mort,3)</f>
        <v>1.9999999999999999E-6</v>
      </c>
      <c r="K4" s="39">
        <f t="shared" ref="K4:K34" si="2">B4*(1-G4)</f>
        <v>1.2799987199999999E-4</v>
      </c>
      <c r="L4" s="39">
        <f t="shared" ref="L4:L34" si="3">C4*(1-H4)</f>
        <v>1.12999774E-4</v>
      </c>
      <c r="N4" s="26" t="s">
        <v>100</v>
      </c>
      <c r="O4" s="98">
        <v>3</v>
      </c>
      <c r="P4" s="99">
        <v>1</v>
      </c>
      <c r="Q4" s="100">
        <v>0.2</v>
      </c>
      <c r="R4" s="101">
        <v>0.1</v>
      </c>
    </row>
    <row r="5" spans="1:22">
      <c r="A5" s="32">
        <v>3</v>
      </c>
      <c r="B5" s="33">
        <f>'life tables'!C11</f>
        <v>9.8999999999999994E-5</v>
      </c>
      <c r="C5" s="33">
        <f>'life tables'!I11</f>
        <v>9.2999999999999997E-5</v>
      </c>
      <c r="E5" s="6">
        <v>3</v>
      </c>
      <c r="F5" s="6"/>
      <c r="G5" s="37">
        <f t="shared" si="0"/>
        <v>9.9999999999999995E-7</v>
      </c>
      <c r="H5" s="38">
        <f>HLOOKUP(E5,All_cause_mort,3)</f>
        <v>1.9999999999999999E-6</v>
      </c>
      <c r="K5" s="39">
        <f t="shared" si="2"/>
        <v>9.8999900999999997E-5</v>
      </c>
      <c r="L5" s="39">
        <f t="shared" si="3"/>
        <v>9.2999814000000009E-5</v>
      </c>
      <c r="N5" s="26" t="s">
        <v>101</v>
      </c>
      <c r="O5" s="98">
        <v>2</v>
      </c>
      <c r="P5" s="99">
        <v>2</v>
      </c>
      <c r="Q5" s="100">
        <v>0.1</v>
      </c>
      <c r="R5" s="101">
        <v>0.1</v>
      </c>
      <c r="T5" s="27" t="s">
        <v>102</v>
      </c>
      <c r="U5" s="27">
        <v>0.88</v>
      </c>
    </row>
    <row r="6" spans="1:22">
      <c r="A6" s="32">
        <v>4</v>
      </c>
      <c r="B6" s="33">
        <f>'life tables'!C12</f>
        <v>9.0000000000000006E-5</v>
      </c>
      <c r="C6" s="33">
        <f>'life tables'!I12</f>
        <v>6.0999999999999999E-5</v>
      </c>
      <c r="E6" s="6">
        <v>4</v>
      </c>
      <c r="F6" s="6"/>
      <c r="G6" s="37">
        <f t="shared" si="0"/>
        <v>9.9999999999999995E-7</v>
      </c>
      <c r="H6" s="38">
        <f t="shared" si="1"/>
        <v>1.9999999999999999E-6</v>
      </c>
      <c r="K6" s="39">
        <f t="shared" si="2"/>
        <v>8.9999909999999999E-5</v>
      </c>
      <c r="L6" s="39">
        <f t="shared" si="3"/>
        <v>6.0999878000000005E-5</v>
      </c>
      <c r="N6" s="26" t="s">
        <v>103</v>
      </c>
      <c r="O6" s="98">
        <v>2</v>
      </c>
      <c r="P6" s="99">
        <v>1</v>
      </c>
      <c r="Q6" s="100">
        <v>0.1</v>
      </c>
      <c r="R6" s="101">
        <v>0.1</v>
      </c>
    </row>
    <row r="7" spans="1:22">
      <c r="A7" s="32">
        <v>5</v>
      </c>
      <c r="B7" s="33">
        <f>'life tables'!C13</f>
        <v>7.7000000000000001E-5</v>
      </c>
      <c r="C7" s="33">
        <f>'life tables'!I13</f>
        <v>7.8999999999999996E-5</v>
      </c>
      <c r="E7" s="6">
        <v>5</v>
      </c>
      <c r="F7" s="6"/>
      <c r="G7" s="37">
        <f t="shared" si="0"/>
        <v>9.9999999999999995E-7</v>
      </c>
      <c r="H7" s="38">
        <f t="shared" si="1"/>
        <v>9.9999999999999995E-7</v>
      </c>
      <c r="K7" s="39">
        <f t="shared" si="2"/>
        <v>7.6999922999999997E-5</v>
      </c>
      <c r="L7" s="39">
        <f t="shared" si="3"/>
        <v>7.8999921E-5</v>
      </c>
      <c r="N7" s="26" t="s">
        <v>104</v>
      </c>
      <c r="O7" s="98">
        <v>2</v>
      </c>
      <c r="P7" s="99">
        <v>0</v>
      </c>
      <c r="Q7" s="100">
        <v>0.1</v>
      </c>
      <c r="R7" s="101">
        <v>0</v>
      </c>
    </row>
    <row r="8" spans="1:22">
      <c r="A8" s="32">
        <v>6</v>
      </c>
      <c r="B8" s="33">
        <f>'life tables'!C14</f>
        <v>8.1000000000000004E-5</v>
      </c>
      <c r="C8" s="33">
        <f>'life tables'!I14</f>
        <v>6.8999999999999997E-5</v>
      </c>
      <c r="E8" s="6">
        <v>6</v>
      </c>
      <c r="F8" s="6"/>
      <c r="G8" s="37">
        <f t="shared" si="0"/>
        <v>9.9999999999999995E-7</v>
      </c>
      <c r="H8" s="38">
        <f t="shared" si="1"/>
        <v>9.9999999999999995E-7</v>
      </c>
      <c r="K8" s="39">
        <f t="shared" si="2"/>
        <v>8.0999919000000002E-5</v>
      </c>
      <c r="L8" s="39">
        <f t="shared" si="3"/>
        <v>6.8999931000000001E-5</v>
      </c>
      <c r="N8" s="26" t="s">
        <v>105</v>
      </c>
      <c r="O8" s="98">
        <v>1</v>
      </c>
      <c r="P8" s="99">
        <v>1</v>
      </c>
      <c r="Q8" s="100">
        <v>0</v>
      </c>
      <c r="R8" s="101">
        <v>0</v>
      </c>
    </row>
    <row r="9" spans="1:22">
      <c r="A9" s="32">
        <v>7</v>
      </c>
      <c r="B9" s="33">
        <f>'life tables'!C15</f>
        <v>6.7999999999999999E-5</v>
      </c>
      <c r="C9" s="33">
        <f>'life tables'!I15</f>
        <v>5.1E-5</v>
      </c>
      <c r="E9" s="6">
        <v>7</v>
      </c>
      <c r="F9" s="6"/>
      <c r="G9" s="37">
        <f t="shared" si="0"/>
        <v>9.9999999999999995E-7</v>
      </c>
      <c r="H9" s="38">
        <f t="shared" si="1"/>
        <v>9.9999999999999995E-7</v>
      </c>
      <c r="K9" s="39">
        <f t="shared" si="2"/>
        <v>6.7999932E-5</v>
      </c>
      <c r="L9" s="39">
        <f t="shared" si="3"/>
        <v>5.0999949E-5</v>
      </c>
      <c r="N9" s="26" t="s">
        <v>106</v>
      </c>
      <c r="O9" s="98">
        <v>1</v>
      </c>
      <c r="P9" s="99">
        <v>2</v>
      </c>
      <c r="Q9" s="100">
        <v>0.1</v>
      </c>
      <c r="R9" s="101">
        <v>0.1</v>
      </c>
    </row>
    <row r="10" spans="1:22">
      <c r="A10" s="32">
        <v>8</v>
      </c>
      <c r="B10" s="33">
        <f>'life tables'!C16</f>
        <v>6.4999999999999994E-5</v>
      </c>
      <c r="C10" s="33">
        <f>'life tables'!I16</f>
        <v>5.3000000000000001E-5</v>
      </c>
      <c r="E10" s="6">
        <v>8</v>
      </c>
      <c r="F10" s="6"/>
      <c r="G10" s="37">
        <f t="shared" si="0"/>
        <v>9.9999999999999995E-7</v>
      </c>
      <c r="H10" s="38">
        <f t="shared" si="1"/>
        <v>9.9999999999999995E-7</v>
      </c>
      <c r="K10" s="39">
        <f t="shared" si="2"/>
        <v>6.4999934999999997E-5</v>
      </c>
      <c r="L10" s="39">
        <f t="shared" si="3"/>
        <v>5.2999947000000002E-5</v>
      </c>
      <c r="N10" s="26" t="s">
        <v>107</v>
      </c>
      <c r="O10" s="98">
        <v>2</v>
      </c>
      <c r="P10" s="99">
        <v>5</v>
      </c>
      <c r="Q10" s="100">
        <v>0.1</v>
      </c>
      <c r="R10" s="101">
        <v>0.2</v>
      </c>
    </row>
    <row r="11" spans="1:22">
      <c r="A11" s="32">
        <v>9</v>
      </c>
      <c r="B11" s="33">
        <f>'life tables'!C17</f>
        <v>6.2000000000000003E-5</v>
      </c>
      <c r="C11" s="33">
        <f>'life tables'!I17</f>
        <v>5.5999999999999999E-5</v>
      </c>
      <c r="E11" s="6">
        <v>9</v>
      </c>
      <c r="F11" s="6"/>
      <c r="G11" s="37">
        <f t="shared" si="0"/>
        <v>9.9999999999999995E-7</v>
      </c>
      <c r="H11" s="38">
        <f t="shared" si="1"/>
        <v>9.9999999999999995E-7</v>
      </c>
      <c r="K11" s="39">
        <f t="shared" si="2"/>
        <v>6.1999938000000006E-5</v>
      </c>
      <c r="L11" s="39">
        <f t="shared" si="3"/>
        <v>5.5999943999999999E-5</v>
      </c>
      <c r="N11" s="26" t="s">
        <v>108</v>
      </c>
      <c r="O11" s="98">
        <v>7</v>
      </c>
      <c r="P11" s="99">
        <v>10</v>
      </c>
      <c r="Q11" s="100">
        <v>0.3</v>
      </c>
      <c r="R11" s="101">
        <v>0.5</v>
      </c>
    </row>
    <row r="12" spans="1:22">
      <c r="A12" s="32">
        <v>10</v>
      </c>
      <c r="B12" s="33">
        <f>'life tables'!C18</f>
        <v>7.2999999999999999E-5</v>
      </c>
      <c r="C12" s="33">
        <f>'life tables'!I18</f>
        <v>6.4999999999999994E-5</v>
      </c>
      <c r="E12" s="6">
        <v>10</v>
      </c>
      <c r="F12" s="6"/>
      <c r="G12" s="37">
        <f t="shared" si="0"/>
        <v>9.9999999999999995E-7</v>
      </c>
      <c r="H12" s="38">
        <f t="shared" si="1"/>
        <v>9.9999999999999995E-7</v>
      </c>
      <c r="K12" s="39">
        <f t="shared" si="2"/>
        <v>7.2999926999999993E-5</v>
      </c>
      <c r="L12" s="39">
        <f t="shared" si="3"/>
        <v>6.4999934999999997E-5</v>
      </c>
      <c r="N12" s="26" t="s">
        <v>109</v>
      </c>
      <c r="O12" s="98">
        <v>7</v>
      </c>
      <c r="P12" s="99">
        <v>23</v>
      </c>
      <c r="Q12" s="100">
        <v>0.3</v>
      </c>
      <c r="R12" s="101">
        <v>1.2</v>
      </c>
    </row>
    <row r="13" spans="1:22">
      <c r="A13" s="32">
        <v>11</v>
      </c>
      <c r="B13" s="33">
        <f>'life tables'!C19</f>
        <v>7.3999999999999996E-5</v>
      </c>
      <c r="C13" s="33">
        <f>'life tables'!I19</f>
        <v>5.5999999999999999E-5</v>
      </c>
      <c r="E13" s="6">
        <v>11</v>
      </c>
      <c r="F13" s="6"/>
      <c r="G13" s="37">
        <f t="shared" si="0"/>
        <v>9.9999999999999995E-7</v>
      </c>
      <c r="H13" s="38">
        <f t="shared" si="1"/>
        <v>9.9999999999999995E-7</v>
      </c>
      <c r="K13" s="39">
        <f t="shared" si="2"/>
        <v>7.3999925999999994E-5</v>
      </c>
      <c r="L13" s="39">
        <f t="shared" si="3"/>
        <v>5.5999943999999999E-5</v>
      </c>
      <c r="N13" s="26" t="s">
        <v>110</v>
      </c>
      <c r="O13" s="98">
        <v>25</v>
      </c>
      <c r="P13" s="99">
        <v>70</v>
      </c>
      <c r="Q13" s="100">
        <v>1.1000000000000001</v>
      </c>
      <c r="R13" s="101">
        <v>3.1</v>
      </c>
    </row>
    <row r="14" spans="1:22">
      <c r="A14" s="32">
        <v>12</v>
      </c>
      <c r="B14" s="33">
        <f>'life tables'!C20</f>
        <v>1.02E-4</v>
      </c>
      <c r="C14" s="33">
        <f>'life tables'!I20</f>
        <v>5.3999999999999998E-5</v>
      </c>
      <c r="E14" s="6">
        <v>12</v>
      </c>
      <c r="F14" s="6"/>
      <c r="G14" s="37">
        <f t="shared" si="0"/>
        <v>9.9999999999999995E-7</v>
      </c>
      <c r="H14" s="38">
        <f t="shared" si="1"/>
        <v>9.9999999999999995E-7</v>
      </c>
      <c r="K14" s="39">
        <f t="shared" si="2"/>
        <v>1.01999898E-4</v>
      </c>
      <c r="L14" s="39">
        <f t="shared" si="3"/>
        <v>5.3999945999999997E-5</v>
      </c>
      <c r="N14" s="26" t="s">
        <v>111</v>
      </c>
      <c r="O14" s="98">
        <v>43</v>
      </c>
      <c r="P14" s="99">
        <v>122</v>
      </c>
      <c r="Q14" s="100">
        <v>1.8</v>
      </c>
      <c r="R14" s="101">
        <v>5.3</v>
      </c>
    </row>
    <row r="15" spans="1:22">
      <c r="A15" s="32">
        <v>13</v>
      </c>
      <c r="B15" s="33">
        <f>'life tables'!C21</f>
        <v>1.16E-4</v>
      </c>
      <c r="C15" s="33">
        <f>'life tables'!I21</f>
        <v>8.7999999999999998E-5</v>
      </c>
      <c r="E15" s="6">
        <v>13</v>
      </c>
      <c r="F15" s="6"/>
      <c r="G15" s="37">
        <f t="shared" si="0"/>
        <v>9.9999999999999995E-7</v>
      </c>
      <c r="H15" s="38">
        <f t="shared" si="1"/>
        <v>9.9999999999999995E-7</v>
      </c>
      <c r="K15" s="39">
        <f t="shared" si="2"/>
        <v>1.15999884E-4</v>
      </c>
      <c r="L15" s="39">
        <f t="shared" si="3"/>
        <v>8.7999911999999997E-5</v>
      </c>
      <c r="N15" s="26" t="s">
        <v>112</v>
      </c>
      <c r="O15" s="98">
        <v>76</v>
      </c>
      <c r="P15" s="99">
        <v>190</v>
      </c>
      <c r="Q15" s="100">
        <v>3.5</v>
      </c>
      <c r="R15" s="101">
        <v>9</v>
      </c>
    </row>
    <row r="16" spans="1:22">
      <c r="A16" s="32">
        <v>14</v>
      </c>
      <c r="B16" s="33">
        <f>'life tables'!C22</f>
        <v>1.2400000000000001E-4</v>
      </c>
      <c r="C16" s="33">
        <f>'life tables'!I22</f>
        <v>9.3999999999999994E-5</v>
      </c>
      <c r="E16" s="6">
        <v>14</v>
      </c>
      <c r="F16" s="6"/>
      <c r="G16" s="37">
        <f t="shared" si="0"/>
        <v>9.9999999999999995E-7</v>
      </c>
      <c r="H16" s="38">
        <f t="shared" si="1"/>
        <v>9.9999999999999995E-7</v>
      </c>
      <c r="K16" s="39">
        <f t="shared" si="2"/>
        <v>1.2399987600000001E-4</v>
      </c>
      <c r="L16" s="39">
        <f t="shared" si="3"/>
        <v>9.3999905999999991E-5</v>
      </c>
      <c r="N16" s="26" t="s">
        <v>113</v>
      </c>
      <c r="O16" s="98">
        <v>116</v>
      </c>
      <c r="P16" s="99">
        <v>269</v>
      </c>
      <c r="Q16" s="100">
        <v>6.2</v>
      </c>
      <c r="R16" s="101">
        <v>15</v>
      </c>
    </row>
    <row r="17" spans="1:37">
      <c r="A17" s="32">
        <v>15</v>
      </c>
      <c r="B17" s="33">
        <f>'life tables'!C23</f>
        <v>1.6899999999999999E-4</v>
      </c>
      <c r="C17" s="33">
        <f>'life tables'!I23</f>
        <v>1.02E-4</v>
      </c>
      <c r="E17" s="6">
        <v>15</v>
      </c>
      <c r="F17" s="6"/>
      <c r="G17" s="37">
        <f t="shared" si="0"/>
        <v>0</v>
      </c>
      <c r="H17" s="38">
        <f t="shared" si="1"/>
        <v>9.9999999999999995E-7</v>
      </c>
      <c r="K17" s="39">
        <f t="shared" si="2"/>
        <v>1.6899999999999999E-4</v>
      </c>
      <c r="L17" s="39">
        <f t="shared" si="3"/>
        <v>1.01999898E-4</v>
      </c>
      <c r="N17" s="26" t="s">
        <v>114</v>
      </c>
      <c r="O17" s="98">
        <v>179</v>
      </c>
      <c r="P17" s="99">
        <v>348</v>
      </c>
      <c r="Q17" s="100">
        <v>10.199999999999999</v>
      </c>
      <c r="R17" s="101">
        <v>21.1</v>
      </c>
    </row>
    <row r="18" spans="1:37">
      <c r="A18" s="32">
        <v>16</v>
      </c>
      <c r="B18" s="33">
        <f>'life tables'!C24</f>
        <v>1.9000000000000001E-4</v>
      </c>
      <c r="C18" s="33">
        <f>'life tables'!I24</f>
        <v>1.2899999999999999E-4</v>
      </c>
      <c r="E18" s="6">
        <v>16</v>
      </c>
      <c r="F18" s="6"/>
      <c r="G18" s="37">
        <f t="shared" si="0"/>
        <v>0</v>
      </c>
      <c r="H18" s="38">
        <f t="shared" si="1"/>
        <v>9.9999999999999995E-7</v>
      </c>
      <c r="K18" s="39">
        <f t="shared" si="2"/>
        <v>1.9000000000000001E-4</v>
      </c>
      <c r="L18" s="39">
        <f t="shared" si="3"/>
        <v>1.2899987099999999E-4</v>
      </c>
      <c r="N18" s="26" t="s">
        <v>115</v>
      </c>
      <c r="O18" s="98">
        <v>246</v>
      </c>
      <c r="P18" s="99">
        <v>461</v>
      </c>
      <c r="Q18" s="100">
        <v>14.6</v>
      </c>
      <c r="R18" s="101">
        <v>29.9</v>
      </c>
    </row>
    <row r="19" spans="1:37">
      <c r="A19" s="32">
        <v>17</v>
      </c>
      <c r="B19" s="33">
        <f>'life tables'!C25</f>
        <v>2.8400000000000002E-4</v>
      </c>
      <c r="C19" s="33">
        <f>'life tables'!I25</f>
        <v>1.5699999999999999E-4</v>
      </c>
      <c r="E19" s="6">
        <v>17</v>
      </c>
      <c r="F19" s="6"/>
      <c r="G19" s="37">
        <f t="shared" si="0"/>
        <v>0</v>
      </c>
      <c r="H19" s="38">
        <f t="shared" si="1"/>
        <v>9.9999999999999995E-7</v>
      </c>
      <c r="K19" s="39">
        <f t="shared" si="2"/>
        <v>2.8400000000000002E-4</v>
      </c>
      <c r="L19" s="39">
        <f t="shared" si="3"/>
        <v>1.56999843E-4</v>
      </c>
      <c r="N19" s="26" t="s">
        <v>116</v>
      </c>
      <c r="O19" s="98">
        <v>275</v>
      </c>
      <c r="P19" s="99">
        <v>457</v>
      </c>
      <c r="Q19" s="100">
        <v>22.7</v>
      </c>
      <c r="R19" s="101">
        <v>44.1</v>
      </c>
    </row>
    <row r="20" spans="1:37">
      <c r="A20" s="32">
        <v>18</v>
      </c>
      <c r="B20" s="33">
        <f>'life tables'!C26</f>
        <v>3.7300000000000001E-4</v>
      </c>
      <c r="C20" s="33">
        <f>'life tables'!I26</f>
        <v>2.05E-4</v>
      </c>
      <c r="E20" s="6">
        <v>18</v>
      </c>
      <c r="F20" s="6"/>
      <c r="G20" s="37">
        <f t="shared" si="0"/>
        <v>0</v>
      </c>
      <c r="H20" s="38">
        <f t="shared" si="1"/>
        <v>9.9999999999999995E-7</v>
      </c>
      <c r="K20" s="39">
        <f t="shared" si="2"/>
        <v>3.7300000000000001E-4</v>
      </c>
      <c r="L20" s="39">
        <f t="shared" si="3"/>
        <v>2.04999795E-4</v>
      </c>
      <c r="N20" s="26" t="s">
        <v>117</v>
      </c>
      <c r="O20" s="98">
        <v>302</v>
      </c>
      <c r="P20" s="99">
        <v>444</v>
      </c>
      <c r="Q20" s="100">
        <v>32</v>
      </c>
      <c r="R20" s="101">
        <v>60.7</v>
      </c>
    </row>
    <row r="21" spans="1:37">
      <c r="A21" s="32">
        <v>19</v>
      </c>
      <c r="B21" s="33">
        <f>'life tables'!C27</f>
        <v>4.15E-4</v>
      </c>
      <c r="C21" s="33">
        <f>'life tables'!I27</f>
        <v>2.02E-4</v>
      </c>
      <c r="E21" s="6">
        <v>19</v>
      </c>
      <c r="F21" s="6"/>
      <c r="G21" s="37">
        <f t="shared" si="0"/>
        <v>0</v>
      </c>
      <c r="H21" s="38">
        <f t="shared" si="1"/>
        <v>9.9999999999999995E-7</v>
      </c>
      <c r="K21" s="39">
        <f t="shared" si="2"/>
        <v>4.15E-4</v>
      </c>
      <c r="L21" s="39">
        <f t="shared" si="3"/>
        <v>2.01999798E-4</v>
      </c>
      <c r="N21" s="26" t="s">
        <v>118</v>
      </c>
      <c r="O21" s="98">
        <v>285</v>
      </c>
      <c r="P21" s="99">
        <v>344</v>
      </c>
      <c r="Q21" s="100">
        <v>45.7</v>
      </c>
      <c r="R21" s="101">
        <v>85.4</v>
      </c>
    </row>
    <row r="22" spans="1:37">
      <c r="A22" s="32">
        <v>20</v>
      </c>
      <c r="B22" s="33">
        <f>'life tables'!C28</f>
        <v>5.2400000000000005E-4</v>
      </c>
      <c r="C22" s="33">
        <f>'life tables'!I28</f>
        <v>1.7699999999999999E-4</v>
      </c>
      <c r="E22" s="6">
        <v>20</v>
      </c>
      <c r="F22" s="6"/>
      <c r="G22" s="37">
        <f t="shared" si="0"/>
        <v>0</v>
      </c>
      <c r="H22" s="38">
        <f t="shared" si="1"/>
        <v>0</v>
      </c>
      <c r="K22" s="39">
        <f t="shared" si="2"/>
        <v>5.2400000000000005E-4</v>
      </c>
      <c r="L22" s="39">
        <f t="shared" si="3"/>
        <v>1.7699999999999999E-4</v>
      </c>
      <c r="N22" s="26" t="s">
        <v>119</v>
      </c>
      <c r="O22" s="98">
        <v>199</v>
      </c>
      <c r="P22" s="99">
        <v>188</v>
      </c>
      <c r="Q22" s="100">
        <v>49.1</v>
      </c>
      <c r="R22" s="101">
        <v>101.4</v>
      </c>
    </row>
    <row r="23" spans="1:37" ht="15.75" thickBot="1">
      <c r="A23" s="32">
        <v>21</v>
      </c>
      <c r="B23" s="33">
        <f>'life tables'!C29</f>
        <v>4.73E-4</v>
      </c>
      <c r="C23" s="33">
        <f>'life tables'!I29</f>
        <v>1.95E-4</v>
      </c>
      <c r="E23" s="6">
        <v>21</v>
      </c>
      <c r="F23" s="6"/>
      <c r="G23" s="37">
        <f t="shared" si="0"/>
        <v>0</v>
      </c>
      <c r="H23" s="38">
        <f t="shared" si="1"/>
        <v>0</v>
      </c>
      <c r="K23" s="39">
        <f t="shared" si="2"/>
        <v>4.73E-4</v>
      </c>
      <c r="L23" s="39">
        <f t="shared" si="3"/>
        <v>1.95E-4</v>
      </c>
      <c r="N23" s="26" t="s">
        <v>120</v>
      </c>
      <c r="O23" s="98">
        <v>1772</v>
      </c>
      <c r="P23" s="99">
        <v>2937</v>
      </c>
      <c r="Q23" s="100">
        <v>5.0999999999999996</v>
      </c>
      <c r="R23" s="101">
        <v>10.4</v>
      </c>
    </row>
    <row r="24" spans="1:37">
      <c r="A24" s="32">
        <v>22</v>
      </c>
      <c r="B24" s="33">
        <f>'life tables'!C30</f>
        <v>4.6299999999999998E-4</v>
      </c>
      <c r="C24" s="33">
        <f>'life tables'!I30</f>
        <v>2.32E-4</v>
      </c>
      <c r="E24" s="6">
        <v>22</v>
      </c>
      <c r="F24" s="6"/>
      <c r="G24" s="37">
        <f t="shared" si="0"/>
        <v>0</v>
      </c>
      <c r="H24" s="38">
        <f t="shared" si="1"/>
        <v>0</v>
      </c>
      <c r="K24" s="39">
        <f t="shared" si="2"/>
        <v>4.6299999999999998E-4</v>
      </c>
      <c r="L24" s="39">
        <f t="shared" si="3"/>
        <v>2.32E-4</v>
      </c>
      <c r="O24" s="102" t="s">
        <v>125</v>
      </c>
      <c r="P24" s="103"/>
      <c r="Q24" s="103"/>
      <c r="R24" s="104">
        <v>0.1</v>
      </c>
      <c r="S24" s="104">
        <v>0.1</v>
      </c>
      <c r="T24" s="104">
        <v>0.1</v>
      </c>
      <c r="U24" s="104">
        <v>0</v>
      </c>
      <c r="V24" s="104">
        <v>0</v>
      </c>
      <c r="W24" s="104">
        <v>0.1</v>
      </c>
      <c r="X24" s="104">
        <v>0.2</v>
      </c>
      <c r="Y24" s="104">
        <v>0.5</v>
      </c>
      <c r="Z24" s="104">
        <v>1.2</v>
      </c>
      <c r="AA24" s="104">
        <v>3.1</v>
      </c>
      <c r="AB24" s="104">
        <v>5.3</v>
      </c>
      <c r="AC24" s="104">
        <v>9</v>
      </c>
      <c r="AD24" s="104">
        <v>15</v>
      </c>
      <c r="AE24" s="104">
        <v>21.1</v>
      </c>
      <c r="AF24" s="104">
        <v>29.9</v>
      </c>
      <c r="AG24" s="104">
        <v>44.1</v>
      </c>
      <c r="AH24" s="104">
        <v>60.7</v>
      </c>
      <c r="AI24" s="104">
        <v>85.4</v>
      </c>
      <c r="AJ24" s="105">
        <v>101.4</v>
      </c>
    </row>
    <row r="25" spans="1:37">
      <c r="A25" s="32">
        <v>23</v>
      </c>
      <c r="B25" s="33">
        <f>'life tables'!C31</f>
        <v>4.7800000000000002E-4</v>
      </c>
      <c r="C25" s="33">
        <f>'life tables'!I31</f>
        <v>2.0000000000000001E-4</v>
      </c>
      <c r="E25" s="6">
        <v>23</v>
      </c>
      <c r="F25" s="6"/>
      <c r="G25" s="37">
        <f t="shared" si="0"/>
        <v>0</v>
      </c>
      <c r="H25" s="38">
        <f t="shared" si="1"/>
        <v>0</v>
      </c>
      <c r="K25" s="39">
        <f t="shared" si="2"/>
        <v>4.7800000000000002E-4</v>
      </c>
      <c r="L25" s="39">
        <f t="shared" si="3"/>
        <v>2.0000000000000001E-4</v>
      </c>
      <c r="O25" s="106" t="s">
        <v>126</v>
      </c>
      <c r="P25" s="107"/>
      <c r="Q25" s="107"/>
      <c r="R25" s="108">
        <v>0.2</v>
      </c>
      <c r="S25" s="108">
        <v>0.1</v>
      </c>
      <c r="T25" s="108">
        <v>0.1</v>
      </c>
      <c r="U25" s="108">
        <v>0.1</v>
      </c>
      <c r="V25" s="108">
        <v>0</v>
      </c>
      <c r="W25" s="108">
        <v>0.1</v>
      </c>
      <c r="X25" s="108">
        <v>0.1</v>
      </c>
      <c r="Y25" s="108">
        <v>0.3</v>
      </c>
      <c r="Z25" s="108">
        <v>0.3</v>
      </c>
      <c r="AA25" s="108">
        <v>1.1000000000000001</v>
      </c>
      <c r="AB25" s="108">
        <v>1.8</v>
      </c>
      <c r="AC25" s="108">
        <v>3.5</v>
      </c>
      <c r="AD25" s="108">
        <v>6.2</v>
      </c>
      <c r="AE25" s="108">
        <v>10.199999999999999</v>
      </c>
      <c r="AF25" s="108">
        <v>14.6</v>
      </c>
      <c r="AG25" s="108">
        <v>22.7</v>
      </c>
      <c r="AH25" s="108">
        <v>32</v>
      </c>
      <c r="AI25" s="108">
        <v>45.7</v>
      </c>
      <c r="AJ25" s="109">
        <v>49.1</v>
      </c>
      <c r="AK25" s="29"/>
    </row>
    <row r="26" spans="1:37">
      <c r="A26" s="32">
        <v>24</v>
      </c>
      <c r="B26" s="33">
        <f>'life tables'!C32</f>
        <v>5.1400000000000003E-4</v>
      </c>
      <c r="C26" s="33">
        <f>'life tables'!I32</f>
        <v>2.1499999999999999E-4</v>
      </c>
      <c r="E26" s="6">
        <v>24</v>
      </c>
      <c r="F26" s="6"/>
      <c r="G26" s="37">
        <f t="shared" si="0"/>
        <v>0</v>
      </c>
      <c r="H26" s="38">
        <f t="shared" si="1"/>
        <v>0</v>
      </c>
      <c r="K26" s="39">
        <f t="shared" si="2"/>
        <v>5.1400000000000003E-4</v>
      </c>
      <c r="L26" s="39">
        <f t="shared" si="3"/>
        <v>2.1499999999999999E-4</v>
      </c>
      <c r="O26" s="106" t="s">
        <v>121</v>
      </c>
      <c r="P26" s="107"/>
      <c r="Q26" s="107">
        <v>0</v>
      </c>
      <c r="R26" s="107">
        <v>1</v>
      </c>
      <c r="S26" s="107">
        <v>5</v>
      </c>
      <c r="T26" s="107">
        <v>10</v>
      </c>
      <c r="U26" s="107">
        <v>15</v>
      </c>
      <c r="V26" s="107">
        <v>20</v>
      </c>
      <c r="W26" s="107">
        <v>25</v>
      </c>
      <c r="X26" s="107">
        <v>30</v>
      </c>
      <c r="Y26" s="107">
        <v>35</v>
      </c>
      <c r="Z26" s="107">
        <v>40</v>
      </c>
      <c r="AA26" s="107">
        <v>45</v>
      </c>
      <c r="AB26" s="107">
        <v>50</v>
      </c>
      <c r="AC26" s="107">
        <v>55</v>
      </c>
      <c r="AD26" s="107">
        <v>60</v>
      </c>
      <c r="AE26" s="107">
        <v>65</v>
      </c>
      <c r="AF26" s="107">
        <v>70</v>
      </c>
      <c r="AG26" s="107">
        <v>75</v>
      </c>
      <c r="AH26" s="107">
        <v>80</v>
      </c>
      <c r="AI26" s="107">
        <v>85</v>
      </c>
      <c r="AJ26" s="110">
        <v>90</v>
      </c>
    </row>
    <row r="27" spans="1:37">
      <c r="A27" s="32">
        <v>25</v>
      </c>
      <c r="B27" s="33">
        <f>'life tables'!C33</f>
        <v>5.4000000000000001E-4</v>
      </c>
      <c r="C27" s="33">
        <f>'life tables'!I33</f>
        <v>2.5099999999999998E-4</v>
      </c>
      <c r="E27" s="6">
        <v>25</v>
      </c>
      <c r="F27" s="6"/>
      <c r="G27" s="37">
        <f t="shared" si="0"/>
        <v>9.9999999999999995E-7</v>
      </c>
      <c r="H27" s="38">
        <f t="shared" si="1"/>
        <v>9.9999999999999995E-7</v>
      </c>
      <c r="K27" s="39">
        <f t="shared" si="2"/>
        <v>5.3999946E-4</v>
      </c>
      <c r="L27" s="39">
        <f t="shared" si="3"/>
        <v>2.5099974899999995E-4</v>
      </c>
      <c r="O27" s="106" t="s">
        <v>124</v>
      </c>
      <c r="P27" s="111" t="s">
        <v>122</v>
      </c>
      <c r="Q27" s="107">
        <v>0</v>
      </c>
      <c r="R27" s="107">
        <f>R24/$S$1</f>
        <v>9.9999999999999995E-7</v>
      </c>
      <c r="S27" s="107">
        <f t="shared" ref="S27:AJ27" si="4">S24/$S$1</f>
        <v>9.9999999999999995E-7</v>
      </c>
      <c r="T27" s="107">
        <f t="shared" si="4"/>
        <v>9.9999999999999995E-7</v>
      </c>
      <c r="U27" s="107">
        <f t="shared" si="4"/>
        <v>0</v>
      </c>
      <c r="V27" s="107">
        <f t="shared" si="4"/>
        <v>0</v>
      </c>
      <c r="W27" s="107">
        <f t="shared" si="4"/>
        <v>9.9999999999999995E-7</v>
      </c>
      <c r="X27" s="107">
        <f t="shared" si="4"/>
        <v>1.9999999999999999E-6</v>
      </c>
      <c r="Y27" s="107">
        <f t="shared" si="4"/>
        <v>5.0000000000000004E-6</v>
      </c>
      <c r="Z27" s="107">
        <f t="shared" si="4"/>
        <v>1.2E-5</v>
      </c>
      <c r="AA27" s="107">
        <f t="shared" si="4"/>
        <v>3.1000000000000001E-5</v>
      </c>
      <c r="AB27" s="107">
        <f t="shared" si="4"/>
        <v>5.3000000000000001E-5</v>
      </c>
      <c r="AC27" s="107">
        <f t="shared" si="4"/>
        <v>9.0000000000000006E-5</v>
      </c>
      <c r="AD27" s="107">
        <f t="shared" si="4"/>
        <v>1.4999999999999999E-4</v>
      </c>
      <c r="AE27" s="107">
        <f t="shared" si="4"/>
        <v>2.1100000000000001E-4</v>
      </c>
      <c r="AF27" s="107">
        <f t="shared" si="4"/>
        <v>2.99E-4</v>
      </c>
      <c r="AG27" s="107">
        <f t="shared" si="4"/>
        <v>4.4100000000000004E-4</v>
      </c>
      <c r="AH27" s="107">
        <f t="shared" si="4"/>
        <v>6.0700000000000001E-4</v>
      </c>
      <c r="AI27" s="107">
        <f t="shared" si="4"/>
        <v>8.5400000000000005E-4</v>
      </c>
      <c r="AJ27" s="110">
        <f t="shared" si="4"/>
        <v>1.0140000000000001E-3</v>
      </c>
    </row>
    <row r="28" spans="1:37">
      <c r="A28" s="32">
        <v>26</v>
      </c>
      <c r="B28" s="33">
        <f>'life tables'!C34</f>
        <v>5.6700000000000001E-4</v>
      </c>
      <c r="C28" s="33">
        <f>'life tables'!I34</f>
        <v>2.5300000000000002E-4</v>
      </c>
      <c r="E28" s="6">
        <v>26</v>
      </c>
      <c r="F28" s="6"/>
      <c r="G28" s="37">
        <f t="shared" si="0"/>
        <v>9.9999999999999995E-7</v>
      </c>
      <c r="H28" s="38">
        <f t="shared" si="1"/>
        <v>9.9999999999999995E-7</v>
      </c>
      <c r="K28" s="39">
        <f t="shared" si="2"/>
        <v>5.66999433E-4</v>
      </c>
      <c r="L28" s="39">
        <f t="shared" si="3"/>
        <v>2.52999747E-4</v>
      </c>
      <c r="O28" s="106"/>
      <c r="P28" s="111" t="s">
        <v>123</v>
      </c>
      <c r="Q28" s="107">
        <v>0</v>
      </c>
      <c r="R28" s="107">
        <f>R25/$S$1</f>
        <v>1.9999999999999999E-6</v>
      </c>
      <c r="S28" s="107">
        <f t="shared" ref="S28:AJ28" si="5">S25/$S$1</f>
        <v>9.9999999999999995E-7</v>
      </c>
      <c r="T28" s="107">
        <f t="shared" si="5"/>
        <v>9.9999999999999995E-7</v>
      </c>
      <c r="U28" s="107">
        <f t="shared" si="5"/>
        <v>9.9999999999999995E-7</v>
      </c>
      <c r="V28" s="107">
        <f t="shared" si="5"/>
        <v>0</v>
      </c>
      <c r="W28" s="107">
        <f t="shared" si="5"/>
        <v>9.9999999999999995E-7</v>
      </c>
      <c r="X28" s="107">
        <f t="shared" si="5"/>
        <v>9.9999999999999995E-7</v>
      </c>
      <c r="Y28" s="107">
        <f t="shared" si="5"/>
        <v>3.0000000000000001E-6</v>
      </c>
      <c r="Z28" s="107">
        <f t="shared" si="5"/>
        <v>3.0000000000000001E-6</v>
      </c>
      <c r="AA28" s="107">
        <f t="shared" si="5"/>
        <v>1.1000000000000001E-5</v>
      </c>
      <c r="AB28" s="107">
        <f t="shared" si="5"/>
        <v>1.8E-5</v>
      </c>
      <c r="AC28" s="107">
        <f t="shared" si="5"/>
        <v>3.4999999999999997E-5</v>
      </c>
      <c r="AD28" s="107">
        <f t="shared" si="5"/>
        <v>6.2000000000000003E-5</v>
      </c>
      <c r="AE28" s="107">
        <f t="shared" si="5"/>
        <v>1.02E-4</v>
      </c>
      <c r="AF28" s="107">
        <f t="shared" si="5"/>
        <v>1.46E-4</v>
      </c>
      <c r="AG28" s="107">
        <f t="shared" si="5"/>
        <v>2.2699999999999999E-4</v>
      </c>
      <c r="AH28" s="107">
        <f t="shared" si="5"/>
        <v>3.2000000000000003E-4</v>
      </c>
      <c r="AI28" s="107">
        <f t="shared" si="5"/>
        <v>4.5700000000000005E-4</v>
      </c>
      <c r="AJ28" s="110">
        <f t="shared" si="5"/>
        <v>4.9100000000000001E-4</v>
      </c>
    </row>
    <row r="29" spans="1:37" ht="15.75" thickBot="1">
      <c r="A29" s="32">
        <v>27</v>
      </c>
      <c r="B29" s="33">
        <f>'life tables'!C35</f>
        <v>5.8500000000000002E-4</v>
      </c>
      <c r="C29" s="33">
        <f>'life tables'!I35</f>
        <v>2.9E-4</v>
      </c>
      <c r="E29" s="6">
        <v>27</v>
      </c>
      <c r="F29" s="6"/>
      <c r="G29" s="37">
        <f t="shared" si="0"/>
        <v>9.9999999999999995E-7</v>
      </c>
      <c r="H29" s="38">
        <f t="shared" si="1"/>
        <v>9.9999999999999995E-7</v>
      </c>
      <c r="K29" s="39">
        <f t="shared" si="2"/>
        <v>5.8499941499999997E-4</v>
      </c>
      <c r="L29" s="39">
        <f t="shared" si="3"/>
        <v>2.8999970999999997E-4</v>
      </c>
      <c r="O29" s="112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4"/>
    </row>
    <row r="30" spans="1:37">
      <c r="A30" s="32">
        <v>28</v>
      </c>
      <c r="B30" s="33">
        <f>'life tables'!C36</f>
        <v>6.29E-4</v>
      </c>
      <c r="C30" s="33">
        <f>'life tables'!I36</f>
        <v>2.99E-4</v>
      </c>
      <c r="E30" s="6">
        <v>28</v>
      </c>
      <c r="F30" s="6"/>
      <c r="G30" s="37">
        <f t="shared" si="0"/>
        <v>9.9999999999999995E-7</v>
      </c>
      <c r="H30" s="38">
        <f t="shared" si="1"/>
        <v>9.9999999999999995E-7</v>
      </c>
      <c r="K30" s="39">
        <f t="shared" si="2"/>
        <v>6.2899937100000002E-4</v>
      </c>
      <c r="L30" s="39">
        <f t="shared" si="3"/>
        <v>2.9899970100000001E-4</v>
      </c>
    </row>
    <row r="31" spans="1:37">
      <c r="A31" s="32">
        <v>29</v>
      </c>
      <c r="B31" s="33">
        <f>'life tables'!C37</f>
        <v>6.5700000000000003E-4</v>
      </c>
      <c r="C31" s="33">
        <f>'life tables'!I37</f>
        <v>3.1799999999999998E-4</v>
      </c>
      <c r="E31" s="6">
        <v>29</v>
      </c>
      <c r="F31" s="6"/>
      <c r="G31" s="37">
        <f t="shared" si="0"/>
        <v>9.9999999999999995E-7</v>
      </c>
      <c r="H31" s="38">
        <f t="shared" si="1"/>
        <v>9.9999999999999995E-7</v>
      </c>
      <c r="K31" s="39">
        <f t="shared" si="2"/>
        <v>6.5699934300000006E-4</v>
      </c>
      <c r="L31" s="39">
        <f t="shared" si="3"/>
        <v>3.1799968199999995E-4</v>
      </c>
    </row>
    <row r="32" spans="1:37">
      <c r="A32" s="32">
        <v>30</v>
      </c>
      <c r="B32" s="33">
        <f>'life tables'!C38</f>
        <v>7.2999999999999996E-4</v>
      </c>
      <c r="C32" s="33">
        <f>'life tables'!I38</f>
        <v>3.7399999999999998E-4</v>
      </c>
      <c r="E32" s="6">
        <v>30</v>
      </c>
      <c r="F32" s="6"/>
      <c r="G32" s="37">
        <f t="shared" si="0"/>
        <v>1.9999999999999999E-6</v>
      </c>
      <c r="H32" s="38">
        <f t="shared" si="1"/>
        <v>9.9999999999999995E-7</v>
      </c>
      <c r="K32" s="39">
        <f t="shared" si="2"/>
        <v>7.2999854000000005E-4</v>
      </c>
      <c r="L32" s="39">
        <f t="shared" si="3"/>
        <v>3.7399962599999996E-4</v>
      </c>
    </row>
    <row r="33" spans="1:12">
      <c r="A33" s="32">
        <v>31</v>
      </c>
      <c r="B33" s="33">
        <f>'life tables'!C39</f>
        <v>7.7800000000000005E-4</v>
      </c>
      <c r="C33" s="33">
        <f>'life tables'!I39</f>
        <v>3.6600000000000001E-4</v>
      </c>
      <c r="E33" s="6">
        <v>31</v>
      </c>
      <c r="F33" s="6"/>
      <c r="G33" s="37">
        <f t="shared" si="0"/>
        <v>1.9999999999999999E-6</v>
      </c>
      <c r="H33" s="38">
        <f t="shared" si="1"/>
        <v>9.9999999999999995E-7</v>
      </c>
      <c r="K33" s="39">
        <f t="shared" si="2"/>
        <v>7.7799844400000008E-4</v>
      </c>
      <c r="L33" s="39">
        <f t="shared" si="3"/>
        <v>3.65999634E-4</v>
      </c>
    </row>
    <row r="34" spans="1:12">
      <c r="A34" s="32">
        <v>32</v>
      </c>
      <c r="B34" s="33">
        <f>'life tables'!C40</f>
        <v>7.7499999999999997E-4</v>
      </c>
      <c r="C34" s="33">
        <f>'life tables'!I40</f>
        <v>4.37E-4</v>
      </c>
      <c r="E34" s="6">
        <v>32</v>
      </c>
      <c r="F34" s="6"/>
      <c r="G34" s="37">
        <f t="shared" si="0"/>
        <v>1.9999999999999999E-6</v>
      </c>
      <c r="H34" s="38">
        <f t="shared" si="1"/>
        <v>9.9999999999999995E-7</v>
      </c>
      <c r="K34" s="39">
        <f t="shared" si="2"/>
        <v>7.7499844999999999E-4</v>
      </c>
      <c r="L34" s="39">
        <f t="shared" si="3"/>
        <v>4.3699956300000001E-4</v>
      </c>
    </row>
    <row r="35" spans="1:12">
      <c r="A35" s="32">
        <v>33</v>
      </c>
      <c r="B35" s="33">
        <f>'life tables'!C41</f>
        <v>8.8800000000000001E-4</v>
      </c>
      <c r="C35" s="33">
        <f>'life tables'!I41</f>
        <v>4.7199999999999998E-4</v>
      </c>
      <c r="E35" s="6">
        <v>33</v>
      </c>
      <c r="F35" s="6"/>
      <c r="G35" s="37">
        <f t="shared" ref="G35:G66" si="6">HLOOKUP(E35,All_cause_mort,2)</f>
        <v>1.9999999999999999E-6</v>
      </c>
      <c r="H35" s="38">
        <f t="shared" ref="H35:H66" si="7">HLOOKUP(E35,All_cause_mort,3)</f>
        <v>9.9999999999999995E-7</v>
      </c>
      <c r="K35" s="39">
        <f t="shared" ref="K35:K66" si="8">B35*(1-G35)</f>
        <v>8.8799822400000006E-4</v>
      </c>
      <c r="L35" s="39">
        <f t="shared" ref="L35:L66" si="9">C35*(1-H35)</f>
        <v>4.7199952799999997E-4</v>
      </c>
    </row>
    <row r="36" spans="1:12">
      <c r="A36" s="32">
        <v>34</v>
      </c>
      <c r="B36" s="33">
        <f>'life tables'!C42</f>
        <v>9.1699999999999995E-4</v>
      </c>
      <c r="C36" s="33">
        <f>'life tables'!I42</f>
        <v>5.4900000000000001E-4</v>
      </c>
      <c r="E36" s="6">
        <v>34</v>
      </c>
      <c r="F36" s="6"/>
      <c r="G36" s="37">
        <f t="shared" si="6"/>
        <v>1.9999999999999999E-6</v>
      </c>
      <c r="H36" s="38">
        <f t="shared" si="7"/>
        <v>9.9999999999999995E-7</v>
      </c>
      <c r="K36" s="39">
        <f t="shared" si="8"/>
        <v>9.1699816600000002E-4</v>
      </c>
      <c r="L36" s="39">
        <f t="shared" si="9"/>
        <v>5.4899945100000003E-4</v>
      </c>
    </row>
    <row r="37" spans="1:12">
      <c r="A37" s="32">
        <v>35</v>
      </c>
      <c r="B37" s="33">
        <f>'life tables'!C43</f>
        <v>9.8999999999999999E-4</v>
      </c>
      <c r="C37" s="33">
        <f>'life tables'!I43</f>
        <v>5.5999999999999995E-4</v>
      </c>
      <c r="E37" s="6">
        <v>35</v>
      </c>
      <c r="F37" s="6"/>
      <c r="G37" s="37">
        <f t="shared" si="6"/>
        <v>5.0000000000000004E-6</v>
      </c>
      <c r="H37" s="38">
        <f t="shared" si="7"/>
        <v>3.0000000000000001E-6</v>
      </c>
      <c r="K37" s="39">
        <f t="shared" si="8"/>
        <v>9.8999505000000004E-4</v>
      </c>
      <c r="L37" s="39">
        <f t="shared" si="9"/>
        <v>5.5999831999999994E-4</v>
      </c>
    </row>
    <row r="38" spans="1:12">
      <c r="A38" s="32">
        <v>36</v>
      </c>
      <c r="B38" s="33">
        <f>'life tables'!C44</f>
        <v>1.0430000000000001E-3</v>
      </c>
      <c r="C38" s="33">
        <f>'life tables'!I44</f>
        <v>6.2500000000000001E-4</v>
      </c>
      <c r="E38" s="6">
        <v>36</v>
      </c>
      <c r="F38" s="6"/>
      <c r="G38" s="37">
        <f t="shared" si="6"/>
        <v>5.0000000000000004E-6</v>
      </c>
      <c r="H38" s="38">
        <f t="shared" si="7"/>
        <v>3.0000000000000001E-6</v>
      </c>
      <c r="K38" s="39">
        <f t="shared" si="8"/>
        <v>1.0429947850000001E-3</v>
      </c>
      <c r="L38" s="39">
        <f t="shared" si="9"/>
        <v>6.2499812500000002E-4</v>
      </c>
    </row>
    <row r="39" spans="1:12">
      <c r="A39" s="32">
        <v>37</v>
      </c>
      <c r="B39" s="33">
        <f>'life tables'!C45</f>
        <v>1.2570000000000001E-3</v>
      </c>
      <c r="C39" s="33">
        <f>'life tables'!I45</f>
        <v>7.2400000000000003E-4</v>
      </c>
      <c r="E39" s="6">
        <v>37</v>
      </c>
      <c r="F39" s="6"/>
      <c r="G39" s="37">
        <f t="shared" si="6"/>
        <v>5.0000000000000004E-6</v>
      </c>
      <c r="H39" s="38">
        <f t="shared" si="7"/>
        <v>3.0000000000000001E-6</v>
      </c>
      <c r="K39" s="39">
        <f t="shared" si="8"/>
        <v>1.256993715E-3</v>
      </c>
      <c r="L39" s="39">
        <f t="shared" si="9"/>
        <v>7.2399782800000004E-4</v>
      </c>
    </row>
    <row r="40" spans="1:12">
      <c r="A40" s="32">
        <v>38</v>
      </c>
      <c r="B40" s="33">
        <f>'life tables'!C46</f>
        <v>1.23E-3</v>
      </c>
      <c r="C40" s="33">
        <f>'life tables'!I46</f>
        <v>7.5699999999999997E-4</v>
      </c>
      <c r="E40" s="6">
        <v>38</v>
      </c>
      <c r="F40" s="6"/>
      <c r="G40" s="37">
        <f t="shared" si="6"/>
        <v>5.0000000000000004E-6</v>
      </c>
      <c r="H40" s="38">
        <f t="shared" si="7"/>
        <v>3.0000000000000001E-6</v>
      </c>
      <c r="K40" s="39">
        <f t="shared" si="8"/>
        <v>1.2299938499999998E-3</v>
      </c>
      <c r="L40" s="39">
        <f t="shared" si="9"/>
        <v>7.5699772899999994E-4</v>
      </c>
    </row>
    <row r="41" spans="1:12">
      <c r="A41" s="32">
        <v>39</v>
      </c>
      <c r="B41" s="33">
        <f>'life tables'!C47</f>
        <v>1.359E-3</v>
      </c>
      <c r="C41" s="33">
        <f>'life tables'!I47</f>
        <v>7.9100000000000004E-4</v>
      </c>
      <c r="E41" s="6">
        <v>39</v>
      </c>
      <c r="F41" s="6"/>
      <c r="G41" s="37">
        <f t="shared" si="6"/>
        <v>5.0000000000000004E-6</v>
      </c>
      <c r="H41" s="38">
        <f t="shared" si="7"/>
        <v>3.0000000000000001E-6</v>
      </c>
      <c r="K41" s="39">
        <f t="shared" si="8"/>
        <v>1.358993205E-3</v>
      </c>
      <c r="L41" s="39">
        <f t="shared" si="9"/>
        <v>7.9099762700000009E-4</v>
      </c>
    </row>
    <row r="42" spans="1:12">
      <c r="A42" s="32">
        <v>40</v>
      </c>
      <c r="B42" s="33">
        <f>'life tables'!C48</f>
        <v>1.4859999999999999E-3</v>
      </c>
      <c r="C42" s="33">
        <f>'life tables'!I48</f>
        <v>8.4900000000000004E-4</v>
      </c>
      <c r="E42" s="6">
        <v>40</v>
      </c>
      <c r="F42" s="6"/>
      <c r="G42" s="37">
        <f t="shared" si="6"/>
        <v>1.2E-5</v>
      </c>
      <c r="H42" s="38">
        <f t="shared" si="7"/>
        <v>3.0000000000000001E-6</v>
      </c>
      <c r="K42" s="39">
        <f t="shared" si="8"/>
        <v>1.4859821679999998E-3</v>
      </c>
      <c r="L42" s="39">
        <f t="shared" si="9"/>
        <v>8.4899745300000002E-4</v>
      </c>
    </row>
    <row r="43" spans="1:12">
      <c r="A43" s="32">
        <v>41</v>
      </c>
      <c r="B43" s="33">
        <f>'life tables'!C49</f>
        <v>1.5759999999999999E-3</v>
      </c>
      <c r="C43" s="33">
        <f>'life tables'!I49</f>
        <v>9.4300000000000004E-4</v>
      </c>
      <c r="E43" s="6">
        <v>41</v>
      </c>
      <c r="F43" s="6"/>
      <c r="G43" s="37">
        <f t="shared" si="6"/>
        <v>1.2E-5</v>
      </c>
      <c r="H43" s="38">
        <f t="shared" si="7"/>
        <v>3.0000000000000001E-6</v>
      </c>
      <c r="K43" s="39">
        <f t="shared" si="8"/>
        <v>1.5759810879999998E-3</v>
      </c>
      <c r="L43" s="39">
        <f t="shared" si="9"/>
        <v>9.4299717100000007E-4</v>
      </c>
    </row>
    <row r="44" spans="1:12">
      <c r="A44" s="32">
        <v>42</v>
      </c>
      <c r="B44" s="33">
        <f>'life tables'!C50</f>
        <v>1.7179999999999999E-3</v>
      </c>
      <c r="C44" s="33">
        <f>'life tables'!I50</f>
        <v>1.0579999999999999E-3</v>
      </c>
      <c r="E44" s="6">
        <v>42</v>
      </c>
      <c r="F44" s="6"/>
      <c r="G44" s="37">
        <f t="shared" si="6"/>
        <v>1.2E-5</v>
      </c>
      <c r="H44" s="38">
        <f t="shared" si="7"/>
        <v>3.0000000000000001E-6</v>
      </c>
      <c r="K44" s="39">
        <f t="shared" si="8"/>
        <v>1.7179793839999999E-3</v>
      </c>
      <c r="L44" s="39">
        <f t="shared" si="9"/>
        <v>1.057996826E-3</v>
      </c>
    </row>
    <row r="45" spans="1:12">
      <c r="A45" s="32">
        <v>43</v>
      </c>
      <c r="B45" s="33">
        <f>'life tables'!C51</f>
        <v>1.8779999999999999E-3</v>
      </c>
      <c r="C45" s="33">
        <f>'life tables'!I51</f>
        <v>1.1490000000000001E-3</v>
      </c>
      <c r="E45" s="6">
        <v>43</v>
      </c>
      <c r="F45" s="6"/>
      <c r="G45" s="37">
        <f t="shared" si="6"/>
        <v>1.2E-5</v>
      </c>
      <c r="H45" s="38">
        <f t="shared" si="7"/>
        <v>3.0000000000000001E-6</v>
      </c>
      <c r="K45" s="39">
        <f t="shared" si="8"/>
        <v>1.877977464E-3</v>
      </c>
      <c r="L45" s="39">
        <f t="shared" si="9"/>
        <v>1.1489965530000002E-3</v>
      </c>
    </row>
    <row r="46" spans="1:12">
      <c r="A46" s="32">
        <v>44</v>
      </c>
      <c r="B46" s="33">
        <f>'life tables'!C52</f>
        <v>2.0739999999999999E-3</v>
      </c>
      <c r="C46" s="33">
        <f>'life tables'!I52</f>
        <v>1.2999999999999999E-3</v>
      </c>
      <c r="E46" s="6">
        <v>44</v>
      </c>
      <c r="F46" s="6"/>
      <c r="G46" s="37">
        <f t="shared" si="6"/>
        <v>1.2E-5</v>
      </c>
      <c r="H46" s="38">
        <f t="shared" si="7"/>
        <v>3.0000000000000001E-6</v>
      </c>
      <c r="K46" s="39">
        <f t="shared" si="8"/>
        <v>2.073975112E-3</v>
      </c>
      <c r="L46" s="39">
        <f t="shared" si="9"/>
        <v>1.2999960999999999E-3</v>
      </c>
    </row>
    <row r="47" spans="1:12">
      <c r="A47" s="32">
        <v>45</v>
      </c>
      <c r="B47" s="33">
        <f>'life tables'!C53</f>
        <v>2.307E-3</v>
      </c>
      <c r="C47" s="33">
        <f>'life tables'!I53</f>
        <v>1.4170000000000001E-3</v>
      </c>
      <c r="E47" s="6">
        <v>45</v>
      </c>
      <c r="F47" s="6"/>
      <c r="G47" s="37">
        <f t="shared" si="6"/>
        <v>3.1000000000000001E-5</v>
      </c>
      <c r="H47" s="38">
        <f t="shared" si="7"/>
        <v>1.1000000000000001E-5</v>
      </c>
      <c r="K47" s="39">
        <f t="shared" si="8"/>
        <v>2.306928483E-3</v>
      </c>
      <c r="L47" s="39">
        <f t="shared" si="9"/>
        <v>1.4169844130000001E-3</v>
      </c>
    </row>
    <row r="48" spans="1:12">
      <c r="A48" s="32">
        <v>46</v>
      </c>
      <c r="B48" s="33">
        <f>'life tables'!C54</f>
        <v>2.4399999999999999E-3</v>
      </c>
      <c r="C48" s="33">
        <f>'life tables'!I54</f>
        <v>1.5319999999999999E-3</v>
      </c>
      <c r="E48" s="6">
        <v>46</v>
      </c>
      <c r="F48" s="6"/>
      <c r="G48" s="37">
        <f t="shared" si="6"/>
        <v>3.1000000000000001E-5</v>
      </c>
      <c r="H48" s="38">
        <f t="shared" si="7"/>
        <v>1.1000000000000001E-5</v>
      </c>
      <c r="K48" s="39">
        <f t="shared" si="8"/>
        <v>2.4399243599999999E-3</v>
      </c>
      <c r="L48" s="39">
        <f t="shared" si="9"/>
        <v>1.5319831480000001E-3</v>
      </c>
    </row>
    <row r="49" spans="1:12">
      <c r="A49" s="32">
        <v>47</v>
      </c>
      <c r="B49" s="33">
        <f>'life tables'!C55</f>
        <v>2.6380000000000002E-3</v>
      </c>
      <c r="C49" s="33">
        <f>'life tables'!I55</f>
        <v>1.6670000000000001E-3</v>
      </c>
      <c r="E49" s="6">
        <v>47</v>
      </c>
      <c r="F49" s="6"/>
      <c r="G49" s="37">
        <f t="shared" si="6"/>
        <v>3.1000000000000001E-5</v>
      </c>
      <c r="H49" s="38">
        <f t="shared" si="7"/>
        <v>1.1000000000000001E-5</v>
      </c>
      <c r="K49" s="39">
        <f t="shared" si="8"/>
        <v>2.6379182220000004E-3</v>
      </c>
      <c r="L49" s="39">
        <f t="shared" si="9"/>
        <v>1.6669816630000001E-3</v>
      </c>
    </row>
    <row r="50" spans="1:12">
      <c r="A50" s="32">
        <v>48</v>
      </c>
      <c r="B50" s="33">
        <f>'life tables'!C56</f>
        <v>2.836E-3</v>
      </c>
      <c r="C50" s="33">
        <f>'life tables'!I56</f>
        <v>1.8940000000000001E-3</v>
      </c>
      <c r="E50" s="6">
        <v>48</v>
      </c>
      <c r="F50" s="6"/>
      <c r="G50" s="37">
        <f t="shared" si="6"/>
        <v>3.1000000000000001E-5</v>
      </c>
      <c r="H50" s="38">
        <f t="shared" si="7"/>
        <v>1.1000000000000001E-5</v>
      </c>
      <c r="K50" s="39">
        <f t="shared" si="8"/>
        <v>2.835912084E-3</v>
      </c>
      <c r="L50" s="39">
        <f t="shared" si="9"/>
        <v>1.893979166E-3</v>
      </c>
    </row>
    <row r="51" spans="1:12">
      <c r="A51" s="32">
        <v>49</v>
      </c>
      <c r="B51" s="33">
        <f>'life tables'!C57</f>
        <v>3.1449999999999998E-3</v>
      </c>
      <c r="C51" s="33">
        <f>'life tables'!I57</f>
        <v>1.9880000000000002E-3</v>
      </c>
      <c r="E51" s="6">
        <v>49</v>
      </c>
      <c r="F51" s="6"/>
      <c r="G51" s="37">
        <f t="shared" si="6"/>
        <v>3.1000000000000001E-5</v>
      </c>
      <c r="H51" s="38">
        <f t="shared" si="7"/>
        <v>1.1000000000000001E-5</v>
      </c>
      <c r="K51" s="39">
        <f t="shared" si="8"/>
        <v>3.1449025049999999E-3</v>
      </c>
      <c r="L51" s="39">
        <f t="shared" si="9"/>
        <v>1.9879781320000004E-3</v>
      </c>
    </row>
    <row r="52" spans="1:12">
      <c r="A52" s="32">
        <v>50</v>
      </c>
      <c r="B52" s="33">
        <f>'life tables'!C58</f>
        <v>3.424E-3</v>
      </c>
      <c r="C52" s="33">
        <f>'life tables'!I58</f>
        <v>2.1549999999999998E-3</v>
      </c>
      <c r="E52" s="6">
        <v>50</v>
      </c>
      <c r="F52" s="6"/>
      <c r="G52" s="37">
        <f t="shared" si="6"/>
        <v>5.3000000000000001E-5</v>
      </c>
      <c r="H52" s="38">
        <f t="shared" si="7"/>
        <v>1.8E-5</v>
      </c>
      <c r="K52" s="39">
        <f t="shared" si="8"/>
        <v>3.423818528E-3</v>
      </c>
      <c r="L52" s="39">
        <f t="shared" si="9"/>
        <v>2.15496121E-3</v>
      </c>
    </row>
    <row r="53" spans="1:12">
      <c r="A53" s="32">
        <v>51</v>
      </c>
      <c r="B53" s="33">
        <f>'life tables'!C59</f>
        <v>3.6909999999999998E-3</v>
      </c>
      <c r="C53" s="33">
        <f>'life tables'!I59</f>
        <v>2.379E-3</v>
      </c>
      <c r="E53" s="6">
        <v>51</v>
      </c>
      <c r="F53" s="6"/>
      <c r="G53" s="37">
        <f t="shared" si="6"/>
        <v>5.3000000000000001E-5</v>
      </c>
      <c r="H53" s="38">
        <f t="shared" si="7"/>
        <v>1.8E-5</v>
      </c>
      <c r="K53" s="39">
        <f t="shared" si="8"/>
        <v>3.690804377E-3</v>
      </c>
      <c r="L53" s="39">
        <f t="shared" si="9"/>
        <v>2.3789571780000003E-3</v>
      </c>
    </row>
    <row r="54" spans="1:12">
      <c r="A54" s="32">
        <v>52</v>
      </c>
      <c r="B54" s="33">
        <f>'life tables'!C60</f>
        <v>3.9199999999999999E-3</v>
      </c>
      <c r="C54" s="33">
        <f>'life tables'!I60</f>
        <v>2.506E-3</v>
      </c>
      <c r="E54" s="6">
        <v>52</v>
      </c>
      <c r="F54" s="6"/>
      <c r="G54" s="37">
        <f t="shared" si="6"/>
        <v>5.3000000000000001E-5</v>
      </c>
      <c r="H54" s="38">
        <f t="shared" si="7"/>
        <v>1.8E-5</v>
      </c>
      <c r="K54" s="39">
        <f t="shared" si="8"/>
        <v>3.91979224E-3</v>
      </c>
      <c r="L54" s="39">
        <f t="shared" si="9"/>
        <v>2.5059548920000002E-3</v>
      </c>
    </row>
    <row r="55" spans="1:12">
      <c r="A55" s="32">
        <v>53</v>
      </c>
      <c r="B55" s="33">
        <f>'life tables'!C61</f>
        <v>4.2770000000000004E-3</v>
      </c>
      <c r="C55" s="33">
        <f>'life tables'!I61</f>
        <v>2.6819999999999999E-3</v>
      </c>
      <c r="E55" s="6">
        <v>53</v>
      </c>
      <c r="F55" s="6"/>
      <c r="G55" s="37">
        <f t="shared" si="6"/>
        <v>5.3000000000000001E-5</v>
      </c>
      <c r="H55" s="38">
        <f t="shared" si="7"/>
        <v>1.8E-5</v>
      </c>
      <c r="K55" s="39">
        <f t="shared" si="8"/>
        <v>4.2767733190000002E-3</v>
      </c>
      <c r="L55" s="39">
        <f t="shared" si="9"/>
        <v>2.6819517239999998E-3</v>
      </c>
    </row>
    <row r="56" spans="1:12">
      <c r="A56" s="32">
        <v>54</v>
      </c>
      <c r="B56" s="33">
        <f>'life tables'!C62</f>
        <v>4.5789999999999997E-3</v>
      </c>
      <c r="C56" s="33">
        <f>'life tables'!I62</f>
        <v>2.836E-3</v>
      </c>
      <c r="E56" s="6">
        <v>54</v>
      </c>
      <c r="F56" s="6"/>
      <c r="G56" s="37">
        <f t="shared" si="6"/>
        <v>5.3000000000000001E-5</v>
      </c>
      <c r="H56" s="38">
        <f t="shared" si="7"/>
        <v>1.8E-5</v>
      </c>
      <c r="K56" s="39">
        <f t="shared" si="8"/>
        <v>4.5787573130000002E-3</v>
      </c>
      <c r="L56" s="39">
        <f t="shared" si="9"/>
        <v>2.8359489520000001E-3</v>
      </c>
    </row>
    <row r="57" spans="1:12">
      <c r="A57" s="32">
        <v>55</v>
      </c>
      <c r="B57" s="33">
        <f>'life tables'!C63</f>
        <v>4.888E-3</v>
      </c>
      <c r="C57" s="33">
        <f>'life tables'!I63</f>
        <v>3.1580000000000002E-3</v>
      </c>
      <c r="E57" s="6">
        <v>55</v>
      </c>
      <c r="F57" s="6"/>
      <c r="G57" s="37">
        <f t="shared" si="6"/>
        <v>9.0000000000000006E-5</v>
      </c>
      <c r="H57" s="38">
        <f t="shared" si="7"/>
        <v>3.4999999999999997E-5</v>
      </c>
      <c r="K57" s="39">
        <f t="shared" si="8"/>
        <v>4.8875600799999997E-3</v>
      </c>
      <c r="L57" s="39">
        <f t="shared" si="9"/>
        <v>3.1578894700000004E-3</v>
      </c>
    </row>
    <row r="58" spans="1:12">
      <c r="A58" s="32">
        <v>56</v>
      </c>
      <c r="B58" s="33">
        <f>'life tables'!C64</f>
        <v>5.4260000000000003E-3</v>
      </c>
      <c r="C58" s="33">
        <f>'life tables'!I64</f>
        <v>3.5170000000000002E-3</v>
      </c>
      <c r="E58" s="6">
        <v>56</v>
      </c>
      <c r="F58" s="6"/>
      <c r="G58" s="37">
        <f t="shared" si="6"/>
        <v>9.0000000000000006E-5</v>
      </c>
      <c r="H58" s="38">
        <f t="shared" si="7"/>
        <v>3.4999999999999997E-5</v>
      </c>
      <c r="K58" s="39">
        <f t="shared" si="8"/>
        <v>5.42551166E-3</v>
      </c>
      <c r="L58" s="39">
        <f t="shared" si="9"/>
        <v>3.5168769050000002E-3</v>
      </c>
    </row>
    <row r="59" spans="1:12">
      <c r="A59" s="32">
        <v>57</v>
      </c>
      <c r="B59" s="33">
        <f>'life tables'!C65</f>
        <v>5.8820000000000001E-3</v>
      </c>
      <c r="C59" s="33">
        <f>'life tables'!I65</f>
        <v>3.7829999999999999E-3</v>
      </c>
      <c r="E59" s="6">
        <v>57</v>
      </c>
      <c r="F59" s="6"/>
      <c r="G59" s="37">
        <f t="shared" si="6"/>
        <v>9.0000000000000006E-5</v>
      </c>
      <c r="H59" s="38">
        <f t="shared" si="7"/>
        <v>3.4999999999999997E-5</v>
      </c>
      <c r="K59" s="39">
        <f t="shared" si="8"/>
        <v>5.8814706199999999E-3</v>
      </c>
      <c r="L59" s="39">
        <f t="shared" si="9"/>
        <v>3.7828675949999999E-3</v>
      </c>
    </row>
    <row r="60" spans="1:12">
      <c r="A60" s="32">
        <v>58</v>
      </c>
      <c r="B60" s="33">
        <f>'life tables'!C66</f>
        <v>6.5230000000000002E-3</v>
      </c>
      <c r="C60" s="33">
        <f>'life tables'!I66</f>
        <v>4.2100000000000002E-3</v>
      </c>
      <c r="E60" s="6">
        <v>58</v>
      </c>
      <c r="F60" s="6"/>
      <c r="G60" s="37">
        <f t="shared" si="6"/>
        <v>9.0000000000000006E-5</v>
      </c>
      <c r="H60" s="38">
        <f t="shared" si="7"/>
        <v>3.4999999999999997E-5</v>
      </c>
      <c r="K60" s="39">
        <f t="shared" si="8"/>
        <v>6.5224129299999998E-3</v>
      </c>
      <c r="L60" s="39">
        <f t="shared" si="9"/>
        <v>4.20985265E-3</v>
      </c>
    </row>
    <row r="61" spans="1:12">
      <c r="A61" s="32">
        <v>59</v>
      </c>
      <c r="B61" s="33">
        <f>'life tables'!C67</f>
        <v>7.0349999999999996E-3</v>
      </c>
      <c r="C61" s="33">
        <f>'life tables'!I67</f>
        <v>4.4819999999999999E-3</v>
      </c>
      <c r="E61" s="6">
        <v>59</v>
      </c>
      <c r="F61" s="6"/>
      <c r="G61" s="37">
        <f t="shared" si="6"/>
        <v>9.0000000000000006E-5</v>
      </c>
      <c r="H61" s="38">
        <f t="shared" si="7"/>
        <v>3.4999999999999997E-5</v>
      </c>
      <c r="K61" s="39">
        <f t="shared" si="8"/>
        <v>7.0343668499999994E-3</v>
      </c>
      <c r="L61" s="39">
        <f t="shared" si="9"/>
        <v>4.4818431299999996E-3</v>
      </c>
    </row>
    <row r="62" spans="1:12">
      <c r="A62" s="32">
        <v>60</v>
      </c>
      <c r="B62" s="33">
        <f>'life tables'!C68</f>
        <v>7.698E-3</v>
      </c>
      <c r="C62" s="33">
        <f>'life tables'!I68</f>
        <v>5.0429999999999997E-3</v>
      </c>
      <c r="E62" s="6">
        <v>60</v>
      </c>
      <c r="F62" s="6"/>
      <c r="G62" s="37">
        <f t="shared" si="6"/>
        <v>1.4999999999999999E-4</v>
      </c>
      <c r="H62" s="38">
        <f t="shared" si="7"/>
        <v>6.2000000000000003E-5</v>
      </c>
      <c r="K62" s="39">
        <f t="shared" si="8"/>
        <v>7.6968453000000004E-3</v>
      </c>
      <c r="L62" s="39">
        <f t="shared" si="9"/>
        <v>5.0426873340000001E-3</v>
      </c>
    </row>
    <row r="63" spans="1:12">
      <c r="A63" s="32">
        <v>61</v>
      </c>
      <c r="B63" s="33">
        <f>'life tables'!C69</f>
        <v>8.3540000000000003E-3</v>
      </c>
      <c r="C63" s="33">
        <f>'life tables'!I69</f>
        <v>5.424E-3</v>
      </c>
      <c r="E63" s="6">
        <v>61</v>
      </c>
      <c r="F63" s="6"/>
      <c r="G63" s="37">
        <f t="shared" si="6"/>
        <v>1.4999999999999999E-4</v>
      </c>
      <c r="H63" s="38">
        <f t="shared" si="7"/>
        <v>6.2000000000000003E-5</v>
      </c>
      <c r="K63" s="39">
        <f t="shared" si="8"/>
        <v>8.352746900000001E-3</v>
      </c>
      <c r="L63" s="39">
        <f t="shared" si="9"/>
        <v>5.4236637120000002E-3</v>
      </c>
    </row>
    <row r="64" spans="1:12">
      <c r="A64" s="32">
        <v>62</v>
      </c>
      <c r="B64" s="33">
        <f>'life tables'!C70</f>
        <v>9.3279999999999995E-3</v>
      </c>
      <c r="C64" s="33">
        <f>'life tables'!I70</f>
        <v>6.2350000000000001E-3</v>
      </c>
      <c r="E64" s="6">
        <v>62</v>
      </c>
      <c r="F64" s="6"/>
      <c r="G64" s="37">
        <f t="shared" si="6"/>
        <v>1.4999999999999999E-4</v>
      </c>
      <c r="H64" s="38">
        <f t="shared" si="7"/>
        <v>6.2000000000000003E-5</v>
      </c>
      <c r="K64" s="39">
        <f t="shared" si="8"/>
        <v>9.3266007999999994E-3</v>
      </c>
      <c r="L64" s="39">
        <f t="shared" si="9"/>
        <v>6.23461343E-3</v>
      </c>
    </row>
    <row r="65" spans="1:12">
      <c r="A65" s="32">
        <v>63</v>
      </c>
      <c r="B65" s="33">
        <f>'life tables'!C71</f>
        <v>1.0187E-2</v>
      </c>
      <c r="C65" s="33">
        <f>'life tables'!I71</f>
        <v>6.6270000000000001E-3</v>
      </c>
      <c r="E65" s="6">
        <v>63</v>
      </c>
      <c r="F65" s="6"/>
      <c r="G65" s="37">
        <f t="shared" si="6"/>
        <v>1.4999999999999999E-4</v>
      </c>
      <c r="H65" s="38">
        <f t="shared" si="7"/>
        <v>6.2000000000000003E-5</v>
      </c>
      <c r="K65" s="39">
        <f t="shared" si="8"/>
        <v>1.018547195E-2</v>
      </c>
      <c r="L65" s="39">
        <f t="shared" si="9"/>
        <v>6.6265891259999999E-3</v>
      </c>
    </row>
    <row r="66" spans="1:12">
      <c r="A66" s="32">
        <v>64</v>
      </c>
      <c r="B66" s="33">
        <f>'life tables'!C72</f>
        <v>1.0952E-2</v>
      </c>
      <c r="C66" s="33">
        <f>'life tables'!I72</f>
        <v>7.0910000000000001E-3</v>
      </c>
      <c r="E66" s="6">
        <v>64</v>
      </c>
      <c r="F66" s="6"/>
      <c r="G66" s="37">
        <f t="shared" si="6"/>
        <v>1.4999999999999999E-4</v>
      </c>
      <c r="H66" s="38">
        <f t="shared" si="7"/>
        <v>6.2000000000000003E-5</v>
      </c>
      <c r="K66" s="39">
        <f t="shared" si="8"/>
        <v>1.09503572E-2</v>
      </c>
      <c r="L66" s="39">
        <f t="shared" si="9"/>
        <v>7.0905603580000004E-3</v>
      </c>
    </row>
    <row r="67" spans="1:12">
      <c r="A67" s="32">
        <v>65</v>
      </c>
      <c r="B67" s="33">
        <f>'life tables'!C73</f>
        <v>1.2212000000000001E-2</v>
      </c>
      <c r="C67" s="33">
        <f>'life tables'!I73</f>
        <v>7.8019999999999999E-3</v>
      </c>
      <c r="E67" s="6">
        <v>65</v>
      </c>
      <c r="F67" s="6"/>
      <c r="G67" s="37">
        <f t="shared" ref="G67:G102" si="10">HLOOKUP(E67,All_cause_mort,2)</f>
        <v>2.1100000000000001E-4</v>
      </c>
      <c r="H67" s="38">
        <f t="shared" ref="H67:H102" si="11">HLOOKUP(E67,All_cause_mort,3)</f>
        <v>1.02E-4</v>
      </c>
      <c r="K67" s="39">
        <f t="shared" ref="K67:K102" si="12">B67*(1-G67)</f>
        <v>1.2209423268000001E-2</v>
      </c>
      <c r="L67" s="39">
        <f t="shared" ref="L67:L102" si="13">C67*(1-H67)</f>
        <v>7.8012041959999992E-3</v>
      </c>
    </row>
    <row r="68" spans="1:12">
      <c r="A68" s="32">
        <v>66</v>
      </c>
      <c r="B68" s="33">
        <f>'life tables'!C74</f>
        <v>1.3476E-2</v>
      </c>
      <c r="C68" s="33">
        <f>'life tables'!I74</f>
        <v>8.4600000000000005E-3</v>
      </c>
      <c r="E68" s="6">
        <v>66</v>
      </c>
      <c r="F68" s="6"/>
      <c r="G68" s="37">
        <f t="shared" si="10"/>
        <v>2.1100000000000001E-4</v>
      </c>
      <c r="H68" s="38">
        <f t="shared" si="11"/>
        <v>1.02E-4</v>
      </c>
      <c r="K68" s="39">
        <f t="shared" si="12"/>
        <v>1.3473156564000001E-2</v>
      </c>
      <c r="L68" s="39">
        <f t="shared" si="13"/>
        <v>8.4591370799999999E-3</v>
      </c>
    </row>
    <row r="69" spans="1:12">
      <c r="A69" s="32">
        <v>67</v>
      </c>
      <c r="B69" s="33">
        <f>'life tables'!C75</f>
        <v>1.4449999999999999E-2</v>
      </c>
      <c r="C69" s="33">
        <f>'life tables'!I75</f>
        <v>9.1970000000000003E-3</v>
      </c>
      <c r="E69" s="6">
        <v>67</v>
      </c>
      <c r="F69" s="6"/>
      <c r="G69" s="37">
        <f t="shared" si="10"/>
        <v>2.1100000000000001E-4</v>
      </c>
      <c r="H69" s="38">
        <f t="shared" si="11"/>
        <v>1.02E-4</v>
      </c>
      <c r="K69" s="39">
        <f t="shared" si="12"/>
        <v>1.444695105E-2</v>
      </c>
      <c r="L69" s="39">
        <f t="shared" si="13"/>
        <v>9.1960619059999991E-3</v>
      </c>
    </row>
    <row r="70" spans="1:12">
      <c r="A70" s="32">
        <v>68</v>
      </c>
      <c r="B70" s="33">
        <f>'life tables'!C76</f>
        <v>1.6038E-2</v>
      </c>
      <c r="C70" s="33">
        <f>'life tables'!I76</f>
        <v>1.0337000000000001E-2</v>
      </c>
      <c r="E70" s="6">
        <v>68</v>
      </c>
      <c r="F70" s="6"/>
      <c r="G70" s="37">
        <f t="shared" si="10"/>
        <v>2.1100000000000001E-4</v>
      </c>
      <c r="H70" s="38">
        <f t="shared" si="11"/>
        <v>1.02E-4</v>
      </c>
      <c r="K70" s="39">
        <f t="shared" si="12"/>
        <v>1.6034615982000001E-2</v>
      </c>
      <c r="L70" s="39">
        <f t="shared" si="13"/>
        <v>1.0335945626000001E-2</v>
      </c>
    </row>
    <row r="71" spans="1:12">
      <c r="A71" s="32">
        <v>69</v>
      </c>
      <c r="B71" s="33">
        <f>'life tables'!C77</f>
        <v>1.7609E-2</v>
      </c>
      <c r="C71" s="33">
        <f>'life tables'!I77</f>
        <v>1.0980999999999999E-2</v>
      </c>
      <c r="E71" s="6">
        <v>69</v>
      </c>
      <c r="F71" s="6"/>
      <c r="G71" s="37">
        <f t="shared" si="10"/>
        <v>2.1100000000000001E-4</v>
      </c>
      <c r="H71" s="38">
        <f t="shared" si="11"/>
        <v>1.02E-4</v>
      </c>
      <c r="K71" s="39">
        <f t="shared" si="12"/>
        <v>1.7605284501000001E-2</v>
      </c>
      <c r="L71" s="39">
        <f t="shared" si="13"/>
        <v>1.0979879937999999E-2</v>
      </c>
    </row>
    <row r="72" spans="1:12">
      <c r="A72" s="32">
        <v>70</v>
      </c>
      <c r="B72" s="33">
        <f>'life tables'!C78</f>
        <v>1.8770999999999999E-2</v>
      </c>
      <c r="C72" s="33">
        <f>'life tables'!I78</f>
        <v>1.2444999999999999E-2</v>
      </c>
      <c r="E72" s="6">
        <v>70</v>
      </c>
      <c r="F72" s="6"/>
      <c r="G72" s="37">
        <f t="shared" si="10"/>
        <v>2.99E-4</v>
      </c>
      <c r="H72" s="38">
        <f t="shared" si="11"/>
        <v>1.46E-4</v>
      </c>
      <c r="K72" s="39">
        <f t="shared" si="12"/>
        <v>1.8765387470999997E-2</v>
      </c>
      <c r="L72" s="39">
        <f t="shared" si="13"/>
        <v>1.2443183029999999E-2</v>
      </c>
    </row>
    <row r="73" spans="1:12">
      <c r="A73" s="32">
        <v>71</v>
      </c>
      <c r="B73" s="33">
        <f>'life tables'!C79</f>
        <v>2.0324999999999999E-2</v>
      </c>
      <c r="C73" s="33">
        <f>'life tables'!I79</f>
        <v>1.3209E-2</v>
      </c>
      <c r="E73" s="6">
        <v>71</v>
      </c>
      <c r="F73" s="6"/>
      <c r="G73" s="37">
        <f t="shared" si="10"/>
        <v>2.99E-4</v>
      </c>
      <c r="H73" s="38">
        <f t="shared" si="11"/>
        <v>1.46E-4</v>
      </c>
      <c r="K73" s="39">
        <f t="shared" si="12"/>
        <v>2.0318922824999999E-2</v>
      </c>
      <c r="L73" s="39">
        <f t="shared" si="13"/>
        <v>1.3207071486E-2</v>
      </c>
    </row>
    <row r="74" spans="1:12">
      <c r="A74" s="32">
        <v>72</v>
      </c>
      <c r="B74" s="33">
        <f>'life tables'!C80</f>
        <v>2.2155000000000001E-2</v>
      </c>
      <c r="C74" s="33">
        <f>'life tables'!I80</f>
        <v>1.4992E-2</v>
      </c>
      <c r="E74" s="6">
        <v>72</v>
      </c>
      <c r="F74" s="6"/>
      <c r="G74" s="37">
        <f t="shared" si="10"/>
        <v>2.99E-4</v>
      </c>
      <c r="H74" s="38">
        <f t="shared" si="11"/>
        <v>1.46E-4</v>
      </c>
      <c r="K74" s="39">
        <f t="shared" si="12"/>
        <v>2.2148375655E-2</v>
      </c>
      <c r="L74" s="39">
        <f t="shared" si="13"/>
        <v>1.4989811168E-2</v>
      </c>
    </row>
    <row r="75" spans="1:12">
      <c r="A75" s="32">
        <v>73</v>
      </c>
      <c r="B75" s="33">
        <f>'life tables'!C81</f>
        <v>2.5340999999999999E-2</v>
      </c>
      <c r="C75" s="33">
        <f>'life tables'!I81</f>
        <v>1.6775999999999999E-2</v>
      </c>
      <c r="E75" s="6">
        <v>73</v>
      </c>
      <c r="F75" s="6"/>
      <c r="G75" s="37">
        <f t="shared" si="10"/>
        <v>2.99E-4</v>
      </c>
      <c r="H75" s="38">
        <f t="shared" si="11"/>
        <v>1.46E-4</v>
      </c>
      <c r="K75" s="39">
        <f t="shared" si="12"/>
        <v>2.5333423040999999E-2</v>
      </c>
      <c r="L75" s="39">
        <f t="shared" si="13"/>
        <v>1.6773550703999999E-2</v>
      </c>
    </row>
    <row r="76" spans="1:12">
      <c r="A76" s="32">
        <v>74</v>
      </c>
      <c r="B76" s="33">
        <f>'life tables'!C82</f>
        <v>2.7949000000000002E-2</v>
      </c>
      <c r="C76" s="33">
        <f>'life tables'!I82</f>
        <v>1.908E-2</v>
      </c>
      <c r="E76" s="6">
        <v>74</v>
      </c>
      <c r="F76" s="6"/>
      <c r="G76" s="37">
        <f t="shared" si="10"/>
        <v>2.99E-4</v>
      </c>
      <c r="H76" s="38">
        <f t="shared" si="11"/>
        <v>1.46E-4</v>
      </c>
      <c r="K76" s="39">
        <f t="shared" si="12"/>
        <v>2.7940643248999999E-2</v>
      </c>
      <c r="L76" s="39">
        <f t="shared" si="13"/>
        <v>1.9077214320000001E-2</v>
      </c>
    </row>
    <row r="77" spans="1:12">
      <c r="A77" s="32">
        <v>75</v>
      </c>
      <c r="B77" s="33">
        <f>'life tables'!C83</f>
        <v>3.1469999999999998E-2</v>
      </c>
      <c r="C77" s="33">
        <f>'life tables'!I83</f>
        <v>2.0997999999999999E-2</v>
      </c>
      <c r="E77" s="6">
        <v>75</v>
      </c>
      <c r="F77" s="6"/>
      <c r="G77" s="37">
        <f t="shared" si="10"/>
        <v>4.4100000000000004E-4</v>
      </c>
      <c r="H77" s="38">
        <f t="shared" si="11"/>
        <v>2.2699999999999999E-4</v>
      </c>
      <c r="K77" s="39">
        <f t="shared" si="12"/>
        <v>3.1456121729999995E-2</v>
      </c>
      <c r="L77" s="39">
        <f t="shared" si="13"/>
        <v>2.0993233454000001E-2</v>
      </c>
    </row>
    <row r="78" spans="1:12">
      <c r="A78" s="32">
        <v>76</v>
      </c>
      <c r="B78" s="33">
        <f>'life tables'!C84</f>
        <v>3.5002999999999999E-2</v>
      </c>
      <c r="C78" s="33">
        <f>'life tables'!I84</f>
        <v>2.3674000000000001E-2</v>
      </c>
      <c r="E78" s="6">
        <v>76</v>
      </c>
      <c r="F78" s="6"/>
      <c r="G78" s="37">
        <f t="shared" si="10"/>
        <v>4.4100000000000004E-4</v>
      </c>
      <c r="H78" s="38">
        <f t="shared" si="11"/>
        <v>2.2699999999999999E-4</v>
      </c>
      <c r="K78" s="39">
        <f t="shared" si="12"/>
        <v>3.4987563676999997E-2</v>
      </c>
      <c r="L78" s="39">
        <f t="shared" si="13"/>
        <v>2.3668626002000002E-2</v>
      </c>
    </row>
    <row r="79" spans="1:12">
      <c r="A79" s="32">
        <v>77</v>
      </c>
      <c r="B79" s="33">
        <f>'life tables'!C85</f>
        <v>3.9288999999999998E-2</v>
      </c>
      <c r="C79" s="33">
        <f>'life tables'!I85</f>
        <v>2.7191E-2</v>
      </c>
      <c r="E79" s="6">
        <v>77</v>
      </c>
      <c r="F79" s="6"/>
      <c r="G79" s="37">
        <f t="shared" si="10"/>
        <v>4.4100000000000004E-4</v>
      </c>
      <c r="H79" s="38">
        <f t="shared" si="11"/>
        <v>2.2699999999999999E-4</v>
      </c>
      <c r="K79" s="39">
        <f t="shared" si="12"/>
        <v>3.9271673550999996E-2</v>
      </c>
      <c r="L79" s="39">
        <f t="shared" si="13"/>
        <v>2.7184827643000002E-2</v>
      </c>
    </row>
    <row r="80" spans="1:12">
      <c r="A80" s="32">
        <v>78</v>
      </c>
      <c r="B80" s="33">
        <f>'life tables'!C86</f>
        <v>4.4240000000000002E-2</v>
      </c>
      <c r="C80" s="33">
        <f>'life tables'!I86</f>
        <v>3.0485999999999999E-2</v>
      </c>
      <c r="E80" s="6">
        <v>78</v>
      </c>
      <c r="F80" s="6"/>
      <c r="G80" s="37">
        <f t="shared" si="10"/>
        <v>4.4100000000000004E-4</v>
      </c>
      <c r="H80" s="38">
        <f t="shared" si="11"/>
        <v>2.2699999999999999E-4</v>
      </c>
      <c r="K80" s="39">
        <f t="shared" si="12"/>
        <v>4.4220490160000001E-2</v>
      </c>
      <c r="L80" s="39">
        <f t="shared" si="13"/>
        <v>3.0479079677999999E-2</v>
      </c>
    </row>
    <row r="81" spans="1:12">
      <c r="A81" s="32">
        <v>79</v>
      </c>
      <c r="B81" s="33">
        <f>'life tables'!C87</f>
        <v>4.9105000000000003E-2</v>
      </c>
      <c r="C81" s="33">
        <f>'life tables'!I87</f>
        <v>3.4882999999999997E-2</v>
      </c>
      <c r="E81" s="6">
        <v>79</v>
      </c>
      <c r="F81" s="6"/>
      <c r="G81" s="37">
        <f t="shared" si="10"/>
        <v>4.4100000000000004E-4</v>
      </c>
      <c r="H81" s="38">
        <f t="shared" si="11"/>
        <v>2.2699999999999999E-4</v>
      </c>
      <c r="K81" s="39">
        <f t="shared" si="12"/>
        <v>4.9083344695000003E-2</v>
      </c>
      <c r="L81" s="39">
        <f t="shared" si="13"/>
        <v>3.4875081559000001E-2</v>
      </c>
    </row>
    <row r="82" spans="1:12">
      <c r="A82" s="32">
        <v>80</v>
      </c>
      <c r="B82" s="33">
        <f>'life tables'!C88</f>
        <v>5.5030999999999997E-2</v>
      </c>
      <c r="C82" s="33">
        <f>'life tables'!I88</f>
        <v>3.8718000000000002E-2</v>
      </c>
      <c r="E82" s="6">
        <v>80</v>
      </c>
      <c r="F82" s="6"/>
      <c r="G82" s="37">
        <f t="shared" si="10"/>
        <v>6.0700000000000001E-4</v>
      </c>
      <c r="H82" s="38">
        <f t="shared" si="11"/>
        <v>3.2000000000000003E-4</v>
      </c>
      <c r="K82" s="39">
        <f t="shared" si="12"/>
        <v>5.4997596182999993E-2</v>
      </c>
      <c r="L82" s="39">
        <f t="shared" si="13"/>
        <v>3.870561024E-2</v>
      </c>
    </row>
    <row r="83" spans="1:12">
      <c r="A83" s="32">
        <v>81</v>
      </c>
      <c r="B83" s="33">
        <f>'life tables'!C89</f>
        <v>6.1031000000000002E-2</v>
      </c>
      <c r="C83" s="33">
        <f>'life tables'!I89</f>
        <v>4.3823000000000001E-2</v>
      </c>
      <c r="E83" s="6">
        <v>81</v>
      </c>
      <c r="F83" s="6"/>
      <c r="G83" s="37">
        <f t="shared" si="10"/>
        <v>6.0700000000000001E-4</v>
      </c>
      <c r="H83" s="38">
        <f t="shared" si="11"/>
        <v>3.2000000000000003E-4</v>
      </c>
      <c r="K83" s="39">
        <f t="shared" si="12"/>
        <v>6.0993954183E-2</v>
      </c>
      <c r="L83" s="39">
        <f t="shared" si="13"/>
        <v>4.3808976640000004E-2</v>
      </c>
    </row>
    <row r="84" spans="1:12">
      <c r="A84" s="32">
        <v>82</v>
      </c>
      <c r="B84" s="33">
        <f>'life tables'!C90</f>
        <v>6.7993999999999999E-2</v>
      </c>
      <c r="C84" s="33">
        <f>'life tables'!I90</f>
        <v>4.9163999999999999E-2</v>
      </c>
      <c r="E84" s="6">
        <v>82</v>
      </c>
      <c r="F84" s="6"/>
      <c r="G84" s="37">
        <f t="shared" si="10"/>
        <v>6.0700000000000001E-4</v>
      </c>
      <c r="H84" s="38">
        <f t="shared" si="11"/>
        <v>3.2000000000000003E-4</v>
      </c>
      <c r="K84" s="39">
        <f t="shared" si="12"/>
        <v>6.7952727641999999E-2</v>
      </c>
      <c r="L84" s="39">
        <f t="shared" si="13"/>
        <v>4.9148267519999997E-2</v>
      </c>
    </row>
    <row r="85" spans="1:12">
      <c r="A85" s="32">
        <v>83</v>
      </c>
      <c r="B85" s="33">
        <f>'life tables'!C91</f>
        <v>7.5946E-2</v>
      </c>
      <c r="C85" s="33">
        <f>'life tables'!I91</f>
        <v>5.6023999999999997E-2</v>
      </c>
      <c r="E85" s="6">
        <v>83</v>
      </c>
      <c r="F85" s="6"/>
      <c r="G85" s="37">
        <f t="shared" si="10"/>
        <v>6.0700000000000001E-4</v>
      </c>
      <c r="H85" s="38">
        <f t="shared" si="11"/>
        <v>3.2000000000000003E-4</v>
      </c>
      <c r="K85" s="39">
        <f t="shared" si="12"/>
        <v>7.5899900778000004E-2</v>
      </c>
      <c r="L85" s="39">
        <f t="shared" si="13"/>
        <v>5.6006072319999996E-2</v>
      </c>
    </row>
    <row r="86" spans="1:12">
      <c r="A86" s="32">
        <v>84</v>
      </c>
      <c r="B86" s="33">
        <f>'life tables'!C92</f>
        <v>8.5847999999999994E-2</v>
      </c>
      <c r="C86" s="33">
        <f>'life tables'!I92</f>
        <v>6.3838000000000006E-2</v>
      </c>
      <c r="E86" s="6">
        <v>84</v>
      </c>
      <c r="F86" s="6"/>
      <c r="G86" s="37">
        <f t="shared" si="10"/>
        <v>6.0700000000000001E-4</v>
      </c>
      <c r="H86" s="38">
        <f t="shared" si="11"/>
        <v>3.2000000000000003E-4</v>
      </c>
      <c r="K86" s="39">
        <f t="shared" si="12"/>
        <v>8.5795890263999988E-2</v>
      </c>
      <c r="L86" s="39">
        <f t="shared" si="13"/>
        <v>6.3817571840000004E-2</v>
      </c>
    </row>
    <row r="87" spans="1:12">
      <c r="A87" s="32">
        <v>85</v>
      </c>
      <c r="B87" s="33">
        <f>'life tables'!C93</f>
        <v>9.6293000000000004E-2</v>
      </c>
      <c r="C87" s="33">
        <f>'life tables'!I93</f>
        <v>7.2609999999999994E-2</v>
      </c>
      <c r="E87" s="6">
        <v>85</v>
      </c>
      <c r="F87" s="6"/>
      <c r="G87" s="37">
        <f t="shared" si="10"/>
        <v>8.5400000000000005E-4</v>
      </c>
      <c r="H87" s="38">
        <f t="shared" si="11"/>
        <v>4.5700000000000005E-4</v>
      </c>
      <c r="K87" s="39">
        <f t="shared" si="12"/>
        <v>9.6210765778000001E-2</v>
      </c>
      <c r="L87" s="39">
        <f t="shared" si="13"/>
        <v>7.2576817229999993E-2</v>
      </c>
    </row>
    <row r="88" spans="1:12">
      <c r="A88" s="32">
        <v>86</v>
      </c>
      <c r="B88" s="33">
        <f>'life tables'!C94</f>
        <v>0.10914699999999999</v>
      </c>
      <c r="C88" s="33">
        <f>'life tables'!I94</f>
        <v>8.3157999999999996E-2</v>
      </c>
      <c r="E88" s="6">
        <v>86</v>
      </c>
      <c r="F88" s="6"/>
      <c r="G88" s="37">
        <f t="shared" si="10"/>
        <v>8.5400000000000005E-4</v>
      </c>
      <c r="H88" s="38">
        <f t="shared" si="11"/>
        <v>4.5700000000000005E-4</v>
      </c>
      <c r="K88" s="39">
        <f t="shared" si="12"/>
        <v>0.10905378846199999</v>
      </c>
      <c r="L88" s="39">
        <f t="shared" si="13"/>
        <v>8.3119996793999992E-2</v>
      </c>
    </row>
    <row r="89" spans="1:12">
      <c r="A89" s="32">
        <v>87</v>
      </c>
      <c r="B89" s="33">
        <f>'life tables'!C95</f>
        <v>0.12164899999999999</v>
      </c>
      <c r="C89" s="33">
        <f>'life tables'!I95</f>
        <v>9.4539999999999999E-2</v>
      </c>
      <c r="E89" s="6">
        <v>87</v>
      </c>
      <c r="F89" s="6"/>
      <c r="G89" s="37">
        <f t="shared" si="10"/>
        <v>8.5400000000000005E-4</v>
      </c>
      <c r="H89" s="38">
        <f t="shared" si="11"/>
        <v>4.5700000000000005E-4</v>
      </c>
      <c r="K89" s="39">
        <f t="shared" si="12"/>
        <v>0.12154511175399998</v>
      </c>
      <c r="L89" s="39">
        <f t="shared" si="13"/>
        <v>9.4496795219999999E-2</v>
      </c>
    </row>
    <row r="90" spans="1:12">
      <c r="A90" s="32">
        <v>88</v>
      </c>
      <c r="B90" s="33">
        <f>'life tables'!C96</f>
        <v>0.13649800000000001</v>
      </c>
      <c r="C90" s="33">
        <f>'life tables'!I96</f>
        <v>0.106614</v>
      </c>
      <c r="E90" s="6">
        <v>88</v>
      </c>
      <c r="F90" s="6"/>
      <c r="G90" s="37">
        <f t="shared" si="10"/>
        <v>8.5400000000000005E-4</v>
      </c>
      <c r="H90" s="38">
        <f t="shared" si="11"/>
        <v>4.5700000000000005E-4</v>
      </c>
      <c r="K90" s="39">
        <f t="shared" si="12"/>
        <v>0.13638143070800002</v>
      </c>
      <c r="L90" s="39">
        <f t="shared" si="13"/>
        <v>0.106565277402</v>
      </c>
    </row>
    <row r="91" spans="1:12">
      <c r="A91" s="32">
        <v>89</v>
      </c>
      <c r="B91" s="33">
        <f>'life tables'!C97</f>
        <v>0.15324299999999999</v>
      </c>
      <c r="C91" s="33">
        <f>'life tables'!I97</f>
        <v>0.12001299999999999</v>
      </c>
      <c r="E91" s="6">
        <v>89</v>
      </c>
      <c r="F91" s="6"/>
      <c r="G91" s="37">
        <f t="shared" si="10"/>
        <v>8.5400000000000005E-4</v>
      </c>
      <c r="H91" s="38">
        <f t="shared" si="11"/>
        <v>4.5700000000000005E-4</v>
      </c>
      <c r="K91" s="39">
        <f t="shared" si="12"/>
        <v>0.15311213047799999</v>
      </c>
      <c r="L91" s="39">
        <f t="shared" si="13"/>
        <v>0.119958154059</v>
      </c>
    </row>
    <row r="92" spans="1:12">
      <c r="A92" s="32">
        <v>90</v>
      </c>
      <c r="B92" s="33">
        <f>'life tables'!C98</f>
        <v>0.162051</v>
      </c>
      <c r="C92" s="33">
        <f>'life tables'!I98</f>
        <v>0.134717</v>
      </c>
      <c r="E92" s="6">
        <v>90</v>
      </c>
      <c r="F92" s="6"/>
      <c r="G92" s="37">
        <f t="shared" si="10"/>
        <v>1.0140000000000001E-3</v>
      </c>
      <c r="H92" s="38">
        <f t="shared" si="11"/>
        <v>4.9100000000000001E-4</v>
      </c>
      <c r="K92" s="39">
        <f t="shared" si="12"/>
        <v>0.16188668028600001</v>
      </c>
      <c r="L92" s="39">
        <f t="shared" si="13"/>
        <v>0.134650853953</v>
      </c>
    </row>
    <row r="93" spans="1:12">
      <c r="A93" s="32">
        <v>91</v>
      </c>
      <c r="B93" s="33">
        <f>'life tables'!C99</f>
        <v>0.181591</v>
      </c>
      <c r="C93" s="33">
        <f>'life tables'!I99</f>
        <v>0.15171599999999999</v>
      </c>
      <c r="E93" s="6">
        <v>91</v>
      </c>
      <c r="F93" s="6"/>
      <c r="G93" s="37">
        <f t="shared" si="10"/>
        <v>1.0140000000000001E-3</v>
      </c>
      <c r="H93" s="38">
        <f t="shared" si="11"/>
        <v>4.9100000000000001E-4</v>
      </c>
      <c r="K93" s="39">
        <f t="shared" si="12"/>
        <v>0.18140686672600001</v>
      </c>
      <c r="L93" s="39">
        <f t="shared" si="13"/>
        <v>0.15164150744399998</v>
      </c>
    </row>
    <row r="94" spans="1:12">
      <c r="A94" s="32">
        <v>92</v>
      </c>
      <c r="B94" s="33">
        <f>'life tables'!C100</f>
        <v>0.19864699999999999</v>
      </c>
      <c r="C94" s="33">
        <f>'life tables'!I100</f>
        <v>0.16958300000000001</v>
      </c>
      <c r="E94" s="6">
        <v>92</v>
      </c>
      <c r="F94" s="6"/>
      <c r="G94" s="37">
        <f t="shared" si="10"/>
        <v>1.0140000000000001E-3</v>
      </c>
      <c r="H94" s="38">
        <f t="shared" si="11"/>
        <v>4.9100000000000001E-4</v>
      </c>
      <c r="K94" s="39">
        <f t="shared" si="12"/>
        <v>0.19844557194199999</v>
      </c>
      <c r="L94" s="39">
        <f t="shared" si="13"/>
        <v>0.169499734747</v>
      </c>
    </row>
    <row r="95" spans="1:12">
      <c r="A95" s="32">
        <v>93</v>
      </c>
      <c r="B95" s="33">
        <f>'life tables'!C101</f>
        <v>0.222409</v>
      </c>
      <c r="C95" s="33">
        <f>'life tables'!I101</f>
        <v>0.188218</v>
      </c>
      <c r="E95" s="6">
        <v>93</v>
      </c>
      <c r="F95" s="6"/>
      <c r="G95" s="37">
        <f t="shared" si="10"/>
        <v>1.0140000000000001E-3</v>
      </c>
      <c r="H95" s="38">
        <f t="shared" si="11"/>
        <v>4.9100000000000001E-4</v>
      </c>
      <c r="K95" s="39">
        <f t="shared" si="12"/>
        <v>0.22218347727400001</v>
      </c>
      <c r="L95" s="39">
        <f t="shared" si="13"/>
        <v>0.18812558496199999</v>
      </c>
    </row>
    <row r="96" spans="1:12">
      <c r="A96" s="32">
        <v>94</v>
      </c>
      <c r="B96" s="33">
        <f>'life tables'!C102</f>
        <v>0.24419299999999999</v>
      </c>
      <c r="C96" s="33">
        <f>'life tables'!I102</f>
        <v>0.20591499999999999</v>
      </c>
      <c r="E96" s="6">
        <v>94</v>
      </c>
      <c r="F96" s="6"/>
      <c r="G96" s="37">
        <f t="shared" si="10"/>
        <v>1.0140000000000001E-3</v>
      </c>
      <c r="H96" s="38">
        <f t="shared" si="11"/>
        <v>4.9100000000000001E-4</v>
      </c>
      <c r="K96" s="39">
        <f t="shared" si="12"/>
        <v>0.243945388298</v>
      </c>
      <c r="L96" s="39">
        <f t="shared" si="13"/>
        <v>0.20581389573499997</v>
      </c>
    </row>
    <row r="97" spans="1:12">
      <c r="A97" s="32">
        <v>95</v>
      </c>
      <c r="B97" s="33">
        <f>'life tables'!C103</f>
        <v>0.26964100000000002</v>
      </c>
      <c r="C97" s="33">
        <f>'life tables'!I103</f>
        <v>0.22817499999999999</v>
      </c>
      <c r="E97" s="6">
        <v>95</v>
      </c>
      <c r="F97" s="6"/>
      <c r="G97" s="37">
        <f t="shared" si="10"/>
        <v>1.0140000000000001E-3</v>
      </c>
      <c r="H97" s="38">
        <f t="shared" si="11"/>
        <v>4.9100000000000001E-4</v>
      </c>
      <c r="K97" s="39">
        <f t="shared" si="12"/>
        <v>0.26936758402600003</v>
      </c>
      <c r="L97" s="39">
        <f t="shared" si="13"/>
        <v>0.22806296607499998</v>
      </c>
    </row>
    <row r="98" spans="1:12">
      <c r="A98" s="32">
        <v>96</v>
      </c>
      <c r="B98" s="33">
        <f>'life tables'!C104</f>
        <v>0.29251199999999999</v>
      </c>
      <c r="C98" s="33">
        <f>'life tables'!I104</f>
        <v>0.25173200000000001</v>
      </c>
      <c r="E98" s="6">
        <v>96</v>
      </c>
      <c r="F98" s="6"/>
      <c r="G98" s="37">
        <f t="shared" si="10"/>
        <v>1.0140000000000001E-3</v>
      </c>
      <c r="H98" s="38">
        <f t="shared" si="11"/>
        <v>4.9100000000000001E-4</v>
      </c>
      <c r="K98" s="39">
        <f t="shared" si="12"/>
        <v>0.29221539283199999</v>
      </c>
      <c r="L98" s="39">
        <f t="shared" si="13"/>
        <v>0.25160839958800002</v>
      </c>
    </row>
    <row r="99" spans="1:12">
      <c r="A99" s="32">
        <v>97</v>
      </c>
      <c r="B99" s="33">
        <f>'life tables'!C105</f>
        <v>0.31422099999999997</v>
      </c>
      <c r="C99" s="33">
        <f>'life tables'!I105</f>
        <v>0.27712900000000001</v>
      </c>
      <c r="E99" s="6">
        <v>97</v>
      </c>
      <c r="F99" s="6"/>
      <c r="G99" s="37">
        <f t="shared" si="10"/>
        <v>1.0140000000000001E-3</v>
      </c>
      <c r="H99" s="38">
        <f t="shared" si="11"/>
        <v>4.9100000000000001E-4</v>
      </c>
      <c r="K99" s="39">
        <f t="shared" si="12"/>
        <v>0.31390237990600001</v>
      </c>
      <c r="L99" s="39">
        <f t="shared" si="13"/>
        <v>0.27699292966100003</v>
      </c>
    </row>
    <row r="100" spans="1:12">
      <c r="A100" s="32">
        <v>98</v>
      </c>
      <c r="B100" s="33">
        <f>'life tables'!C106</f>
        <v>0.33524300000000001</v>
      </c>
      <c r="C100" s="33">
        <f>'life tables'!I106</f>
        <v>0.29849599999999998</v>
      </c>
      <c r="E100" s="6">
        <v>98</v>
      </c>
      <c r="F100" s="6"/>
      <c r="G100" s="37">
        <f t="shared" si="10"/>
        <v>1.0140000000000001E-3</v>
      </c>
      <c r="H100" s="38">
        <f t="shared" si="11"/>
        <v>4.9100000000000001E-4</v>
      </c>
      <c r="K100" s="39">
        <f t="shared" si="12"/>
        <v>0.33490306359800004</v>
      </c>
      <c r="L100" s="39">
        <f t="shared" si="13"/>
        <v>0.29834943846399997</v>
      </c>
    </row>
    <row r="101" spans="1:12" ht="15.75" customHeight="1">
      <c r="A101" s="32">
        <v>99</v>
      </c>
      <c r="B101" s="33">
        <f>'life tables'!C107</f>
        <v>0.37544699999999998</v>
      </c>
      <c r="C101" s="33">
        <f>'life tables'!I107</f>
        <v>0.31934299999999999</v>
      </c>
      <c r="E101" s="6">
        <v>99</v>
      </c>
      <c r="F101" s="6"/>
      <c r="G101" s="37">
        <f t="shared" si="10"/>
        <v>1.0140000000000001E-3</v>
      </c>
      <c r="H101" s="38">
        <f t="shared" si="11"/>
        <v>4.9100000000000001E-4</v>
      </c>
      <c r="K101" s="39">
        <f t="shared" si="12"/>
        <v>0.37506629674199998</v>
      </c>
      <c r="L101" s="39">
        <f t="shared" si="13"/>
        <v>0.31918620258699998</v>
      </c>
    </row>
    <row r="102" spans="1:12" ht="15.75" thickBot="1">
      <c r="A102" s="34">
        <v>100</v>
      </c>
      <c r="B102" s="35">
        <f>'life tables'!C108</f>
        <v>0.397366</v>
      </c>
      <c r="C102" s="35">
        <f>'life tables'!I108</f>
        <v>0.34882299999999999</v>
      </c>
      <c r="E102" s="6">
        <v>100</v>
      </c>
      <c r="F102" s="6"/>
      <c r="G102" s="37">
        <f t="shared" si="10"/>
        <v>1.0140000000000001E-3</v>
      </c>
      <c r="H102" s="38">
        <f t="shared" si="11"/>
        <v>4.9100000000000001E-4</v>
      </c>
      <c r="K102" s="39">
        <f t="shared" si="12"/>
        <v>0.39696307087600002</v>
      </c>
      <c r="L102" s="39">
        <f t="shared" si="13"/>
        <v>0.348651727907</v>
      </c>
    </row>
  </sheetData>
  <mergeCells count="1">
    <mergeCell ref="N2:R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4AD-45D3-478F-B01A-B70DE88DEF1E}">
  <dimension ref="A1:A202"/>
  <sheetViews>
    <sheetView workbookViewId="0">
      <selection activeCell="K35" sqref="K35"/>
    </sheetView>
  </sheetViews>
  <sheetFormatPr defaultRowHeight="15"/>
  <cols>
    <col min="1" max="16384" width="9.140625" style="70"/>
  </cols>
  <sheetData>
    <row r="1" spans="1:1">
      <c r="A1" s="70">
        <f>OC_mortality_details!L3</f>
        <v>2.1099957800000001E-4</v>
      </c>
    </row>
    <row r="2" spans="1:1">
      <c r="A2" s="70">
        <f>OC_mortality_details!L4</f>
        <v>1.12999774E-4</v>
      </c>
    </row>
    <row r="3" spans="1:1">
      <c r="A3" s="70">
        <f>OC_mortality_details!L5</f>
        <v>9.2999814000000009E-5</v>
      </c>
    </row>
    <row r="4" spans="1:1">
      <c r="A4" s="70">
        <f>OC_mortality_details!L6</f>
        <v>6.0999878000000005E-5</v>
      </c>
    </row>
    <row r="5" spans="1:1">
      <c r="A5" s="70">
        <f>OC_mortality_details!L7</f>
        <v>7.8999921E-5</v>
      </c>
    </row>
    <row r="6" spans="1:1">
      <c r="A6" s="70">
        <f>OC_mortality_details!L8</f>
        <v>6.8999931000000001E-5</v>
      </c>
    </row>
    <row r="7" spans="1:1">
      <c r="A7" s="70">
        <f>OC_mortality_details!L9</f>
        <v>5.0999949E-5</v>
      </c>
    </row>
    <row r="8" spans="1:1">
      <c r="A8" s="70">
        <f>OC_mortality_details!L10</f>
        <v>5.2999947000000002E-5</v>
      </c>
    </row>
    <row r="9" spans="1:1">
      <c r="A9" s="70">
        <f>OC_mortality_details!L11</f>
        <v>5.5999943999999999E-5</v>
      </c>
    </row>
    <row r="10" spans="1:1">
      <c r="A10" s="70">
        <f>OC_mortality_details!L12</f>
        <v>6.4999934999999997E-5</v>
      </c>
    </row>
    <row r="11" spans="1:1">
      <c r="A11" s="70">
        <f>OC_mortality_details!L13</f>
        <v>5.5999943999999999E-5</v>
      </c>
    </row>
    <row r="12" spans="1:1">
      <c r="A12" s="70">
        <f>OC_mortality_details!L14</f>
        <v>5.3999945999999997E-5</v>
      </c>
    </row>
    <row r="13" spans="1:1">
      <c r="A13" s="70">
        <f>OC_mortality_details!L15</f>
        <v>8.7999911999999997E-5</v>
      </c>
    </row>
    <row r="14" spans="1:1">
      <c r="A14" s="70">
        <f>OC_mortality_details!L16</f>
        <v>9.3999905999999991E-5</v>
      </c>
    </row>
    <row r="15" spans="1:1">
      <c r="A15" s="70">
        <f>OC_mortality_details!L17</f>
        <v>1.01999898E-4</v>
      </c>
    </row>
    <row r="16" spans="1:1">
      <c r="A16" s="70">
        <f>OC_mortality_details!L18</f>
        <v>1.2899987099999999E-4</v>
      </c>
    </row>
    <row r="17" spans="1:1">
      <c r="A17" s="70">
        <f>OC_mortality_details!L19</f>
        <v>1.56999843E-4</v>
      </c>
    </row>
    <row r="18" spans="1:1">
      <c r="A18" s="70">
        <f>OC_mortality_details!L20</f>
        <v>2.04999795E-4</v>
      </c>
    </row>
    <row r="19" spans="1:1">
      <c r="A19" s="70">
        <f>OC_mortality_details!L21</f>
        <v>2.01999798E-4</v>
      </c>
    </row>
    <row r="20" spans="1:1">
      <c r="A20" s="70">
        <f>OC_mortality_details!L22</f>
        <v>1.7699999999999999E-4</v>
      </c>
    </row>
    <row r="21" spans="1:1">
      <c r="A21" s="70">
        <f>OC_mortality_details!L23</f>
        <v>1.95E-4</v>
      </c>
    </row>
    <row r="22" spans="1:1">
      <c r="A22" s="70">
        <f>OC_mortality_details!L24</f>
        <v>2.32E-4</v>
      </c>
    </row>
    <row r="23" spans="1:1">
      <c r="A23" s="70">
        <f>OC_mortality_details!L25</f>
        <v>2.0000000000000001E-4</v>
      </c>
    </row>
    <row r="24" spans="1:1">
      <c r="A24" s="70">
        <f>OC_mortality_details!L26</f>
        <v>2.1499999999999999E-4</v>
      </c>
    </row>
    <row r="25" spans="1:1">
      <c r="A25" s="70">
        <f>OC_mortality_details!L27</f>
        <v>2.5099974899999995E-4</v>
      </c>
    </row>
    <row r="26" spans="1:1">
      <c r="A26" s="70">
        <f>OC_mortality_details!L28</f>
        <v>2.52999747E-4</v>
      </c>
    </row>
    <row r="27" spans="1:1">
      <c r="A27" s="70">
        <f>OC_mortality_details!L29</f>
        <v>2.8999970999999997E-4</v>
      </c>
    </row>
    <row r="28" spans="1:1">
      <c r="A28" s="70">
        <f>OC_mortality_details!L30</f>
        <v>2.9899970100000001E-4</v>
      </c>
    </row>
    <row r="29" spans="1:1">
      <c r="A29" s="70">
        <f>OC_mortality_details!L31</f>
        <v>3.1799968199999995E-4</v>
      </c>
    </row>
    <row r="30" spans="1:1">
      <c r="A30" s="70">
        <f>OC_mortality_details!L32</f>
        <v>3.7399962599999996E-4</v>
      </c>
    </row>
    <row r="31" spans="1:1">
      <c r="A31" s="70">
        <f>OC_mortality_details!L33</f>
        <v>3.65999634E-4</v>
      </c>
    </row>
    <row r="32" spans="1:1">
      <c r="A32" s="70">
        <f>OC_mortality_details!L34</f>
        <v>4.3699956300000001E-4</v>
      </c>
    </row>
    <row r="33" spans="1:1">
      <c r="A33" s="70">
        <f>OC_mortality_details!L35</f>
        <v>4.7199952799999997E-4</v>
      </c>
    </row>
    <row r="34" spans="1:1">
      <c r="A34" s="70">
        <f>OC_mortality_details!L36</f>
        <v>5.4899945100000003E-4</v>
      </c>
    </row>
    <row r="35" spans="1:1">
      <c r="A35" s="70">
        <f>OC_mortality_details!L37</f>
        <v>5.5999831999999994E-4</v>
      </c>
    </row>
    <row r="36" spans="1:1">
      <c r="A36" s="70">
        <f>OC_mortality_details!L38</f>
        <v>6.2499812500000002E-4</v>
      </c>
    </row>
    <row r="37" spans="1:1">
      <c r="A37" s="70">
        <f>OC_mortality_details!L39</f>
        <v>7.2399782800000004E-4</v>
      </c>
    </row>
    <row r="38" spans="1:1">
      <c r="A38" s="70">
        <f>OC_mortality_details!L40</f>
        <v>7.5699772899999994E-4</v>
      </c>
    </row>
    <row r="39" spans="1:1">
      <c r="A39" s="70">
        <f>OC_mortality_details!L41</f>
        <v>7.9099762700000009E-4</v>
      </c>
    </row>
    <row r="40" spans="1:1">
      <c r="A40" s="70">
        <f>OC_mortality_details!L42</f>
        <v>8.4899745300000002E-4</v>
      </c>
    </row>
    <row r="41" spans="1:1">
      <c r="A41" s="70">
        <f>OC_mortality_details!L43</f>
        <v>9.4299717100000007E-4</v>
      </c>
    </row>
    <row r="42" spans="1:1">
      <c r="A42" s="70">
        <f>OC_mortality_details!L44</f>
        <v>1.057996826E-3</v>
      </c>
    </row>
    <row r="43" spans="1:1">
      <c r="A43" s="70">
        <f>OC_mortality_details!L45</f>
        <v>1.1489965530000002E-3</v>
      </c>
    </row>
    <row r="44" spans="1:1">
      <c r="A44" s="70">
        <f>OC_mortality_details!L46</f>
        <v>1.2999960999999999E-3</v>
      </c>
    </row>
    <row r="45" spans="1:1">
      <c r="A45" s="70">
        <f>OC_mortality_details!L47</f>
        <v>1.4169844130000001E-3</v>
      </c>
    </row>
    <row r="46" spans="1:1">
      <c r="A46" s="70">
        <f>OC_mortality_details!L48</f>
        <v>1.5319831480000001E-3</v>
      </c>
    </row>
    <row r="47" spans="1:1">
      <c r="A47" s="70">
        <f>OC_mortality_details!L49</f>
        <v>1.6669816630000001E-3</v>
      </c>
    </row>
    <row r="48" spans="1:1">
      <c r="A48" s="70">
        <f>OC_mortality_details!L50</f>
        <v>1.893979166E-3</v>
      </c>
    </row>
    <row r="49" spans="1:1">
      <c r="A49" s="70">
        <f>OC_mortality_details!L51</f>
        <v>1.9879781320000004E-3</v>
      </c>
    </row>
    <row r="50" spans="1:1">
      <c r="A50" s="70">
        <f>OC_mortality_details!L52</f>
        <v>2.15496121E-3</v>
      </c>
    </row>
    <row r="51" spans="1:1">
      <c r="A51" s="70">
        <f>OC_mortality_details!L53</f>
        <v>2.3789571780000003E-3</v>
      </c>
    </row>
    <row r="52" spans="1:1">
      <c r="A52" s="70">
        <f>OC_mortality_details!L54</f>
        <v>2.5059548920000002E-3</v>
      </c>
    </row>
    <row r="53" spans="1:1">
      <c r="A53" s="70">
        <f>OC_mortality_details!L55</f>
        <v>2.6819517239999998E-3</v>
      </c>
    </row>
    <row r="54" spans="1:1">
      <c r="A54" s="70">
        <f>OC_mortality_details!L56</f>
        <v>2.8359489520000001E-3</v>
      </c>
    </row>
    <row r="55" spans="1:1">
      <c r="A55" s="70">
        <f>OC_mortality_details!L57</f>
        <v>3.1578894700000004E-3</v>
      </c>
    </row>
    <row r="56" spans="1:1">
      <c r="A56" s="70">
        <f>OC_mortality_details!L58</f>
        <v>3.5168769050000002E-3</v>
      </c>
    </row>
    <row r="57" spans="1:1">
      <c r="A57" s="70">
        <f>OC_mortality_details!L59</f>
        <v>3.7828675949999999E-3</v>
      </c>
    </row>
    <row r="58" spans="1:1">
      <c r="A58" s="70">
        <f>OC_mortality_details!L60</f>
        <v>4.20985265E-3</v>
      </c>
    </row>
    <row r="59" spans="1:1">
      <c r="A59" s="70">
        <f>OC_mortality_details!L61</f>
        <v>4.4818431299999996E-3</v>
      </c>
    </row>
    <row r="60" spans="1:1">
      <c r="A60" s="70">
        <f>OC_mortality_details!L62</f>
        <v>5.0426873340000001E-3</v>
      </c>
    </row>
    <row r="61" spans="1:1">
      <c r="A61" s="70">
        <f>OC_mortality_details!L63</f>
        <v>5.4236637120000002E-3</v>
      </c>
    </row>
    <row r="62" spans="1:1">
      <c r="A62" s="70">
        <f>OC_mortality_details!L64</f>
        <v>6.23461343E-3</v>
      </c>
    </row>
    <row r="63" spans="1:1">
      <c r="A63" s="70">
        <f>OC_mortality_details!L65</f>
        <v>6.6265891259999999E-3</v>
      </c>
    </row>
    <row r="64" spans="1:1">
      <c r="A64" s="70">
        <f>OC_mortality_details!L66</f>
        <v>7.0905603580000004E-3</v>
      </c>
    </row>
    <row r="65" spans="1:1">
      <c r="A65" s="70">
        <f>OC_mortality_details!L67</f>
        <v>7.8012041959999992E-3</v>
      </c>
    </row>
    <row r="66" spans="1:1">
      <c r="A66" s="70">
        <f>OC_mortality_details!L68</f>
        <v>8.4591370799999999E-3</v>
      </c>
    </row>
    <row r="67" spans="1:1">
      <c r="A67" s="70">
        <f>OC_mortality_details!L69</f>
        <v>9.1960619059999991E-3</v>
      </c>
    </row>
    <row r="68" spans="1:1">
      <c r="A68" s="70">
        <f>OC_mortality_details!L70</f>
        <v>1.0335945626000001E-2</v>
      </c>
    </row>
    <row r="69" spans="1:1">
      <c r="A69" s="70">
        <f>OC_mortality_details!L71</f>
        <v>1.0979879937999999E-2</v>
      </c>
    </row>
    <row r="70" spans="1:1">
      <c r="A70" s="70">
        <f>OC_mortality_details!L72</f>
        <v>1.2443183029999999E-2</v>
      </c>
    </row>
    <row r="71" spans="1:1">
      <c r="A71" s="70">
        <f>OC_mortality_details!L73</f>
        <v>1.3207071486E-2</v>
      </c>
    </row>
    <row r="72" spans="1:1">
      <c r="A72" s="70">
        <f>OC_mortality_details!L74</f>
        <v>1.4989811168E-2</v>
      </c>
    </row>
    <row r="73" spans="1:1">
      <c r="A73" s="70">
        <f>OC_mortality_details!L75</f>
        <v>1.6773550703999999E-2</v>
      </c>
    </row>
    <row r="74" spans="1:1">
      <c r="A74" s="70">
        <f>OC_mortality_details!L76</f>
        <v>1.9077214320000001E-2</v>
      </c>
    </row>
    <row r="75" spans="1:1">
      <c r="A75" s="70">
        <f>OC_mortality_details!L77</f>
        <v>2.0993233454000001E-2</v>
      </c>
    </row>
    <row r="76" spans="1:1">
      <c r="A76" s="70">
        <f>OC_mortality_details!L78</f>
        <v>2.3668626002000002E-2</v>
      </c>
    </row>
    <row r="77" spans="1:1">
      <c r="A77" s="70">
        <f>OC_mortality_details!L79</f>
        <v>2.7184827643000002E-2</v>
      </c>
    </row>
    <row r="78" spans="1:1">
      <c r="A78" s="70">
        <f>OC_mortality_details!L80</f>
        <v>3.0479079677999999E-2</v>
      </c>
    </row>
    <row r="79" spans="1:1">
      <c r="A79" s="70">
        <f>OC_mortality_details!L81</f>
        <v>3.4875081559000001E-2</v>
      </c>
    </row>
    <row r="80" spans="1:1">
      <c r="A80" s="70">
        <f>OC_mortality_details!L82</f>
        <v>3.870561024E-2</v>
      </c>
    </row>
    <row r="81" spans="1:1">
      <c r="A81" s="70">
        <f>OC_mortality_details!L83</f>
        <v>4.3808976640000004E-2</v>
      </c>
    </row>
    <row r="82" spans="1:1">
      <c r="A82" s="70">
        <f>OC_mortality_details!L84</f>
        <v>4.9148267519999997E-2</v>
      </c>
    </row>
    <row r="83" spans="1:1">
      <c r="A83" s="70">
        <f>OC_mortality_details!L85</f>
        <v>5.6006072319999996E-2</v>
      </c>
    </row>
    <row r="84" spans="1:1">
      <c r="A84" s="70">
        <f>OC_mortality_details!L86</f>
        <v>6.3817571840000004E-2</v>
      </c>
    </row>
    <row r="85" spans="1:1">
      <c r="A85" s="70">
        <f>OC_mortality_details!L87</f>
        <v>7.2576817229999993E-2</v>
      </c>
    </row>
    <row r="86" spans="1:1">
      <c r="A86" s="70">
        <f>OC_mortality_details!L88</f>
        <v>8.3119996793999992E-2</v>
      </c>
    </row>
    <row r="87" spans="1:1">
      <c r="A87" s="70">
        <f>OC_mortality_details!L89</f>
        <v>9.4496795219999999E-2</v>
      </c>
    </row>
    <row r="88" spans="1:1">
      <c r="A88" s="70">
        <f>OC_mortality_details!L90</f>
        <v>0.106565277402</v>
      </c>
    </row>
    <row r="89" spans="1:1">
      <c r="A89" s="70">
        <f>OC_mortality_details!L91</f>
        <v>0.119958154059</v>
      </c>
    </row>
    <row r="90" spans="1:1">
      <c r="A90" s="70">
        <f>OC_mortality_details!L92</f>
        <v>0.134650853953</v>
      </c>
    </row>
    <row r="91" spans="1:1">
      <c r="A91" s="70">
        <f>OC_mortality_details!L93</f>
        <v>0.15164150744399998</v>
      </c>
    </row>
    <row r="92" spans="1:1">
      <c r="A92" s="70">
        <f>OC_mortality_details!L94</f>
        <v>0.169499734747</v>
      </c>
    </row>
    <row r="93" spans="1:1">
      <c r="A93" s="70">
        <f>OC_mortality_details!L95</f>
        <v>0.18812558496199999</v>
      </c>
    </row>
    <row r="94" spans="1:1">
      <c r="A94" s="70">
        <f>OC_mortality_details!L96</f>
        <v>0.20581389573499997</v>
      </c>
    </row>
    <row r="95" spans="1:1">
      <c r="A95" s="70">
        <f>OC_mortality_details!L97</f>
        <v>0.22806296607499998</v>
      </c>
    </row>
    <row r="96" spans="1:1">
      <c r="A96" s="70">
        <f>OC_mortality_details!L98</f>
        <v>0.25160839958800002</v>
      </c>
    </row>
    <row r="97" spans="1:1">
      <c r="A97" s="70">
        <f>OC_mortality_details!L99</f>
        <v>0.27699292966100003</v>
      </c>
    </row>
    <row r="98" spans="1:1">
      <c r="A98" s="70">
        <f>OC_mortality_details!L100</f>
        <v>0.29834943846399997</v>
      </c>
    </row>
    <row r="99" spans="1:1">
      <c r="A99" s="70">
        <f>OC_mortality_details!L101</f>
        <v>0.31918620258699998</v>
      </c>
    </row>
    <row r="100" spans="1:1">
      <c r="A100" s="70">
        <f>OC_mortality_details!L102</f>
        <v>0.348651727907</v>
      </c>
    </row>
    <row r="101" spans="1:1">
      <c r="A101" s="70">
        <v>1</v>
      </c>
    </row>
    <row r="102" spans="1:1">
      <c r="A102" s="70">
        <f>OC_mortality_details!K3</f>
        <v>2.3099976900000001E-4</v>
      </c>
    </row>
    <row r="103" spans="1:1">
      <c r="A103" s="70">
        <f>OC_mortality_details!K4</f>
        <v>1.2799987199999999E-4</v>
      </c>
    </row>
    <row r="104" spans="1:1">
      <c r="A104" s="70">
        <f>OC_mortality_details!K5</f>
        <v>9.8999900999999997E-5</v>
      </c>
    </row>
    <row r="105" spans="1:1">
      <c r="A105" s="70">
        <f>OC_mortality_details!K6</f>
        <v>8.9999909999999999E-5</v>
      </c>
    </row>
    <row r="106" spans="1:1">
      <c r="A106" s="70">
        <f>OC_mortality_details!K7</f>
        <v>7.6999922999999997E-5</v>
      </c>
    </row>
    <row r="107" spans="1:1">
      <c r="A107" s="70">
        <f>OC_mortality_details!K8</f>
        <v>8.0999919000000002E-5</v>
      </c>
    </row>
    <row r="108" spans="1:1">
      <c r="A108" s="70">
        <f>OC_mortality_details!K9</f>
        <v>6.7999932E-5</v>
      </c>
    </row>
    <row r="109" spans="1:1">
      <c r="A109" s="70">
        <f>OC_mortality_details!K10</f>
        <v>6.4999934999999997E-5</v>
      </c>
    </row>
    <row r="110" spans="1:1">
      <c r="A110" s="70">
        <f>OC_mortality_details!K11</f>
        <v>6.1999938000000006E-5</v>
      </c>
    </row>
    <row r="111" spans="1:1">
      <c r="A111" s="70">
        <f>OC_mortality_details!K12</f>
        <v>7.2999926999999993E-5</v>
      </c>
    </row>
    <row r="112" spans="1:1">
      <c r="A112" s="70">
        <f>OC_mortality_details!K13</f>
        <v>7.3999925999999994E-5</v>
      </c>
    </row>
    <row r="113" spans="1:1">
      <c r="A113" s="70">
        <f>OC_mortality_details!K14</f>
        <v>1.01999898E-4</v>
      </c>
    </row>
    <row r="114" spans="1:1">
      <c r="A114" s="70">
        <f>OC_mortality_details!K15</f>
        <v>1.15999884E-4</v>
      </c>
    </row>
    <row r="115" spans="1:1">
      <c r="A115" s="70">
        <f>OC_mortality_details!K16</f>
        <v>1.2399987600000001E-4</v>
      </c>
    </row>
    <row r="116" spans="1:1">
      <c r="A116" s="70">
        <f>OC_mortality_details!K17</f>
        <v>1.6899999999999999E-4</v>
      </c>
    </row>
    <row r="117" spans="1:1">
      <c r="A117" s="70">
        <f>OC_mortality_details!K18</f>
        <v>1.9000000000000001E-4</v>
      </c>
    </row>
    <row r="118" spans="1:1">
      <c r="A118" s="70">
        <f>OC_mortality_details!K19</f>
        <v>2.8400000000000002E-4</v>
      </c>
    </row>
    <row r="119" spans="1:1">
      <c r="A119" s="70">
        <f>OC_mortality_details!K20</f>
        <v>3.7300000000000001E-4</v>
      </c>
    </row>
    <row r="120" spans="1:1">
      <c r="A120" s="70">
        <f>OC_mortality_details!K21</f>
        <v>4.15E-4</v>
      </c>
    </row>
    <row r="121" spans="1:1">
      <c r="A121" s="70">
        <f>OC_mortality_details!K22</f>
        <v>5.2400000000000005E-4</v>
      </c>
    </row>
    <row r="122" spans="1:1">
      <c r="A122" s="70">
        <f>OC_mortality_details!K23</f>
        <v>4.73E-4</v>
      </c>
    </row>
    <row r="123" spans="1:1">
      <c r="A123" s="70">
        <f>OC_mortality_details!K24</f>
        <v>4.6299999999999998E-4</v>
      </c>
    </row>
    <row r="124" spans="1:1">
      <c r="A124" s="70">
        <f>OC_mortality_details!K25</f>
        <v>4.7800000000000002E-4</v>
      </c>
    </row>
    <row r="125" spans="1:1">
      <c r="A125" s="70">
        <f>OC_mortality_details!K26</f>
        <v>5.1400000000000003E-4</v>
      </c>
    </row>
    <row r="126" spans="1:1">
      <c r="A126" s="70">
        <f>OC_mortality_details!K27</f>
        <v>5.3999946E-4</v>
      </c>
    </row>
    <row r="127" spans="1:1">
      <c r="A127" s="70">
        <f>OC_mortality_details!K28</f>
        <v>5.66999433E-4</v>
      </c>
    </row>
    <row r="128" spans="1:1">
      <c r="A128" s="70">
        <f>OC_mortality_details!K29</f>
        <v>5.8499941499999997E-4</v>
      </c>
    </row>
    <row r="129" spans="1:1">
      <c r="A129" s="70">
        <f>OC_mortality_details!K30</f>
        <v>6.2899937100000002E-4</v>
      </c>
    </row>
    <row r="130" spans="1:1">
      <c r="A130" s="70">
        <f>OC_mortality_details!K31</f>
        <v>6.5699934300000006E-4</v>
      </c>
    </row>
    <row r="131" spans="1:1">
      <c r="A131" s="70">
        <f>OC_mortality_details!K32</f>
        <v>7.2999854000000005E-4</v>
      </c>
    </row>
    <row r="132" spans="1:1">
      <c r="A132" s="70">
        <f>OC_mortality_details!K33</f>
        <v>7.7799844400000008E-4</v>
      </c>
    </row>
    <row r="133" spans="1:1">
      <c r="A133" s="70">
        <f>OC_mortality_details!K34</f>
        <v>7.7499844999999999E-4</v>
      </c>
    </row>
    <row r="134" spans="1:1">
      <c r="A134" s="70">
        <f>OC_mortality_details!K35</f>
        <v>8.8799822400000006E-4</v>
      </c>
    </row>
    <row r="135" spans="1:1">
      <c r="A135" s="70">
        <f>OC_mortality_details!K36</f>
        <v>9.1699816600000002E-4</v>
      </c>
    </row>
    <row r="136" spans="1:1">
      <c r="A136" s="70">
        <f>OC_mortality_details!K37</f>
        <v>9.8999505000000004E-4</v>
      </c>
    </row>
    <row r="137" spans="1:1">
      <c r="A137" s="70">
        <f>OC_mortality_details!K38</f>
        <v>1.0429947850000001E-3</v>
      </c>
    </row>
    <row r="138" spans="1:1">
      <c r="A138" s="70">
        <f>OC_mortality_details!K39</f>
        <v>1.256993715E-3</v>
      </c>
    </row>
    <row r="139" spans="1:1">
      <c r="A139" s="70">
        <f>OC_mortality_details!K40</f>
        <v>1.2299938499999998E-3</v>
      </c>
    </row>
    <row r="140" spans="1:1">
      <c r="A140" s="70">
        <f>OC_mortality_details!K41</f>
        <v>1.358993205E-3</v>
      </c>
    </row>
    <row r="141" spans="1:1">
      <c r="A141" s="70">
        <f>OC_mortality_details!K42</f>
        <v>1.4859821679999998E-3</v>
      </c>
    </row>
    <row r="142" spans="1:1">
      <c r="A142" s="70">
        <f>OC_mortality_details!K43</f>
        <v>1.5759810879999998E-3</v>
      </c>
    </row>
    <row r="143" spans="1:1">
      <c r="A143" s="70">
        <f>OC_mortality_details!K44</f>
        <v>1.7179793839999999E-3</v>
      </c>
    </row>
    <row r="144" spans="1:1">
      <c r="A144" s="70">
        <f>OC_mortality_details!K45</f>
        <v>1.877977464E-3</v>
      </c>
    </row>
    <row r="145" spans="1:1">
      <c r="A145" s="70">
        <f>OC_mortality_details!K46</f>
        <v>2.073975112E-3</v>
      </c>
    </row>
    <row r="146" spans="1:1">
      <c r="A146" s="70">
        <f>OC_mortality_details!K47</f>
        <v>2.306928483E-3</v>
      </c>
    </row>
    <row r="147" spans="1:1">
      <c r="A147" s="70">
        <f>OC_mortality_details!K48</f>
        <v>2.4399243599999999E-3</v>
      </c>
    </row>
    <row r="148" spans="1:1">
      <c r="A148" s="70">
        <f>OC_mortality_details!K49</f>
        <v>2.6379182220000004E-3</v>
      </c>
    </row>
    <row r="149" spans="1:1">
      <c r="A149" s="70">
        <f>OC_mortality_details!K50</f>
        <v>2.835912084E-3</v>
      </c>
    </row>
    <row r="150" spans="1:1">
      <c r="A150" s="70">
        <f>OC_mortality_details!K51</f>
        <v>3.1449025049999999E-3</v>
      </c>
    </row>
    <row r="151" spans="1:1">
      <c r="A151" s="70">
        <f>OC_mortality_details!K52</f>
        <v>3.423818528E-3</v>
      </c>
    </row>
    <row r="152" spans="1:1">
      <c r="A152" s="70">
        <f>OC_mortality_details!K53</f>
        <v>3.690804377E-3</v>
      </c>
    </row>
    <row r="153" spans="1:1">
      <c r="A153" s="70">
        <f>OC_mortality_details!K54</f>
        <v>3.91979224E-3</v>
      </c>
    </row>
    <row r="154" spans="1:1">
      <c r="A154" s="70">
        <f>OC_mortality_details!K55</f>
        <v>4.2767733190000002E-3</v>
      </c>
    </row>
    <row r="155" spans="1:1">
      <c r="A155" s="70">
        <f>OC_mortality_details!K56</f>
        <v>4.5787573130000002E-3</v>
      </c>
    </row>
    <row r="156" spans="1:1">
      <c r="A156" s="70">
        <f>OC_mortality_details!K57</f>
        <v>4.8875600799999997E-3</v>
      </c>
    </row>
    <row r="157" spans="1:1">
      <c r="A157" s="70">
        <f>OC_mortality_details!K58</f>
        <v>5.42551166E-3</v>
      </c>
    </row>
    <row r="158" spans="1:1">
      <c r="A158" s="70">
        <f>OC_mortality_details!K59</f>
        <v>5.8814706199999999E-3</v>
      </c>
    </row>
    <row r="159" spans="1:1">
      <c r="A159" s="70">
        <f>OC_mortality_details!K60</f>
        <v>6.5224129299999998E-3</v>
      </c>
    </row>
    <row r="160" spans="1:1">
      <c r="A160" s="70">
        <f>OC_mortality_details!K61</f>
        <v>7.0343668499999994E-3</v>
      </c>
    </row>
    <row r="161" spans="1:1">
      <c r="A161" s="70">
        <f>OC_mortality_details!K62</f>
        <v>7.6968453000000004E-3</v>
      </c>
    </row>
    <row r="162" spans="1:1">
      <c r="A162" s="70">
        <f>OC_mortality_details!K63</f>
        <v>8.352746900000001E-3</v>
      </c>
    </row>
    <row r="163" spans="1:1">
      <c r="A163" s="70">
        <f>OC_mortality_details!K64</f>
        <v>9.3266007999999994E-3</v>
      </c>
    </row>
    <row r="164" spans="1:1">
      <c r="A164" s="70">
        <f>OC_mortality_details!K65</f>
        <v>1.018547195E-2</v>
      </c>
    </row>
    <row r="165" spans="1:1">
      <c r="A165" s="70">
        <f>OC_mortality_details!K66</f>
        <v>1.09503572E-2</v>
      </c>
    </row>
    <row r="166" spans="1:1">
      <c r="A166" s="70">
        <f>OC_mortality_details!K67</f>
        <v>1.2209423268000001E-2</v>
      </c>
    </row>
    <row r="167" spans="1:1">
      <c r="A167" s="70">
        <f>OC_mortality_details!K68</f>
        <v>1.3473156564000001E-2</v>
      </c>
    </row>
    <row r="168" spans="1:1">
      <c r="A168" s="70">
        <f>OC_mortality_details!K69</f>
        <v>1.444695105E-2</v>
      </c>
    </row>
    <row r="169" spans="1:1">
      <c r="A169" s="70">
        <f>OC_mortality_details!K70</f>
        <v>1.6034615982000001E-2</v>
      </c>
    </row>
    <row r="170" spans="1:1">
      <c r="A170" s="70">
        <f>OC_mortality_details!K71</f>
        <v>1.7605284501000001E-2</v>
      </c>
    </row>
    <row r="171" spans="1:1">
      <c r="A171" s="70">
        <f>OC_mortality_details!K72</f>
        <v>1.8765387470999997E-2</v>
      </c>
    </row>
    <row r="172" spans="1:1">
      <c r="A172" s="70">
        <f>OC_mortality_details!K73</f>
        <v>2.0318922824999999E-2</v>
      </c>
    </row>
    <row r="173" spans="1:1">
      <c r="A173" s="70">
        <f>OC_mortality_details!K74</f>
        <v>2.2148375655E-2</v>
      </c>
    </row>
    <row r="174" spans="1:1">
      <c r="A174" s="70">
        <f>OC_mortality_details!K75</f>
        <v>2.5333423040999999E-2</v>
      </c>
    </row>
    <row r="175" spans="1:1">
      <c r="A175" s="70">
        <f>OC_mortality_details!K76</f>
        <v>2.7940643248999999E-2</v>
      </c>
    </row>
    <row r="176" spans="1:1">
      <c r="A176" s="70">
        <f>OC_mortality_details!K77</f>
        <v>3.1456121729999995E-2</v>
      </c>
    </row>
    <row r="177" spans="1:1">
      <c r="A177" s="70">
        <f>OC_mortality_details!K78</f>
        <v>3.4987563676999997E-2</v>
      </c>
    </row>
    <row r="178" spans="1:1">
      <c r="A178" s="70">
        <f>OC_mortality_details!K79</f>
        <v>3.9271673550999996E-2</v>
      </c>
    </row>
    <row r="179" spans="1:1">
      <c r="A179" s="70">
        <f>OC_mortality_details!K80</f>
        <v>4.4220490160000001E-2</v>
      </c>
    </row>
    <row r="180" spans="1:1">
      <c r="A180" s="70">
        <f>OC_mortality_details!K81</f>
        <v>4.9083344695000003E-2</v>
      </c>
    </row>
    <row r="181" spans="1:1">
      <c r="A181" s="70">
        <f>OC_mortality_details!K82</f>
        <v>5.4997596182999993E-2</v>
      </c>
    </row>
    <row r="182" spans="1:1">
      <c r="A182" s="70">
        <f>OC_mortality_details!K83</f>
        <v>6.0993954183E-2</v>
      </c>
    </row>
    <row r="183" spans="1:1">
      <c r="A183" s="70">
        <f>OC_mortality_details!K84</f>
        <v>6.7952727641999999E-2</v>
      </c>
    </row>
    <row r="184" spans="1:1">
      <c r="A184" s="70">
        <f>OC_mortality_details!K85</f>
        <v>7.5899900778000004E-2</v>
      </c>
    </row>
    <row r="185" spans="1:1">
      <c r="A185" s="70">
        <f>OC_mortality_details!K86</f>
        <v>8.5795890263999988E-2</v>
      </c>
    </row>
    <row r="186" spans="1:1">
      <c r="A186" s="70">
        <f>OC_mortality_details!K87</f>
        <v>9.6210765778000001E-2</v>
      </c>
    </row>
    <row r="187" spans="1:1">
      <c r="A187" s="70">
        <f>OC_mortality_details!K88</f>
        <v>0.10905378846199999</v>
      </c>
    </row>
    <row r="188" spans="1:1">
      <c r="A188" s="70">
        <f>OC_mortality_details!K89</f>
        <v>0.12154511175399998</v>
      </c>
    </row>
    <row r="189" spans="1:1">
      <c r="A189" s="70">
        <f>OC_mortality_details!K90</f>
        <v>0.13638143070800002</v>
      </c>
    </row>
    <row r="190" spans="1:1">
      <c r="A190" s="70">
        <f>OC_mortality_details!K91</f>
        <v>0.15311213047799999</v>
      </c>
    </row>
    <row r="191" spans="1:1">
      <c r="A191" s="70">
        <f>OC_mortality_details!K92</f>
        <v>0.16188668028600001</v>
      </c>
    </row>
    <row r="192" spans="1:1">
      <c r="A192" s="70">
        <f>OC_mortality_details!K93</f>
        <v>0.18140686672600001</v>
      </c>
    </row>
    <row r="193" spans="1:1">
      <c r="A193" s="70">
        <f>OC_mortality_details!K94</f>
        <v>0.19844557194199999</v>
      </c>
    </row>
    <row r="194" spans="1:1">
      <c r="A194" s="70">
        <f>OC_mortality_details!K95</f>
        <v>0.22218347727400001</v>
      </c>
    </row>
    <row r="195" spans="1:1">
      <c r="A195" s="70">
        <f>OC_mortality_details!K96</f>
        <v>0.243945388298</v>
      </c>
    </row>
    <row r="196" spans="1:1">
      <c r="A196" s="70">
        <f>OC_mortality_details!K97</f>
        <v>0.26936758402600003</v>
      </c>
    </row>
    <row r="197" spans="1:1">
      <c r="A197" s="70">
        <f>OC_mortality_details!K98</f>
        <v>0.29221539283199999</v>
      </c>
    </row>
    <row r="198" spans="1:1">
      <c r="A198" s="70">
        <f>OC_mortality_details!K99</f>
        <v>0.31390237990600001</v>
      </c>
    </row>
    <row r="199" spans="1:1">
      <c r="A199" s="70">
        <f>OC_mortality_details!K100</f>
        <v>0.33490306359800004</v>
      </c>
    </row>
    <row r="200" spans="1:1">
      <c r="A200" s="70">
        <f>OC_mortality_details!K101</f>
        <v>0.37506629674199998</v>
      </c>
    </row>
    <row r="201" spans="1:1">
      <c r="A201" s="70">
        <f>OC_mortality_details!K102</f>
        <v>0.39696307087600002</v>
      </c>
    </row>
    <row r="202" spans="1:1">
      <c r="A202" s="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parameters</vt:lpstr>
      <vt:lpstr>extract</vt:lpstr>
      <vt:lpstr>Kidney_cancer_incidence</vt:lpstr>
      <vt:lpstr>Calibration_targets_exp</vt:lpstr>
      <vt:lpstr>Pop_size</vt:lpstr>
      <vt:lpstr>CI_inc</vt:lpstr>
      <vt:lpstr>life tables</vt:lpstr>
      <vt:lpstr>OC_mortality_details</vt:lpstr>
      <vt:lpstr>OC_mort_extract_kid.blad</vt:lpstr>
      <vt:lpstr>OC_mort_extract_kidney</vt:lpstr>
      <vt:lpstr>Survival_exp</vt:lpstr>
      <vt:lpstr>Kidney_surv_original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2023-09-20T12:31:28Z</dcterms:modified>
</cp:coreProperties>
</file>