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Data\"/>
    </mc:Choice>
  </mc:AlternateContent>
  <xr:revisionPtr revIDLastSave="0" documentId="13_ncr:1_{B5705941-8776-4DFD-8FE1-51CE40A1575B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diagnostic costs" sheetId="1" r:id="rId1"/>
    <sheet name="state costs" sheetId="2" r:id="rId2"/>
    <sheet name="screen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J9" i="3"/>
  <c r="I10" i="3"/>
  <c r="J10" i="3"/>
  <c r="D9" i="3"/>
  <c r="H9" i="3" s="1"/>
  <c r="J8" i="3"/>
  <c r="I8" i="3"/>
  <c r="D8" i="3"/>
  <c r="H8" i="3" s="1"/>
  <c r="H10" i="3"/>
  <c r="D10" i="3"/>
  <c r="K32" i="1"/>
  <c r="L32" i="1"/>
  <c r="H4" i="3"/>
  <c r="H3" i="3"/>
  <c r="H2" i="3"/>
  <c r="O5" i="2" l="1"/>
  <c r="O4" i="2"/>
  <c r="S4" i="2"/>
  <c r="R4" i="2"/>
  <c r="Q4" i="2"/>
  <c r="P4" i="2"/>
  <c r="K19" i="2"/>
  <c r="L19" i="2"/>
  <c r="J19" i="2"/>
  <c r="I23" i="1" l="1"/>
  <c r="I27" i="1" s="1"/>
  <c r="H26" i="1"/>
  <c r="B35" i="1"/>
  <c r="I24" i="1"/>
  <c r="H27" i="1"/>
  <c r="I26" i="1"/>
  <c r="H24" i="1"/>
  <c r="H23" i="1"/>
  <c r="G23" i="1"/>
  <c r="F23" i="1"/>
  <c r="F20" i="1"/>
  <c r="F17" i="1"/>
  <c r="F14" i="1"/>
  <c r="F13" i="1"/>
  <c r="F8" i="1"/>
  <c r="G8" i="1"/>
  <c r="L35" i="1"/>
  <c r="L34" i="1"/>
  <c r="L33" i="1"/>
  <c r="K35" i="1"/>
  <c r="K34" i="1"/>
  <c r="B41" i="1"/>
  <c r="C41" i="1"/>
  <c r="D41" i="1" s="1"/>
  <c r="E41" i="1" s="1"/>
  <c r="F41" i="1" s="1"/>
  <c r="G41" i="1" s="1"/>
  <c r="H41" i="1" s="1"/>
  <c r="G42" i="1"/>
  <c r="H42" i="1" s="1"/>
  <c r="G43" i="1"/>
  <c r="H43" i="1" s="1"/>
  <c r="G44" i="1"/>
  <c r="H44" i="1"/>
  <c r="O22" i="1"/>
  <c r="D6" i="1"/>
  <c r="E6" i="1" s="1"/>
  <c r="P14" i="1"/>
  <c r="F9" i="1" l="1"/>
  <c r="D14" i="1"/>
  <c r="E14" i="1"/>
  <c r="G14" i="1" s="1"/>
  <c r="D15" i="1"/>
  <c r="E15" i="1"/>
  <c r="D17" i="1"/>
  <c r="E17" i="1"/>
  <c r="G17" i="1" s="1"/>
  <c r="D18" i="1"/>
  <c r="E18" i="1"/>
  <c r="D20" i="1"/>
  <c r="E20" i="1"/>
  <c r="G20" i="1" s="1"/>
  <c r="D21" i="1"/>
  <c r="E21" i="1"/>
  <c r="E12" i="1"/>
  <c r="G12" i="1" s="1"/>
  <c r="D9" i="1"/>
  <c r="E9" i="1"/>
  <c r="G9" i="1" s="1"/>
  <c r="D10" i="1"/>
  <c r="F10" i="1" s="1"/>
  <c r="E10" i="1"/>
  <c r="G10" i="1" s="1"/>
  <c r="D11" i="1"/>
  <c r="F11" i="1" s="1"/>
  <c r="E11" i="1"/>
  <c r="G11" i="1" s="1"/>
  <c r="D12" i="1"/>
  <c r="F12" i="1" s="1"/>
  <c r="E8" i="1"/>
  <c r="D8" i="1"/>
  <c r="M32" i="1" l="1"/>
  <c r="G13" i="1"/>
  <c r="N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Chloe</author>
  </authors>
  <commentList>
    <comment ref="F1" authorId="0" shapeId="0" xr:uid="{62DD8C59-909D-4FCD-9B31-5C8E1C2223BF}">
      <text>
        <r>
          <rPr>
            <b/>
            <sz val="9"/>
            <color indexed="81"/>
            <rFont val="Tahoma"/>
            <family val="2"/>
          </rPr>
          <t>Chloe:</t>
        </r>
        <r>
          <rPr>
            <sz val="9"/>
            <color indexed="81"/>
            <rFont val="Tahoma"/>
            <family val="2"/>
          </rPr>
          <t xml:space="preserve">
1 = Beta
2 = Gamma
3 = Lognormal
4 = Uniform
4 = Correlated Parameter sets from calibration
6 = Constant</t>
        </r>
      </text>
    </comment>
    <comment ref="F7" authorId="0" shapeId="0" xr:uid="{6A8DAE32-D486-4FED-953A-C5020CE5D0C8}">
      <text>
        <r>
          <rPr>
            <b/>
            <sz val="9"/>
            <color indexed="81"/>
            <rFont val="Tahoma"/>
            <family val="2"/>
          </rPr>
          <t>Chloe:</t>
        </r>
        <r>
          <rPr>
            <sz val="9"/>
            <color indexed="81"/>
            <rFont val="Tahoma"/>
            <family val="2"/>
          </rPr>
          <t xml:space="preserve">
1 = Beta
2 = Gamma
3 = Lognormal
4 = Uniform
4 = Correlated Parameter sets from calibration
6 = Constant</t>
        </r>
      </text>
    </comment>
  </commentList>
</comments>
</file>

<file path=xl/sharedStrings.xml><?xml version="1.0" encoding="utf-8"?>
<sst xmlns="http://schemas.openxmlformats.org/spreadsheetml/2006/main" count="265" uniqueCount="212">
  <si>
    <t>https://bmjopen.bmj.com/content/bmjopen/3/6/e002861.full.pdf</t>
  </si>
  <si>
    <t>Source</t>
  </si>
  <si>
    <t>Men</t>
  </si>
  <si>
    <t>sample</t>
  </si>
  <si>
    <t>Women</t>
  </si>
  <si>
    <t>Consultations</t>
  </si>
  <si>
    <t>Heamaturia</t>
  </si>
  <si>
    <t>Yes</t>
  </si>
  <si>
    <t>No</t>
  </si>
  <si>
    <t>US</t>
  </si>
  <si>
    <t>Blood test</t>
  </si>
  <si>
    <t>Numbers</t>
  </si>
  <si>
    <t>%</t>
  </si>
  <si>
    <t>CT scan</t>
  </si>
  <si>
    <t>white-light-guided TURBT</t>
  </si>
  <si>
    <t xml:space="preserve">cystoscopy   </t>
  </si>
  <si>
    <t>Consultations GP</t>
  </si>
  <si>
    <t>Heamaturia test</t>
  </si>
  <si>
    <t>Unit costs</t>
  </si>
  <si>
    <t>LB72A</t>
  </si>
  <si>
    <t>Diagnostic Flexible Cystoscopy, 19 years and over</t>
  </si>
  <si>
    <t>Currency</t>
  </si>
  <si>
    <t xml:space="preserve">Unit Cost </t>
  </si>
  <si>
    <t>LB67C</t>
  </si>
  <si>
    <t>Complex Open Bladder Procedures with CC Score 3+</t>
  </si>
  <si>
    <t>LB67D</t>
  </si>
  <si>
    <t>Complex Open Bladder Procedures with CC Score 0-2</t>
  </si>
  <si>
    <t>LB68A</t>
  </si>
  <si>
    <t>Complex Endoscopic Bladder Procedures with CC Score 3+</t>
  </si>
  <si>
    <t>LB68B</t>
  </si>
  <si>
    <t>Complex Endoscopic Bladder Procedures with CC Score 0-2</t>
  </si>
  <si>
    <t>LB69Z</t>
  </si>
  <si>
    <t>Major Robotic, Prostate or Bladder Neck Procedures (Male)</t>
  </si>
  <si>
    <t>LB14Z</t>
  </si>
  <si>
    <t>Intermediate Endoscopic Bladder Procedures</t>
  </si>
  <si>
    <t>LB15E</t>
  </si>
  <si>
    <t>Minor Bladder Procedures, 19 years and over</t>
  </si>
  <si>
    <t>LB73Z</t>
  </si>
  <si>
    <t>Diagnostic Flexible Cystoscopy using Photodynamic Fluorescence</t>
  </si>
  <si>
    <t>RD40Z</t>
  </si>
  <si>
    <t>Ultrasound Scan with duration of less than 20 minutes, without Contrast</t>
  </si>
  <si>
    <t xml:space="preserve">GP appointment </t>
  </si>
  <si>
    <t>https://www.gocompare.com/health-insurance/the-bill-of-health/#total</t>
  </si>
  <si>
    <t>https://www.england.nhs.uk/costing-in-the-nhs/national-cost-collection/</t>
  </si>
  <si>
    <t>https://www.england.nhs.uk/costing-in-the-nhs/approved-costing-guidance/#:~:text=All%20relevant%20activity%20should%20now,no%20longer%20collect%20reference%20costs.</t>
  </si>
  <si>
    <t>Fine niddle aspiration cytology</t>
  </si>
  <si>
    <t>US with biopsy or cytology</t>
  </si>
  <si>
    <t>GB12Z</t>
  </si>
  <si>
    <t>cytology</t>
  </si>
  <si>
    <t>Mowatt</t>
  </si>
  <si>
    <t>Symptomatic patient diagnosis</t>
  </si>
  <si>
    <t>GP consultation costs</t>
  </si>
  <si>
    <t>year</t>
  </si>
  <si>
    <t>blood test</t>
  </si>
  <si>
    <t>NHS reference costs 2022</t>
  </si>
  <si>
    <t xml:space="preserve">dipstick </t>
  </si>
  <si>
    <t>National clinical guideline center, pre-operative tests 2015</t>
  </si>
  <si>
    <t>inflation year</t>
  </si>
  <si>
    <t>Unit_Costs_of_Health_and_Social_Care_2021</t>
  </si>
  <si>
    <t>Inflation</t>
  </si>
  <si>
    <t>Inflated costs</t>
  </si>
  <si>
    <t>NHS Provider cost inflation index 2018/19</t>
  </si>
  <si>
    <t>CPI inflation rate for health</t>
  </si>
  <si>
    <t>https://www.statista.com/statistics/621969/health-inflation-rate-uk/#:~:text=The%20CPI%20inflation%20rate%20in,serious%20cost%20of%20living%20crisis.</t>
  </si>
  <si>
    <t>weighted</t>
  </si>
  <si>
    <t>Unit costs 2020</t>
  </si>
  <si>
    <t xml:space="preserve">US </t>
  </si>
  <si>
    <t>Weighted costs</t>
  </si>
  <si>
    <t>Weighted costs men</t>
  </si>
  <si>
    <t>Weighted costs women</t>
  </si>
  <si>
    <t>Total weighted costs</t>
  </si>
  <si>
    <t>cystoscopy</t>
  </si>
  <si>
    <t>https://www.england.nhs.uk/publication/national-tariff-payment-system-documents-annexes-and-supporting-documents/#heading-2</t>
  </si>
  <si>
    <t>22/23</t>
  </si>
  <si>
    <t>Computerised Tomography Scan of One Area, 19 years and over</t>
  </si>
  <si>
    <t>RD41Z</t>
  </si>
  <si>
    <t>Ultrasound Scan with duration of less than 20 minutes, with Contrast</t>
  </si>
  <si>
    <t>RD42Z</t>
  </si>
  <si>
    <t>Ultrasound Scan with duration of 20 minutes and over, without Contrast</t>
  </si>
  <si>
    <t>RD43Z</t>
  </si>
  <si>
    <t>Ultrasound Scan with duration of 20 minutes and over, with Contrast</t>
  </si>
  <si>
    <t>Clinical Oncology Service</t>
  </si>
  <si>
    <t>Clinical oncology service</t>
  </si>
  <si>
    <t>Screen-detected</t>
  </si>
  <si>
    <t>Percentage change</t>
  </si>
  <si>
    <t>Persons</t>
  </si>
  <si>
    <t xml:space="preserve">Total diagnostic costs </t>
  </si>
  <si>
    <t>Total Costs</t>
  </si>
  <si>
    <t>Coefficient</t>
  </si>
  <si>
    <t>SE</t>
  </si>
  <si>
    <t>z</t>
  </si>
  <si>
    <r>
      <t>P</t>
    </r>
    <r>
      <rPr>
        <b/>
        <sz val="11"/>
        <color rgb="FF2E2E2E"/>
        <rFont val="Georgia"/>
        <family val="1"/>
      </rPr>
      <t> &gt; z</t>
    </r>
  </si>
  <si>
    <t>95% CI</t>
  </si>
  <si>
    <t>Tumor recurrence</t>
  </si>
  <si>
    <t> Unknown</t>
  </si>
  <si>
    <t>−1871.636 to 4906.082</t>
  </si>
  <si>
    <t> Grade 1</t>
  </si>
  <si>
    <t>402.1653 to 2032.711</t>
  </si>
  <si>
    <t> Grade 2</t>
  </si>
  <si>
    <t>919.5377 to 2432.564</t>
  </si>
  <si>
    <t> Grade 3</t>
  </si>
  <si>
    <t>2331.122 to 5582.212</t>
  </si>
  <si>
    <t>Risk group, high risk</t>
  </si>
  <si>
    <t>1357.397 to 2578.431</t>
  </si>
  <si>
    <t>Year</t>
  </si>
  <si>
    <t> 2</t>
  </si>
  <si>
    <t>−921.3536</t>
  </si>
  <si>
    <t>−3.66</t>
  </si>
  <si>
    <t>−1414.686 to −428.0217</t>
  </si>
  <si>
    <t> 3</t>
  </si>
  <si>
    <t>−1514.189</t>
  </si>
  <si>
    <t>−6.47</t>
  </si>
  <si>
    <t>−1972.806 to −1055.571</t>
  </si>
  <si>
    <t>Risk group &amp; year</t>
  </si>
  <si>
    <t> High risk &amp; year 2</t>
  </si>
  <si>
    <t>−1511.85</t>
  </si>
  <si>
    <t>−4.40</t>
  </si>
  <si>
    <t>−2185.702 to −837.997</t>
  </si>
  <si>
    <t> High risk &amp; year 3</t>
  </si>
  <si>
    <t>−1894.898</t>
  </si>
  <si>
    <t>−5.92</t>
  </si>
  <si>
    <t>−2522.036 to −1267.759</t>
  </si>
  <si>
    <t>Progression</t>
  </si>
  <si>
    <t>2662.332 to 8151.544</t>
  </si>
  <si>
    <t>Progression history</t>
  </si>
  <si>
    <t>687.7356 to 3850.54</t>
  </si>
  <si>
    <t>TCC history</t>
  </si>
  <si>
    <t>−87.80923 to 270.8796</t>
  </si>
  <si>
    <t>Patient gender</t>
  </si>
  <si>
    <t>−42.12716 to 366.9096</t>
  </si>
  <si>
    <t>Diabetes</t>
  </si>
  <si>
    <t>−67.09895</t>
  </si>
  <si>
    <t>−0.46</t>
  </si>
  <si>
    <t>−355.2838 to 221.0859</t>
  </si>
  <si>
    <t>Celecoxib treatment</t>
  </si>
  <si>
    <t>−103.1504</t>
  </si>
  <si>
    <t>−1.14</t>
  </si>
  <si>
    <t>−280.6405 to 74.33965</t>
  </si>
  <si>
    <t>Toxicity</t>
  </si>
  <si>
    <t> Mild condition</t>
  </si>
  <si>
    <t>−150.2041 to 531.0055</t>
  </si>
  <si>
    <t> Moderate condition</t>
  </si>
  <si>
    <t>−417.415 to 760.885</t>
  </si>
  <si>
    <t>Celecoxib treatment &amp; toxicity interaction</t>
  </si>
  <si>
    <t> Interaction</t>
  </si>
  <si>
    <t> 1 &amp; Mild condition</t>
  </si>
  <si>
    <t>−321.6498 to 628.1292</t>
  </si>
  <si>
    <t> 1 &amp; Moderate condition</t>
  </si>
  <si>
    <t>−369.9651 to 1150.08</t>
  </si>
  <si>
    <t>Age, y</t>
  </si>
  <si>
    <t> 50-59</t>
  </si>
  <si>
    <t>−343.0704 to 416.7831</t>
  </si>
  <si>
    <t> 60-69</t>
  </si>
  <si>
    <t>−284.9767 to 410.3913</t>
  </si>
  <si>
    <t> 70-79</t>
  </si>
  <si>
    <t>−78.92821</t>
  </si>
  <si>
    <t>−0.43</t>
  </si>
  <si>
    <t>−436.676 to 278.8195</t>
  </si>
  <si>
    <t> &gt;80</t>
  </si>
  <si>
    <t>−385.8824 to 503.9342</t>
  </si>
  <si>
    <t>BMI</t>
  </si>
  <si>
    <t> Overweight</t>
  </si>
  <si>
    <t>19.95362 to 395.4054</t>
  </si>
  <si>
    <t> Obese</t>
  </si>
  <si>
    <t>35.96402 to 480.1804</t>
  </si>
  <si>
    <t> Morbidly obese</t>
  </si>
  <si>
    <t>36.31178 to 2479.624</t>
  </si>
  <si>
    <t>Smoking status</t>
  </si>
  <si>
    <t> Previous</t>
  </si>
  <si>
    <t>−57.20011</t>
  </si>
  <si>
    <t>−0.59</t>
  </si>
  <si>
    <t>−247.6996 to 133.2993</t>
  </si>
  <si>
    <t> Current</t>
  </si>
  <si>
    <t>−241.9663</t>
  </si>
  <si>
    <t>−1.98</t>
  </si>
  <si>
    <t>−481.8741 to −2.058529</t>
  </si>
  <si>
    <t>Constant</t>
  </si>
  <si>
    <t>1750.875 to 2946.718</t>
  </si>
  <si>
    <t>https://www.sciencedirect.com/science/article/pii/S1558767319303775?via%3Dihub#appsec1</t>
  </si>
  <si>
    <t> Previous smoke</t>
  </si>
  <si>
    <t> Current smoke</t>
  </si>
  <si>
    <t>Age</t>
  </si>
  <si>
    <t>stage 4</t>
  </si>
  <si>
    <t>stage 3</t>
  </si>
  <si>
    <t>stage 1</t>
  </si>
  <si>
    <t>stage 2</t>
  </si>
  <si>
    <t>LR</t>
  </si>
  <si>
    <t>Average costs for grade1/2</t>
  </si>
  <si>
    <t>Y1,50,non-smoker, stage 1</t>
  </si>
  <si>
    <t>Y1,50,non-smoker, stage 2</t>
  </si>
  <si>
    <t>Y1,50,non-smoker, stage 3</t>
  </si>
  <si>
    <t>Y1,50,non-smoker, stage 4</t>
  </si>
  <si>
    <t>Y1,50,non-smoker, Lg</t>
  </si>
  <si>
    <t>Y1</t>
  </si>
  <si>
    <t>Y2</t>
  </si>
  <si>
    <t>Y£</t>
  </si>
  <si>
    <t>Cost of FIT invite</t>
  </si>
  <si>
    <t>Cost_FIT_invite</t>
  </si>
  <si>
    <t>Gamma</t>
  </si>
  <si>
    <t>Additional cost of FIT performed</t>
  </si>
  <si>
    <t>Cost_FIT_perform</t>
  </si>
  <si>
    <t>Additional cost of FIT positive result</t>
  </si>
  <si>
    <t>Cost_FIT_positive</t>
  </si>
  <si>
    <t>Mean</t>
  </si>
  <si>
    <t>Distribution type</t>
  </si>
  <si>
    <t>Distribution Number</t>
  </si>
  <si>
    <t>Distribution parameters</t>
  </si>
  <si>
    <t>Southern Hub screening costings model inflated to 2017</t>
  </si>
  <si>
    <t>Cost of one invite</t>
  </si>
  <si>
    <t>Additional cost of one test  performed</t>
  </si>
  <si>
    <t>Additional cost of a positive result</t>
  </si>
  <si>
    <t>Costs of dipstick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</si>
</sst>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-* #,##0_-;\-* #,##0_-;_-* &quot;-&quot;??_-;_-@_-"/>
    <numFmt numFmtId="166" formatCode="#,##0_ ;[Red]\-#,##0\ "/>
    <numFmt numFmtId="167" formatCode="_-[$£-809]* #,##0.00_-;\-[$£-809]* #,##0.00_-;_-[$£-809]* &quot;-&quot;??_-;_-@_-"/>
    <numFmt numFmtId="168" formatCode="###,###,###"/>
    <numFmt numFmtId="169" formatCode="0.0000000000000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E0E0E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2E2E2E"/>
      <name val="Georgia"/>
      <family val="1"/>
    </font>
    <font>
      <b/>
      <i/>
      <sz val="11"/>
      <color rgb="FF2E2E2E"/>
      <name val="Georgia"/>
      <family val="1"/>
    </font>
    <font>
      <sz val="11"/>
      <color rgb="FF2E2E2E"/>
      <name val="Georg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9" borderId="1" applyNumberFormat="0" applyAlignment="0" applyProtection="0"/>
    <xf numFmtId="0" fontId="11" fillId="22" borderId="2" applyNumberFormat="0" applyAlignment="0" applyProtection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7" fillId="9" borderId="1" applyNumberFormat="0" applyAlignment="0" applyProtection="0"/>
    <xf numFmtId="0" fontId="18" fillId="0" borderId="6" applyNumberFormat="0" applyFill="0" applyAlignment="0" applyProtection="0"/>
    <xf numFmtId="0" fontId="19" fillId="23" borderId="0" applyNumberFormat="0" applyBorder="0" applyAlignment="0" applyProtection="0"/>
    <xf numFmtId="0" fontId="5" fillId="24" borderId="7" applyNumberFormat="0" applyFont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166" fontId="24" fillId="0" borderId="10" xfId="5" applyNumberFormat="1" applyFont="1" applyBorder="1" applyAlignment="1"/>
    <xf numFmtId="6" fontId="0" fillId="0" borderId="10" xfId="0" applyNumberFormat="1" applyBorder="1"/>
    <xf numFmtId="165" fontId="4" fillId="0" borderId="10" xfId="1" applyNumberFormat="1" applyFont="1" applyBorder="1"/>
    <xf numFmtId="164" fontId="2" fillId="0" borderId="11" xfId="2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3" borderId="10" xfId="0" applyFill="1" applyBorder="1"/>
    <xf numFmtId="164" fontId="4" fillId="0" borderId="10" xfId="2" applyNumberFormat="1" applyFont="1" applyBorder="1"/>
    <xf numFmtId="0" fontId="0" fillId="0" borderId="10" xfId="0" applyBorder="1"/>
    <xf numFmtId="44" fontId="25" fillId="0" borderId="10" xfId="0" applyNumberFormat="1" applyFont="1" applyBorder="1"/>
    <xf numFmtId="8" fontId="0" fillId="0" borderId="0" xfId="0" applyNumberFormat="1"/>
    <xf numFmtId="10" fontId="0" fillId="0" borderId="0" xfId="0" applyNumberFormat="1"/>
    <xf numFmtId="0" fontId="26" fillId="2" borderId="0" xfId="0" applyFont="1" applyFill="1" applyAlignment="1">
      <alignment horizontal="center" vertical="center" wrapText="1"/>
    </xf>
    <xf numFmtId="8" fontId="0" fillId="0" borderId="10" xfId="0" applyNumberFormat="1" applyBorder="1"/>
    <xf numFmtId="0" fontId="27" fillId="0" borderId="0" xfId="56"/>
    <xf numFmtId="43" fontId="0" fillId="0" borderId="0" xfId="0" applyNumberFormat="1"/>
    <xf numFmtId="0" fontId="0" fillId="0" borderId="10" xfId="0" applyFill="1" applyBorder="1"/>
    <xf numFmtId="43" fontId="0" fillId="0" borderId="10" xfId="0" applyNumberFormat="1" applyBorder="1"/>
    <xf numFmtId="0" fontId="0" fillId="0" borderId="12" xfId="0" applyBorder="1"/>
    <xf numFmtId="8" fontId="0" fillId="0" borderId="12" xfId="0" applyNumberFormat="1" applyBorder="1"/>
    <xf numFmtId="0" fontId="2" fillId="25" borderId="13" xfId="0" applyFont="1" applyFill="1" applyBorder="1"/>
    <xf numFmtId="0" fontId="2" fillId="25" borderId="14" xfId="0" applyFont="1" applyFill="1" applyBorder="1"/>
    <xf numFmtId="8" fontId="2" fillId="25" borderId="15" xfId="0" applyNumberFormat="1" applyFont="1" applyFill="1" applyBorder="1"/>
    <xf numFmtId="8" fontId="2" fillId="25" borderId="16" xfId="0" applyNumberFormat="1" applyFont="1" applyFill="1" applyBorder="1"/>
    <xf numFmtId="0" fontId="28" fillId="0" borderId="17" xfId="0" applyFont="1" applyBorder="1" applyAlignment="1">
      <alignment horizontal="left" wrapText="1"/>
    </xf>
    <xf numFmtId="168" fontId="28" fillId="0" borderId="10" xfId="0" applyNumberFormat="1" applyFont="1" applyBorder="1" applyAlignment="1">
      <alignment horizontal="center" wrapText="1"/>
    </xf>
    <xf numFmtId="0" fontId="28" fillId="0" borderId="18" xfId="0" applyFont="1" applyBorder="1" applyAlignment="1">
      <alignment horizontal="center" wrapText="1"/>
    </xf>
    <xf numFmtId="0" fontId="28" fillId="0" borderId="19" xfId="0" applyFont="1" applyFill="1" applyBorder="1" applyAlignment="1">
      <alignment horizontal="left" wrapText="1"/>
    </xf>
    <xf numFmtId="168" fontId="28" fillId="0" borderId="20" xfId="0" applyNumberFormat="1" applyFont="1" applyFill="1" applyBorder="1" applyAlignment="1">
      <alignment horizontal="center" wrapText="1"/>
    </xf>
    <xf numFmtId="0" fontId="2" fillId="0" borderId="10" xfId="0" applyFont="1" applyBorder="1"/>
    <xf numFmtId="0" fontId="2" fillId="0" borderId="10" xfId="0" applyFont="1" applyFill="1" applyBorder="1"/>
    <xf numFmtId="9" fontId="0" fillId="0" borderId="10" xfId="3" applyFont="1" applyBorder="1"/>
    <xf numFmtId="8" fontId="0" fillId="2" borderId="10" xfId="0" applyNumberFormat="1" applyFill="1" applyBorder="1"/>
    <xf numFmtId="167" fontId="0" fillId="0" borderId="10" xfId="0" applyNumberFormat="1" applyBorder="1"/>
    <xf numFmtId="164" fontId="0" fillId="0" borderId="10" xfId="0" applyNumberFormat="1" applyBorder="1"/>
    <xf numFmtId="169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29" fillId="0" borderId="22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1" fillId="0" borderId="21" xfId="0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0" fillId="25" borderId="0" xfId="0" applyFill="1"/>
    <xf numFmtId="0" fontId="29" fillId="25" borderId="21" xfId="0" applyFont="1" applyFill="1" applyBorder="1" applyAlignment="1">
      <alignment vertical="center" wrapText="1"/>
    </xf>
    <xf numFmtId="0" fontId="31" fillId="25" borderId="21" xfId="0" applyFont="1" applyFill="1" applyBorder="1" applyAlignment="1">
      <alignment vertical="center" wrapText="1"/>
    </xf>
    <xf numFmtId="0" fontId="29" fillId="25" borderId="0" xfId="0" applyFont="1" applyFill="1" applyAlignment="1">
      <alignment vertical="center" wrapText="1"/>
    </xf>
    <xf numFmtId="0" fontId="31" fillId="25" borderId="0" xfId="0" applyFont="1" applyFill="1" applyAlignment="1">
      <alignment vertical="center" wrapText="1"/>
    </xf>
    <xf numFmtId="0" fontId="29" fillId="25" borderId="0" xfId="0" applyFont="1" applyFill="1" applyAlignment="1">
      <alignment horizontal="center" vertical="center" wrapText="1"/>
    </xf>
    <xf numFmtId="0" fontId="5" fillId="26" borderId="0" xfId="0" applyFont="1" applyFill="1" applyAlignment="1">
      <alignment horizontal="left" wrapText="1"/>
    </xf>
    <xf numFmtId="2" fontId="5" fillId="26" borderId="0" xfId="0" applyNumberFormat="1" applyFont="1" applyFill="1" applyAlignment="1">
      <alignment horizontal="left" wrapText="1"/>
    </xf>
    <xf numFmtId="0" fontId="5" fillId="26" borderId="0" xfId="0" applyFont="1" applyFill="1" applyAlignment="1">
      <alignment horizontal="center" wrapText="1"/>
    </xf>
    <xf numFmtId="0" fontId="34" fillId="0" borderId="0" xfId="0" applyFont="1"/>
  </cellXfs>
  <cellStyles count="58">
    <cellStyle name="20% - Accent1 2" xfId="6" xr:uid="{4847A1CF-D309-4339-8E03-3C8A39A5569D}"/>
    <cellStyle name="20% - Accent2 2" xfId="7" xr:uid="{717DF832-7A49-4D2C-90E1-0551D60C2E10}"/>
    <cellStyle name="20% - Accent3 2" xfId="8" xr:uid="{B78320B8-20C4-477A-BCA9-DDF8502ACBAF}"/>
    <cellStyle name="20% - Accent4 2" xfId="9" xr:uid="{5B2B0B77-C357-4478-9100-190FD26890B8}"/>
    <cellStyle name="20% - Accent5 2" xfId="10" xr:uid="{2FDA8D6C-FE63-410F-8F37-80F9DF57447D}"/>
    <cellStyle name="20% - Accent6 2" xfId="11" xr:uid="{C53913F9-0A13-4D9E-84D6-3C5D74893E14}"/>
    <cellStyle name="40% - Accent1 2" xfId="12" xr:uid="{F34B383F-6D93-4273-8FFB-6A2D450764D2}"/>
    <cellStyle name="40% - Accent2 2" xfId="13" xr:uid="{8692400A-A71B-4628-865E-C1798C01841E}"/>
    <cellStyle name="40% - Accent3 2" xfId="14" xr:uid="{2CC251D0-D563-469C-973C-44D86FA48138}"/>
    <cellStyle name="40% - Accent4 2" xfId="15" xr:uid="{8CC48C78-9CC2-4C02-9475-5D505E73CCD5}"/>
    <cellStyle name="40% - Accent5 2" xfId="16" xr:uid="{0669B72D-1AE8-4A6E-A79B-5A9D4F6EB2B8}"/>
    <cellStyle name="40% - Accent6 2" xfId="17" xr:uid="{E88295DE-3302-4A50-A921-A04EBF105F10}"/>
    <cellStyle name="60% - Accent1 2" xfId="18" xr:uid="{1D2D682E-4897-4154-8578-9C42F477486F}"/>
    <cellStyle name="60% - Accent2 2" xfId="19" xr:uid="{7AE8B8A3-74AA-4A4F-81DB-BD71B9FFDE8D}"/>
    <cellStyle name="60% - Accent3 2" xfId="20" xr:uid="{065D3889-0DCD-46A8-9CF3-97662A9F7B5B}"/>
    <cellStyle name="60% - Accent4 2" xfId="21" xr:uid="{F4BB1840-8877-47F4-B1E8-987155042B08}"/>
    <cellStyle name="60% - Accent5 2" xfId="22" xr:uid="{433B34FB-418B-42DC-A7FC-F4C584D04E32}"/>
    <cellStyle name="60% - Accent6 2" xfId="23" xr:uid="{ECB01142-8E06-47F6-8E49-DCD6C4C424E6}"/>
    <cellStyle name="Accent1 2" xfId="24" xr:uid="{373EB392-022E-4223-B02D-CA1C54C3E87D}"/>
    <cellStyle name="Accent2 2" xfId="25" xr:uid="{1D692103-26B8-4814-9922-7836D572D922}"/>
    <cellStyle name="Accent3 2" xfId="26" xr:uid="{42BAE3C7-111A-41CA-8B65-1A59FA4BE33D}"/>
    <cellStyle name="Accent4 2" xfId="27" xr:uid="{9FBADD6C-73B9-456E-9998-F45DEB9818C2}"/>
    <cellStyle name="Accent5 2" xfId="28" xr:uid="{C12E949F-5466-462D-B2A9-187E8A3380A0}"/>
    <cellStyle name="Accent6 2" xfId="29" xr:uid="{E9551046-D453-4CDE-AABD-F4F0F6E40DDA}"/>
    <cellStyle name="Bad 2" xfId="30" xr:uid="{E262A509-BAA9-4511-A010-F257F6ED1379}"/>
    <cellStyle name="Calculation 2" xfId="31" xr:uid="{C69C84A9-BBD1-4814-ADB9-19AA7D890B20}"/>
    <cellStyle name="Check Cell 2" xfId="32" xr:uid="{B9EE716F-AB44-4B5D-8C21-A30A159C08BD}"/>
    <cellStyle name="Comma" xfId="1" builtinId="3"/>
    <cellStyle name="Comma 2" xfId="33" xr:uid="{1FFEA124-032E-489B-81DD-0F71B1DBAD95}"/>
    <cellStyle name="Comma 3" xfId="53" xr:uid="{4E9BB5D1-8185-40EF-9CA4-193E7649400C}"/>
    <cellStyle name="Comma 4" xfId="4" xr:uid="{9C7C2DA9-77BC-4499-AB7E-94E3B30E833E}"/>
    <cellStyle name="Currency" xfId="2" builtinId="4"/>
    <cellStyle name="Currency 2" xfId="50" xr:uid="{98E4A91B-004E-480C-958B-82011960C570}"/>
    <cellStyle name="Currency 3" xfId="55" xr:uid="{BE862562-60EF-417B-B5B5-270ECA49D68C}"/>
    <cellStyle name="Explanatory Text 2" xfId="34" xr:uid="{8D425272-9D5D-42FC-A41C-4E7B3198B957}"/>
    <cellStyle name="Good 2" xfId="35" xr:uid="{FC5A97E8-C264-4B01-B1C3-C8A23926FCB7}"/>
    <cellStyle name="Heading 1 2" xfId="36" xr:uid="{4426D50C-B443-478E-942B-689A5996C9E1}"/>
    <cellStyle name="Heading 2 2" xfId="37" xr:uid="{2DF32340-6AE1-4C94-B99D-A23DBC4B30D4}"/>
    <cellStyle name="Heading 3 2" xfId="38" xr:uid="{1308767D-00FD-4AD2-8AAE-2E5AE8BCDD9E}"/>
    <cellStyle name="Heading 4 2" xfId="39" xr:uid="{72C6FADA-7CBF-4FDB-BFF3-F85897EDBE82}"/>
    <cellStyle name="Hyperlink" xfId="56" builtinId="8"/>
    <cellStyle name="Hyperlink 2" xfId="40" xr:uid="{A7838B74-5B4F-47C4-8FA3-70827A5A1A61}"/>
    <cellStyle name="Input 2" xfId="41" xr:uid="{8F89E625-6E2F-4F83-A54C-DF4E1444C328}"/>
    <cellStyle name="Linked Cell 2" xfId="42" xr:uid="{6FD4B5B3-9F3E-4692-852B-44D9C3912707}"/>
    <cellStyle name="Neutral 2" xfId="43" xr:uid="{4A1DAA42-44B0-4D1E-8AF8-8D3A77214C10}"/>
    <cellStyle name="Normal" xfId="0" builtinId="0"/>
    <cellStyle name="Normal 2" xfId="5" xr:uid="{E3815B6C-8E00-4CC9-BFB6-543823A73F59}"/>
    <cellStyle name="Normal 26 3" xfId="57" xr:uid="{ED6D0EBC-1229-40EE-9A1B-A7445031A371}"/>
    <cellStyle name="Normal 3" xfId="51" xr:uid="{8F6333C8-53F5-419E-9331-BF8BE0CBA15B}"/>
    <cellStyle name="Normal 3 2" xfId="54" xr:uid="{53E8625D-FED9-4A98-89AA-01C429889711}"/>
    <cellStyle name="Normal 4" xfId="49" xr:uid="{0EC4EBC2-1C47-4C4B-9B29-C6AEEFB89BD6}"/>
    <cellStyle name="Normal 5" xfId="52" xr:uid="{868A28C7-4F5C-46B8-B3EC-EECD9BF74376}"/>
    <cellStyle name="Note 2" xfId="44" xr:uid="{238438ED-1563-40C4-B9DD-FAC188F77B3F}"/>
    <cellStyle name="Output 2" xfId="45" xr:uid="{903A2A95-9F9A-4AD6-9D8B-FC8DF89C338C}"/>
    <cellStyle name="Percent" xfId="3" builtinId="5"/>
    <cellStyle name="Title 2" xfId="46" xr:uid="{6160EACF-67EF-468E-A60B-EBB4836FE8C6}"/>
    <cellStyle name="Total 2" xfId="47" xr:uid="{FFD9C6F8-C461-49A4-B03C-4BFAC33DB32C}"/>
    <cellStyle name="Warning Text 2" xfId="48" xr:uid="{B77946CD-F854-4713-80D2-9E1210569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land.nhs.uk/publication/national-tariff-payment-system-documents-annexes-and-supporting-documents/" TargetMode="External"/><Relationship Id="rId2" Type="http://schemas.openxmlformats.org/officeDocument/2006/relationships/hyperlink" Target="https://www.england.nhs.uk/costing-in-the-nhs/approved-costing-guidance/" TargetMode="External"/><Relationship Id="rId1" Type="http://schemas.openxmlformats.org/officeDocument/2006/relationships/hyperlink" Target="https://www.england.nhs.uk/costing-in-the-nhs/national-cost-collectio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tatista.com/statistics/621969/health-inflation-rate-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workbookViewId="0">
      <selection activeCell="K33" sqref="K33"/>
    </sheetView>
  </sheetViews>
  <sheetFormatPr defaultRowHeight="15" x14ac:dyDescent="0.25"/>
  <cols>
    <col min="1" max="1" width="24.140625" customWidth="1"/>
    <col min="2" max="2" width="15" customWidth="1"/>
    <col min="4" max="5" width="9.140625" customWidth="1"/>
    <col min="6" max="6" width="20.42578125" customWidth="1"/>
    <col min="7" max="8" width="9.140625" customWidth="1"/>
    <col min="9" max="9" width="15.85546875" customWidth="1"/>
    <col min="10" max="10" width="16.85546875" customWidth="1"/>
    <col min="11" max="11" width="24.28515625" bestFit="1" customWidth="1"/>
    <col min="12" max="12" width="18.42578125" customWidth="1"/>
    <col min="13" max="13" width="70.28515625" customWidth="1"/>
    <col min="14" max="14" width="11" bestFit="1" customWidth="1"/>
  </cols>
  <sheetData>
    <row r="1" spans="1:17" x14ac:dyDescent="0.25">
      <c r="M1" s="18" t="s">
        <v>43</v>
      </c>
    </row>
    <row r="2" spans="1:17" ht="15.75" thickBot="1" x14ac:dyDescent="0.3">
      <c r="K2" s="3" t="s">
        <v>65</v>
      </c>
      <c r="M2" s="18" t="s">
        <v>44</v>
      </c>
    </row>
    <row r="3" spans="1:17" x14ac:dyDescent="0.25">
      <c r="A3" t="s">
        <v>1</v>
      </c>
      <c r="B3" t="s">
        <v>0</v>
      </c>
      <c r="L3" t="s">
        <v>21</v>
      </c>
      <c r="O3" s="8" t="s">
        <v>22</v>
      </c>
      <c r="P3" s="4" t="s">
        <v>64</v>
      </c>
    </row>
    <row r="4" spans="1:17" x14ac:dyDescent="0.25">
      <c r="B4" s="41" t="s">
        <v>11</v>
      </c>
      <c r="C4" s="41"/>
      <c r="D4" s="41" t="s">
        <v>12</v>
      </c>
      <c r="E4" s="41"/>
      <c r="F4" s="41" t="s">
        <v>67</v>
      </c>
      <c r="G4" s="41"/>
      <c r="K4" s="2" t="s">
        <v>15</v>
      </c>
      <c r="L4" s="9" t="s">
        <v>19</v>
      </c>
      <c r="M4" s="10" t="s">
        <v>20</v>
      </c>
      <c r="O4" s="11">
        <v>358.35777993029501</v>
      </c>
    </row>
    <row r="5" spans="1:17" x14ac:dyDescent="0.25">
      <c r="A5" s="33"/>
      <c r="B5" s="33" t="s">
        <v>2</v>
      </c>
      <c r="C5" s="33" t="s">
        <v>4</v>
      </c>
      <c r="D5" s="33" t="s">
        <v>2</v>
      </c>
      <c r="E5" s="33" t="s">
        <v>4</v>
      </c>
      <c r="F5" s="33" t="s">
        <v>2</v>
      </c>
      <c r="G5" s="33" t="s">
        <v>4</v>
      </c>
      <c r="H5" s="12" t="s">
        <v>85</v>
      </c>
      <c r="I5" s="34" t="s">
        <v>83</v>
      </c>
      <c r="K5" s="1" t="s">
        <v>13</v>
      </c>
      <c r="L5" s="12"/>
      <c r="M5" s="12"/>
      <c r="N5" s="12"/>
      <c r="O5" s="12"/>
    </row>
    <row r="6" spans="1:17" x14ac:dyDescent="0.25">
      <c r="A6" s="33" t="s">
        <v>3</v>
      </c>
      <c r="B6" s="12">
        <v>538</v>
      </c>
      <c r="C6" s="12">
        <v>202</v>
      </c>
      <c r="D6" s="35">
        <f>B6/SUM(B6:C6)</f>
        <v>0.72702702702702704</v>
      </c>
      <c r="E6" s="35">
        <f>1-D6</f>
        <v>0.27297297297297296</v>
      </c>
      <c r="F6" s="12"/>
      <c r="G6" s="12"/>
      <c r="H6" s="12"/>
      <c r="I6" s="12"/>
      <c r="K6" s="1" t="s">
        <v>14</v>
      </c>
      <c r="L6" s="9" t="s">
        <v>23</v>
      </c>
      <c r="M6" s="10" t="s">
        <v>24</v>
      </c>
      <c r="N6" s="7">
        <v>955</v>
      </c>
      <c r="O6" s="11">
        <v>24828.748786282544</v>
      </c>
    </row>
    <row r="7" spans="1:17" x14ac:dyDescent="0.25">
      <c r="A7" s="33" t="s">
        <v>5</v>
      </c>
      <c r="B7" s="12"/>
      <c r="C7" s="12"/>
      <c r="D7" s="12"/>
      <c r="E7" s="12"/>
      <c r="F7" s="12"/>
      <c r="G7" s="12"/>
      <c r="H7" s="12"/>
      <c r="I7" s="12"/>
      <c r="K7" s="1" t="s">
        <v>16</v>
      </c>
      <c r="L7" s="9" t="s">
        <v>25</v>
      </c>
      <c r="M7" s="10" t="s">
        <v>26</v>
      </c>
      <c r="N7" s="7">
        <v>559</v>
      </c>
      <c r="O7" s="11">
        <v>17567.484424181195</v>
      </c>
    </row>
    <row r="8" spans="1:17" x14ac:dyDescent="0.25">
      <c r="A8" s="12">
        <v>1</v>
      </c>
      <c r="B8" s="12">
        <v>320</v>
      </c>
      <c r="C8" s="12">
        <v>102</v>
      </c>
      <c r="D8" s="35">
        <f>B8/B$6</f>
        <v>0.59479553903345728</v>
      </c>
      <c r="E8" s="35">
        <f>C8/C$6</f>
        <v>0.50495049504950495</v>
      </c>
      <c r="F8" s="17">
        <f t="shared" ref="F8:G12" si="0">$A8*D8*$L$32</f>
        <v>21.961923808231827</v>
      </c>
      <c r="G8" s="17">
        <f t="shared" si="0"/>
        <v>18.644531728040374</v>
      </c>
      <c r="H8" s="12"/>
      <c r="I8" s="12"/>
      <c r="K8" s="1" t="s">
        <v>17</v>
      </c>
      <c r="L8" s="9" t="s">
        <v>27</v>
      </c>
      <c r="M8" s="10" t="s">
        <v>28</v>
      </c>
      <c r="N8" s="7">
        <v>1193</v>
      </c>
      <c r="O8" s="11">
        <v>10173.92823319062</v>
      </c>
    </row>
    <row r="9" spans="1:17" x14ac:dyDescent="0.25">
      <c r="A9" s="12">
        <v>2</v>
      </c>
      <c r="B9" s="12">
        <v>158</v>
      </c>
      <c r="C9" s="12">
        <v>46</v>
      </c>
      <c r="D9" s="35">
        <f t="shared" ref="D9:D12" si="1">B9/B$6</f>
        <v>0.29368029739776952</v>
      </c>
      <c r="E9" s="35">
        <f t="shared" ref="E9:E11" si="2">C9/C$6</f>
        <v>0.22772277227722773</v>
      </c>
      <c r="F9" s="17">
        <f t="shared" si="0"/>
        <v>21.687399760628928</v>
      </c>
      <c r="G9" s="17">
        <f t="shared" si="0"/>
        <v>16.816636460585435</v>
      </c>
      <c r="H9" s="12"/>
      <c r="I9" s="12"/>
      <c r="K9" s="1" t="s">
        <v>10</v>
      </c>
      <c r="L9" s="9" t="s">
        <v>29</v>
      </c>
      <c r="M9" s="10" t="s">
        <v>30</v>
      </c>
      <c r="N9" s="7">
        <v>675</v>
      </c>
      <c r="O9" s="11">
        <v>5296.9190490700157</v>
      </c>
    </row>
    <row r="10" spans="1:17" x14ac:dyDescent="0.25">
      <c r="A10" s="12">
        <v>3</v>
      </c>
      <c r="B10" s="12">
        <v>40</v>
      </c>
      <c r="C10" s="12">
        <v>23</v>
      </c>
      <c r="D10" s="35">
        <f t="shared" si="1"/>
        <v>7.434944237918216E-2</v>
      </c>
      <c r="E10" s="35">
        <f t="shared" si="2"/>
        <v>0.11386138613861387</v>
      </c>
      <c r="F10" s="17">
        <f t="shared" si="0"/>
        <v>8.2357214280869346</v>
      </c>
      <c r="G10" s="17">
        <f t="shared" si="0"/>
        <v>12.612477345439077</v>
      </c>
      <c r="H10" s="12"/>
      <c r="I10" s="12"/>
      <c r="L10" s="9" t="s">
        <v>31</v>
      </c>
      <c r="M10" s="10" t="s">
        <v>32</v>
      </c>
      <c r="N10" s="7">
        <v>4774</v>
      </c>
      <c r="O10" s="11">
        <v>11234.390715999065</v>
      </c>
    </row>
    <row r="11" spans="1:17" x14ac:dyDescent="0.25">
      <c r="A11" s="12">
        <v>4</v>
      </c>
      <c r="B11" s="12">
        <v>8</v>
      </c>
      <c r="C11" s="12">
        <v>11</v>
      </c>
      <c r="D11" s="35">
        <f t="shared" si="1"/>
        <v>1.4869888475836431E-2</v>
      </c>
      <c r="E11" s="35">
        <f t="shared" si="2"/>
        <v>5.4455445544554455E-2</v>
      </c>
      <c r="F11" s="17">
        <f t="shared" si="0"/>
        <v>2.1961923808231827</v>
      </c>
      <c r="G11" s="17">
        <f t="shared" si="0"/>
        <v>8.0427391768017298</v>
      </c>
      <c r="H11" s="12"/>
      <c r="I11" s="12"/>
      <c r="L11" s="9" t="s">
        <v>33</v>
      </c>
      <c r="M11" s="10" t="s">
        <v>34</v>
      </c>
      <c r="N11" s="7">
        <v>27900</v>
      </c>
      <c r="O11" s="11">
        <v>1493.0885035357869</v>
      </c>
    </row>
    <row r="12" spans="1:17" x14ac:dyDescent="0.25">
      <c r="A12" s="12">
        <v>5</v>
      </c>
      <c r="B12" s="12">
        <v>12</v>
      </c>
      <c r="C12" s="12">
        <v>20</v>
      </c>
      <c r="D12" s="35">
        <f t="shared" si="1"/>
        <v>2.2304832713754646E-2</v>
      </c>
      <c r="E12" s="35">
        <f>C12/C$6</f>
        <v>9.9009900990099015E-2</v>
      </c>
      <c r="F12" s="17">
        <f t="shared" si="0"/>
        <v>4.1178607140434673</v>
      </c>
      <c r="G12" s="17">
        <f t="shared" si="0"/>
        <v>18.278952674549384</v>
      </c>
      <c r="H12" s="12"/>
      <c r="I12" s="12"/>
      <c r="L12" s="9" t="s">
        <v>35</v>
      </c>
      <c r="M12" s="10" t="s">
        <v>36</v>
      </c>
      <c r="N12" s="7">
        <v>137590</v>
      </c>
      <c r="O12" s="11">
        <v>614.7279953162415</v>
      </c>
    </row>
    <row r="13" spans="1:17" x14ac:dyDescent="0.25">
      <c r="A13" s="33" t="s">
        <v>6</v>
      </c>
      <c r="B13" s="12"/>
      <c r="C13" s="12"/>
      <c r="D13" s="35"/>
      <c r="E13" s="35"/>
      <c r="F13" s="36">
        <f>SUM(F8:F12)</f>
        <v>58.199098091814335</v>
      </c>
      <c r="G13" s="36">
        <f>SUM(G8:G12)</f>
        <v>74.395337385415999</v>
      </c>
      <c r="H13" s="12"/>
      <c r="I13" s="12"/>
      <c r="L13" s="9" t="s">
        <v>37</v>
      </c>
      <c r="M13" s="10" t="s">
        <v>38</v>
      </c>
      <c r="N13" s="7">
        <v>41</v>
      </c>
      <c r="O13" s="11">
        <v>3063.3545965175604</v>
      </c>
    </row>
    <row r="14" spans="1:17" x14ac:dyDescent="0.25">
      <c r="A14" s="12" t="s">
        <v>7</v>
      </c>
      <c r="B14" s="12">
        <v>394</v>
      </c>
      <c r="C14" s="12">
        <v>143</v>
      </c>
      <c r="D14" s="35">
        <f t="shared" ref="D14:D21" si="3">B14/B$6</f>
        <v>0.73234200743494426</v>
      </c>
      <c r="E14" s="35">
        <f t="shared" ref="E14:E21" si="4">C14/C$6</f>
        <v>0.70792079207920788</v>
      </c>
      <c r="F14" s="36">
        <f>D14*$L$34</f>
        <v>2.8256249296654277</v>
      </c>
      <c r="G14" s="36">
        <f>E14*$L$34</f>
        <v>2.7313995619801981</v>
      </c>
      <c r="H14" s="12"/>
      <c r="I14" s="12"/>
      <c r="L14" s="9" t="s">
        <v>39</v>
      </c>
      <c r="M14" s="10" t="s">
        <v>40</v>
      </c>
      <c r="N14" s="7">
        <v>1583349</v>
      </c>
      <c r="O14" s="11">
        <v>69.505783102777727</v>
      </c>
      <c r="P14" s="19">
        <f>(N14*O14+N15*O15)/SUM(N14:N15)</f>
        <v>79.580236737963546</v>
      </c>
    </row>
    <row r="15" spans="1:17" x14ac:dyDescent="0.25">
      <c r="A15" s="12" t="s">
        <v>8</v>
      </c>
      <c r="B15" s="12">
        <v>144</v>
      </c>
      <c r="C15" s="12">
        <v>59</v>
      </c>
      <c r="D15" s="35">
        <f t="shared" si="3"/>
        <v>0.26765799256505574</v>
      </c>
      <c r="E15" s="35">
        <f t="shared" si="4"/>
        <v>0.29207920792079206</v>
      </c>
      <c r="F15" s="12"/>
      <c r="G15" s="12"/>
      <c r="H15" s="12"/>
      <c r="I15" s="12"/>
      <c r="L15" s="9" t="s">
        <v>39</v>
      </c>
      <c r="M15" s="10" t="s">
        <v>40</v>
      </c>
      <c r="N15" s="7">
        <v>1370156</v>
      </c>
      <c r="O15" s="11">
        <v>91.22225128872843</v>
      </c>
    </row>
    <row r="16" spans="1:17" x14ac:dyDescent="0.25">
      <c r="A16" s="33" t="s">
        <v>9</v>
      </c>
      <c r="B16" s="12"/>
      <c r="C16" s="12"/>
      <c r="D16" s="35"/>
      <c r="E16" s="35"/>
      <c r="F16" s="12"/>
      <c r="G16" s="12"/>
      <c r="H16" s="12"/>
      <c r="I16" s="12"/>
      <c r="L16" s="12"/>
      <c r="M16" s="10" t="s">
        <v>41</v>
      </c>
      <c r="N16" s="12"/>
      <c r="O16" s="6">
        <v>45</v>
      </c>
      <c r="Q16" t="s">
        <v>42</v>
      </c>
    </row>
    <row r="17" spans="1:16" x14ac:dyDescent="0.25">
      <c r="A17" s="12" t="s">
        <v>7</v>
      </c>
      <c r="B17" s="12">
        <v>39</v>
      </c>
      <c r="C17" s="12">
        <v>36</v>
      </c>
      <c r="D17" s="35">
        <f t="shared" si="3"/>
        <v>7.24907063197026E-2</v>
      </c>
      <c r="E17" s="35">
        <f t="shared" si="4"/>
        <v>0.17821782178217821</v>
      </c>
      <c r="F17" s="36">
        <f>D17*$L$35</f>
        <v>6.4547034791030358</v>
      </c>
      <c r="G17" s="36">
        <f>E17*$L$35</f>
        <v>15.868836885410966</v>
      </c>
      <c r="H17" s="12"/>
      <c r="I17" s="12"/>
      <c r="L17" s="12"/>
      <c r="M17" s="10" t="s">
        <v>45</v>
      </c>
      <c r="N17" s="12"/>
      <c r="O17" s="13">
        <v>303.36711779448615</v>
      </c>
    </row>
    <row r="18" spans="1:16" x14ac:dyDescent="0.25">
      <c r="A18" s="12" t="s">
        <v>8</v>
      </c>
      <c r="B18" s="12">
        <v>499</v>
      </c>
      <c r="C18" s="12">
        <v>166</v>
      </c>
      <c r="D18" s="35">
        <f t="shared" si="3"/>
        <v>0.92750929368029744</v>
      </c>
      <c r="E18" s="35">
        <f t="shared" si="4"/>
        <v>0.82178217821782173</v>
      </c>
      <c r="F18" s="12"/>
      <c r="G18" s="12"/>
      <c r="H18" s="12"/>
      <c r="I18" s="12"/>
      <c r="L18" s="5" t="s">
        <v>47</v>
      </c>
      <c r="M18" s="10" t="s">
        <v>46</v>
      </c>
      <c r="N18" s="12"/>
      <c r="O18" s="13">
        <v>684.7994910179641</v>
      </c>
    </row>
    <row r="19" spans="1:16" x14ac:dyDescent="0.25">
      <c r="A19" s="33" t="s">
        <v>10</v>
      </c>
      <c r="B19" s="12"/>
      <c r="C19" s="12"/>
      <c r="D19" s="35"/>
      <c r="E19" s="35"/>
      <c r="F19" s="12"/>
      <c r="G19" s="12"/>
      <c r="H19" s="12"/>
      <c r="I19" s="12"/>
      <c r="L19" s="12"/>
      <c r="M19" s="10" t="s">
        <v>48</v>
      </c>
      <c r="N19" s="12"/>
      <c r="O19" s="12">
        <v>92.37</v>
      </c>
      <c r="P19" t="s">
        <v>49</v>
      </c>
    </row>
    <row r="20" spans="1:16" x14ac:dyDescent="0.25">
      <c r="A20" s="12" t="s">
        <v>7</v>
      </c>
      <c r="B20" s="12">
        <v>207</v>
      </c>
      <c r="C20" s="12">
        <v>47</v>
      </c>
      <c r="D20" s="35">
        <f t="shared" si="3"/>
        <v>0.38475836431226768</v>
      </c>
      <c r="E20" s="35">
        <f t="shared" si="4"/>
        <v>0.23267326732673269</v>
      </c>
      <c r="F20" s="36">
        <f>D20*$L$33</f>
        <v>1.3158736059479554</v>
      </c>
      <c r="G20" s="36">
        <f>E20*$L$33</f>
        <v>0.79574257425742578</v>
      </c>
      <c r="H20" s="12"/>
      <c r="I20" s="12"/>
      <c r="L20" s="4" t="s">
        <v>73</v>
      </c>
      <c r="M20" s="18" t="s">
        <v>72</v>
      </c>
    </row>
    <row r="21" spans="1:16" x14ac:dyDescent="0.25">
      <c r="A21" s="12" t="s">
        <v>8</v>
      </c>
      <c r="B21" s="12">
        <v>331</v>
      </c>
      <c r="C21" s="12">
        <v>155</v>
      </c>
      <c r="D21" s="35">
        <f t="shared" si="3"/>
        <v>0.61524163568773238</v>
      </c>
      <c r="E21" s="35">
        <f t="shared" si="4"/>
        <v>0.76732673267326734</v>
      </c>
      <c r="F21" s="12"/>
      <c r="G21" s="12"/>
      <c r="H21" s="12"/>
      <c r="I21" s="12"/>
      <c r="M21" s="28" t="s">
        <v>74</v>
      </c>
      <c r="N21" s="29">
        <v>86</v>
      </c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L22" s="30" t="s">
        <v>39</v>
      </c>
      <c r="M22" s="28" t="s">
        <v>40</v>
      </c>
      <c r="N22" s="29">
        <v>44</v>
      </c>
      <c r="O22">
        <f>(N14*N22+N15*N24)/(N14+N15)</f>
        <v>49.102993223305866</v>
      </c>
    </row>
    <row r="23" spans="1:16" x14ac:dyDescent="0.25">
      <c r="A23" s="12" t="s">
        <v>70</v>
      </c>
      <c r="B23" s="12"/>
      <c r="C23" s="12"/>
      <c r="D23" s="12"/>
      <c r="E23" s="12"/>
      <c r="F23" s="37">
        <f>SUM(F13:F20)</f>
        <v>68.79530010653076</v>
      </c>
      <c r="G23" s="37">
        <f>SUM(G13:G20)</f>
        <v>93.791316407064599</v>
      </c>
      <c r="H23" s="37">
        <f>F23*D6+G23*E6</f>
        <v>75.61853698856838</v>
      </c>
      <c r="I23" s="17">
        <f>SUM(F14:F20,L32)*D6+SUM(G14:G20,L32)*E6</f>
        <v>49.921787708387654</v>
      </c>
      <c r="L23" s="30" t="s">
        <v>75</v>
      </c>
      <c r="M23" s="28" t="s">
        <v>76</v>
      </c>
      <c r="N23" s="29">
        <v>89</v>
      </c>
    </row>
    <row r="24" spans="1:16" x14ac:dyDescent="0.25">
      <c r="A24" s="12" t="s">
        <v>71</v>
      </c>
      <c r="B24" s="12"/>
      <c r="C24" s="12"/>
      <c r="D24" s="12"/>
      <c r="E24" s="12"/>
      <c r="H24" s="11">
        <f>O4+O4*K32</f>
        <v>400.96417872130121</v>
      </c>
      <c r="I24" s="38">
        <f>H24</f>
        <v>400.96417872130121</v>
      </c>
      <c r="L24" s="30" t="s">
        <v>77</v>
      </c>
      <c r="M24" s="28" t="s">
        <v>78</v>
      </c>
      <c r="N24" s="29">
        <v>55</v>
      </c>
    </row>
    <row r="25" spans="1:16" x14ac:dyDescent="0.25">
      <c r="A25" s="12"/>
      <c r="B25" s="12"/>
      <c r="C25" s="12"/>
      <c r="D25" s="12"/>
      <c r="E25" s="12"/>
      <c r="F25" s="37"/>
      <c r="G25" s="37"/>
      <c r="H25" s="37"/>
      <c r="I25" s="38"/>
      <c r="L25" s="30" t="s">
        <v>79</v>
      </c>
      <c r="M25" s="28" t="s">
        <v>80</v>
      </c>
      <c r="N25" s="29">
        <v>100</v>
      </c>
    </row>
    <row r="26" spans="1:16" x14ac:dyDescent="0.25">
      <c r="A26" s="20" t="s">
        <v>82</v>
      </c>
      <c r="B26" s="12"/>
      <c r="C26" s="12"/>
      <c r="D26" s="12"/>
      <c r="E26" s="12"/>
      <c r="F26" s="12"/>
      <c r="G26" s="12"/>
      <c r="H26" s="37">
        <f>N26</f>
        <v>134</v>
      </c>
      <c r="I26" s="38">
        <f>H26</f>
        <v>134</v>
      </c>
      <c r="M26" s="31" t="s">
        <v>81</v>
      </c>
      <c r="N26" s="32">
        <v>134</v>
      </c>
    </row>
    <row r="27" spans="1:16" x14ac:dyDescent="0.25">
      <c r="A27" s="12" t="s">
        <v>86</v>
      </c>
      <c r="B27" s="12"/>
      <c r="C27" s="12"/>
      <c r="D27" s="12"/>
      <c r="E27" s="12"/>
      <c r="F27" s="12"/>
      <c r="G27" s="12"/>
      <c r="H27" s="37">
        <f>SUM(H23:H26)</f>
        <v>610.5827157098696</v>
      </c>
      <c r="I27" s="37">
        <f>SUM(I23:I26)</f>
        <v>584.88596642968889</v>
      </c>
    </row>
    <row r="28" spans="1:16" x14ac:dyDescent="0.25">
      <c r="A28" s="20"/>
      <c r="B28" s="12"/>
      <c r="C28" s="12"/>
      <c r="D28" s="12"/>
      <c r="E28" s="12"/>
      <c r="F28" s="12"/>
      <c r="G28" s="12"/>
      <c r="H28" s="37"/>
      <c r="I28" s="37"/>
    </row>
    <row r="30" spans="1:16" ht="15.75" thickBot="1" x14ac:dyDescent="0.3">
      <c r="A30" t="s">
        <v>50</v>
      </c>
    </row>
    <row r="31" spans="1:16" x14ac:dyDescent="0.25">
      <c r="A31" s="12"/>
      <c r="B31" s="12" t="s">
        <v>18</v>
      </c>
      <c r="C31" s="12" t="s">
        <v>52</v>
      </c>
      <c r="D31" s="12" t="s">
        <v>1</v>
      </c>
      <c r="E31" s="12"/>
      <c r="F31" s="12"/>
      <c r="G31" s="12"/>
      <c r="H31" s="12"/>
      <c r="I31" s="12"/>
      <c r="J31" s="12" t="s">
        <v>57</v>
      </c>
      <c r="K31" s="12" t="s">
        <v>84</v>
      </c>
      <c r="L31" s="22" t="s">
        <v>60</v>
      </c>
      <c r="M31" s="24" t="s">
        <v>68</v>
      </c>
      <c r="N31" s="25" t="s">
        <v>69</v>
      </c>
    </row>
    <row r="32" spans="1:16" ht="15.75" thickBot="1" x14ac:dyDescent="0.3">
      <c r="A32" s="12" t="s">
        <v>51</v>
      </c>
      <c r="B32" s="17">
        <v>33</v>
      </c>
      <c r="C32" s="12">
        <v>2020</v>
      </c>
      <c r="D32" s="12" t="s">
        <v>58</v>
      </c>
      <c r="E32" s="12"/>
      <c r="F32" s="12"/>
      <c r="G32" s="12"/>
      <c r="H32" s="12"/>
      <c r="I32" s="12"/>
      <c r="J32" s="12">
        <v>2022</v>
      </c>
      <c r="K32" s="12">
        <f>(C54-C52)/C52</f>
        <v>0.11889346674514417</v>
      </c>
      <c r="L32" s="23">
        <f>B32+B32*K32</f>
        <v>36.923484402589757</v>
      </c>
      <c r="M32" s="26">
        <f>SUM(F13:F20)</f>
        <v>68.79530010653076</v>
      </c>
      <c r="N32" s="27">
        <f>SUM(G13:G20)</f>
        <v>93.791316407064599</v>
      </c>
    </row>
    <row r="33" spans="1:12" x14ac:dyDescent="0.25">
      <c r="A33" s="12" t="s">
        <v>53</v>
      </c>
      <c r="B33" s="17">
        <v>3.42</v>
      </c>
      <c r="C33" s="12">
        <v>2022</v>
      </c>
      <c r="D33" s="12" t="s">
        <v>54</v>
      </c>
      <c r="E33" s="12"/>
      <c r="F33" s="12"/>
      <c r="G33" s="12"/>
      <c r="H33" s="12"/>
      <c r="I33" s="12"/>
      <c r="J33" s="12">
        <v>2022</v>
      </c>
      <c r="K33" s="12">
        <v>0</v>
      </c>
      <c r="L33" s="23">
        <f>B33+B33*K33/100</f>
        <v>3.42</v>
      </c>
    </row>
    <row r="34" spans="1:12" x14ac:dyDescent="0.25">
      <c r="A34" s="12" t="s">
        <v>55</v>
      </c>
      <c r="B34" s="17">
        <v>3.85</v>
      </c>
      <c r="C34" s="12">
        <v>2015</v>
      </c>
      <c r="D34" s="12" t="s">
        <v>56</v>
      </c>
      <c r="E34" s="12"/>
      <c r="F34" s="12"/>
      <c r="G34" s="12"/>
      <c r="H34" s="12"/>
      <c r="I34" s="12"/>
      <c r="J34" s="12">
        <v>2022</v>
      </c>
      <c r="K34" s="12">
        <f>(C54-C47)/C47</f>
        <v>0.21664000000000003</v>
      </c>
      <c r="L34" s="23">
        <f>B34+B34*K34/100</f>
        <v>3.8583406400000002</v>
      </c>
    </row>
    <row r="35" spans="1:12" x14ac:dyDescent="0.25">
      <c r="A35" s="20" t="s">
        <v>9</v>
      </c>
      <c r="B35" s="21">
        <f>P14</f>
        <v>79.580236737963546</v>
      </c>
      <c r="C35" s="20">
        <v>2020</v>
      </c>
      <c r="D35" s="12"/>
      <c r="E35" s="12"/>
      <c r="F35" s="12"/>
      <c r="G35" s="12"/>
      <c r="H35" s="12"/>
      <c r="I35" s="12"/>
      <c r="J35" s="20">
        <v>2022</v>
      </c>
      <c r="K35" s="12">
        <f>(C54-C52)*100/C52</f>
        <v>11.889346674514417</v>
      </c>
      <c r="L35" s="23">
        <f>B35+B35*K35/100</f>
        <v>89.041806968139312</v>
      </c>
    </row>
    <row r="37" spans="1:12" x14ac:dyDescent="0.25">
      <c r="A37" t="s">
        <v>59</v>
      </c>
    </row>
    <row r="38" spans="1:12" x14ac:dyDescent="0.25">
      <c r="B38">
        <v>2016</v>
      </c>
      <c r="C38">
        <v>2017</v>
      </c>
      <c r="D38">
        <v>2018</v>
      </c>
      <c r="E38">
        <v>2019</v>
      </c>
      <c r="F38">
        <v>2020</v>
      </c>
      <c r="G38">
        <v>2021</v>
      </c>
      <c r="H38">
        <v>2022</v>
      </c>
    </row>
    <row r="39" spans="1:12" ht="30" x14ac:dyDescent="0.25">
      <c r="A39" s="16" t="s">
        <v>61</v>
      </c>
    </row>
    <row r="41" spans="1:12" x14ac:dyDescent="0.25">
      <c r="A41" t="s">
        <v>55</v>
      </c>
      <c r="B41" s="14">
        <f>(B34+B34*0.35%)</f>
        <v>3.8634750000000002</v>
      </c>
      <c r="C41" s="14">
        <f>(B41*2.12%)+B41</f>
        <v>3.94538067</v>
      </c>
      <c r="D41" s="14">
        <f>(C41*1.16%)+C41</f>
        <v>3.9911470857719999</v>
      </c>
      <c r="E41" s="14">
        <f>(D41*2.31%)+D41</f>
        <v>4.0833425834533328</v>
      </c>
      <c r="F41" s="14">
        <f>(E41*B52)+E41</f>
        <v>4.1282593518713195</v>
      </c>
      <c r="G41" s="14">
        <f>F41+(F41*B53)</f>
        <v>4.2190810576124882</v>
      </c>
      <c r="H41" s="14">
        <f>G41+(G41*B54)</f>
        <v>4.4215969483778874</v>
      </c>
    </row>
    <row r="42" spans="1:12" x14ac:dyDescent="0.25">
      <c r="A42" t="s">
        <v>51</v>
      </c>
      <c r="G42" s="14">
        <f>B32+(B32*G$57)</f>
        <v>33.725999999999999</v>
      </c>
      <c r="H42" s="14">
        <f>G42+(G42*H$57)</f>
        <v>35.344847999999999</v>
      </c>
    </row>
    <row r="43" spans="1:12" x14ac:dyDescent="0.25">
      <c r="A43" t="s">
        <v>53</v>
      </c>
      <c r="G43" s="14">
        <f>B33+(B33*G$57)</f>
        <v>3.4952399999999999</v>
      </c>
      <c r="H43" s="14">
        <f>G43+(G43*H$57)</f>
        <v>3.66301152</v>
      </c>
    </row>
    <row r="44" spans="1:12" x14ac:dyDescent="0.25">
      <c r="A44" t="s">
        <v>66</v>
      </c>
      <c r="G44" s="14">
        <f>B35+(B35*G$57)</f>
        <v>81.331001946198739</v>
      </c>
      <c r="H44" s="14">
        <f>G44+(G44*H$57)</f>
        <v>85.234890039616275</v>
      </c>
    </row>
    <row r="45" spans="1:12" x14ac:dyDescent="0.25">
      <c r="A45" s="4" t="s">
        <v>62</v>
      </c>
      <c r="C45" s="18" t="s">
        <v>63</v>
      </c>
    </row>
    <row r="47" spans="1:12" x14ac:dyDescent="0.25">
      <c r="A47">
        <v>2015</v>
      </c>
      <c r="B47" s="40">
        <v>1.4999999999999999E-2</v>
      </c>
      <c r="C47" s="19">
        <v>100</v>
      </c>
    </row>
    <row r="48" spans="1:12" x14ac:dyDescent="0.25">
      <c r="A48">
        <v>2016</v>
      </c>
      <c r="B48" s="40">
        <v>2.4E-2</v>
      </c>
      <c r="C48">
        <v>100.66</v>
      </c>
    </row>
    <row r="49" spans="1:8" x14ac:dyDescent="0.25">
      <c r="A49">
        <v>2017</v>
      </c>
      <c r="B49" s="40">
        <v>3.2000000000000001E-2</v>
      </c>
      <c r="C49">
        <v>103.361</v>
      </c>
    </row>
    <row r="50" spans="1:8" x14ac:dyDescent="0.25">
      <c r="A50">
        <v>2018</v>
      </c>
      <c r="B50" s="40">
        <v>2.3E-2</v>
      </c>
      <c r="C50">
        <v>105.992</v>
      </c>
    </row>
    <row r="51" spans="1:8" x14ac:dyDescent="0.25">
      <c r="A51">
        <v>2019</v>
      </c>
      <c r="B51" s="40">
        <v>2.8000000000000001E-2</v>
      </c>
      <c r="C51">
        <v>107.819</v>
      </c>
    </row>
    <row r="52" spans="1:8" x14ac:dyDescent="0.25">
      <c r="A52">
        <v>2020</v>
      </c>
      <c r="B52" s="40">
        <v>1.0999999999999999E-2</v>
      </c>
      <c r="C52">
        <v>108.736</v>
      </c>
      <c r="F52" s="15"/>
    </row>
    <row r="53" spans="1:8" x14ac:dyDescent="0.25">
      <c r="A53">
        <v>2021</v>
      </c>
      <c r="B53" s="40">
        <v>2.1999999999999999E-2</v>
      </c>
      <c r="C53">
        <v>111.551</v>
      </c>
      <c r="F53" s="39"/>
    </row>
    <row r="54" spans="1:8" x14ac:dyDescent="0.25">
      <c r="A54">
        <v>2022</v>
      </c>
      <c r="B54" s="40">
        <v>4.8000000000000001E-2</v>
      </c>
      <c r="C54">
        <v>121.664</v>
      </c>
    </row>
    <row r="55" spans="1:8" x14ac:dyDescent="0.25">
      <c r="A55" s="4" t="s">
        <v>62</v>
      </c>
    </row>
    <row r="56" spans="1:8" x14ac:dyDescent="0.25">
      <c r="A56">
        <v>2015</v>
      </c>
      <c r="B56">
        <v>2016</v>
      </c>
      <c r="C56">
        <v>2017</v>
      </c>
      <c r="D56">
        <v>2018</v>
      </c>
      <c r="E56">
        <v>2019</v>
      </c>
      <c r="F56">
        <v>2020</v>
      </c>
      <c r="G56">
        <v>2021</v>
      </c>
      <c r="H56">
        <v>2022</v>
      </c>
    </row>
    <row r="57" spans="1:8" x14ac:dyDescent="0.25">
      <c r="A57" s="15">
        <v>1.4999999999999999E-2</v>
      </c>
      <c r="B57" s="15">
        <v>2.4E-2</v>
      </c>
      <c r="C57" s="15">
        <v>3.2000000000000001E-2</v>
      </c>
      <c r="D57" s="15">
        <v>2.3E-2</v>
      </c>
      <c r="E57" s="15">
        <v>2.8000000000000001E-2</v>
      </c>
      <c r="F57" s="15">
        <v>1.0999999999999999E-2</v>
      </c>
      <c r="G57" s="15">
        <v>2.1999999999999999E-2</v>
      </c>
      <c r="H57" s="15">
        <v>4.8000000000000001E-2</v>
      </c>
    </row>
  </sheetData>
  <mergeCells count="3">
    <mergeCell ref="B4:C4"/>
    <mergeCell ref="D4:E4"/>
    <mergeCell ref="F4:G4"/>
  </mergeCells>
  <hyperlinks>
    <hyperlink ref="M1" r:id="rId1" xr:uid="{8D5F4CF5-19E7-4407-B07A-CA114E2AF7CA}"/>
    <hyperlink ref="M2" r:id="rId2" location=":~:text=All%20relevant%20activity%20should%20now,no%20longer%20collect%20reference%20costs." xr:uid="{88339E28-F03E-4278-A978-A5848EF5A102}"/>
    <hyperlink ref="M20" r:id="rId3" location="heading-2" xr:uid="{94C9397E-1A65-4633-A5A6-7EF3542DC68D}"/>
    <hyperlink ref="C45" r:id="rId4" location=":~:text=The%20CPI%20inflation%20rate%20in,serious%20cost%20of%20living%20crisis." xr:uid="{0B43EB4C-AE01-46A8-A378-FC7EEBC4943D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67B3-A7A4-41B0-880B-2F0FE2EB18BE}">
  <dimension ref="A1:S40"/>
  <sheetViews>
    <sheetView workbookViewId="0">
      <selection activeCell="A2" sqref="A2:D2"/>
    </sheetView>
  </sheetViews>
  <sheetFormatPr defaultRowHeight="15" x14ac:dyDescent="0.25"/>
  <cols>
    <col min="1" max="1" width="21.28515625" customWidth="1"/>
    <col min="6" max="6" width="30.28515625" customWidth="1"/>
    <col min="8" max="8" width="23.28515625" customWidth="1"/>
    <col min="9" max="9" width="10.5703125" bestFit="1" customWidth="1"/>
  </cols>
  <sheetData>
    <row r="1" spans="1:19" ht="15.75" thickBot="1" x14ac:dyDescent="0.3">
      <c r="A1" t="s">
        <v>178</v>
      </c>
    </row>
    <row r="2" spans="1:19" ht="29.25" thickBot="1" x14ac:dyDescent="0.3">
      <c r="A2" s="44" t="s">
        <v>87</v>
      </c>
      <c r="B2" s="44" t="s">
        <v>88</v>
      </c>
      <c r="C2" s="44" t="s">
        <v>89</v>
      </c>
      <c r="D2" s="44" t="s">
        <v>90</v>
      </c>
      <c r="E2" s="45" t="s">
        <v>91</v>
      </c>
      <c r="F2" s="44" t="s">
        <v>92</v>
      </c>
    </row>
    <row r="3" spans="1:19" ht="28.5" x14ac:dyDescent="0.25">
      <c r="A3" s="42" t="s">
        <v>93</v>
      </c>
      <c r="B3" s="43"/>
      <c r="C3" s="43"/>
      <c r="D3" s="43"/>
      <c r="E3" s="43"/>
      <c r="F3" s="43"/>
      <c r="O3" t="s">
        <v>192</v>
      </c>
      <c r="P3" t="s">
        <v>188</v>
      </c>
      <c r="Q3" t="s">
        <v>189</v>
      </c>
      <c r="R3" t="s">
        <v>190</v>
      </c>
      <c r="S3" t="s">
        <v>191</v>
      </c>
    </row>
    <row r="4" spans="1:19" ht="31.5" customHeight="1" thickBot="1" x14ac:dyDescent="0.3">
      <c r="A4" s="43" t="s">
        <v>94</v>
      </c>
      <c r="B4" s="43">
        <v>1517.223</v>
      </c>
      <c r="C4" s="43">
        <v>1729.0409999999999</v>
      </c>
      <c r="D4" s="43">
        <v>0.88</v>
      </c>
      <c r="E4" s="43">
        <v>0.38</v>
      </c>
      <c r="F4" s="43" t="s">
        <v>95</v>
      </c>
      <c r="G4" s="49"/>
      <c r="H4" s="50" t="s">
        <v>176</v>
      </c>
      <c r="J4" s="51">
        <v>2348.7959999999998</v>
      </c>
      <c r="K4" s="51">
        <v>305.06760000000003</v>
      </c>
      <c r="L4" s="51">
        <v>7.7</v>
      </c>
      <c r="N4" s="49" t="s">
        <v>193</v>
      </c>
      <c r="O4">
        <f>J4+J8+J16</f>
        <v>3603.0903399999997</v>
      </c>
      <c r="P4">
        <f>J4+J8+J19</f>
        <v>3832.3968399999994</v>
      </c>
      <c r="Q4">
        <f>J4+J8+J17</f>
        <v>4061.7033399999996</v>
      </c>
      <c r="R4">
        <f>J4+J8+J18</f>
        <v>6342.31934</v>
      </c>
      <c r="S4">
        <f>J4+J8+J15</f>
        <v>7792.5903399999997</v>
      </c>
    </row>
    <row r="5" spans="1:19" ht="32.25" customHeight="1" x14ac:dyDescent="0.25">
      <c r="A5" s="43" t="s">
        <v>96</v>
      </c>
      <c r="B5" s="43">
        <v>1217.4380000000001</v>
      </c>
      <c r="C5" s="43">
        <v>415.9633</v>
      </c>
      <c r="D5" s="43">
        <v>2.93</v>
      </c>
      <c r="E5" s="43">
        <v>3.0000000000000001E-3</v>
      </c>
      <c r="F5" s="43" t="s">
        <v>97</v>
      </c>
      <c r="G5" s="49"/>
      <c r="H5" s="52" t="s">
        <v>179</v>
      </c>
      <c r="J5" s="53" t="s">
        <v>169</v>
      </c>
      <c r="K5" s="53">
        <v>97.19538</v>
      </c>
      <c r="L5" s="53" t="s">
        <v>170</v>
      </c>
      <c r="N5" s="53" t="s">
        <v>194</v>
      </c>
      <c r="O5">
        <f>J4+J8+J16+J13</f>
        <v>2681.7367399999998</v>
      </c>
    </row>
    <row r="6" spans="1:19" ht="28.5" customHeight="1" x14ac:dyDescent="0.25">
      <c r="A6" s="43" t="s">
        <v>98</v>
      </c>
      <c r="B6" s="43">
        <v>1676.0509999999999</v>
      </c>
      <c r="C6" s="43">
        <v>385.98309999999998</v>
      </c>
      <c r="D6" s="43">
        <v>4.34</v>
      </c>
      <c r="E6" s="43">
        <v>0</v>
      </c>
      <c r="F6" s="43" t="s">
        <v>99</v>
      </c>
      <c r="G6" s="49"/>
      <c r="H6" s="52" t="s">
        <v>180</v>
      </c>
      <c r="J6" s="53" t="s">
        <v>173</v>
      </c>
      <c r="K6" s="53">
        <v>122.4042</v>
      </c>
      <c r="L6" s="53" t="s">
        <v>174</v>
      </c>
      <c r="N6" s="53" t="s">
        <v>195</v>
      </c>
    </row>
    <row r="7" spans="1:19" ht="25.5" customHeight="1" x14ac:dyDescent="0.25">
      <c r="A7" s="43" t="s">
        <v>100</v>
      </c>
      <c r="B7" s="43">
        <v>3956.6669999999999</v>
      </c>
      <c r="C7" s="43">
        <v>829.37509999999997</v>
      </c>
      <c r="D7" s="43">
        <v>4.7699999999999996</v>
      </c>
      <c r="E7" s="43">
        <v>0</v>
      </c>
      <c r="F7" s="43" t="s">
        <v>101</v>
      </c>
      <c r="G7" s="49"/>
      <c r="H7" s="53" t="s">
        <v>181</v>
      </c>
      <c r="J7" s="49"/>
      <c r="K7" s="49"/>
      <c r="L7" s="49"/>
      <c r="N7" s="49"/>
    </row>
    <row r="8" spans="1:19" ht="25.5" customHeight="1" x14ac:dyDescent="0.25">
      <c r="A8" s="43" t="s">
        <v>102</v>
      </c>
      <c r="B8" s="43">
        <v>1967.914</v>
      </c>
      <c r="C8" s="43">
        <v>311.49400000000003</v>
      </c>
      <c r="D8" s="43">
        <v>6.32</v>
      </c>
      <c r="E8" s="43">
        <v>0</v>
      </c>
      <c r="F8" s="43" t="s">
        <v>103</v>
      </c>
      <c r="G8" s="49"/>
      <c r="H8" s="52" t="s">
        <v>150</v>
      </c>
      <c r="J8" s="53">
        <v>36.856340000000003</v>
      </c>
      <c r="K8" s="53">
        <v>193.84370000000001</v>
      </c>
      <c r="L8" s="53">
        <v>0.19</v>
      </c>
    </row>
    <row r="9" spans="1:19" x14ac:dyDescent="0.25">
      <c r="A9" s="42" t="s">
        <v>104</v>
      </c>
      <c r="B9" s="43"/>
      <c r="C9" s="43"/>
      <c r="D9" s="43"/>
      <c r="E9" s="43"/>
      <c r="F9" s="43"/>
      <c r="G9" s="49"/>
      <c r="H9" s="52" t="s">
        <v>152</v>
      </c>
      <c r="J9" s="53">
        <v>62.707299999999996</v>
      </c>
      <c r="K9" s="53">
        <v>177.3931</v>
      </c>
      <c r="L9" s="53">
        <v>0.35</v>
      </c>
    </row>
    <row r="10" spans="1:19" ht="29.25" customHeight="1" x14ac:dyDescent="0.25">
      <c r="A10" s="43" t="s">
        <v>105</v>
      </c>
      <c r="B10" s="43" t="s">
        <v>106</v>
      </c>
      <c r="C10" s="43">
        <v>251.7046</v>
      </c>
      <c r="D10" s="43" t="s">
        <v>107</v>
      </c>
      <c r="E10" s="43">
        <v>0</v>
      </c>
      <c r="F10" s="43" t="s">
        <v>108</v>
      </c>
      <c r="G10" s="49"/>
      <c r="H10" s="52" t="s">
        <v>154</v>
      </c>
      <c r="J10" s="53" t="s">
        <v>155</v>
      </c>
      <c r="K10" s="53">
        <v>182.52770000000001</v>
      </c>
      <c r="L10" s="53" t="s">
        <v>156</v>
      </c>
    </row>
    <row r="11" spans="1:19" ht="24" customHeight="1" x14ac:dyDescent="0.25">
      <c r="A11" s="43" t="s">
        <v>109</v>
      </c>
      <c r="B11" s="43" t="s">
        <v>110</v>
      </c>
      <c r="C11" s="43">
        <v>233.99279999999999</v>
      </c>
      <c r="D11" s="43" t="s">
        <v>111</v>
      </c>
      <c r="E11" s="43">
        <v>0</v>
      </c>
      <c r="F11" s="43" t="s">
        <v>112</v>
      </c>
      <c r="G11" s="49"/>
      <c r="H11" s="52" t="s">
        <v>158</v>
      </c>
      <c r="J11" s="53">
        <v>59.025919999999999</v>
      </c>
      <c r="K11" s="53">
        <v>226.9982</v>
      </c>
      <c r="L11" s="53">
        <v>0.26</v>
      </c>
    </row>
    <row r="12" spans="1:19" x14ac:dyDescent="0.25">
      <c r="A12" s="47" t="s">
        <v>113</v>
      </c>
      <c r="B12" s="43"/>
      <c r="C12" s="43"/>
      <c r="D12" s="43"/>
      <c r="E12" s="43"/>
      <c r="F12" s="43"/>
      <c r="G12" s="49"/>
      <c r="H12" s="54" t="s">
        <v>104</v>
      </c>
      <c r="J12" s="53"/>
      <c r="K12" s="53"/>
      <c r="L12" s="53"/>
    </row>
    <row r="13" spans="1:19" ht="26.25" customHeight="1" x14ac:dyDescent="0.25">
      <c r="A13" s="43" t="s">
        <v>114</v>
      </c>
      <c r="B13" s="43" t="s">
        <v>115</v>
      </c>
      <c r="C13" s="43">
        <v>343.80869999999999</v>
      </c>
      <c r="D13" s="43" t="s">
        <v>116</v>
      </c>
      <c r="E13" s="43">
        <v>0</v>
      </c>
      <c r="F13" s="43" t="s">
        <v>117</v>
      </c>
      <c r="G13" s="49"/>
      <c r="H13" s="52" t="s">
        <v>105</v>
      </c>
      <c r="J13" s="53">
        <v>-921.35360000000003</v>
      </c>
      <c r="K13" s="53">
        <v>251.7046</v>
      </c>
      <c r="L13" s="53" t="s">
        <v>107</v>
      </c>
    </row>
    <row r="14" spans="1:19" ht="30.75" customHeight="1" x14ac:dyDescent="0.25">
      <c r="A14" s="43" t="s">
        <v>118</v>
      </c>
      <c r="B14" s="43" t="s">
        <v>119</v>
      </c>
      <c r="C14" s="43">
        <v>319.97449999999998</v>
      </c>
      <c r="D14" s="43" t="s">
        <v>120</v>
      </c>
      <c r="E14" s="43">
        <v>0</v>
      </c>
      <c r="F14" s="43" t="s">
        <v>121</v>
      </c>
      <c r="G14" s="49"/>
      <c r="H14" s="52" t="s">
        <v>109</v>
      </c>
      <c r="J14" s="53">
        <v>-1514.1890000000001</v>
      </c>
      <c r="K14" s="53">
        <v>233.99279999999999</v>
      </c>
      <c r="L14" s="53" t="s">
        <v>111</v>
      </c>
    </row>
    <row r="15" spans="1:19" ht="23.25" customHeight="1" x14ac:dyDescent="0.25">
      <c r="A15" s="43" t="s">
        <v>122</v>
      </c>
      <c r="B15" s="43">
        <v>5406.9380000000001</v>
      </c>
      <c r="C15" s="43">
        <v>1400.335</v>
      </c>
      <c r="D15" s="43">
        <v>3.86</v>
      </c>
      <c r="E15" s="43">
        <v>0</v>
      </c>
      <c r="F15" s="43" t="s">
        <v>123</v>
      </c>
      <c r="H15" s="52" t="s">
        <v>122</v>
      </c>
      <c r="I15" s="49" t="s">
        <v>182</v>
      </c>
      <c r="J15" s="53">
        <v>5406.9380000000001</v>
      </c>
      <c r="K15" s="53">
        <v>1400.335</v>
      </c>
      <c r="L15" s="53">
        <v>3.86</v>
      </c>
    </row>
    <row r="16" spans="1:19" ht="21.75" customHeight="1" x14ac:dyDescent="0.25">
      <c r="A16" s="43" t="s">
        <v>124</v>
      </c>
      <c r="B16" s="43">
        <v>2269.1379999999999</v>
      </c>
      <c r="C16" s="43">
        <v>806.8528</v>
      </c>
      <c r="D16" s="43">
        <v>2.81</v>
      </c>
      <c r="E16" s="43">
        <v>5.0000000000000001E-3</v>
      </c>
      <c r="F16" s="43" t="s">
        <v>125</v>
      </c>
      <c r="H16" s="52" t="s">
        <v>96</v>
      </c>
      <c r="I16" s="49" t="s">
        <v>186</v>
      </c>
      <c r="J16" s="53">
        <v>1217.4380000000001</v>
      </c>
      <c r="K16" s="53">
        <v>415.9633</v>
      </c>
      <c r="L16" s="53">
        <v>2.93</v>
      </c>
    </row>
    <row r="17" spans="1:12" ht="26.25" customHeight="1" x14ac:dyDescent="0.25">
      <c r="A17" s="43" t="s">
        <v>126</v>
      </c>
      <c r="B17" s="43">
        <v>91.535179999999997</v>
      </c>
      <c r="C17" s="43">
        <v>91.503929999999997</v>
      </c>
      <c r="D17" s="43">
        <v>1</v>
      </c>
      <c r="E17" s="43">
        <v>0.317</v>
      </c>
      <c r="F17" s="43" t="s">
        <v>127</v>
      </c>
      <c r="H17" s="52" t="s">
        <v>98</v>
      </c>
      <c r="I17" s="49" t="s">
        <v>185</v>
      </c>
      <c r="J17" s="53">
        <v>1676.0509999999999</v>
      </c>
      <c r="K17" s="53">
        <v>385.98309999999998</v>
      </c>
      <c r="L17" s="53">
        <v>4.34</v>
      </c>
    </row>
    <row r="18" spans="1:12" ht="23.25" customHeight="1" x14ac:dyDescent="0.25">
      <c r="A18" s="43" t="s">
        <v>128</v>
      </c>
      <c r="B18" s="43">
        <v>162.3912</v>
      </c>
      <c r="C18" s="43">
        <v>104.348</v>
      </c>
      <c r="D18" s="43">
        <v>1.56</v>
      </c>
      <c r="E18" s="43">
        <v>0.12</v>
      </c>
      <c r="F18" s="43" t="s">
        <v>129</v>
      </c>
      <c r="H18" s="52" t="s">
        <v>100</v>
      </c>
      <c r="I18" s="49" t="s">
        <v>183</v>
      </c>
      <c r="J18" s="53">
        <v>3956.6669999999999</v>
      </c>
      <c r="K18" s="53">
        <v>829.37509999999997</v>
      </c>
      <c r="L18" s="53">
        <v>4.7699999999999996</v>
      </c>
    </row>
    <row r="19" spans="1:12" ht="25.5" customHeight="1" x14ac:dyDescent="0.25">
      <c r="A19" s="43" t="s">
        <v>130</v>
      </c>
      <c r="B19" s="43" t="s">
        <v>131</v>
      </c>
      <c r="C19" s="43">
        <v>147.03579999999999</v>
      </c>
      <c r="D19" s="43" t="s">
        <v>132</v>
      </c>
      <c r="E19" s="43">
        <v>0.64800000000000002</v>
      </c>
      <c r="F19" s="43" t="s">
        <v>133</v>
      </c>
      <c r="H19" s="52" t="s">
        <v>187</v>
      </c>
      <c r="I19" s="53" t="s">
        <v>184</v>
      </c>
      <c r="J19" s="49">
        <f>AVERAGE(J16:J17)</f>
        <v>1446.7445</v>
      </c>
      <c r="K19" s="49">
        <f>AVERAGE(K16:K17)</f>
        <v>400.97320000000002</v>
      </c>
      <c r="L19" s="49">
        <f>AVERAGE(L16:L17)</f>
        <v>3.6349999999999998</v>
      </c>
    </row>
    <row r="20" spans="1:12" ht="23.25" customHeight="1" x14ac:dyDescent="0.25">
      <c r="A20" s="43" t="s">
        <v>134</v>
      </c>
      <c r="B20" s="43" t="s">
        <v>135</v>
      </c>
      <c r="C20" s="43">
        <v>90.557829999999996</v>
      </c>
      <c r="D20" s="43" t="s">
        <v>136</v>
      </c>
      <c r="E20" s="43">
        <v>0.255</v>
      </c>
      <c r="F20" s="43" t="s">
        <v>137</v>
      </c>
    </row>
    <row r="21" spans="1:12" x14ac:dyDescent="0.25">
      <c r="A21" s="42" t="s">
        <v>138</v>
      </c>
      <c r="B21" s="43"/>
      <c r="C21" s="43"/>
      <c r="D21" s="43"/>
      <c r="E21" s="43"/>
      <c r="F21" s="43"/>
    </row>
    <row r="22" spans="1:12" ht="27" customHeight="1" x14ac:dyDescent="0.25">
      <c r="A22" s="43" t="s">
        <v>139</v>
      </c>
      <c r="B22" s="43">
        <v>190.4007</v>
      </c>
      <c r="C22" s="43">
        <v>173.78120000000001</v>
      </c>
      <c r="D22" s="43">
        <v>1.1000000000000001</v>
      </c>
      <c r="E22" s="43">
        <v>0.27300000000000002</v>
      </c>
      <c r="F22" s="43" t="s">
        <v>140</v>
      </c>
    </row>
    <row r="23" spans="1:12" ht="31.5" customHeight="1" x14ac:dyDescent="0.25">
      <c r="A23" s="43" t="s">
        <v>141</v>
      </c>
      <c r="B23" s="43">
        <v>171.73500000000001</v>
      </c>
      <c r="C23" s="43">
        <v>300.59230000000002</v>
      </c>
      <c r="D23" s="43">
        <v>0.56999999999999995</v>
      </c>
      <c r="E23" s="43">
        <v>0.56799999999999995</v>
      </c>
      <c r="F23" s="43" t="s">
        <v>142</v>
      </c>
    </row>
    <row r="24" spans="1:12" x14ac:dyDescent="0.25">
      <c r="A24" s="48" t="s">
        <v>143</v>
      </c>
      <c r="B24" s="43"/>
      <c r="C24" s="43"/>
      <c r="D24" s="43"/>
      <c r="E24" s="43"/>
      <c r="F24" s="43"/>
    </row>
    <row r="25" spans="1:12" ht="28.5" x14ac:dyDescent="0.25">
      <c r="A25" s="43" t="s">
        <v>144</v>
      </c>
      <c r="B25" s="43"/>
      <c r="C25" s="43"/>
      <c r="D25" s="43"/>
      <c r="E25" s="43"/>
      <c r="F25" s="43"/>
    </row>
    <row r="26" spans="1:12" ht="30" customHeight="1" x14ac:dyDescent="0.25">
      <c r="A26" s="43" t="s">
        <v>145</v>
      </c>
      <c r="B26" s="43">
        <v>153.2397</v>
      </c>
      <c r="C26" s="43">
        <v>242.29499999999999</v>
      </c>
      <c r="D26" s="43">
        <v>0.63</v>
      </c>
      <c r="E26" s="43">
        <v>0.52700000000000002</v>
      </c>
      <c r="F26" s="43" t="s">
        <v>146</v>
      </c>
    </row>
    <row r="27" spans="1:12" ht="71.25" x14ac:dyDescent="0.25">
      <c r="A27" s="43" t="s">
        <v>147</v>
      </c>
      <c r="B27" s="43">
        <v>390.0575</v>
      </c>
      <c r="C27" s="43">
        <v>387.77379999999999</v>
      </c>
      <c r="D27" s="43">
        <v>1.01</v>
      </c>
      <c r="E27" s="43">
        <v>0.314</v>
      </c>
      <c r="F27" s="43" t="s">
        <v>148</v>
      </c>
    </row>
    <row r="28" spans="1:12" x14ac:dyDescent="0.25">
      <c r="A28" s="42" t="s">
        <v>149</v>
      </c>
      <c r="B28" s="43"/>
      <c r="C28" s="43"/>
      <c r="D28" s="43"/>
      <c r="E28" s="43"/>
      <c r="F28" s="43"/>
    </row>
    <row r="29" spans="1:12" ht="27.75" customHeight="1" x14ac:dyDescent="0.25">
      <c r="A29" s="43" t="s">
        <v>150</v>
      </c>
      <c r="B29" s="43">
        <v>36.856340000000003</v>
      </c>
      <c r="C29" s="43">
        <v>193.84370000000001</v>
      </c>
      <c r="D29" s="43">
        <v>0.19</v>
      </c>
      <c r="E29" s="43">
        <v>0.84899999999999998</v>
      </c>
      <c r="F29" s="43" t="s">
        <v>151</v>
      </c>
    </row>
    <row r="30" spans="1:12" ht="28.5" customHeight="1" x14ac:dyDescent="0.25">
      <c r="A30" s="43" t="s">
        <v>152</v>
      </c>
      <c r="B30" s="43">
        <v>62.707299999999996</v>
      </c>
      <c r="C30" s="43">
        <v>177.3931</v>
      </c>
      <c r="D30" s="43">
        <v>0.35</v>
      </c>
      <c r="E30" s="43">
        <v>0.72399999999999998</v>
      </c>
      <c r="F30" s="43" t="s">
        <v>153</v>
      </c>
    </row>
    <row r="31" spans="1:12" ht="33" customHeight="1" x14ac:dyDescent="0.25">
      <c r="A31" s="43" t="s">
        <v>154</v>
      </c>
      <c r="B31" s="43" t="s">
        <v>155</v>
      </c>
      <c r="C31" s="43">
        <v>182.52770000000001</v>
      </c>
      <c r="D31" s="43" t="s">
        <v>156</v>
      </c>
      <c r="E31" s="43">
        <v>0.66500000000000004</v>
      </c>
      <c r="F31" s="43" t="s">
        <v>157</v>
      </c>
    </row>
    <row r="32" spans="1:12" ht="35.25" customHeight="1" x14ac:dyDescent="0.25">
      <c r="A32" s="43" t="s">
        <v>158</v>
      </c>
      <c r="B32" s="43">
        <v>59.025919999999999</v>
      </c>
      <c r="C32" s="43">
        <v>226.9982</v>
      </c>
      <c r="D32" s="43">
        <v>0.26</v>
      </c>
      <c r="E32" s="43">
        <v>0.79500000000000004</v>
      </c>
      <c r="F32" s="43" t="s">
        <v>159</v>
      </c>
    </row>
    <row r="33" spans="1:6" x14ac:dyDescent="0.25">
      <c r="A33" s="42" t="s">
        <v>160</v>
      </c>
      <c r="B33" s="43"/>
      <c r="C33" s="43"/>
      <c r="D33" s="43"/>
      <c r="E33" s="43"/>
      <c r="F33" s="43"/>
    </row>
    <row r="34" spans="1:6" ht="29.25" customHeight="1" x14ac:dyDescent="0.25">
      <c r="A34" s="43" t="s">
        <v>161</v>
      </c>
      <c r="B34" s="43">
        <v>207.67949999999999</v>
      </c>
      <c r="C34" s="43">
        <v>95.780289999999994</v>
      </c>
      <c r="D34" s="43">
        <v>2.17</v>
      </c>
      <c r="E34" s="43">
        <v>0.03</v>
      </c>
      <c r="F34" s="43" t="s">
        <v>162</v>
      </c>
    </row>
    <row r="35" spans="1:6" ht="27" customHeight="1" x14ac:dyDescent="0.25">
      <c r="A35" s="43" t="s">
        <v>163</v>
      </c>
      <c r="B35" s="43">
        <v>258.07220000000001</v>
      </c>
      <c r="C35" s="43">
        <v>113.32259999999999</v>
      </c>
      <c r="D35" s="43">
        <v>2.2799999999999998</v>
      </c>
      <c r="E35" s="43">
        <v>2.3E-2</v>
      </c>
      <c r="F35" s="43" t="s">
        <v>164</v>
      </c>
    </row>
    <row r="36" spans="1:6" ht="30.75" customHeight="1" x14ac:dyDescent="0.25">
      <c r="A36" s="43" t="s">
        <v>165</v>
      </c>
      <c r="B36" s="43">
        <v>1257.9680000000001</v>
      </c>
      <c r="C36" s="43">
        <v>623.30529999999999</v>
      </c>
      <c r="D36" s="43">
        <v>2.02</v>
      </c>
      <c r="E36" s="43">
        <v>4.3999999999999997E-2</v>
      </c>
      <c r="F36" s="43" t="s">
        <v>166</v>
      </c>
    </row>
    <row r="37" spans="1:6" ht="21.75" customHeight="1" x14ac:dyDescent="0.25">
      <c r="A37" s="42" t="s">
        <v>167</v>
      </c>
      <c r="B37" s="43"/>
      <c r="C37" s="43"/>
      <c r="D37" s="43"/>
      <c r="E37" s="43"/>
      <c r="F37" s="43"/>
    </row>
    <row r="38" spans="1:6" ht="32.25" customHeight="1" x14ac:dyDescent="0.25">
      <c r="A38" s="43" t="s">
        <v>168</v>
      </c>
      <c r="B38" s="43" t="s">
        <v>169</v>
      </c>
      <c r="C38" s="43">
        <v>97.19538</v>
      </c>
      <c r="D38" s="43" t="s">
        <v>170</v>
      </c>
      <c r="E38" s="43">
        <v>0.55600000000000005</v>
      </c>
      <c r="F38" s="43" t="s">
        <v>171</v>
      </c>
    </row>
    <row r="39" spans="1:6" ht="27" customHeight="1" x14ac:dyDescent="0.25">
      <c r="A39" s="43" t="s">
        <v>172</v>
      </c>
      <c r="B39" s="43" t="s">
        <v>173</v>
      </c>
      <c r="C39" s="43">
        <v>122.4042</v>
      </c>
      <c r="D39" s="43" t="s">
        <v>174</v>
      </c>
      <c r="E39" s="43">
        <v>4.8000000000000001E-2</v>
      </c>
      <c r="F39" s="43" t="s">
        <v>175</v>
      </c>
    </row>
    <row r="40" spans="1:6" ht="32.25" customHeight="1" thickBot="1" x14ac:dyDescent="0.3">
      <c r="A40" s="46" t="s">
        <v>176</v>
      </c>
      <c r="B40" s="46">
        <v>2348.7959999999998</v>
      </c>
      <c r="C40" s="46">
        <v>305.06760000000003</v>
      </c>
      <c r="D40" s="46">
        <v>7.7</v>
      </c>
      <c r="E40" s="46">
        <v>0</v>
      </c>
      <c r="F40" s="46" t="s">
        <v>177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144D-358F-44D8-95C5-63A01C199E30}">
  <dimension ref="B1:K11"/>
  <sheetViews>
    <sheetView tabSelected="1" workbookViewId="0">
      <selection activeCell="D8" sqref="D8:J10"/>
    </sheetView>
  </sheetViews>
  <sheetFormatPr defaultRowHeight="15" x14ac:dyDescent="0.25"/>
  <cols>
    <col min="2" max="2" width="30" customWidth="1"/>
    <col min="3" max="3" width="20.7109375" hidden="1" customWidth="1"/>
    <col min="5" max="8" width="0" hidden="1" customWidth="1"/>
    <col min="11" max="11" width="27.85546875" customWidth="1"/>
  </cols>
  <sheetData>
    <row r="1" spans="2:11" ht="39" x14ac:dyDescent="0.25">
      <c r="D1" s="55" t="s">
        <v>203</v>
      </c>
      <c r="E1" s="55" t="s">
        <v>204</v>
      </c>
      <c r="F1" s="55" t="s">
        <v>205</v>
      </c>
      <c r="G1" s="56" t="s">
        <v>206</v>
      </c>
      <c r="H1" s="56"/>
      <c r="I1" s="57" t="s">
        <v>92</v>
      </c>
      <c r="J1" s="57"/>
    </row>
    <row r="2" spans="2:11" x14ac:dyDescent="0.25">
      <c r="B2" t="s">
        <v>196</v>
      </c>
      <c r="C2" t="s">
        <v>197</v>
      </c>
      <c r="D2">
        <v>7.4516567327989689</v>
      </c>
      <c r="E2" t="s">
        <v>198</v>
      </c>
      <c r="F2">
        <v>2</v>
      </c>
      <c r="G2">
        <v>100</v>
      </c>
      <c r="H2">
        <f t="shared" ref="H2:H4" si="0">D2/G2</f>
        <v>7.4516567327989683E-2</v>
      </c>
      <c r="I2">
        <v>6.7064910595190703</v>
      </c>
      <c r="J2">
        <v>8.1968224060788675</v>
      </c>
      <c r="K2" t="s">
        <v>207</v>
      </c>
    </row>
    <row r="3" spans="2:11" x14ac:dyDescent="0.25">
      <c r="B3" t="s">
        <v>199</v>
      </c>
      <c r="C3" t="s">
        <v>200</v>
      </c>
      <c r="D3">
        <v>1.0856698902187309</v>
      </c>
      <c r="E3" t="s">
        <v>198</v>
      </c>
      <c r="F3">
        <v>2</v>
      </c>
      <c r="G3">
        <v>100</v>
      </c>
      <c r="H3">
        <f t="shared" si="0"/>
        <v>1.0856698902187309E-2</v>
      </c>
      <c r="I3">
        <v>0.97710290119685794</v>
      </c>
      <c r="J3">
        <v>1.1942368792406022</v>
      </c>
      <c r="K3" t="s">
        <v>207</v>
      </c>
    </row>
    <row r="4" spans="2:11" x14ac:dyDescent="0.25">
      <c r="B4" t="s">
        <v>201</v>
      </c>
      <c r="C4" t="s">
        <v>202</v>
      </c>
      <c r="D4">
        <v>10.230186979795642</v>
      </c>
      <c r="E4" t="s">
        <v>198</v>
      </c>
      <c r="F4">
        <v>2</v>
      </c>
      <c r="G4">
        <v>100</v>
      </c>
      <c r="H4">
        <f t="shared" si="0"/>
        <v>0.10230186979795641</v>
      </c>
      <c r="I4">
        <v>9.2071682818160756</v>
      </c>
      <c r="J4">
        <v>11.253205677775204</v>
      </c>
      <c r="K4" t="s">
        <v>207</v>
      </c>
    </row>
    <row r="7" spans="2:11" ht="39" x14ac:dyDescent="0.25">
      <c r="B7" s="58" t="s">
        <v>60</v>
      </c>
      <c r="D7" s="55" t="s">
        <v>203</v>
      </c>
      <c r="E7" s="55" t="s">
        <v>204</v>
      </c>
      <c r="F7" s="55" t="s">
        <v>205</v>
      </c>
      <c r="G7" s="56" t="s">
        <v>206</v>
      </c>
      <c r="H7" s="56"/>
      <c r="I7" s="57" t="s">
        <v>92</v>
      </c>
      <c r="J7" s="57"/>
    </row>
    <row r="8" spans="2:11" x14ac:dyDescent="0.25">
      <c r="B8" t="s">
        <v>208</v>
      </c>
      <c r="D8">
        <f>D2+D2*('diagnostic costs'!$C$54-'diagnostic costs'!$C$49)/'diagnostic costs'!$C$54</f>
        <v>8.5726758771672245</v>
      </c>
      <c r="E8" t="s">
        <v>198</v>
      </c>
      <c r="F8">
        <v>2</v>
      </c>
      <c r="G8">
        <v>100</v>
      </c>
      <c r="H8">
        <f>D8/G8</f>
        <v>8.572675877167224E-2</v>
      </c>
      <c r="I8">
        <f>I2+I2*('diagnostic costs'!$C$54-'diagnostic costs'!$C$49)/'diagnostic costs'!$C$54</f>
        <v>7.7154082894505009</v>
      </c>
      <c r="J8">
        <f>J2+J2*('diagnostic costs'!$C$54-'diagnostic costs'!$C$49)/'diagnostic costs'!$C$54</f>
        <v>9.4299434648839497</v>
      </c>
    </row>
    <row r="9" spans="2:11" x14ac:dyDescent="0.25">
      <c r="B9" t="s">
        <v>209</v>
      </c>
      <c r="D9">
        <f>D3+D3*('diagnostic costs'!$C$54-'diagnostic costs'!$C$49)/'diagnostic costs'!$C$54</f>
        <v>1.2489968891721883</v>
      </c>
      <c r="E9" t="s">
        <v>198</v>
      </c>
      <c r="F9">
        <v>2</v>
      </c>
      <c r="G9">
        <v>100</v>
      </c>
      <c r="H9">
        <f>D9/G9</f>
        <v>1.2489968891721883E-2</v>
      </c>
      <c r="I9">
        <f>I3+I3*('diagnostic costs'!$C$54-'diagnostic costs'!$C$49)/'diagnostic costs'!$C$54</f>
        <v>1.1240972002549696</v>
      </c>
      <c r="J9">
        <f>J3+J3*('diagnostic costs'!$C$54-'diagnostic costs'!$C$49)/'diagnostic costs'!$C$54</f>
        <v>1.373896578089405</v>
      </c>
    </row>
    <row r="10" spans="2:11" x14ac:dyDescent="0.25">
      <c r="B10" t="s">
        <v>210</v>
      </c>
      <c r="D10">
        <f>D4+D4*('diagnostic costs'!$C$54-'diagnostic costs'!$C$49)/'diagnostic costs'!$C$54</f>
        <v>11.769205196286959</v>
      </c>
      <c r="E10" t="s">
        <v>198</v>
      </c>
      <c r="F10">
        <v>2</v>
      </c>
      <c r="G10">
        <v>100</v>
      </c>
      <c r="H10">
        <f>D10/G10</f>
        <v>0.1176920519628696</v>
      </c>
      <c r="I10">
        <f>I4+I4*('diagnostic costs'!$C$54-'diagnostic costs'!$C$49)/'diagnostic costs'!$C$54</f>
        <v>10.592284676658261</v>
      </c>
      <c r="J10">
        <f>J4+J4*('diagnostic costs'!$C$54-'diagnostic costs'!$C$49)/'diagnostic costs'!$C$54</f>
        <v>12.946125715915652</v>
      </c>
    </row>
    <row r="11" spans="2:11" x14ac:dyDescent="0.25">
      <c r="B11" t="s">
        <v>211</v>
      </c>
    </row>
  </sheetData>
  <mergeCells count="4">
    <mergeCell ref="G1:H1"/>
    <mergeCell ref="I1:J1"/>
    <mergeCell ref="G7:H7"/>
    <mergeCell ref="I7:J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diagnostic costs</vt:lpstr>
      <vt:lpstr>state costs</vt:lpstr>
      <vt:lpstr>screen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2023-02-21T14:40:42Z</dcterms:modified>
</cp:coreProperties>
</file>