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2340" yWindow="0" windowWidth="22440" windowHeight="17540" tabRatio="500" activeTab="2"/>
  </bookViews>
  <sheets>
    <sheet name="Problem 1" sheetId="1" r:id="rId1"/>
    <sheet name="Problem 2c" sheetId="3" r:id="rId2"/>
    <sheet name="Problem 2e" sheetId="2" r:id="rId3"/>
  </sheets>
  <definedNames>
    <definedName name="solver_adj" localSheetId="1" hidden="1">'Problem 2c'!$B$11:$C$11</definedName>
    <definedName name="solver_adj" localSheetId="2" hidden="1">'Problem 2e'!$B$17:$B$19</definedName>
    <definedName name="solver_cvg" localSheetId="1" hidden="1">0.0001</definedName>
    <definedName name="solver_cvg" localSheetId="2" hidden="1">0.0001</definedName>
    <definedName name="solver_drv" localSheetId="1" hidden="1">1</definedName>
    <definedName name="solver_drv" localSheetId="2" hidden="1">1</definedName>
    <definedName name="solver_eng" localSheetId="1" hidden="1">1</definedName>
    <definedName name="solver_eng" localSheetId="2" hidden="1">1</definedName>
    <definedName name="solver_itr" localSheetId="1" hidden="1">2147483647</definedName>
    <definedName name="solver_itr" localSheetId="2" hidden="1">2147483647</definedName>
    <definedName name="solver_lhs1" localSheetId="2" hidden="1">'Problem 2e'!$G$17</definedName>
    <definedName name="solver_lhs2" localSheetId="2" hidden="1">'Problem 2e'!$G$18</definedName>
    <definedName name="solver_lhs3" localSheetId="2" hidden="1">'Problem 2e'!$G$19</definedName>
    <definedName name="solver_lin" localSheetId="1" hidden="1">2</definedName>
    <definedName name="solver_lin" localSheetId="2" hidden="1">2</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0</definedName>
    <definedName name="solver_num" localSheetId="2" hidden="1">3</definedName>
    <definedName name="solver_opt" localSheetId="1" hidden="1">'Problem 2c'!$H$11</definedName>
    <definedName name="solver_opt" localSheetId="2" hidden="1">'Problem 2e'!$E$6</definedName>
    <definedName name="solver_pre" localSheetId="1" hidden="1">0.000001</definedName>
    <definedName name="solver_pre" localSheetId="2" hidden="1">0.000001</definedName>
    <definedName name="solver_rbv" localSheetId="1" hidden="1">1</definedName>
    <definedName name="solver_rbv" localSheetId="2" hidden="1">1</definedName>
    <definedName name="solver_rel1" localSheetId="2" hidden="1">3</definedName>
    <definedName name="solver_rel2" localSheetId="2" hidden="1">3</definedName>
    <definedName name="solver_rel3" localSheetId="2" hidden="1">3</definedName>
    <definedName name="solver_rhs1" localSheetId="2" hidden="1">0</definedName>
    <definedName name="solver_rhs2" localSheetId="2" hidden="1">0</definedName>
    <definedName name="solver_rhs3" localSheetId="2" hidden="1">0</definedName>
    <definedName name="solver_rlx" localSheetId="1" hidden="1">2</definedName>
    <definedName name="solver_rlx" localSheetId="2" hidden="1">1</definedName>
    <definedName name="solver_rsd" localSheetId="1" hidden="1">0</definedName>
    <definedName name="solver_rsd" localSheetId="2" hidden="1">0</definedName>
    <definedName name="solver_scl" localSheetId="1" hidden="1">1</definedName>
    <definedName name="solver_scl" localSheetId="2" hidden="1">2</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2</definedName>
    <definedName name="solver_typ" localSheetId="2" hidden="1">2</definedName>
    <definedName name="solver_val" localSheetId="1" hidden="1">0</definedName>
    <definedName name="solver_val" localSheetId="2" hidden="1">0</definedName>
    <definedName name="solver_ver" localSheetId="1" hidden="1">2</definedName>
    <definedName name="solver_ver" localSheetId="2" hidden="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H14" i="3" l="1"/>
  <c r="H15" i="3"/>
  <c r="H16" i="3"/>
  <c r="H17" i="3"/>
  <c r="H18" i="3"/>
  <c r="H19" i="3"/>
  <c r="H20" i="3"/>
  <c r="H21" i="3"/>
  <c r="H22" i="3"/>
  <c r="H23" i="3"/>
  <c r="D11" i="3"/>
  <c r="F11" i="3"/>
  <c r="E11" i="3"/>
  <c r="G11" i="3"/>
  <c r="H11" i="3"/>
  <c r="D13" i="3"/>
  <c r="F13" i="3"/>
  <c r="E13" i="3"/>
  <c r="G13" i="3"/>
  <c r="H13" i="3"/>
  <c r="D12" i="3"/>
  <c r="F12" i="3"/>
  <c r="E12" i="3"/>
  <c r="G12" i="3"/>
  <c r="H12" i="3"/>
  <c r="E14" i="3"/>
  <c r="G14" i="3"/>
  <c r="E15" i="3"/>
  <c r="G15" i="3"/>
  <c r="E16" i="3"/>
  <c r="G16" i="3"/>
  <c r="E17" i="3"/>
  <c r="G17" i="3"/>
  <c r="E18" i="3"/>
  <c r="G18" i="3"/>
  <c r="E19" i="3"/>
  <c r="G19" i="3"/>
  <c r="E20" i="3"/>
  <c r="G20" i="3"/>
  <c r="E21" i="3"/>
  <c r="G21" i="3"/>
  <c r="E22" i="3"/>
  <c r="G22" i="3"/>
  <c r="E23" i="3"/>
  <c r="G23" i="3"/>
  <c r="D14" i="3"/>
  <c r="F14" i="3"/>
  <c r="D15" i="3"/>
  <c r="F15" i="3"/>
  <c r="D16" i="3"/>
  <c r="F16" i="3"/>
  <c r="D17" i="3"/>
  <c r="F17" i="3"/>
  <c r="D18" i="3"/>
  <c r="F18" i="3"/>
  <c r="D19" i="3"/>
  <c r="F19" i="3"/>
  <c r="D20" i="3"/>
  <c r="F20" i="3"/>
  <c r="D21" i="3"/>
  <c r="F21" i="3"/>
  <c r="D22" i="3"/>
  <c r="F22" i="3"/>
  <c r="D23" i="3"/>
  <c r="F23" i="3"/>
  <c r="F25" i="3"/>
  <c r="G25" i="3"/>
  <c r="F26" i="3"/>
  <c r="I18" i="2"/>
  <c r="I19" i="2"/>
  <c r="I17" i="2"/>
  <c r="H19" i="2"/>
  <c r="H18" i="2"/>
  <c r="H17" i="2"/>
  <c r="H2" i="2"/>
  <c r="H3" i="2"/>
  <c r="I6" i="2"/>
  <c r="E1" i="2"/>
  <c r="H1" i="2"/>
  <c r="H6" i="2"/>
  <c r="D18" i="2"/>
  <c r="D19" i="2"/>
  <c r="D17" i="2"/>
  <c r="C18" i="2"/>
  <c r="C19" i="2"/>
  <c r="C17" i="2"/>
  <c r="E2" i="2"/>
  <c r="E3" i="2"/>
  <c r="E6" i="2"/>
  <c r="I11" i="1"/>
  <c r="I12" i="1"/>
  <c r="B3" i="1"/>
  <c r="D10" i="1"/>
  <c r="E10" i="1"/>
  <c r="B5" i="1"/>
  <c r="B6" i="1"/>
  <c r="F10" i="1"/>
  <c r="B37" i="1"/>
  <c r="D16" i="1"/>
  <c r="E16" i="1"/>
  <c r="F16" i="1"/>
  <c r="B38" i="1"/>
  <c r="I19" i="1"/>
  <c r="I20" i="1"/>
  <c r="I21" i="1"/>
  <c r="I22" i="1"/>
  <c r="I23" i="1"/>
  <c r="I18" i="1"/>
  <c r="I17" i="1"/>
  <c r="I16" i="1"/>
  <c r="I15" i="1"/>
  <c r="I14" i="1"/>
  <c r="I13" i="1"/>
  <c r="I10" i="1"/>
  <c r="A11" i="1"/>
  <c r="B11" i="1"/>
  <c r="B12" i="1"/>
  <c r="B13" i="1"/>
  <c r="B14" i="1"/>
  <c r="B15" i="1"/>
  <c r="B16" i="1"/>
  <c r="B10" i="1"/>
  <c r="B26" i="1"/>
  <c r="B27" i="1"/>
  <c r="B28" i="1"/>
  <c r="B30" i="1"/>
  <c r="B31" i="1"/>
  <c r="B24" i="1"/>
  <c r="B32" i="1"/>
  <c r="B33" i="1"/>
  <c r="D11" i="1"/>
  <c r="E11" i="1"/>
  <c r="D12" i="1"/>
  <c r="E12" i="1"/>
  <c r="D13" i="1"/>
  <c r="E13" i="1"/>
  <c r="D14" i="1"/>
  <c r="E14" i="1"/>
  <c r="D15" i="1"/>
  <c r="E15" i="1"/>
  <c r="F11" i="1"/>
  <c r="F12" i="1"/>
  <c r="F13" i="1"/>
  <c r="F14" i="1"/>
  <c r="F15" i="1"/>
</calcChain>
</file>

<file path=xl/sharedStrings.xml><?xml version="1.0" encoding="utf-8"?>
<sst xmlns="http://schemas.openxmlformats.org/spreadsheetml/2006/main" count="104" uniqueCount="77">
  <si>
    <t>V (mL)</t>
  </si>
  <si>
    <t>Nc (cells/mL)</t>
  </si>
  <si>
    <t>Ratio (gDW/L)/OD600</t>
  </si>
  <si>
    <t>bionumbers ID:  109837</t>
  </si>
  <si>
    <t>Ratio (gDW/mL)/.1 OD600</t>
  </si>
  <si>
    <t>B (gDW/sample)</t>
  </si>
  <si>
    <t>&lt;n&gt; (mRNA/cell)</t>
  </si>
  <si>
    <t>&lt;n&gt; (mRNA/sample)</t>
  </si>
  <si>
    <t>IPTG</t>
  </si>
  <si>
    <t>Kxi (muM)</t>
  </si>
  <si>
    <t>tau_xi (s)</t>
  </si>
  <si>
    <t>kei (nt/s)</t>
  </si>
  <si>
    <t>given in PS2</t>
  </si>
  <si>
    <t>Rxt (copies/cell)</t>
  </si>
  <si>
    <r>
      <t xml:space="preserve"> </t>
    </r>
    <r>
      <rPr>
        <sz val="12"/>
        <color theme="1"/>
        <rFont val="Calibri"/>
        <family val="2"/>
        <scheme val="minor"/>
      </rPr>
      <t>bionumbers ID:</t>
    </r>
    <r>
      <rPr>
        <sz val="12"/>
        <color theme="1"/>
        <rFont val="Calibri"/>
        <family val="2"/>
        <scheme val="minor"/>
      </rPr>
      <t xml:space="preserve">112795(using MM since the Golding paper indicated that was the media used) </t>
    </r>
  </si>
  <si>
    <t>Gi (copies/cell)</t>
  </si>
  <si>
    <t>given</t>
  </si>
  <si>
    <t>kei (1/s)</t>
  </si>
  <si>
    <t>Rxt (nmol/gDW)</t>
  </si>
  <si>
    <t>Kxi (nmol)</t>
  </si>
  <si>
    <t>rxi</t>
  </si>
  <si>
    <t>Gi (nmol/gDW)</t>
  </si>
  <si>
    <t>theta_mi (1/s)</t>
  </si>
  <si>
    <t>theta_mi (1/mins)</t>
  </si>
  <si>
    <t>Gain Parameters</t>
  </si>
  <si>
    <t>W1 (solve when I=0)</t>
  </si>
  <si>
    <t>IPTG (mM)</t>
  </si>
  <si>
    <t>IPTG (nM)</t>
  </si>
  <si>
    <t>Kx (calculated gain)</t>
  </si>
  <si>
    <t>Kx (graphic gain)</t>
  </si>
  <si>
    <t>m* (nmol/gDW)</t>
  </si>
  <si>
    <t>&lt;n&gt; (nmol /sample)</t>
  </si>
  <si>
    <t>W2 (solve for large I)</t>
  </si>
  <si>
    <t>Model Parameters</t>
  </si>
  <si>
    <t>K (nmol)</t>
  </si>
  <si>
    <t>Estimated m*</t>
  </si>
  <si>
    <t>n</t>
  </si>
  <si>
    <t>guess/check by inspection</t>
  </si>
  <si>
    <t>ax</t>
  </si>
  <si>
    <t>Bx</t>
  </si>
  <si>
    <t>dz</t>
  </si>
  <si>
    <t>zx</t>
  </si>
  <si>
    <t>xz</t>
  </si>
  <si>
    <t>nzx</t>
  </si>
  <si>
    <t>nxz</t>
  </si>
  <si>
    <t>guess/check by inspection (plugging in different n values and solving for K for different I values)</t>
  </si>
  <si>
    <t>S</t>
  </si>
  <si>
    <t>X</t>
  </si>
  <si>
    <t>ay</t>
  </si>
  <si>
    <t>By</t>
  </si>
  <si>
    <t>dy</t>
  </si>
  <si>
    <t>yz</t>
  </si>
  <si>
    <t>xy</t>
  </si>
  <si>
    <t>nxy</t>
  </si>
  <si>
    <t>nyz</t>
  </si>
  <si>
    <t>Y</t>
  </si>
  <si>
    <t>Z</t>
  </si>
  <si>
    <t>dx</t>
  </si>
  <si>
    <t>error</t>
  </si>
  <si>
    <t>1.25_SS</t>
  </si>
  <si>
    <t>.75_SS</t>
  </si>
  <si>
    <t>S_low</t>
  </si>
  <si>
    <t>S_high</t>
  </si>
  <si>
    <t>abs(dx)</t>
  </si>
  <si>
    <t>abs(dy)</t>
  </si>
  <si>
    <t>Sums</t>
  </si>
  <si>
    <t>Total</t>
  </si>
  <si>
    <t>sum</t>
  </si>
  <si>
    <t>It appears that the black lines in Figure 1B may be reproducible. However it is unclear where the range of instability occurs. Also due to the nature of the setup of the problem with solver, each S value is associated with only one X value, however there may exist multiple steady state values for X for certain S values.</t>
  </si>
  <si>
    <t>*note: parameters must be incorrect or units are off probably either kinetic rate of transcription or total mRNA…instead graphically determine gain</t>
  </si>
  <si>
    <t>Model</t>
  </si>
  <si>
    <t>Golding Data</t>
  </si>
  <si>
    <t>Parameters Specified in Problem Statement</t>
  </si>
  <si>
    <t>Note: X and Z were solved for using the iterative solvern function to minimize the sum of the absolute values of dx (dX/dt) and dz (dZ/dt) since at steady  (dX/dt)=(dZ/dt) =0. The specified s values were plotted and connected by a smooth curve.</t>
  </si>
  <si>
    <t>SS</t>
  </si>
  <si>
    <t>Note: Not sure why dx error is so off for high S, but the SS values below correspond to Figure 2a. SS values were found by minimizing dy and dz.</t>
  </si>
  <si>
    <t>X, Y, and Z were solved for using the iterative solvern function to minimize the square error of dx (dX/dt), dy (dY/dt), and dz (dZ/dt) since at steady  (dX/dt)=(dZ/dt) =0. The values were then used as initial conditions for the Z vs t plots generated in Julia.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</si>
</sst>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Font="1"/>
    <xf numFmtId="3" fontId="0" fillId="0" borderId="0" xfId="0" applyNumberFormat="1"/>
    <xf numFmtId="0" fontId="0" fillId="0" borderId="0" xfId="0" applyAlignment="1">
      <alignment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lacZ Concentration as a Function of IPTG</a:t>
            </a:r>
          </a:p>
        </c:rich>
      </c:tx>
      <c:layout/>
      <c:overlay val="0"/>
    </c:title>
    <c:autoTitleDeleted val="0"/>
    <c:plotArea>
      <c:layout>
        <c:manualLayout>
          <c:layoutTarget val="inner"/>
          <c:xMode val="edge"/>
          <c:yMode val="edge"/>
          <c:x val="0.124742528151723"/>
          <c:y val="0.109215017064846"/>
          <c:w val="0.665855389044111"/>
          <c:h val="0.79062589019376"/>
        </c:manualLayout>
      </c:layout>
      <c:scatterChart>
        <c:scatterStyle val="lineMarker"/>
        <c:varyColors val="0"/>
        <c:ser>
          <c:idx val="1"/>
          <c:order val="0"/>
          <c:tx>
            <c:v>Model</c:v>
          </c:tx>
          <c:spPr>
            <a:ln w="25400" cmpd="sng">
              <a:solidFill>
                <a:schemeClr val="tx1"/>
              </a:solidFill>
              <a:prstDash val="solid"/>
            </a:ln>
            <a:effectLst/>
          </c:spPr>
          <c:marker>
            <c:symbol val="circle"/>
            <c:size val="7"/>
            <c:spPr>
              <a:solidFill>
                <a:schemeClr val="tx1"/>
              </a:solidFill>
              <a:ln>
                <a:solidFill>
                  <a:schemeClr val="tx1"/>
                </a:solidFill>
                <a:prstDash val="solid"/>
              </a:ln>
              <a:effectLst/>
            </c:spPr>
          </c:marker>
          <c:xVal>
            <c:numRef>
              <c:f>'Problem 1'!$H$10:$H$23</c:f>
              <c:numCache>
                <c:formatCode>General</c:formatCode>
                <c:ptCount val="14"/>
                <c:pt idx="0">
                  <c:v>0.0</c:v>
                </c:pt>
                <c:pt idx="1">
                  <c:v>1.0</c:v>
                </c:pt>
                <c:pt idx="2">
                  <c:v>10.0</c:v>
                </c:pt>
                <c:pt idx="3">
                  <c:v>100.0</c:v>
                </c:pt>
                <c:pt idx="4">
                  <c:v>500.0</c:v>
                </c:pt>
                <c:pt idx="5">
                  <c:v>1000.0</c:v>
                </c:pt>
                <c:pt idx="6">
                  <c:v>5000.0</c:v>
                </c:pt>
                <c:pt idx="7">
                  <c:v>12000.0</c:v>
                </c:pt>
                <c:pt idx="8">
                  <c:v>40000.0</c:v>
                </c:pt>
                <c:pt idx="9">
                  <c:v>53000.0</c:v>
                </c:pt>
                <c:pt idx="10">
                  <c:v>100000.0</c:v>
                </c:pt>
                <c:pt idx="11">
                  <c:v>216000.0</c:v>
                </c:pt>
                <c:pt idx="12">
                  <c:v>500000.0</c:v>
                </c:pt>
                <c:pt idx="13">
                  <c:v>1.0E6</c:v>
                </c:pt>
              </c:numCache>
            </c:numRef>
          </c:xVal>
          <c:yVal>
            <c:numRef>
              <c:f>'Problem 1'!$I$10:$I$23</c:f>
              <c:numCache>
                <c:formatCode>General</c:formatCode>
                <c:ptCount val="14"/>
                <c:pt idx="0">
                  <c:v>0.0876416103915273</c:v>
                </c:pt>
                <c:pt idx="1">
                  <c:v>0.0876416154966175</c:v>
                </c:pt>
                <c:pt idx="2">
                  <c:v>0.0876421208997879</c:v>
                </c:pt>
                <c:pt idx="3">
                  <c:v>0.087692653659917</c:v>
                </c:pt>
                <c:pt idx="4">
                  <c:v>0.08891312875017</c:v>
                </c:pt>
                <c:pt idx="5">
                  <c:v>0.0926714740781998</c:v>
                </c:pt>
                <c:pt idx="6">
                  <c:v>0.180535777425947</c:v>
                </c:pt>
                <c:pt idx="7">
                  <c:v>0.32074620673826</c:v>
                </c:pt>
                <c:pt idx="8">
                  <c:v>0.415290406542685</c:v>
                </c:pt>
                <c:pt idx="9">
                  <c:v>0.421046552063797</c:v>
                </c:pt>
                <c:pt idx="10">
                  <c:v>0.426715473961029</c:v>
                </c:pt>
                <c:pt idx="11">
                  <c:v>0.428494142344701</c:v>
                </c:pt>
                <c:pt idx="12">
                  <c:v>0.428891351530175</c:v>
                </c:pt>
                <c:pt idx="13">
                  <c:v>0.428959797769665</c:v>
                </c:pt>
              </c:numCache>
            </c:numRef>
          </c:yVal>
          <c:smooth val="0"/>
        </c:ser>
        <c:ser>
          <c:idx val="0"/>
          <c:order val="1"/>
          <c:tx>
            <c:v>Golding Data</c:v>
          </c:tx>
          <c:spPr>
            <a:ln w="47625">
              <a:noFill/>
            </a:ln>
          </c:spPr>
          <c:marker>
            <c:symbol val="triangle"/>
            <c:size val="9"/>
          </c:marker>
          <c:xVal>
            <c:numRef>
              <c:f>'Problem 1'!$B$10:$B$16</c:f>
              <c:numCache>
                <c:formatCode>General</c:formatCode>
                <c:ptCount val="7"/>
                <c:pt idx="0">
                  <c:v>0.0</c:v>
                </c:pt>
                <c:pt idx="1">
                  <c:v>500.0</c:v>
                </c:pt>
                <c:pt idx="2">
                  <c:v>5000.0</c:v>
                </c:pt>
                <c:pt idx="3">
                  <c:v>12000.0</c:v>
                </c:pt>
                <c:pt idx="4">
                  <c:v>53000.0</c:v>
                </c:pt>
                <c:pt idx="5">
                  <c:v>216000.0</c:v>
                </c:pt>
                <c:pt idx="6">
                  <c:v>1.0E6</c:v>
                </c:pt>
              </c:numCache>
            </c:numRef>
          </c:xVal>
          <c:yVal>
            <c:numRef>
              <c:f>'Problem 1'!$F$10:$F$16</c:f>
              <c:numCache>
                <c:formatCode>General</c:formatCode>
                <c:ptCount val="7"/>
                <c:pt idx="0">
                  <c:v>0.0876416103915273</c:v>
                </c:pt>
                <c:pt idx="1">
                  <c:v>0.0968670430643197</c:v>
                </c:pt>
                <c:pt idx="2">
                  <c:v>0.189121369792243</c:v>
                </c:pt>
                <c:pt idx="3">
                  <c:v>0.309051994538544</c:v>
                </c:pt>
                <c:pt idx="4">
                  <c:v>0.396693604930071</c:v>
                </c:pt>
                <c:pt idx="5">
                  <c:v>0.428982619284845</c:v>
                </c:pt>
                <c:pt idx="6">
                  <c:v>0.428982619284845</c:v>
                </c:pt>
              </c:numCache>
            </c:numRef>
          </c:yVal>
          <c:smooth val="0"/>
        </c:ser>
        <c:dLbls>
          <c:showLegendKey val="0"/>
          <c:showVal val="0"/>
          <c:showCatName val="0"/>
          <c:showSerName val="0"/>
          <c:showPercent val="0"/>
          <c:showBubbleSize val="0"/>
        </c:dLbls>
        <c:axId val="-2138080328"/>
        <c:axId val="-2136260280"/>
      </c:scatterChart>
      <c:valAx>
        <c:axId val="-2138080328"/>
        <c:scaling>
          <c:logBase val="10.0"/>
          <c:orientation val="minMax"/>
        </c:scaling>
        <c:delete val="0"/>
        <c:axPos val="b"/>
        <c:majorGridlines/>
        <c:title>
          <c:tx>
            <c:rich>
              <a:bodyPr/>
              <a:lstStyle/>
              <a:p>
                <a:pPr>
                  <a:defRPr/>
                </a:pPr>
                <a:r>
                  <a:rPr lang="en-US"/>
                  <a:t>I (nmol)</a:t>
                </a:r>
              </a:p>
            </c:rich>
          </c:tx>
          <c:layout/>
          <c:overlay val="0"/>
        </c:title>
        <c:numFmt formatCode="General" sourceLinked="1"/>
        <c:majorTickMark val="out"/>
        <c:minorTickMark val="none"/>
        <c:tickLblPos val="nextTo"/>
        <c:crossAx val="-2136260280"/>
        <c:crosses val="autoZero"/>
        <c:crossBetween val="midCat"/>
      </c:valAx>
      <c:valAx>
        <c:axId val="-2136260280"/>
        <c:scaling>
          <c:orientation val="minMax"/>
        </c:scaling>
        <c:delete val="0"/>
        <c:axPos val="l"/>
        <c:majorGridlines/>
        <c:title>
          <c:tx>
            <c:rich>
              <a:bodyPr rot="-5400000" vert="horz"/>
              <a:lstStyle/>
              <a:p>
                <a:pPr>
                  <a:defRPr/>
                </a:pPr>
                <a:r>
                  <a:rPr lang="en-US"/>
                  <a:t>m*</a:t>
                </a:r>
                <a:r>
                  <a:rPr lang="en-US" baseline="0"/>
                  <a:t> (nmol/gDW) </a:t>
                </a:r>
                <a:endParaRPr lang="en-US"/>
              </a:p>
            </c:rich>
          </c:tx>
          <c:layout/>
          <c:overlay val="0"/>
        </c:title>
        <c:numFmt formatCode="General" sourceLinked="1"/>
        <c:majorTickMark val="out"/>
        <c:minorTickMark val="none"/>
        <c:tickLblPos val="nextTo"/>
        <c:crossAx val="-2138080328"/>
        <c:crosses val="autoZero"/>
        <c:crossBetween val="midCat"/>
      </c:valAx>
    </c:plotArea>
    <c:legend>
      <c:legendPos val="r"/>
      <c:layout>
        <c:manualLayout>
          <c:xMode val="edge"/>
          <c:yMode val="edge"/>
          <c:x val="0.778001185335704"/>
          <c:y val="0.431457633495472"/>
          <c:w val="0.204794513589027"/>
          <c:h val="0.13367176372578"/>
        </c:manualLayout>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Bistable Switch Controlled by</a:t>
            </a:r>
            <a:r>
              <a:rPr lang="en-US" baseline="0"/>
              <a:t> Signal S</a:t>
            </a:r>
            <a:endParaRPr lang="en-US"/>
          </a:p>
        </c:rich>
      </c:tx>
      <c:layout/>
      <c:overlay val="0"/>
    </c:title>
    <c:autoTitleDeleted val="0"/>
    <c:plotArea>
      <c:layout/>
      <c:scatterChart>
        <c:scatterStyle val="smoothMarker"/>
        <c:varyColors val="0"/>
        <c:ser>
          <c:idx val="0"/>
          <c:order val="0"/>
          <c:xVal>
            <c:numRef>
              <c:f>'Problem 2c'!$A$11:$A$23</c:f>
              <c:numCache>
                <c:formatCode>General</c:formatCode>
                <c:ptCount val="13"/>
                <c:pt idx="0">
                  <c:v>0.01</c:v>
                </c:pt>
                <c:pt idx="1">
                  <c:v>0.05</c:v>
                </c:pt>
                <c:pt idx="2">
                  <c:v>0.1</c:v>
                </c:pt>
                <c:pt idx="3">
                  <c:v>0.5</c:v>
                </c:pt>
                <c:pt idx="4">
                  <c:v>1.0</c:v>
                </c:pt>
                <c:pt idx="5">
                  <c:v>5.0</c:v>
                </c:pt>
                <c:pt idx="6">
                  <c:v>10.0</c:v>
                </c:pt>
                <c:pt idx="7">
                  <c:v>50.0</c:v>
                </c:pt>
                <c:pt idx="8">
                  <c:v>100.0</c:v>
                </c:pt>
                <c:pt idx="9">
                  <c:v>500.0</c:v>
                </c:pt>
                <c:pt idx="10">
                  <c:v>1000.0</c:v>
                </c:pt>
                <c:pt idx="11">
                  <c:v>5000.0</c:v>
                </c:pt>
                <c:pt idx="12">
                  <c:v>10000.0</c:v>
                </c:pt>
              </c:numCache>
            </c:numRef>
          </c:xVal>
          <c:yVal>
            <c:numRef>
              <c:f>'Problem 2c'!$B$11:$B$23</c:f>
              <c:numCache>
                <c:formatCode>General</c:formatCode>
                <c:ptCount val="13"/>
                <c:pt idx="0">
                  <c:v>1.44101033357129</c:v>
                </c:pt>
                <c:pt idx="1">
                  <c:v>1.544222536443724</c:v>
                </c:pt>
                <c:pt idx="2">
                  <c:v>1.632706750582127</c:v>
                </c:pt>
                <c:pt idx="3">
                  <c:v>2.232898313816422</c:v>
                </c:pt>
                <c:pt idx="4">
                  <c:v>3.20037004078124</c:v>
                </c:pt>
                <c:pt idx="5">
                  <c:v>4.413514847283261</c:v>
                </c:pt>
                <c:pt idx="6">
                  <c:v>4.680703284544073</c:v>
                </c:pt>
                <c:pt idx="7">
                  <c:v>4.931195145871066</c:v>
                </c:pt>
                <c:pt idx="8">
                  <c:v>4.965148669373593</c:v>
                </c:pt>
                <c:pt idx="9">
                  <c:v>4.993358129244854</c:v>
                </c:pt>
                <c:pt idx="10">
                  <c:v>4.996164766981311</c:v>
                </c:pt>
                <c:pt idx="11">
                  <c:v>4.999298772229986</c:v>
                </c:pt>
                <c:pt idx="12">
                  <c:v>4.99991579844934</c:v>
                </c:pt>
              </c:numCache>
            </c:numRef>
          </c:yVal>
          <c:smooth val="1"/>
        </c:ser>
        <c:dLbls>
          <c:showLegendKey val="0"/>
          <c:showVal val="0"/>
          <c:showCatName val="0"/>
          <c:showSerName val="0"/>
          <c:showPercent val="0"/>
          <c:showBubbleSize val="0"/>
        </c:dLbls>
        <c:axId val="2139004392"/>
        <c:axId val="-2138489560"/>
      </c:scatterChart>
      <c:valAx>
        <c:axId val="2139004392"/>
        <c:scaling>
          <c:logBase val="10.0"/>
          <c:orientation val="minMax"/>
        </c:scaling>
        <c:delete val="0"/>
        <c:axPos val="b"/>
        <c:majorGridlines/>
        <c:title>
          <c:tx>
            <c:rich>
              <a:bodyPr/>
              <a:lstStyle/>
              <a:p>
                <a:pPr>
                  <a:defRPr/>
                </a:pPr>
                <a:r>
                  <a:rPr lang="en-US"/>
                  <a:t>log(S)</a:t>
                </a:r>
              </a:p>
            </c:rich>
          </c:tx>
          <c:layout/>
          <c:overlay val="0"/>
        </c:title>
        <c:numFmt formatCode="General" sourceLinked="1"/>
        <c:majorTickMark val="out"/>
        <c:minorTickMark val="none"/>
        <c:tickLblPos val="nextTo"/>
        <c:crossAx val="-2138489560"/>
        <c:crosses val="autoZero"/>
        <c:crossBetween val="midCat"/>
      </c:valAx>
      <c:valAx>
        <c:axId val="-2138489560"/>
        <c:scaling>
          <c:orientation val="minMax"/>
        </c:scaling>
        <c:delete val="0"/>
        <c:axPos val="l"/>
        <c:majorGridlines/>
        <c:title>
          <c:tx>
            <c:rich>
              <a:bodyPr rot="-5400000" vert="horz"/>
              <a:lstStyle/>
              <a:p>
                <a:pPr>
                  <a:defRPr/>
                </a:pPr>
                <a:r>
                  <a:rPr lang="en-US"/>
                  <a:t>X</a:t>
                </a:r>
              </a:p>
            </c:rich>
          </c:tx>
          <c:layout/>
          <c:overlay val="0"/>
        </c:title>
        <c:numFmt formatCode="General" sourceLinked="1"/>
        <c:majorTickMark val="out"/>
        <c:minorTickMark val="none"/>
        <c:tickLblPos val="nextTo"/>
        <c:crossAx val="2139004392"/>
        <c:crosses val="autoZero"/>
        <c:crossBetween val="midCat"/>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203200</xdr:colOff>
      <xdr:row>41</xdr:row>
      <xdr:rowOff>0</xdr:rowOff>
    </xdr:from>
    <xdr:to>
      <xdr:col>4</xdr:col>
      <xdr:colOff>558800</xdr:colOff>
      <xdr:row>60</xdr:row>
      <xdr:rowOff>101600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238760</xdr:colOff>
      <xdr:row>5</xdr:row>
      <xdr:rowOff>172720</xdr:rowOff>
    </xdr:from>
    <xdr:to>
      <xdr:col>11</xdr:col>
      <xdr:colOff>228600</xdr:colOff>
      <xdr:row>27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7" workbookViewId="0"/>
  </sheetViews>
  <sheetFormatPr baseColWidth="10" defaultRowHeight="15" x14ac:dyDescent="0"/>
  <cols>
    <col min="1" max="1" width="18.83203125" customWidth="1"/>
    <col min="2" max="2" width="14.5" customWidth="1"/>
    <col min="3" max="3" width="17.33203125" customWidth="1"/>
    <col min="4" max="4" width="22.1640625" customWidth="1"/>
    <col min="5" max="5" width="19.33203125" customWidth="1"/>
    <col min="6" max="6" width="21.5" customWidth="1"/>
    <col min="9" max="9" width="13.33203125" customWidth="1"/>
  </cols>
  <sheetData>
    <row r="1" spans="1:9">
      <c r="A1" s="1" t="s">
        <v>72</v>
      </c>
    </row>
    <row r="2" spans="1:9">
      <c r="A2" t="s">
        <v>0</v>
      </c>
      <c r="B2">
        <v>1</v>
      </c>
    </row>
    <row r="3" spans="1:9">
      <c r="A3" t="s">
        <v>1</v>
      </c>
      <c r="B3">
        <f>10^8</f>
        <v>100000000</v>
      </c>
    </row>
    <row r="4" spans="1:9">
      <c r="A4" t="s">
        <v>2</v>
      </c>
      <c r="B4">
        <v>0.36</v>
      </c>
      <c r="C4" t="s">
        <v>3</v>
      </c>
    </row>
    <row r="5" spans="1:9">
      <c r="A5" t="s">
        <v>4</v>
      </c>
      <c r="B5">
        <f>B4/1000/10</f>
        <v>3.5999999999999994E-5</v>
      </c>
    </row>
    <row r="6" spans="1:9">
      <c r="A6" t="s">
        <v>5</v>
      </c>
      <c r="B6">
        <f>B5*B2</f>
        <v>3.5999999999999994E-5</v>
      </c>
    </row>
    <row r="8" spans="1:9">
      <c r="A8" s="1" t="s">
        <v>71</v>
      </c>
      <c r="H8" s="1" t="s">
        <v>70</v>
      </c>
    </row>
    <row r="9" spans="1:9">
      <c r="A9" t="s">
        <v>26</v>
      </c>
      <c r="B9" t="s">
        <v>27</v>
      </c>
      <c r="C9" t="s">
        <v>6</v>
      </c>
      <c r="D9" t="s">
        <v>7</v>
      </c>
      <c r="E9" t="s">
        <v>31</v>
      </c>
      <c r="F9" t="s">
        <v>30</v>
      </c>
      <c r="H9" t="s">
        <v>8</v>
      </c>
      <c r="I9" t="s">
        <v>35</v>
      </c>
    </row>
    <row r="10" spans="1:9">
      <c r="A10">
        <v>0</v>
      </c>
      <c r="B10">
        <f>A10*1000000</f>
        <v>0</v>
      </c>
      <c r="C10">
        <v>19</v>
      </c>
      <c r="D10">
        <f>C10*($B$3*$B$2)</f>
        <v>1900000000</v>
      </c>
      <c r="E10">
        <f>D10/(6.022E+23)*10^9</f>
        <v>3.1550979740949847E-6</v>
      </c>
      <c r="F10">
        <f>E10/$B$6</f>
        <v>8.7641610391527361E-2</v>
      </c>
      <c r="H10">
        <v>0</v>
      </c>
      <c r="I10">
        <f>$B$36*($B$37+$B$38*(H10^2/(150000^2+H10^2)))/(1+$B$37+$B$38*(H10^2/(150000^2+H10^2)))</f>
        <v>8.7641610391527361E-2</v>
      </c>
    </row>
    <row r="11" spans="1:9">
      <c r="A11">
        <f>0.0005</f>
        <v>5.0000000000000001E-4</v>
      </c>
      <c r="B11">
        <f t="shared" ref="B11:B16" si="0">A11*1000000</f>
        <v>500</v>
      </c>
      <c r="C11">
        <v>21</v>
      </c>
      <c r="D11">
        <f t="shared" ref="D11:D16" si="1">C11*($B$3*$B$2)</f>
        <v>2100000000</v>
      </c>
      <c r="E11">
        <f t="shared" ref="E11:E16" si="2">D11/(6.022E+23)*10^9</f>
        <v>3.4872135503155097E-6</v>
      </c>
      <c r="F11">
        <f t="shared" ref="F11:F16" si="3">E11/$B$6</f>
        <v>9.686704306431973E-2</v>
      </c>
      <c r="H11">
        <v>1</v>
      </c>
      <c r="I11">
        <f t="shared" ref="I11:I12" si="4">$B$36*($B$37+$B$38*(H11^2/(150000^2+H11^2)))/(1+$B$37+$B$38*(H11^2/(150000^2+H11^2)))</f>
        <v>8.7641615496617531E-2</v>
      </c>
    </row>
    <row r="12" spans="1:9">
      <c r="A12">
        <v>5.0000000000000001E-3</v>
      </c>
      <c r="B12">
        <f t="shared" si="0"/>
        <v>5000</v>
      </c>
      <c r="C12">
        <v>41</v>
      </c>
      <c r="D12">
        <f t="shared" si="1"/>
        <v>4100000000</v>
      </c>
      <c r="E12">
        <f t="shared" si="2"/>
        <v>6.8083693125207571E-6</v>
      </c>
      <c r="F12">
        <f t="shared" si="3"/>
        <v>0.18912136979224328</v>
      </c>
      <c r="H12">
        <v>10</v>
      </c>
      <c r="I12">
        <f t="shared" si="4"/>
        <v>8.7642120899787956E-2</v>
      </c>
    </row>
    <row r="13" spans="1:9">
      <c r="A13">
        <v>1.2E-2</v>
      </c>
      <c r="B13">
        <f t="shared" si="0"/>
        <v>12000</v>
      </c>
      <c r="C13">
        <v>67</v>
      </c>
      <c r="D13">
        <f t="shared" si="1"/>
        <v>6700000000</v>
      </c>
      <c r="E13">
        <f t="shared" si="2"/>
        <v>1.1125871803387578E-5</v>
      </c>
      <c r="F13">
        <f t="shared" si="3"/>
        <v>0.30905199453854387</v>
      </c>
      <c r="H13">
        <v>100</v>
      </c>
      <c r="I13">
        <f t="shared" ref="I13:I18" si="5">$B$36*($B$37+$B$38*(H13^2/(150000^2+H13^2)))/(1+$B$37+$B$38*(H13^2/(150000^2+H13^2)))</f>
        <v>8.7692653659917033E-2</v>
      </c>
    </row>
    <row r="14" spans="1:9">
      <c r="A14">
        <v>5.2999999999999999E-2</v>
      </c>
      <c r="B14">
        <f t="shared" si="0"/>
        <v>53000</v>
      </c>
      <c r="C14">
        <v>86</v>
      </c>
      <c r="D14">
        <f t="shared" si="1"/>
        <v>8600000000</v>
      </c>
      <c r="E14">
        <f t="shared" si="2"/>
        <v>1.4280969777482563E-5</v>
      </c>
      <c r="F14">
        <f t="shared" si="3"/>
        <v>0.39669360493007128</v>
      </c>
      <c r="H14">
        <v>500</v>
      </c>
      <c r="I14">
        <f t="shared" si="5"/>
        <v>8.8913128750170031E-2</v>
      </c>
    </row>
    <row r="15" spans="1:9">
      <c r="A15">
        <v>0.216</v>
      </c>
      <c r="B15">
        <f t="shared" si="0"/>
        <v>216000</v>
      </c>
      <c r="C15">
        <v>93</v>
      </c>
      <c r="D15">
        <f t="shared" si="1"/>
        <v>9300000000</v>
      </c>
      <c r="E15">
        <f t="shared" si="2"/>
        <v>1.5443374294254402E-5</v>
      </c>
      <c r="F15">
        <f t="shared" si="3"/>
        <v>0.42898261928484455</v>
      </c>
      <c r="H15">
        <v>1000</v>
      </c>
      <c r="I15">
        <f t="shared" si="5"/>
        <v>9.2671474078199825E-2</v>
      </c>
    </row>
    <row r="16" spans="1:9">
      <c r="A16">
        <v>1</v>
      </c>
      <c r="B16">
        <f t="shared" si="0"/>
        <v>1000000</v>
      </c>
      <c r="C16">
        <v>93</v>
      </c>
      <c r="D16">
        <f t="shared" si="1"/>
        <v>9300000000</v>
      </c>
      <c r="E16">
        <f t="shared" si="2"/>
        <v>1.5443374294254402E-5</v>
      </c>
      <c r="F16">
        <f t="shared" si="3"/>
        <v>0.42898261928484455</v>
      </c>
      <c r="H16">
        <v>5000</v>
      </c>
      <c r="I16">
        <f t="shared" si="5"/>
        <v>0.18053577742594731</v>
      </c>
    </row>
    <row r="17" spans="1:9">
      <c r="H17">
        <v>12000</v>
      </c>
      <c r="I17">
        <f t="shared" si="5"/>
        <v>0.32074620673825999</v>
      </c>
    </row>
    <row r="18" spans="1:9">
      <c r="A18" s="1" t="s">
        <v>24</v>
      </c>
      <c r="H18">
        <v>40000</v>
      </c>
      <c r="I18">
        <f t="shared" si="5"/>
        <v>0.41529040654268468</v>
      </c>
    </row>
    <row r="19" spans="1:9">
      <c r="A19" s="2" t="s">
        <v>11</v>
      </c>
      <c r="B19">
        <v>25</v>
      </c>
      <c r="C19" t="s">
        <v>12</v>
      </c>
      <c r="H19">
        <v>53000</v>
      </c>
      <c r="I19">
        <f t="shared" ref="I19:I23" si="6">$B$36*($B$37+$B$38*(H19^2/(150000^2+H19^2)))/(1+$B$37+$B$38*(H19^2/(150000^2+H19^2)))</f>
        <v>0.42104655206379726</v>
      </c>
    </row>
    <row r="20" spans="1:9">
      <c r="A20" t="s">
        <v>13</v>
      </c>
      <c r="B20">
        <v>2400</v>
      </c>
      <c r="C20" t="s">
        <v>14</v>
      </c>
      <c r="H20">
        <v>100000</v>
      </c>
      <c r="I20">
        <f t="shared" si="6"/>
        <v>0.42671547396102882</v>
      </c>
    </row>
    <row r="21" spans="1:9">
      <c r="A21" t="s">
        <v>15</v>
      </c>
      <c r="B21">
        <v>2</v>
      </c>
      <c r="C21" t="s">
        <v>16</v>
      </c>
      <c r="H21">
        <v>216000</v>
      </c>
      <c r="I21">
        <f t="shared" si="6"/>
        <v>0.42849414234470085</v>
      </c>
    </row>
    <row r="22" spans="1:9">
      <c r="A22" t="s">
        <v>10</v>
      </c>
      <c r="B22">
        <v>22</v>
      </c>
      <c r="C22" t="s">
        <v>12</v>
      </c>
      <c r="H22">
        <v>500000</v>
      </c>
      <c r="I22">
        <f t="shared" si="6"/>
        <v>0.42889135153017521</v>
      </c>
    </row>
    <row r="23" spans="1:9">
      <c r="A23" t="s">
        <v>9</v>
      </c>
      <c r="B23">
        <v>1.3599999999999999E-2</v>
      </c>
      <c r="C23" t="s">
        <v>12</v>
      </c>
      <c r="H23">
        <v>1000000</v>
      </c>
      <c r="I23">
        <f t="shared" si="6"/>
        <v>0.42895979776966486</v>
      </c>
    </row>
    <row r="24" spans="1:9">
      <c r="A24" t="s">
        <v>23</v>
      </c>
      <c r="B24">
        <f>-LN(1/2)/5</f>
        <v>0.13862943611198905</v>
      </c>
    </row>
    <row r="26" spans="1:9">
      <c r="A26" t="s">
        <v>17</v>
      </c>
      <c r="B26">
        <f>B19/1000</f>
        <v>2.5000000000000001E-2</v>
      </c>
    </row>
    <row r="27" spans="1:9">
      <c r="A27" t="s">
        <v>18</v>
      </c>
      <c r="B27">
        <f>B20*B3/(6.022E+23)*10^9/B6</f>
        <v>11.070519207350825</v>
      </c>
    </row>
    <row r="28" spans="1:9">
      <c r="A28" t="s">
        <v>21</v>
      </c>
      <c r="B28">
        <f>B21*B3/(6.022E+23)*10^9/B6</f>
        <v>9.2254326727923552E-3</v>
      </c>
    </row>
    <row r="29" spans="1:9">
      <c r="A29" t="s">
        <v>10</v>
      </c>
      <c r="B29">
        <v>22</v>
      </c>
    </row>
    <row r="30" spans="1:9">
      <c r="A30" t="s">
        <v>19</v>
      </c>
      <c r="B30">
        <f>B23*1000</f>
        <v>13.6</v>
      </c>
    </row>
    <row r="31" spans="1:9">
      <c r="A31" t="s">
        <v>20</v>
      </c>
      <c r="B31">
        <f>B26*B27*(B28/(B29*B30+(B29+1)*B28))</f>
        <v>8.5275695791089735E-6</v>
      </c>
    </row>
    <row r="32" spans="1:9">
      <c r="A32" t="s">
        <v>22</v>
      </c>
      <c r="B32">
        <f>B24/60</f>
        <v>2.3104906018664843E-3</v>
      </c>
    </row>
    <row r="33" spans="1:3">
      <c r="A33" t="s">
        <v>28</v>
      </c>
      <c r="B33">
        <f>B31/B32</f>
        <v>3.6908047027848306E-3</v>
      </c>
      <c r="C33" t="s">
        <v>69</v>
      </c>
    </row>
    <row r="35" spans="1:3">
      <c r="A35" s="1" t="s">
        <v>33</v>
      </c>
    </row>
    <row r="36" spans="1:3">
      <c r="A36" t="s">
        <v>29</v>
      </c>
      <c r="B36">
        <v>0.43</v>
      </c>
    </row>
    <row r="37" spans="1:3">
      <c r="A37" t="s">
        <v>25</v>
      </c>
      <c r="B37">
        <f>F10/(B36-F10)</f>
        <v>0.25599375698593491</v>
      </c>
    </row>
    <row r="38" spans="1:3">
      <c r="A38" t="s">
        <v>32</v>
      </c>
      <c r="B38">
        <f>(F16*(1+B37)-B36*B37)/(B36-F16)</f>
        <v>421.39797795143176</v>
      </c>
    </row>
    <row r="39" spans="1:3">
      <c r="A39" t="s">
        <v>34</v>
      </c>
      <c r="B39" s="3">
        <v>150000</v>
      </c>
      <c r="C39" t="s">
        <v>45</v>
      </c>
    </row>
    <row r="40" spans="1:3">
      <c r="A40" t="s">
        <v>36</v>
      </c>
      <c r="B40">
        <v>2</v>
      </c>
      <c r="C40" t="s">
        <v>37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6" workbookViewId="0">
      <selection activeCell="J29" sqref="J29"/>
    </sheetView>
  </sheetViews>
  <sheetFormatPr baseColWidth="10" defaultRowHeight="15" x14ac:dyDescent="0"/>
  <cols>
    <col min="4" max="4" width="12.6640625" bestFit="1" customWidth="1"/>
    <col min="8" max="8" width="12.6640625" bestFit="1" customWidth="1"/>
    <col min="10" max="10" width="38.5" customWidth="1"/>
    <col min="11" max="11" width="31.5" customWidth="1"/>
  </cols>
  <sheetData>
    <row r="1" spans="1:8">
      <c r="A1" s="1" t="s">
        <v>72</v>
      </c>
    </row>
    <row r="2" spans="1:8">
      <c r="A2" t="s">
        <v>38</v>
      </c>
      <c r="B2">
        <v>1.5</v>
      </c>
    </row>
    <row r="3" spans="1:8">
      <c r="A3" t="s">
        <v>39</v>
      </c>
      <c r="B3">
        <v>5</v>
      </c>
    </row>
    <row r="4" spans="1:8">
      <c r="A4" t="s">
        <v>41</v>
      </c>
      <c r="B4">
        <v>0.4</v>
      </c>
    </row>
    <row r="5" spans="1:8">
      <c r="A5" t="s">
        <v>43</v>
      </c>
      <c r="B5">
        <v>2.7</v>
      </c>
    </row>
    <row r="6" spans="1:8">
      <c r="A6" t="s">
        <v>42</v>
      </c>
      <c r="B6">
        <v>1.5</v>
      </c>
    </row>
    <row r="7" spans="1:8">
      <c r="A7" t="s">
        <v>44</v>
      </c>
      <c r="B7">
        <v>2.7</v>
      </c>
    </row>
    <row r="8" spans="1:8">
      <c r="A8" t="s">
        <v>40</v>
      </c>
      <c r="B8">
        <v>1</v>
      </c>
    </row>
    <row r="10" spans="1:8">
      <c r="A10" t="s">
        <v>46</v>
      </c>
      <c r="B10" t="s">
        <v>47</v>
      </c>
      <c r="C10" t="s">
        <v>56</v>
      </c>
      <c r="D10" t="s">
        <v>57</v>
      </c>
      <c r="E10" t="s">
        <v>40</v>
      </c>
      <c r="F10" t="s">
        <v>63</v>
      </c>
      <c r="G10" t="s">
        <v>64</v>
      </c>
      <c r="H10" t="s">
        <v>67</v>
      </c>
    </row>
    <row r="11" spans="1:8">
      <c r="A11">
        <v>0.01</v>
      </c>
      <c r="B11">
        <v>1.4410103335712896</v>
      </c>
      <c r="C11">
        <v>0.14586800860070787</v>
      </c>
      <c r="D11">
        <f>-B11+($B$2+$B$3*A11)/(1+A11+(C11/$B$4)^$B$5)</f>
        <v>7.9243607231660462E-9</v>
      </c>
      <c r="E11">
        <f>-$B$8*C11+1/(1+(B11/$B$6)^$B$7)</f>
        <v>0.38118695880831072</v>
      </c>
      <c r="F11">
        <f>ABS(D11)</f>
        <v>7.9243607231660462E-9</v>
      </c>
      <c r="G11">
        <f>ABS(E11)</f>
        <v>0.38118695880831072</v>
      </c>
      <c r="H11">
        <f>F11+G11</f>
        <v>0.38118696673267144</v>
      </c>
    </row>
    <row r="12" spans="1:8">
      <c r="A12">
        <v>0.05</v>
      </c>
      <c r="B12">
        <v>1.5442225364437241</v>
      </c>
      <c r="C12">
        <v>0.15929943001349678</v>
      </c>
      <c r="D12">
        <f t="shared" ref="D12:D23" si="0">-B12+($B$2+$B$3*A12)/(1+A12+(C12/$B$4)^$B$5)</f>
        <v>2.5101716016884268E-7</v>
      </c>
      <c r="E12">
        <f t="shared" ref="E12:E23" si="1">-$B$8*C12+1/(1+(B12/$B$6)^$B$7)</f>
        <v>0.32109818482777402</v>
      </c>
      <c r="F12">
        <f t="shared" ref="F12:F23" si="2">ABS(D12)</f>
        <v>2.5101716016884268E-7</v>
      </c>
      <c r="G12">
        <f t="shared" ref="G12:G23" si="3">ABS(E12)</f>
        <v>0.32109818482777402</v>
      </c>
      <c r="H12">
        <f>F12+G12</f>
        <v>0.32109843584493419</v>
      </c>
    </row>
    <row r="13" spans="1:8">
      <c r="A13">
        <v>0.1</v>
      </c>
      <c r="B13">
        <v>1.6327067505821271</v>
      </c>
      <c r="C13">
        <v>0.18515272827485113</v>
      </c>
      <c r="D13">
        <f t="shared" si="0"/>
        <v>2.6788921214659922E-7</v>
      </c>
      <c r="E13">
        <f t="shared" si="1"/>
        <v>0.25787327098250856</v>
      </c>
      <c r="F13">
        <f t="shared" si="2"/>
        <v>2.6788921214659922E-7</v>
      </c>
      <c r="G13">
        <f t="shared" si="3"/>
        <v>0.25787327098250856</v>
      </c>
      <c r="H13">
        <f>F13+G13</f>
        <v>0.25787353887172071</v>
      </c>
    </row>
    <row r="14" spans="1:8">
      <c r="A14">
        <v>0.5</v>
      </c>
      <c r="B14">
        <v>2.2328983138164222</v>
      </c>
      <c r="C14">
        <v>0.25332085498740803</v>
      </c>
      <c r="D14">
        <f t="shared" si="0"/>
        <v>1.0921370228267335E-4</v>
      </c>
      <c r="E14">
        <f t="shared" si="1"/>
        <v>1.292794392622254E-3</v>
      </c>
      <c r="F14">
        <f t="shared" si="2"/>
        <v>1.0921370228267335E-4</v>
      </c>
      <c r="G14">
        <f t="shared" si="3"/>
        <v>1.292794392622254E-3</v>
      </c>
      <c r="H14">
        <f t="shared" ref="H14:H23" si="4">F14+G14</f>
        <v>1.4020080949049274E-3</v>
      </c>
    </row>
    <row r="15" spans="1:8">
      <c r="A15">
        <v>1</v>
      </c>
      <c r="B15">
        <v>3.2003700407812405</v>
      </c>
      <c r="C15">
        <v>0.11074787460570758</v>
      </c>
      <c r="D15">
        <f t="shared" si="0"/>
        <v>-2.9002577879211344E-4</v>
      </c>
      <c r="E15">
        <f t="shared" si="1"/>
        <v>3.7028628340112224E-3</v>
      </c>
      <c r="F15">
        <f t="shared" si="2"/>
        <v>2.9002577879211344E-4</v>
      </c>
      <c r="G15">
        <f t="shared" si="3"/>
        <v>3.7028628340112224E-3</v>
      </c>
      <c r="H15">
        <f t="shared" si="4"/>
        <v>3.9928886128033358E-3</v>
      </c>
    </row>
    <row r="16" spans="1:8">
      <c r="A16">
        <v>5</v>
      </c>
      <c r="B16">
        <v>4.4135148472832615</v>
      </c>
      <c r="C16">
        <v>5.1504705184566991E-2</v>
      </c>
      <c r="D16">
        <f t="shared" si="0"/>
        <v>2.4724609810622411E-4</v>
      </c>
      <c r="E16">
        <f t="shared" si="1"/>
        <v>-3.190551817886661E-5</v>
      </c>
      <c r="F16">
        <f t="shared" si="2"/>
        <v>2.4724609810622411E-4</v>
      </c>
      <c r="G16">
        <f t="shared" si="3"/>
        <v>3.190551817886661E-5</v>
      </c>
      <c r="H16">
        <f t="shared" si="4"/>
        <v>2.7915161628509072E-4</v>
      </c>
    </row>
    <row r="17" spans="1:11">
      <c r="A17">
        <v>10</v>
      </c>
      <c r="B17">
        <v>4.6807032845440739</v>
      </c>
      <c r="C17">
        <v>4.4404567878420301E-2</v>
      </c>
      <c r="D17">
        <f t="shared" si="0"/>
        <v>-1.0770155744133092E-5</v>
      </c>
      <c r="E17">
        <f t="shared" si="1"/>
        <v>-1.5092277902978291E-4</v>
      </c>
      <c r="F17">
        <f t="shared" si="2"/>
        <v>1.0770155744133092E-5</v>
      </c>
      <c r="G17">
        <f t="shared" si="3"/>
        <v>1.5092277902978291E-4</v>
      </c>
      <c r="H17">
        <f t="shared" si="4"/>
        <v>1.61692934773916E-4</v>
      </c>
    </row>
    <row r="18" spans="1:11">
      <c r="A18">
        <v>50</v>
      </c>
      <c r="B18">
        <v>4.9311951458710661</v>
      </c>
      <c r="C18">
        <v>3.8609232848372775E-2</v>
      </c>
      <c r="D18">
        <f t="shared" si="0"/>
        <v>2.0609757411804708E-6</v>
      </c>
      <c r="E18">
        <f t="shared" si="1"/>
        <v>5.8525502379370986E-5</v>
      </c>
      <c r="F18">
        <f t="shared" si="2"/>
        <v>2.0609757411804708E-6</v>
      </c>
      <c r="G18">
        <f t="shared" si="3"/>
        <v>5.8525502379370986E-5</v>
      </c>
      <c r="H18">
        <f t="shared" si="4"/>
        <v>6.0586478120551457E-5</v>
      </c>
    </row>
    <row r="19" spans="1:11">
      <c r="A19">
        <v>100</v>
      </c>
      <c r="B19">
        <v>4.9651486693735931</v>
      </c>
      <c r="C19">
        <v>3.8165842363496696E-2</v>
      </c>
      <c r="D19">
        <f t="shared" si="0"/>
        <v>1.114519469647135E-4</v>
      </c>
      <c r="E19">
        <f t="shared" si="1"/>
        <v>-1.8092492777221914E-4</v>
      </c>
      <c r="F19">
        <f t="shared" si="2"/>
        <v>1.114519469647135E-4</v>
      </c>
      <c r="G19">
        <f t="shared" si="3"/>
        <v>1.8092492777221914E-4</v>
      </c>
      <c r="H19">
        <f t="shared" si="4"/>
        <v>2.9237687473693263E-4</v>
      </c>
    </row>
    <row r="20" spans="1:11">
      <c r="A20">
        <v>500</v>
      </c>
      <c r="B20">
        <v>4.9933581292448546</v>
      </c>
      <c r="C20">
        <v>3.7527227715046074E-2</v>
      </c>
      <c r="D20">
        <f t="shared" si="0"/>
        <v>-3.6089494085800311E-4</v>
      </c>
      <c r="E20">
        <f t="shared" si="1"/>
        <v>-9.7346909824269634E-5</v>
      </c>
      <c r="F20">
        <f t="shared" si="2"/>
        <v>3.6089494085800311E-4</v>
      </c>
      <c r="G20">
        <f t="shared" si="3"/>
        <v>9.7346909824269634E-5</v>
      </c>
      <c r="H20">
        <f t="shared" si="4"/>
        <v>4.5824185068227274E-4</v>
      </c>
    </row>
    <row r="21" spans="1:11">
      <c r="A21">
        <v>1000</v>
      </c>
      <c r="B21">
        <v>4.9961647669813107</v>
      </c>
      <c r="C21">
        <v>3.7778008319191002E-2</v>
      </c>
      <c r="D21">
        <f t="shared" si="0"/>
        <v>3.3019429950709167E-4</v>
      </c>
      <c r="E21">
        <f t="shared" si="1"/>
        <v>-4.0275125504854459E-4</v>
      </c>
      <c r="F21">
        <f t="shared" si="2"/>
        <v>3.3019429950709167E-4</v>
      </c>
      <c r="G21">
        <f t="shared" si="3"/>
        <v>4.0275125504854459E-4</v>
      </c>
      <c r="H21">
        <f t="shared" si="4"/>
        <v>7.3294555455563626E-4</v>
      </c>
    </row>
    <row r="22" spans="1:11">
      <c r="A22">
        <v>5000</v>
      </c>
      <c r="B22">
        <v>4.9992987722299862</v>
      </c>
      <c r="C22">
        <v>3.7355058461162445E-2</v>
      </c>
      <c r="D22">
        <f t="shared" si="0"/>
        <v>-2.9044561067337327E-7</v>
      </c>
      <c r="E22">
        <f t="shared" si="1"/>
        <v>-4.0669759252182081E-5</v>
      </c>
      <c r="F22">
        <f t="shared" si="2"/>
        <v>2.9044561067337327E-7</v>
      </c>
      <c r="G22">
        <f t="shared" si="3"/>
        <v>4.0669759252182081E-5</v>
      </c>
      <c r="H22">
        <f t="shared" si="4"/>
        <v>4.0960204862855454E-5</v>
      </c>
    </row>
    <row r="23" spans="1:11">
      <c r="A23">
        <v>10000</v>
      </c>
      <c r="B23">
        <v>4.9999157984493392</v>
      </c>
      <c r="C23">
        <v>3.7364209371950147E-2</v>
      </c>
      <c r="D23">
        <f t="shared" si="0"/>
        <v>-2.6659323631417209E-4</v>
      </c>
      <c r="E23">
        <f t="shared" si="1"/>
        <v>-6.1788773824122956E-5</v>
      </c>
      <c r="F23">
        <f t="shared" si="2"/>
        <v>2.6659323631417209E-4</v>
      </c>
      <c r="G23">
        <f t="shared" si="3"/>
        <v>6.1788773824122956E-5</v>
      </c>
      <c r="H23">
        <f t="shared" si="4"/>
        <v>3.2838201013829504E-4</v>
      </c>
    </row>
    <row r="25" spans="1:11">
      <c r="E25" t="s">
        <v>65</v>
      </c>
      <c r="F25">
        <f>SUM(F11:F23)</f>
        <v>1.7292684106540168E-3</v>
      </c>
      <c r="G25">
        <f>SUM(G11:G23)</f>
        <v>0.96617890727053624</v>
      </c>
    </row>
    <row r="26" spans="1:11">
      <c r="E26" t="s">
        <v>66</v>
      </c>
      <c r="F26">
        <f>F25+G25</f>
        <v>0.96790817568119025</v>
      </c>
    </row>
    <row r="29" spans="1:11" ht="150">
      <c r="J29" s="4" t="s">
        <v>73</v>
      </c>
      <c r="K29" s="4" t="s">
        <v>68</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K21" sqref="K21"/>
    </sheetView>
  </sheetViews>
  <sheetFormatPr baseColWidth="10" defaultRowHeight="15" x14ac:dyDescent="0"/>
  <cols>
    <col min="8" max="8" width="13.33203125" bestFit="1" customWidth="1"/>
    <col min="9" max="9" width="12.6640625" bestFit="1" customWidth="1"/>
    <col min="10" max="10" width="30" customWidth="1"/>
    <col min="11" max="11" width="34.83203125" customWidth="1"/>
  </cols>
  <sheetData>
    <row r="1" spans="1:9">
      <c r="A1" t="s">
        <v>38</v>
      </c>
      <c r="B1">
        <v>0.15</v>
      </c>
      <c r="D1" t="s">
        <v>57</v>
      </c>
      <c r="E1">
        <f>-B17+(B1-B3*B15)/(1+B15+(B19/B7)^B11)</f>
        <v>-2.0735988567719371E-3</v>
      </c>
      <c r="G1" t="s">
        <v>57</v>
      </c>
      <c r="H1">
        <f>-G17+(B1-B3*G15)/(1+G15+(G19/B7)^B11)</f>
        <v>-11.56486535441014</v>
      </c>
    </row>
    <row r="2" spans="1:9">
      <c r="A2" t="s">
        <v>48</v>
      </c>
      <c r="B2">
        <v>2.7E-2</v>
      </c>
      <c r="D2" t="s">
        <v>50</v>
      </c>
      <c r="E2">
        <f>-B5*B18+(B2+B4*B15)/(1+B15+(B17/B10)^B13)</f>
        <v>7.0526464844899994E-5</v>
      </c>
      <c r="G2" t="s">
        <v>50</v>
      </c>
      <c r="H2">
        <f>-B5*G18+(B2+B4*G15)/(1+G15+(G17/B10)^B13)</f>
        <v>2.1313426106905203E-7</v>
      </c>
    </row>
    <row r="3" spans="1:9">
      <c r="A3" t="s">
        <v>39</v>
      </c>
      <c r="B3">
        <v>5.9</v>
      </c>
      <c r="D3" t="s">
        <v>40</v>
      </c>
      <c r="E3">
        <f>-B6*B19+1/(1+(B17/B9)^B13+(B18/B8)^B14)</f>
        <v>-1.2314455739638182E-3</v>
      </c>
      <c r="G3" t="s">
        <v>40</v>
      </c>
      <c r="H3">
        <f>-B6*G19+1/(1+(G17/B9)^B12+(G18/B8)^B14)</f>
        <v>2.4646757156476969E-7</v>
      </c>
    </row>
    <row r="4" spans="1:9">
      <c r="A4" t="s">
        <v>49</v>
      </c>
      <c r="B4">
        <v>5.4</v>
      </c>
    </row>
    <row r="5" spans="1:9">
      <c r="A5" t="s">
        <v>50</v>
      </c>
      <c r="B5">
        <v>1.07</v>
      </c>
    </row>
    <row r="6" spans="1:9">
      <c r="A6" t="s">
        <v>40</v>
      </c>
      <c r="B6">
        <v>1.1200000000000001</v>
      </c>
      <c r="D6" t="s">
        <v>58</v>
      </c>
      <c r="E6">
        <f>E1^2+E2^2+E3^2</f>
        <v>5.8212444026844816E-6</v>
      </c>
      <c r="G6" t="s">
        <v>58</v>
      </c>
      <c r="H6">
        <f>H1^2+H2^2+H3^2</f>
        <v>133.74611066563608</v>
      </c>
      <c r="I6">
        <f>H2^2+H3^2</f>
        <v>1.0617247707448569E-13</v>
      </c>
    </row>
    <row r="7" spans="1:9">
      <c r="A7" t="s">
        <v>41</v>
      </c>
      <c r="B7">
        <v>6.3999999999999997E-5</v>
      </c>
    </row>
    <row r="8" spans="1:9">
      <c r="A8" t="s">
        <v>51</v>
      </c>
      <c r="B8">
        <v>1.0999999999999999E-2</v>
      </c>
    </row>
    <row r="9" spans="1:9">
      <c r="A9" t="s">
        <v>42</v>
      </c>
      <c r="B9">
        <v>0.12</v>
      </c>
    </row>
    <row r="10" spans="1:9">
      <c r="A10" t="s">
        <v>52</v>
      </c>
      <c r="B10">
        <v>8.3000000000000001E-4</v>
      </c>
    </row>
    <row r="11" spans="1:9">
      <c r="A11" t="s">
        <v>43</v>
      </c>
      <c r="B11">
        <v>2.34</v>
      </c>
    </row>
    <row r="12" spans="1:9">
      <c r="A12" t="s">
        <v>44</v>
      </c>
      <c r="B12">
        <v>2</v>
      </c>
    </row>
    <row r="13" spans="1:9">
      <c r="A13" t="s">
        <v>53</v>
      </c>
      <c r="B13">
        <v>2</v>
      </c>
    </row>
    <row r="14" spans="1:9">
      <c r="A14" t="s">
        <v>54</v>
      </c>
      <c r="B14">
        <v>2</v>
      </c>
    </row>
    <row r="15" spans="1:9">
      <c r="A15" s="1" t="s">
        <v>61</v>
      </c>
      <c r="B15" s="2">
        <v>0.3</v>
      </c>
      <c r="F15" s="1" t="s">
        <v>62</v>
      </c>
      <c r="G15" s="2">
        <v>12000</v>
      </c>
    </row>
    <row r="16" spans="1:9">
      <c r="B16" s="1" t="s">
        <v>74</v>
      </c>
      <c r="C16" s="1" t="s">
        <v>59</v>
      </c>
      <c r="D16" s="1" t="s">
        <v>60</v>
      </c>
      <c r="G16" s="1" t="s">
        <v>74</v>
      </c>
      <c r="H16" s="1" t="s">
        <v>59</v>
      </c>
      <c r="I16" s="1" t="s">
        <v>60</v>
      </c>
    </row>
    <row r="17" spans="1:11">
      <c r="A17" s="1" t="s">
        <v>47</v>
      </c>
      <c r="B17">
        <v>1.862496404207172E-3</v>
      </c>
      <c r="C17">
        <f>B17*1.25</f>
        <v>2.3281205052589652E-3</v>
      </c>
      <c r="D17">
        <f>B17*0.75</f>
        <v>1.396872303155379E-3</v>
      </c>
      <c r="F17" s="1" t="s">
        <v>47</v>
      </c>
      <c r="G17">
        <v>5.7000001692464588</v>
      </c>
      <c r="H17">
        <f>G17*1.25</f>
        <v>7.1250002115580733</v>
      </c>
      <c r="I17">
        <f>G17*0.75</f>
        <v>4.2750001269348443</v>
      </c>
    </row>
    <row r="18" spans="1:11">
      <c r="A18" s="1" t="s">
        <v>55</v>
      </c>
      <c r="B18">
        <v>0.2428943255122962</v>
      </c>
      <c r="C18">
        <f t="shared" ref="C18:C19" si="0">B18*1.25</f>
        <v>0.30361790689037027</v>
      </c>
      <c r="D18">
        <f t="shared" ref="D18:D19" si="1">B18*0.75</f>
        <v>0.18217074413422216</v>
      </c>
      <c r="F18" s="1" t="s">
        <v>55</v>
      </c>
      <c r="G18">
        <v>1.2835712127459171E-3</v>
      </c>
      <c r="H18">
        <f>G18*1.25</f>
        <v>1.6044640159323964E-3</v>
      </c>
      <c r="I18">
        <f t="shared" ref="I18:I19" si="2">G18*0.75</f>
        <v>9.6267840955943781E-4</v>
      </c>
    </row>
    <row r="19" spans="1:11">
      <c r="A19" s="1" t="s">
        <v>56</v>
      </c>
      <c r="B19">
        <v>2.9269427627592543E-3</v>
      </c>
      <c r="C19">
        <f t="shared" si="0"/>
        <v>3.6586784534490676E-3</v>
      </c>
      <c r="D19">
        <f t="shared" si="1"/>
        <v>2.1952070720694409E-3</v>
      </c>
      <c r="F19" s="1" t="s">
        <v>56</v>
      </c>
      <c r="G19">
        <v>3.9532837427189811E-4</v>
      </c>
      <c r="H19">
        <f>G19*1.25</f>
        <v>4.9416046783987263E-4</v>
      </c>
      <c r="I19">
        <f t="shared" si="2"/>
        <v>2.9649628070392358E-4</v>
      </c>
    </row>
    <row r="21" spans="1:11" ht="105">
      <c r="J21" s="4" t="s">
        <v>75</v>
      </c>
      <c r="K21" s="4" t="s">
        <v>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Problem 1</vt:lpstr>
      <vt:lpstr>Problem 2c</vt:lpstr>
      <vt:lpstr>Problem 2e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Reeb</dc:creator>
  <cp:lastModifiedBy>Lena Reeb</cp:lastModifiedBy>
  <dcterms:created xsi:type="dcterms:W3CDTF">2020-05-08T22:48:18Z</dcterms:created>
  <dcterms:modified xsi:type="dcterms:W3CDTF">2020-05-12T00:15:27Z</dcterms:modified>
</cp:coreProperties>
</file>