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Chat\"/>
    </mc:Choice>
  </mc:AlternateContent>
  <xr:revisionPtr revIDLastSave="0" documentId="13_ncr:1_{0AC1DA88-4E09-4E74-ACD0-3E5CFB32B3D3}" xr6:coauthVersionLast="47" xr6:coauthVersionMax="47" xr10:uidLastSave="{00000000-0000-0000-0000-000000000000}"/>
  <bookViews>
    <workbookView xWindow="42915" yWindow="1005" windowWidth="13305" windowHeight="11850" firstSheet="17" activeTab="19" xr2:uid="{00000000-000D-0000-FFFF-FFFF00000000}"/>
  </bookViews>
  <sheets>
    <sheet name="Tháng4" sheetId="2" r:id="rId1"/>
    <sheet name="Tháng5+6" sheetId="3" r:id="rId2"/>
    <sheet name="Tháng7" sheetId="4" r:id="rId3"/>
    <sheet name="Tháng8" sheetId="5" r:id="rId4"/>
    <sheet name="Tháng9" sheetId="6" r:id="rId5"/>
    <sheet name="Tháng10" sheetId="7" r:id="rId6"/>
    <sheet name="Tháng11" sheetId="8" r:id="rId7"/>
    <sheet name="Tháng12" sheetId="9" r:id="rId8"/>
    <sheet name="Tháng1" sheetId="10" r:id="rId9"/>
    <sheet name="Tháng2" sheetId="11" r:id="rId10"/>
    <sheet name="Tháng3" sheetId="12" r:id="rId11"/>
    <sheet name="Tháng4_22" sheetId="13" r:id="rId12"/>
    <sheet name="Tháng5_22" sheetId="14" r:id="rId13"/>
    <sheet name="Tháng6_22" sheetId="16" r:id="rId14"/>
    <sheet name="Tháng_7_22" sheetId="17" r:id="rId15"/>
    <sheet name="Tháng_8_22" sheetId="18" r:id="rId16"/>
    <sheet name="Tháng_9_22" sheetId="19" r:id="rId17"/>
    <sheet name="Tháng_10_22" sheetId="20" r:id="rId18"/>
    <sheet name="Tháng_11_22" sheetId="21" r:id="rId19"/>
    <sheet name="Tháng_12_22" sheetId="23" r:id="rId20"/>
    <sheet name="Phân tích" sheetId="1" r:id="rId21"/>
    <sheet name="Tiết kiệm" sheetId="22" r:id="rId22"/>
    <sheet name="Phong bì" sheetId="15" r:id="rId23"/>
  </sheets>
  <calcPr calcId="191029"/>
  <extLst>
    <ext uri="GoogleSheetsCustomDataVersion1">
      <go:sheetsCustomData xmlns:go="http://customooxmlschemas.google.com/" r:id="rId24" roundtripDataSignature="AMtx7mj6XPDsJvypGO3puwhUzgbakyIu7w=="/>
    </ext>
  </extLst>
</workbook>
</file>

<file path=xl/calcChain.xml><?xml version="1.0" encoding="utf-8"?>
<calcChain xmlns="http://schemas.openxmlformats.org/spreadsheetml/2006/main">
  <c r="D20" i="23" l="1"/>
  <c r="D21" i="23"/>
  <c r="D22" i="23" s="1"/>
  <c r="H21" i="23"/>
  <c r="H22" i="23"/>
  <c r="H14" i="21"/>
  <c r="I21" i="21" s="1"/>
  <c r="B21" i="1" s="1"/>
  <c r="B6" i="23"/>
  <c r="H6" i="23"/>
  <c r="I21" i="23" s="1"/>
  <c r="K6" i="23"/>
  <c r="K6" i="21"/>
  <c r="B16" i="21"/>
  <c r="H5" i="21"/>
  <c r="B15" i="21"/>
  <c r="C43" i="22"/>
  <c r="C7" i="22"/>
  <c r="C8" i="22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B20" i="1"/>
  <c r="B27" i="1"/>
  <c r="D20" i="21"/>
  <c r="H6" i="21"/>
  <c r="H21" i="21"/>
  <c r="H22" i="21" s="1"/>
  <c r="C1" i="22" s="1"/>
  <c r="H11" i="20"/>
  <c r="I21" i="20"/>
  <c r="E11" i="20"/>
  <c r="D21" i="20"/>
  <c r="E8" i="20"/>
  <c r="H22" i="20"/>
  <c r="H5" i="20"/>
  <c r="H21" i="20" s="1"/>
  <c r="B6" i="20"/>
  <c r="K6" i="20"/>
  <c r="H5" i="19"/>
  <c r="H21" i="19" s="1"/>
  <c r="B15" i="19"/>
  <c r="D20" i="19"/>
  <c r="H10" i="19"/>
  <c r="I21" i="19"/>
  <c r="B19" i="1" s="1"/>
  <c r="B13" i="19"/>
  <c r="B9" i="19"/>
  <c r="H20" i="19"/>
  <c r="K6" i="19"/>
  <c r="H5" i="18"/>
  <c r="H21" i="18" s="1"/>
  <c r="H6" i="18"/>
  <c r="I21" i="18" s="1"/>
  <c r="B18" i="1" s="1"/>
  <c r="K6" i="18"/>
  <c r="D21" i="18"/>
  <c r="D20" i="17"/>
  <c r="H15" i="17"/>
  <c r="H14" i="17"/>
  <c r="B6" i="17"/>
  <c r="D21" i="17" s="1"/>
  <c r="K6" i="17"/>
  <c r="B18" i="16"/>
  <c r="H11" i="16"/>
  <c r="K1" i="16" s="1"/>
  <c r="B12" i="16"/>
  <c r="K1" i="14"/>
  <c r="K4" i="14" s="1"/>
  <c r="J5" i="14"/>
  <c r="K18" i="16"/>
  <c r="K16" i="16"/>
  <c r="K17" i="16" s="1"/>
  <c r="K1" i="13"/>
  <c r="B14" i="1" s="1"/>
  <c r="H21" i="14"/>
  <c r="B12" i="14"/>
  <c r="D21" i="14" s="1"/>
  <c r="D22" i="14" s="1"/>
  <c r="H20" i="14"/>
  <c r="H5" i="13"/>
  <c r="J5" i="13" s="1"/>
  <c r="K18" i="14"/>
  <c r="K16" i="14"/>
  <c r="K17" i="14" s="1"/>
  <c r="B17" i="13"/>
  <c r="B11" i="13"/>
  <c r="B6" i="13"/>
  <c r="K18" i="13"/>
  <c r="K16" i="13"/>
  <c r="K17" i="13" s="1"/>
  <c r="H12" i="12"/>
  <c r="D20" i="12"/>
  <c r="B13" i="12"/>
  <c r="B12" i="12"/>
  <c r="H6" i="12"/>
  <c r="K18" i="12"/>
  <c r="B11" i="12"/>
  <c r="K18" i="11"/>
  <c r="K16" i="12"/>
  <c r="K17" i="12" s="1"/>
  <c r="H15" i="11"/>
  <c r="K1" i="11" s="1"/>
  <c r="B12" i="1" s="1"/>
  <c r="B12" i="11"/>
  <c r="D21" i="21" l="1"/>
  <c r="D22" i="21" s="1"/>
  <c r="C3" i="22"/>
  <c r="D1" i="22"/>
  <c r="D22" i="20"/>
  <c r="D21" i="19"/>
  <c r="D22" i="19" s="1"/>
  <c r="K19" i="16"/>
  <c r="K1" i="12"/>
  <c r="B13" i="1" s="1"/>
  <c r="H22" i="17"/>
  <c r="D21" i="16"/>
  <c r="D22" i="16" s="1"/>
  <c r="H22" i="14"/>
  <c r="J21" i="14" s="1"/>
  <c r="J5" i="11"/>
  <c r="I21" i="17"/>
  <c r="B17" i="1" s="1"/>
  <c r="H21" i="12"/>
  <c r="H22" i="12" s="1"/>
  <c r="H21" i="17"/>
  <c r="J5" i="12"/>
  <c r="H22" i="19"/>
  <c r="H22" i="18"/>
  <c r="D22" i="18"/>
  <c r="D22" i="17"/>
  <c r="B16" i="1"/>
  <c r="J5" i="16"/>
  <c r="K4" i="16"/>
  <c r="H21" i="16"/>
  <c r="H22" i="16" s="1"/>
  <c r="B15" i="1"/>
  <c r="K19" i="14"/>
  <c r="D21" i="13"/>
  <c r="D22" i="13" s="1"/>
  <c r="K19" i="13"/>
  <c r="H21" i="13"/>
  <c r="H22" i="13" s="1"/>
  <c r="K4" i="13"/>
  <c r="D21" i="12"/>
  <c r="K19" i="12"/>
  <c r="B11" i="11"/>
  <c r="J21" i="16" l="1"/>
  <c r="J21" i="13"/>
  <c r="D22" i="12"/>
  <c r="J21" i="12" s="1"/>
  <c r="D20" i="11"/>
  <c r="K4" i="12" l="1"/>
  <c r="B8" i="11"/>
  <c r="B5" i="11" l="1"/>
  <c r="E19" i="10" l="1"/>
  <c r="H18" i="10"/>
  <c r="E18" i="10" l="1"/>
  <c r="E15" i="10"/>
  <c r="H17" i="10"/>
  <c r="H16" i="10" l="1"/>
  <c r="H9" i="10" l="1"/>
  <c r="E12" i="10" l="1"/>
  <c r="D20" i="10" l="1"/>
  <c r="H11" i="10"/>
  <c r="K1" i="10" l="1"/>
  <c r="J5" i="10"/>
  <c r="H21" i="11"/>
  <c r="H22" i="11" s="1"/>
  <c r="D21" i="11"/>
  <c r="D22" i="11" s="1"/>
  <c r="K16" i="11"/>
  <c r="K17" i="11" s="1"/>
  <c r="K18" i="10"/>
  <c r="J21" i="11" l="1"/>
  <c r="K19" i="11"/>
  <c r="K4" i="11" l="1"/>
  <c r="K16" i="10"/>
  <c r="K17" i="10" s="1"/>
  <c r="H21" i="10"/>
  <c r="H22" i="10" s="1"/>
  <c r="D21" i="10"/>
  <c r="H24" i="9"/>
  <c r="K4" i="10" l="1"/>
  <c r="B11" i="1"/>
  <c r="K19" i="10"/>
  <c r="D22" i="10"/>
  <c r="J21" i="10" s="1"/>
  <c r="H22" i="9" l="1"/>
  <c r="B12" i="9" l="1"/>
  <c r="D25" i="9"/>
  <c r="H21" i="9"/>
  <c r="B11" i="9"/>
  <c r="H20" i="9"/>
  <c r="B9" i="9"/>
  <c r="B5" i="9"/>
  <c r="H19" i="9"/>
  <c r="D25" i="8"/>
  <c r="K23" i="9"/>
  <c r="K21" i="9"/>
  <c r="K22" i="9" s="1"/>
  <c r="H15" i="9"/>
  <c r="H10" i="9"/>
  <c r="H8" i="9"/>
  <c r="H7" i="9"/>
  <c r="H6" i="9"/>
  <c r="B17" i="8"/>
  <c r="B14" i="8"/>
  <c r="K23" i="8"/>
  <c r="H15" i="8"/>
  <c r="B11" i="8"/>
  <c r="B9" i="8"/>
  <c r="B8" i="8"/>
  <c r="B7" i="8"/>
  <c r="B6" i="8"/>
  <c r="B5" i="8"/>
  <c r="B17" i="7"/>
  <c r="B16" i="7"/>
  <c r="K21" i="8"/>
  <c r="K22" i="8" s="1"/>
  <c r="H10" i="8"/>
  <c r="H8" i="8"/>
  <c r="H7" i="8"/>
  <c r="H6" i="8"/>
  <c r="D25" i="7"/>
  <c r="H10" i="7"/>
  <c r="H8" i="7"/>
  <c r="H7" i="7"/>
  <c r="B9" i="7"/>
  <c r="K23" i="7"/>
  <c r="K23" i="6"/>
  <c r="B6" i="7"/>
  <c r="B17" i="6"/>
  <c r="H6" i="7"/>
  <c r="B5" i="7"/>
  <c r="J5" i="8" l="1"/>
  <c r="D26" i="9"/>
  <c r="K1" i="9" s="1"/>
  <c r="H26" i="9"/>
  <c r="H27" i="9" s="1"/>
  <c r="K24" i="9"/>
  <c r="D26" i="8"/>
  <c r="K1" i="8" s="1"/>
  <c r="B9" i="1" s="1"/>
  <c r="K24" i="8"/>
  <c r="H26" i="8"/>
  <c r="H27" i="8" s="1"/>
  <c r="K21" i="7"/>
  <c r="K22" i="7" s="1"/>
  <c r="H26" i="7"/>
  <c r="H27" i="7" s="1"/>
  <c r="D26" i="7"/>
  <c r="K1" i="7" s="1"/>
  <c r="B8" i="1" s="1"/>
  <c r="H15" i="6"/>
  <c r="H16" i="6"/>
  <c r="D25" i="6"/>
  <c r="B15" i="6"/>
  <c r="K4" i="9" l="1"/>
  <c r="B10" i="1"/>
  <c r="D27" i="9"/>
  <c r="J26" i="9" s="1"/>
  <c r="K4" i="8"/>
  <c r="D27" i="8"/>
  <c r="K4" i="7"/>
  <c r="K24" i="7"/>
  <c r="D27" i="7"/>
  <c r="J26" i="7" s="1"/>
  <c r="B16" i="6"/>
  <c r="B14" i="6"/>
  <c r="B12" i="6"/>
  <c r="B11" i="6"/>
  <c r="B10" i="6"/>
  <c r="B9" i="6"/>
  <c r="K3" i="2"/>
  <c r="K3" i="3"/>
  <c r="K3" i="4"/>
  <c r="K3" i="5"/>
  <c r="B6" i="6"/>
  <c r="K21" i="6"/>
  <c r="K22" i="6" s="1"/>
  <c r="H12" i="6"/>
  <c r="H11" i="6"/>
  <c r="H12" i="5"/>
  <c r="H11" i="5"/>
  <c r="K20" i="5"/>
  <c r="K21" i="5" s="1"/>
  <c r="K22" i="5" s="1"/>
  <c r="B15" i="5"/>
  <c r="B13" i="5"/>
  <c r="K23" i="5"/>
  <c r="B11" i="5"/>
  <c r="B9" i="5"/>
  <c r="K23" i="4"/>
  <c r="B7" i="5"/>
  <c r="B6" i="5"/>
  <c r="E12" i="4"/>
  <c r="E7" i="4"/>
  <c r="E6" i="4"/>
  <c r="B15" i="4"/>
  <c r="H26" i="6" l="1"/>
  <c r="H27" i="6" s="1"/>
  <c r="J26" i="8"/>
  <c r="D26" i="6"/>
  <c r="K24" i="6"/>
  <c r="H26" i="5"/>
  <c r="H27" i="5" s="1"/>
  <c r="K24" i="5"/>
  <c r="D26" i="5"/>
  <c r="K1" i="5" s="1"/>
  <c r="B6" i="1" s="1"/>
  <c r="B6" i="4"/>
  <c r="K1" i="6" l="1"/>
  <c r="B7" i="1" s="1"/>
  <c r="D27" i="6"/>
  <c r="J26" i="6" s="1"/>
  <c r="D27" i="5"/>
  <c r="J26" i="5" s="1"/>
  <c r="K4" i="5"/>
  <c r="B5" i="4"/>
  <c r="K4" i="6" l="1"/>
  <c r="K21" i="4"/>
  <c r="K22" i="4" s="1"/>
  <c r="H26" i="4"/>
  <c r="H27" i="4" s="1"/>
  <c r="D26" i="4"/>
  <c r="K1" i="4" s="1"/>
  <c r="B5" i="1" s="1"/>
  <c r="D25" i="3"/>
  <c r="H19" i="3"/>
  <c r="E5" i="3"/>
  <c r="B24" i="3"/>
  <c r="B23" i="3"/>
  <c r="B17" i="3"/>
  <c r="B16" i="3"/>
  <c r="B15" i="3"/>
  <c r="B13" i="3"/>
  <c r="K21" i="3"/>
  <c r="K22" i="3" s="1"/>
  <c r="B12" i="3"/>
  <c r="B11" i="3"/>
  <c r="H11" i="3"/>
  <c r="B7" i="3"/>
  <c r="K23" i="3"/>
  <c r="E10" i="2"/>
  <c r="D25" i="2"/>
  <c r="B18" i="2"/>
  <c r="B17" i="2"/>
  <c r="B11" i="2"/>
  <c r="H26" i="2"/>
  <c r="H27" i="2" s="1"/>
  <c r="K23" i="2"/>
  <c r="K21" i="2"/>
  <c r="K22" i="2" s="1"/>
  <c r="H26" i="3" l="1"/>
  <c r="H27" i="3" s="1"/>
  <c r="D26" i="3"/>
  <c r="K1" i="3" s="1"/>
  <c r="D27" i="4"/>
  <c r="J26" i="4" s="1"/>
  <c r="K4" i="4"/>
  <c r="K24" i="4"/>
  <c r="K24" i="3"/>
  <c r="D26" i="2"/>
  <c r="K1" i="2" s="1"/>
  <c r="B2" i="1" s="1"/>
  <c r="K24" i="2"/>
  <c r="K4" i="3" l="1"/>
  <c r="D27" i="3"/>
  <c r="J26" i="3" s="1"/>
  <c r="D27" i="2"/>
  <c r="J26" i="2" s="1"/>
  <c r="K4" i="2"/>
</calcChain>
</file>

<file path=xl/sharedStrings.xml><?xml version="1.0" encoding="utf-8"?>
<sst xmlns="http://schemas.openxmlformats.org/spreadsheetml/2006/main" count="1055" uniqueCount="256">
  <si>
    <t>Money</t>
  </si>
  <si>
    <t>Có</t>
  </si>
  <si>
    <t>DAY</t>
  </si>
  <si>
    <t>MONEY</t>
  </si>
  <si>
    <t>FOR</t>
  </si>
  <si>
    <t>xe</t>
  </si>
  <si>
    <t>rút</t>
  </si>
  <si>
    <t>Còn</t>
  </si>
  <si>
    <t>siêu thị</t>
  </si>
  <si>
    <t>L</t>
  </si>
  <si>
    <t>Ăn</t>
  </si>
  <si>
    <t>bus</t>
  </si>
  <si>
    <t>chạy</t>
  </si>
  <si>
    <t>Last Month</t>
  </si>
  <si>
    <t>This Month</t>
  </si>
  <si>
    <t>Use</t>
  </si>
  <si>
    <t>House</t>
  </si>
  <si>
    <t>Total</t>
  </si>
  <si>
    <t>Tiêu</t>
  </si>
  <si>
    <t>Tháng 4 - 2021</t>
  </si>
  <si>
    <t>wallet</t>
  </si>
  <si>
    <t>bank</t>
  </si>
  <si>
    <t>Rút</t>
  </si>
  <si>
    <t>All</t>
  </si>
  <si>
    <t>Số tiền</t>
  </si>
  <si>
    <t>Số ngày</t>
  </si>
  <si>
    <t>Trung bình</t>
  </si>
  <si>
    <t>Tháng 5 - 2021</t>
  </si>
  <si>
    <t>Shoppe,L</t>
  </si>
  <si>
    <t>lẩu</t>
  </si>
  <si>
    <t>Tóc</t>
  </si>
  <si>
    <t xml:space="preserve">L </t>
  </si>
  <si>
    <t>Xe</t>
  </si>
  <si>
    <t>Số tiền ĂN</t>
  </si>
  <si>
    <t>Rut</t>
  </si>
  <si>
    <t>An</t>
  </si>
  <si>
    <t>Shoppe</t>
  </si>
  <si>
    <t>Nha</t>
  </si>
  <si>
    <t>Aăn</t>
  </si>
  <si>
    <t>L+khóa</t>
  </si>
  <si>
    <t>Luowng</t>
  </si>
  <si>
    <t>rut</t>
  </si>
  <si>
    <t>Bàn</t>
  </si>
  <si>
    <t>Điều hòa, rút, ăn lẩu</t>
  </si>
  <si>
    <t xml:space="preserve">Tiêu </t>
  </si>
  <si>
    <t>Gạo</t>
  </si>
  <si>
    <t>Nhậu</t>
  </si>
  <si>
    <t>Nhâu</t>
  </si>
  <si>
    <t>Nhà</t>
  </si>
  <si>
    <t>Thêm 1 người +80k</t>
  </si>
  <si>
    <t>Menday</t>
  </si>
  <si>
    <t>Ăn, Nhậu, bạn</t>
  </si>
  <si>
    <t>mua</t>
  </si>
  <si>
    <t>Về quê</t>
  </si>
  <si>
    <t>Hoàn tiền</t>
  </si>
  <si>
    <t>Xăng, cá, vải</t>
  </si>
  <si>
    <t>Gưi xe</t>
  </si>
  <si>
    <t>Tháng 7 - 2021</t>
  </si>
  <si>
    <t>Siêu thị</t>
  </si>
  <si>
    <t>Gửi đồ</t>
  </si>
  <si>
    <t>Thỏ</t>
  </si>
  <si>
    <t>Xăng(248)</t>
  </si>
  <si>
    <t>ram, chuột</t>
  </si>
  <si>
    <t>cty</t>
  </si>
  <si>
    <t>Quần</t>
  </si>
  <si>
    <t>Dây</t>
  </si>
  <si>
    <t>Ăm, mua</t>
  </si>
  <si>
    <t>Xóm</t>
  </si>
  <si>
    <t>Shhoppe</t>
  </si>
  <si>
    <t>Lu</t>
  </si>
  <si>
    <t>chảo</t>
  </si>
  <si>
    <t>Tháng 8 - 2021</t>
  </si>
  <si>
    <t>hộp</t>
  </si>
  <si>
    <t>Rau</t>
  </si>
  <si>
    <t>Chợ</t>
  </si>
  <si>
    <t>mạng</t>
  </si>
  <si>
    <t>Đồ ăn</t>
  </si>
  <si>
    <t>dép Linh</t>
  </si>
  <si>
    <t>pin</t>
  </si>
  <si>
    <t>Tóc ăn</t>
  </si>
  <si>
    <t>Tháng 9 - 2021</t>
  </si>
  <si>
    <t>gao</t>
  </si>
  <si>
    <t>Lương</t>
  </si>
  <si>
    <t>Cho bá, lẩu, dt</t>
  </si>
  <si>
    <t>rút, Trương vay,ăn lẩu, sn Nga</t>
  </si>
  <si>
    <t>Xăng</t>
  </si>
  <si>
    <t>Mua</t>
  </si>
  <si>
    <t>ghế</t>
  </si>
  <si>
    <t>Tháng 10 - 2021</t>
  </si>
  <si>
    <t>Đoàn, Trường vay,rút mua ghế</t>
  </si>
  <si>
    <t>lương</t>
  </si>
  <si>
    <t>phí ngân hàng, rút, ăn nhậu</t>
  </si>
  <si>
    <t>siêu thị,chợ, siêu thị</t>
  </si>
  <si>
    <t>rau</t>
  </si>
  <si>
    <t>quaf</t>
  </si>
  <si>
    <t>tủ</t>
  </si>
  <si>
    <t>Ăn sáng</t>
  </si>
  <si>
    <t>ve que</t>
  </si>
  <si>
    <t>Tr vay</t>
  </si>
  <si>
    <t>Nam trả</t>
  </si>
  <si>
    <t>lẩu, xăng,văn nghê</t>
  </si>
  <si>
    <t>sn Link</t>
  </si>
  <si>
    <t>cáp, cường lựuc</t>
  </si>
  <si>
    <t>Siieeu thị</t>
  </si>
  <si>
    <t>trương trả</t>
  </si>
  <si>
    <t>xăng, shoppe</t>
  </si>
  <si>
    <t xml:space="preserve">Sửa lap hộ </t>
  </si>
  <si>
    <t>Ăn, tóc</t>
  </si>
  <si>
    <t>Sưa lap hộ</t>
  </si>
  <si>
    <t>an</t>
  </si>
  <si>
    <t>Xang</t>
  </si>
  <si>
    <t>Xe Nga</t>
  </si>
  <si>
    <t>Nam vay</t>
  </si>
  <si>
    <t>Kinhs</t>
  </si>
  <si>
    <t>Áo</t>
  </si>
  <si>
    <t>Tháng</t>
  </si>
  <si>
    <t>Tiền</t>
  </si>
  <si>
    <t>Siêu thị, xăng (1115)</t>
  </si>
  <si>
    <t>Luương, Nam trả</t>
  </si>
  <si>
    <t>Xăng, ăn(1255)</t>
  </si>
  <si>
    <t>Nhậu, ăn, cưới Nhung</t>
  </si>
  <si>
    <t>Siêu thị, ăn</t>
  </si>
  <si>
    <t>bàn phím</t>
  </si>
  <si>
    <t>Xăng, ăn(1444)</t>
  </si>
  <si>
    <t>Tháng 1 - 2022</t>
  </si>
  <si>
    <t>cháo</t>
  </si>
  <si>
    <t>Dây mạng</t>
  </si>
  <si>
    <t>Lấy đồ</t>
  </si>
  <si>
    <t>Màn hình</t>
  </si>
  <si>
    <t>Cáp</t>
  </si>
  <si>
    <t>Bún đậu</t>
  </si>
  <si>
    <t>Que</t>
  </si>
  <si>
    <t>Ngân hàng</t>
  </si>
  <si>
    <t>Lương, nam trả, đoàn trả</t>
  </si>
  <si>
    <t>Tháng 2 - 2022</t>
  </si>
  <si>
    <t>Xăng(1775)</t>
  </si>
  <si>
    <t>Mừng tuổi</t>
  </si>
  <si>
    <t>Lẩu</t>
  </si>
  <si>
    <t>Quỹ lớp</t>
  </si>
  <si>
    <t>Thương Tết</t>
  </si>
  <si>
    <t>Cho BM</t>
  </si>
  <si>
    <t>Test covid</t>
  </si>
  <si>
    <t>bọc dây xăng</t>
  </si>
  <si>
    <t>Lì xì</t>
  </si>
  <si>
    <t>Mua đồ linh tinh</t>
  </si>
  <si>
    <t>Mua đồ</t>
  </si>
  <si>
    <t>Bếp</t>
  </si>
  <si>
    <t>Nam</t>
  </si>
  <si>
    <t>Nạp thẻ</t>
  </si>
  <si>
    <t>xăng</t>
  </si>
  <si>
    <t>CK</t>
  </si>
  <si>
    <t>Mua kit</t>
  </si>
  <si>
    <t>mẹ</t>
  </si>
  <si>
    <t>kit</t>
  </si>
  <si>
    <t>hoàn tiền</t>
  </si>
  <si>
    <t>tk</t>
  </si>
  <si>
    <t>rua xe</t>
  </si>
  <si>
    <t>Thuoc</t>
  </si>
  <si>
    <t>Đ vay</t>
  </si>
  <si>
    <t>Cỗ</t>
  </si>
  <si>
    <t>Cắt toc</t>
  </si>
  <si>
    <t>Chiếu</t>
  </si>
  <si>
    <t>Xăng(2626)</t>
  </si>
  <si>
    <t>ăn</t>
  </si>
  <si>
    <t>Nước</t>
  </si>
  <si>
    <t>Kim chi</t>
  </si>
  <si>
    <t>Rút để tiêu</t>
  </si>
  <si>
    <t>LT</t>
  </si>
  <si>
    <t>Caafe</t>
  </si>
  <si>
    <t>Awn</t>
  </si>
  <si>
    <t>Ăn toc rua xe</t>
  </si>
  <si>
    <t xml:space="preserve"> </t>
  </si>
  <si>
    <t>begin</t>
  </si>
  <si>
    <t>PB</t>
  </si>
  <si>
    <t>Cưới chị Đại Liệu</t>
  </si>
  <si>
    <t>M bố Cấn Yến</t>
  </si>
  <si>
    <t>Cưới Cấn Yến</t>
  </si>
  <si>
    <t>Cưới Dung 12A</t>
  </si>
  <si>
    <t>Cưới G Đại 12A</t>
  </si>
  <si>
    <t>Cưới Huy xóm trọ</t>
  </si>
  <si>
    <t>Thẻ</t>
  </si>
  <si>
    <t>Luong</t>
  </si>
  <si>
    <t>Toc</t>
  </si>
  <si>
    <t>Xăng, xe</t>
  </si>
  <si>
    <t>Đoàn vay</t>
  </si>
  <si>
    <t>Xooi</t>
  </si>
  <si>
    <t>Tháng 6 - 2022</t>
  </si>
  <si>
    <t>momo</t>
  </si>
  <si>
    <t>St</t>
  </si>
  <si>
    <t>Chơi</t>
  </si>
  <si>
    <t>Doan vay</t>
  </si>
  <si>
    <t>Tháng 7 - 2022</t>
  </si>
  <si>
    <t>Tiền nhà</t>
  </si>
  <si>
    <t>Thu - Chi</t>
  </si>
  <si>
    <t>Kem</t>
  </si>
  <si>
    <t>sieu thi, mua</t>
  </si>
  <si>
    <t>Phim'</t>
  </si>
  <si>
    <t>Nam tra</t>
  </si>
  <si>
    <t>dam cuoi</t>
  </si>
  <si>
    <t>Cuoi Thao</t>
  </si>
  <si>
    <t>Cưới Thảo Thùy</t>
  </si>
  <si>
    <t>Cắt tóc</t>
  </si>
  <si>
    <t>Nam trả, snCty</t>
  </si>
  <si>
    <t>Café</t>
  </si>
  <si>
    <t>Qua</t>
  </si>
  <si>
    <t>DĐ</t>
  </si>
  <si>
    <t>Tháng 8 - 2022</t>
  </si>
  <si>
    <t>Khám</t>
  </si>
  <si>
    <t>nap dt</t>
  </si>
  <si>
    <t>SN Nam</t>
  </si>
  <si>
    <t>Sieu thị</t>
  </si>
  <si>
    <t>toc</t>
  </si>
  <si>
    <t>Nga</t>
  </si>
  <si>
    <t>Tai nghe</t>
  </si>
  <si>
    <t>khao</t>
  </si>
  <si>
    <t>Tháng 9 - 2022</t>
  </si>
  <si>
    <t>aăn, xe,…</t>
  </si>
  <si>
    <t>Cuoi</t>
  </si>
  <si>
    <t>Cưới Huê Luvina</t>
  </si>
  <si>
    <t>Sn</t>
  </si>
  <si>
    <t>shope</t>
  </si>
  <si>
    <t>SN</t>
  </si>
  <si>
    <t>RUt</t>
  </si>
  <si>
    <t>Ăn, xăng</t>
  </si>
  <si>
    <t>Shope</t>
  </si>
  <si>
    <t>Phí</t>
  </si>
  <si>
    <t>nap the</t>
  </si>
  <si>
    <t>Ăn lẩu</t>
  </si>
  <si>
    <t>Ăm</t>
  </si>
  <si>
    <t>Tiet kiem</t>
  </si>
  <si>
    <t>pb Ánh</t>
  </si>
  <si>
    <t>xem phim, ăn</t>
  </si>
  <si>
    <t>Cưới Ánh Luvina</t>
  </si>
  <si>
    <t>mua áo</t>
  </si>
  <si>
    <t>cắt tóc</t>
  </si>
  <si>
    <t>Cưới Đạt KTHN</t>
  </si>
  <si>
    <t>xe, tk, ăn</t>
  </si>
  <si>
    <t>Cưới Đ</t>
  </si>
  <si>
    <t>Thẻ, ăn</t>
  </si>
  <si>
    <t>nap momo</t>
  </si>
  <si>
    <t>sn L</t>
  </si>
  <si>
    <t>Tổng tài sản</t>
  </si>
  <si>
    <t>Đích đến</t>
  </si>
  <si>
    <t>Phần trăm</t>
  </si>
  <si>
    <t>Thời điểm</t>
  </si>
  <si>
    <t>Tài sản dự tính</t>
  </si>
  <si>
    <t>Tính cua trong hang</t>
  </si>
  <si>
    <t>Năm</t>
  </si>
  <si>
    <t>phim</t>
  </si>
  <si>
    <t>An, sp</t>
  </si>
  <si>
    <t>xang, an</t>
  </si>
  <si>
    <t>Mang</t>
  </si>
  <si>
    <t>tra lai tien gui</t>
  </si>
  <si>
    <t>gui tk</t>
  </si>
  <si>
    <t>Lẩu, rút</t>
  </si>
  <si>
    <t>P bì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</si>
</sst>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Arial"/>
    </font>
    <font>
      <sz val="12"/>
      <color theme="1"/>
      <name val="Calibri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rgb="FFFF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6"/>
      <color theme="0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5"/>
      <color theme="1"/>
      <name val="Times New Roman"/>
      <family val="1"/>
    </font>
    <font>
      <sz val="8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D9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F985"/>
        <bgColor indexed="64"/>
      </patternFill>
    </fill>
    <fill>
      <patternFill patternType="solid">
        <fgColor rgb="FF023C2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6" fontId="3" fillId="7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5" borderId="1" xfId="0" applyNumberFormat="1" applyFont="1" applyFill="1" applyBorder="1" applyAlignment="1">
      <alignment horizontal="right" vertical="center"/>
    </xf>
    <xf numFmtId="1" fontId="3" fillId="5" borderId="3" xfId="0" applyNumberFormat="1" applyFont="1" applyFill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12" fillId="10" borderId="8" xfId="0" applyNumberFormat="1" applyFont="1" applyFill="1" applyBorder="1" applyAlignment="1">
      <alignment horizontal="center" vertical="center"/>
    </xf>
    <xf numFmtId="0" fontId="13" fillId="0" borderId="0" xfId="0" applyFont="1"/>
    <xf numFmtId="14" fontId="3" fillId="7" borderId="1" xfId="0" applyNumberFormat="1" applyFont="1" applyFill="1" applyBorder="1" applyAlignment="1">
      <alignment horizontal="left" vertical="center"/>
    </xf>
    <xf numFmtId="1" fontId="14" fillId="0" borderId="0" xfId="0" applyNumberFormat="1" applyFont="1"/>
    <xf numFmtId="0" fontId="15" fillId="2" borderId="1" xfId="0" applyFont="1" applyFill="1" applyBorder="1"/>
    <xf numFmtId="1" fontId="15" fillId="2" borderId="1" xfId="0" applyNumberFormat="1" applyFont="1" applyFill="1" applyBorder="1"/>
    <xf numFmtId="165" fontId="15" fillId="2" borderId="1" xfId="0" applyNumberFormat="1" applyFont="1" applyFill="1" applyBorder="1"/>
    <xf numFmtId="1" fontId="0" fillId="0" borderId="0" xfId="0" applyNumberFormat="1"/>
    <xf numFmtId="1" fontId="17" fillId="11" borderId="1" xfId="0" applyNumberFormat="1" applyFont="1" applyFill="1" applyBorder="1" applyAlignment="1">
      <alignment horizontal="left" vertical="center"/>
    </xf>
    <xf numFmtId="1" fontId="17" fillId="13" borderId="1" xfId="0" applyNumberFormat="1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left" vertical="center"/>
    </xf>
    <xf numFmtId="0" fontId="17" fillId="11" borderId="1" xfId="0" quotePrefix="1" applyFont="1" applyFill="1" applyBorder="1" applyAlignment="1">
      <alignment horizontal="left" vertical="center"/>
    </xf>
    <xf numFmtId="0" fontId="17" fillId="13" borderId="1" xfId="0" quotePrefix="1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3" fillId="5" borderId="13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7" fillId="13" borderId="21" xfId="0" applyFont="1" applyFill="1" applyBorder="1" applyAlignment="1">
      <alignment horizontal="center" vertical="center"/>
    </xf>
    <xf numFmtId="0" fontId="17" fillId="13" borderId="22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23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3C20"/>
      <color rgb="FF9BF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3588108586106479E-2"/>
          <c:w val="1"/>
          <c:h val="0.98641189141389352"/>
        </c:manualLayout>
      </c:layout>
      <c:areaChart>
        <c:grouping val="stacked"/>
        <c:varyColors val="0"/>
        <c:ser>
          <c:idx val="0"/>
          <c:order val="0"/>
          <c:tx>
            <c:strRef>
              <c:f>'Phân tích'!$A$1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tích'!$A$2:$A$22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97434656"/>
        <c:axId val="1197440640"/>
      </c:areaChart>
      <c:barChart>
        <c:barDir val="col"/>
        <c:grouping val="clustered"/>
        <c:varyColors val="0"/>
        <c:ser>
          <c:idx val="1"/>
          <c:order val="1"/>
          <c:tx>
            <c:strRef>
              <c:f>'Phân tích'!$B$1</c:f>
              <c:strCache>
                <c:ptCount val="1"/>
                <c:pt idx="0">
                  <c:v>Tiền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tích'!$B$2:$B$22</c:f>
              <c:numCache>
                <c:formatCode>General</c:formatCode>
                <c:ptCount val="21"/>
                <c:pt idx="0">
                  <c:v>3090</c:v>
                </c:pt>
                <c:pt idx="1">
                  <c:v>3000</c:v>
                </c:pt>
                <c:pt idx="2">
                  <c:v>3000</c:v>
                </c:pt>
                <c:pt idx="3">
                  <c:v>3395</c:v>
                </c:pt>
                <c:pt idx="4">
                  <c:v>2641</c:v>
                </c:pt>
                <c:pt idx="5">
                  <c:v>3020</c:v>
                </c:pt>
                <c:pt idx="6">
                  <c:v>3526</c:v>
                </c:pt>
                <c:pt idx="7">
                  <c:v>2648</c:v>
                </c:pt>
                <c:pt idx="8">
                  <c:v>3525</c:v>
                </c:pt>
                <c:pt idx="9">
                  <c:v>2010.2999999999993</c:v>
                </c:pt>
                <c:pt idx="10">
                  <c:v>3825.5789999999997</c:v>
                </c:pt>
                <c:pt idx="11">
                  <c:v>3942.0679999999993</c:v>
                </c:pt>
                <c:pt idx="12">
                  <c:v>4160.6729999999998</c:v>
                </c:pt>
                <c:pt idx="13" formatCode="0">
                  <c:v>3288</c:v>
                </c:pt>
                <c:pt idx="14" formatCode="0">
                  <c:v>4480.9560000000001</c:v>
                </c:pt>
                <c:pt idx="15" formatCode="0">
                  <c:v>5503.2199999999993</c:v>
                </c:pt>
                <c:pt idx="16" formatCode="0">
                  <c:v>5226.13</c:v>
                </c:pt>
                <c:pt idx="17" formatCode="0">
                  <c:v>4047.7939999999999</c:v>
                </c:pt>
                <c:pt idx="18" formatCode="0">
                  <c:v>4420.9400000000005</c:v>
                </c:pt>
                <c:pt idx="19" formatCode="0">
                  <c:v>4302.4799999999996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7434656"/>
        <c:axId val="1197440640"/>
      </c:barChart>
      <c:catAx>
        <c:axId val="119743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440640"/>
        <c:crosses val="autoZero"/>
        <c:auto val="1"/>
        <c:lblAlgn val="ctr"/>
        <c:lblOffset val="100"/>
        <c:noMultiLvlLbl val="0"/>
      </c:catAx>
      <c:valAx>
        <c:axId val="1197440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974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19168321801719E-2"/>
          <c:y val="4.160164362525239E-3"/>
          <c:w val="0.94156911710784519"/>
          <c:h val="0.879874762674088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C-43C8-8020-7F814677D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C-43C8-8020-7F814677D2B5}"/>
              </c:ext>
            </c:extLst>
          </c:dPt>
          <c:cat>
            <c:strRef>
              <c:f>'Tiết kiệm'!$B$1</c:f>
              <c:strCache>
                <c:ptCount val="1"/>
                <c:pt idx="0">
                  <c:v>Tổng tài sản</c:v>
                </c:pt>
              </c:strCache>
            </c:strRef>
          </c:cat>
          <c:val>
            <c:numRef>
              <c:f>'Tiết kiệm'!$C$1:$D$1</c:f>
              <c:numCache>
                <c:formatCode>0</c:formatCode>
                <c:ptCount val="2"/>
                <c:pt idx="0">
                  <c:v>72.735500000000002</c:v>
                </c:pt>
                <c:pt idx="1">
                  <c:v>746.2645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D-464F-A080-0E12F059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0</xdr:row>
      <xdr:rowOff>90486</xdr:rowOff>
    </xdr:from>
    <xdr:to>
      <xdr:col>20</xdr:col>
      <xdr:colOff>219075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B9CAC-59BF-4E4B-8622-AC8B5874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109536</xdr:rowOff>
    </xdr:from>
    <xdr:to>
      <xdr:col>7</xdr:col>
      <xdr:colOff>342900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C73F3-1318-5B7B-710B-4CE8E3EE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6384" width="9" style="2"/>
  </cols>
  <sheetData>
    <row r="1" spans="1:12" x14ac:dyDescent="0.2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71" t="s">
        <v>33</v>
      </c>
      <c r="K1" s="72">
        <f>D26-200-200</f>
        <v>3090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71"/>
      <c r="K2" s="7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8" t="s">
        <v>25</v>
      </c>
      <c r="K3" s="11">
        <f>DATEDIF(A5,D12,"d")</f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26</v>
      </c>
      <c r="K4" s="12">
        <f>K1/K3</f>
        <v>103</v>
      </c>
      <c r="L4" s="10"/>
    </row>
    <row r="5" spans="1:12" x14ac:dyDescent="0.2">
      <c r="A5" s="5">
        <v>44296</v>
      </c>
      <c r="B5" s="6">
        <v>-300</v>
      </c>
      <c r="C5" s="6" t="s">
        <v>12</v>
      </c>
      <c r="D5" s="13">
        <v>44320</v>
      </c>
      <c r="E5" s="7">
        <v>200</v>
      </c>
      <c r="F5" s="7" t="s">
        <v>9</v>
      </c>
      <c r="G5" s="4"/>
      <c r="H5" s="4">
        <v>-0.127</v>
      </c>
      <c r="I5" s="4"/>
      <c r="J5" s="73"/>
      <c r="K5" s="73"/>
    </row>
    <row r="6" spans="1:12" x14ac:dyDescent="0.2">
      <c r="A6" s="5">
        <v>44299</v>
      </c>
      <c r="B6" s="6">
        <v>10</v>
      </c>
      <c r="C6" s="6" t="s">
        <v>10</v>
      </c>
      <c r="D6" s="13">
        <v>44323</v>
      </c>
      <c r="E6" s="7">
        <v>37</v>
      </c>
      <c r="F6" s="7" t="s">
        <v>35</v>
      </c>
      <c r="G6" s="14">
        <v>44314</v>
      </c>
      <c r="H6" s="4">
        <v>200</v>
      </c>
      <c r="I6" s="4" t="s">
        <v>6</v>
      </c>
      <c r="J6" s="73"/>
      <c r="K6" s="73"/>
    </row>
    <row r="7" spans="1:12" x14ac:dyDescent="0.2">
      <c r="A7" s="13">
        <v>44300</v>
      </c>
      <c r="B7" s="7">
        <v>300</v>
      </c>
      <c r="C7" s="7" t="s">
        <v>28</v>
      </c>
      <c r="D7" s="7"/>
      <c r="E7" s="7">
        <v>200</v>
      </c>
      <c r="F7" s="7" t="s">
        <v>36</v>
      </c>
      <c r="G7" s="14">
        <v>44321</v>
      </c>
      <c r="H7" s="4">
        <v>1500</v>
      </c>
      <c r="I7" s="4" t="s">
        <v>34</v>
      </c>
      <c r="J7" s="73"/>
      <c r="K7" s="73"/>
    </row>
    <row r="8" spans="1:12" x14ac:dyDescent="0.2">
      <c r="A8" s="7"/>
      <c r="B8" s="7">
        <v>30</v>
      </c>
      <c r="C8" s="7" t="s">
        <v>10</v>
      </c>
      <c r="D8" s="13">
        <v>44324</v>
      </c>
      <c r="E8" s="7">
        <v>-100</v>
      </c>
      <c r="F8" s="7" t="s">
        <v>34</v>
      </c>
      <c r="G8" s="14">
        <v>44324</v>
      </c>
      <c r="H8" s="4">
        <v>100</v>
      </c>
      <c r="I8" s="4" t="s">
        <v>34</v>
      </c>
      <c r="J8" s="73"/>
      <c r="K8" s="73"/>
    </row>
    <row r="9" spans="1:12" x14ac:dyDescent="0.2">
      <c r="A9" s="13">
        <v>44302</v>
      </c>
      <c r="B9" s="7">
        <v>10</v>
      </c>
      <c r="C9" s="7" t="s">
        <v>10</v>
      </c>
      <c r="D9" s="13"/>
      <c r="E9" s="7">
        <v>1733</v>
      </c>
      <c r="F9" s="7" t="s">
        <v>37</v>
      </c>
      <c r="G9" s="14">
        <v>44326</v>
      </c>
      <c r="H9" s="4"/>
      <c r="I9" s="4"/>
      <c r="J9" s="73"/>
      <c r="K9" s="73"/>
    </row>
    <row r="10" spans="1:12" x14ac:dyDescent="0.2">
      <c r="A10" s="13">
        <v>44304</v>
      </c>
      <c r="B10" s="7">
        <v>220</v>
      </c>
      <c r="C10" s="7" t="s">
        <v>29</v>
      </c>
      <c r="D10" s="7"/>
      <c r="E10" s="7">
        <f>65+30+35</f>
        <v>130</v>
      </c>
      <c r="F10" s="7" t="s">
        <v>38</v>
      </c>
      <c r="G10" s="4"/>
      <c r="H10" s="4"/>
      <c r="I10" s="4"/>
      <c r="J10" s="73"/>
      <c r="K10" s="73"/>
    </row>
    <row r="11" spans="1:12" x14ac:dyDescent="0.2">
      <c r="A11" s="13">
        <v>44305</v>
      </c>
      <c r="B11" s="7">
        <f>44+10</f>
        <v>54</v>
      </c>
      <c r="C11" s="7" t="s">
        <v>10</v>
      </c>
      <c r="D11" s="13">
        <v>44325</v>
      </c>
      <c r="E11" s="7">
        <v>210</v>
      </c>
      <c r="F11" s="7" t="s">
        <v>39</v>
      </c>
      <c r="G11" s="4"/>
      <c r="H11" s="4"/>
      <c r="I11" s="4"/>
      <c r="J11" s="73"/>
      <c r="K11" s="73"/>
    </row>
    <row r="12" spans="1:12" x14ac:dyDescent="0.2">
      <c r="A12" s="13">
        <v>44306</v>
      </c>
      <c r="B12" s="7">
        <v>15</v>
      </c>
      <c r="C12" s="7" t="s">
        <v>10</v>
      </c>
      <c r="D12" s="13">
        <v>44326</v>
      </c>
      <c r="E12" s="7"/>
      <c r="F12" s="7"/>
      <c r="G12" s="4"/>
      <c r="H12" s="4"/>
      <c r="I12" s="4"/>
      <c r="J12" s="73"/>
      <c r="K12" s="73"/>
    </row>
    <row r="13" spans="1:12" x14ac:dyDescent="0.2">
      <c r="A13" s="13">
        <v>44307</v>
      </c>
      <c r="B13" s="7">
        <v>66</v>
      </c>
      <c r="C13" s="7" t="s">
        <v>10</v>
      </c>
      <c r="D13" s="7"/>
      <c r="E13" s="7"/>
      <c r="F13" s="7"/>
      <c r="G13" s="4"/>
      <c r="H13" s="4"/>
      <c r="I13" s="4"/>
      <c r="J13" s="73"/>
      <c r="K13" s="73"/>
    </row>
    <row r="14" spans="1:12" x14ac:dyDescent="0.2">
      <c r="A14" s="7"/>
      <c r="B14" s="7">
        <v>30</v>
      </c>
      <c r="C14" s="7" t="s">
        <v>30</v>
      </c>
      <c r="D14" s="7"/>
      <c r="E14" s="7"/>
      <c r="F14" s="7"/>
      <c r="G14" s="4"/>
      <c r="H14" s="4"/>
      <c r="I14" s="4"/>
      <c r="J14" s="73"/>
      <c r="K14" s="73"/>
    </row>
    <row r="15" spans="1:12" x14ac:dyDescent="0.2">
      <c r="A15" s="13">
        <v>44308</v>
      </c>
      <c r="B15" s="7">
        <v>35</v>
      </c>
      <c r="C15" s="7" t="s">
        <v>10</v>
      </c>
      <c r="D15" s="7"/>
      <c r="E15" s="7"/>
      <c r="F15" s="7"/>
      <c r="G15" s="4"/>
      <c r="H15" s="4"/>
      <c r="I15" s="4"/>
      <c r="J15" s="73"/>
      <c r="K15" s="73"/>
    </row>
    <row r="16" spans="1:12" x14ac:dyDescent="0.2">
      <c r="A16" s="13">
        <v>44309</v>
      </c>
      <c r="B16" s="7">
        <v>10</v>
      </c>
      <c r="C16" s="7" t="s">
        <v>10</v>
      </c>
      <c r="D16" s="7"/>
      <c r="E16" s="7"/>
      <c r="F16" s="7"/>
      <c r="G16" s="4"/>
      <c r="H16" s="4"/>
      <c r="I16" s="4"/>
      <c r="J16" s="73"/>
      <c r="K16" s="73"/>
    </row>
    <row r="17" spans="1:11" x14ac:dyDescent="0.2">
      <c r="A17" s="13">
        <v>44310</v>
      </c>
      <c r="B17" s="7">
        <f>29+30+65</f>
        <v>124</v>
      </c>
      <c r="C17" s="7" t="s">
        <v>10</v>
      </c>
      <c r="D17" s="7"/>
      <c r="E17" s="7"/>
      <c r="F17" s="7"/>
      <c r="G17" s="4"/>
      <c r="H17" s="4"/>
      <c r="I17" s="4"/>
      <c r="J17" s="73"/>
      <c r="K17" s="73"/>
    </row>
    <row r="18" spans="1:11" x14ac:dyDescent="0.2">
      <c r="A18" s="13">
        <v>44311</v>
      </c>
      <c r="B18" s="7">
        <f>43</f>
        <v>43</v>
      </c>
      <c r="C18" s="7" t="s">
        <v>10</v>
      </c>
      <c r="D18" s="7"/>
      <c r="E18" s="7"/>
      <c r="F18" s="7"/>
      <c r="G18" s="4"/>
      <c r="H18" s="4"/>
      <c r="I18" s="4"/>
      <c r="J18" s="73"/>
      <c r="K18" s="73"/>
    </row>
    <row r="19" spans="1:11" x14ac:dyDescent="0.2">
      <c r="A19" s="13">
        <v>44312</v>
      </c>
      <c r="B19" s="7">
        <v>12</v>
      </c>
      <c r="C19" s="7" t="s">
        <v>10</v>
      </c>
      <c r="D19" s="7"/>
      <c r="E19" s="7"/>
      <c r="F19" s="7"/>
      <c r="G19" s="4"/>
      <c r="H19" s="4"/>
      <c r="I19" s="4"/>
      <c r="J19" s="8" t="s">
        <v>13</v>
      </c>
      <c r="K19" s="9">
        <v>7937</v>
      </c>
    </row>
    <row r="20" spans="1:11" x14ac:dyDescent="0.2">
      <c r="A20" s="13">
        <v>44314</v>
      </c>
      <c r="B20" s="7">
        <v>10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7994</v>
      </c>
    </row>
    <row r="21" spans="1:11" x14ac:dyDescent="0.2">
      <c r="A21" s="7"/>
      <c r="B21" s="7">
        <v>-200</v>
      </c>
      <c r="C21" s="7" t="s">
        <v>22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57</v>
      </c>
    </row>
    <row r="22" spans="1:11" x14ac:dyDescent="0.2">
      <c r="A22" s="7"/>
      <c r="B22" s="7">
        <v>200</v>
      </c>
      <c r="C22" s="7" t="s">
        <v>31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199.5</v>
      </c>
    </row>
    <row r="23" spans="1:11" x14ac:dyDescent="0.2">
      <c r="A23" s="13">
        <v>44316</v>
      </c>
      <c r="B23" s="7">
        <v>211</v>
      </c>
      <c r="C23" s="7" t="s">
        <v>32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</row>
    <row r="24" spans="1:11" ht="16.5" thickBot="1" x14ac:dyDescent="0.25">
      <c r="A24" s="15">
        <v>44318</v>
      </c>
      <c r="B24" s="16">
        <v>200</v>
      </c>
      <c r="C24" s="16" t="s">
        <v>11</v>
      </c>
      <c r="D24" s="16"/>
      <c r="E24" s="16"/>
      <c r="F24" s="16"/>
      <c r="G24" s="17"/>
      <c r="H24" s="17"/>
      <c r="I24" s="17"/>
      <c r="J24" s="8" t="s">
        <v>17</v>
      </c>
      <c r="K24" s="8">
        <f>K23+K22</f>
        <v>1729.5</v>
      </c>
    </row>
    <row r="25" spans="1:11" ht="20.100000000000001" customHeight="1" x14ac:dyDescent="0.2">
      <c r="A25" s="59" t="s">
        <v>1</v>
      </c>
      <c r="B25" s="60"/>
      <c r="C25" s="60"/>
      <c r="D25" s="82">
        <f>3090+1500</f>
        <v>4590</v>
      </c>
      <c r="E25" s="82"/>
      <c r="F25" s="83"/>
      <c r="G25" s="18" t="s">
        <v>1</v>
      </c>
      <c r="H25" s="67">
        <v>7431.75</v>
      </c>
      <c r="I25" s="68"/>
      <c r="J25" s="78" t="s">
        <v>23</v>
      </c>
      <c r="K25" s="79"/>
    </row>
    <row r="26" spans="1:11" ht="20.100000000000001" customHeight="1" x14ac:dyDescent="0.2">
      <c r="A26" s="61" t="s">
        <v>18</v>
      </c>
      <c r="B26" s="62"/>
      <c r="C26" s="62"/>
      <c r="D26" s="84">
        <f>SUM(B5:B24)+SUM(E5:E24)</f>
        <v>3490</v>
      </c>
      <c r="E26" s="84"/>
      <c r="F26" s="85"/>
      <c r="G26" s="19" t="s">
        <v>22</v>
      </c>
      <c r="H26" s="69">
        <f>SUM(H5:H24)</f>
        <v>1799.873</v>
      </c>
      <c r="I26" s="70"/>
      <c r="J26" s="80">
        <f>D27+H27</f>
        <v>6731.8770000000004</v>
      </c>
      <c r="K26" s="81"/>
    </row>
    <row r="27" spans="1:11" ht="36.75" customHeight="1" thickBot="1" x14ac:dyDescent="0.25">
      <c r="A27" s="63" t="s">
        <v>7</v>
      </c>
      <c r="B27" s="64"/>
      <c r="C27" s="64"/>
      <c r="D27" s="65">
        <f>D25-D26-L24</f>
        <v>1100</v>
      </c>
      <c r="E27" s="65"/>
      <c r="F27" s="66"/>
      <c r="G27" s="20" t="s">
        <v>7</v>
      </c>
      <c r="H27" s="76">
        <f>H25-H26</f>
        <v>5631.8770000000004</v>
      </c>
      <c r="I27" s="77"/>
      <c r="J27" s="80"/>
      <c r="K27" s="81"/>
    </row>
  </sheetData>
  <mergeCells count="17">
    <mergeCell ref="J25:K25"/>
    <mergeCell ref="J26:K27"/>
    <mergeCell ref="D25:F25"/>
    <mergeCell ref="D26:F26"/>
    <mergeCell ref="J1:J2"/>
    <mergeCell ref="K1:K2"/>
    <mergeCell ref="J5:K18"/>
    <mergeCell ref="A3:F3"/>
    <mergeCell ref="G3:I3"/>
    <mergeCell ref="A1:I2"/>
    <mergeCell ref="A25:C25"/>
    <mergeCell ref="A26:C26"/>
    <mergeCell ref="A27:C27"/>
    <mergeCell ref="D27:F27"/>
    <mergeCell ref="H25:I25"/>
    <mergeCell ref="H26:I26"/>
    <mergeCell ref="H27:I27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134</v>
      </c>
      <c r="B1" s="75"/>
      <c r="C1" s="75"/>
      <c r="D1" s="75"/>
      <c r="E1" s="75"/>
      <c r="F1" s="75"/>
      <c r="G1" s="75"/>
      <c r="H1" s="75"/>
      <c r="I1" s="75"/>
      <c r="J1" s="91" t="s">
        <v>24</v>
      </c>
      <c r="K1" s="92">
        <f>SUM(H5:H19)-H7-H15</f>
        <v>3825.5789999999997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91"/>
      <c r="K2" s="9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127.51929999999999</v>
      </c>
      <c r="L4" s="10"/>
    </row>
    <row r="5" spans="1:12" x14ac:dyDescent="0.2">
      <c r="A5" s="13">
        <v>44562</v>
      </c>
      <c r="B5" s="21">
        <f>4+28</f>
        <v>32</v>
      </c>
      <c r="C5" s="25" t="s">
        <v>145</v>
      </c>
      <c r="D5" s="13"/>
      <c r="E5" s="21"/>
      <c r="F5" s="25"/>
      <c r="G5" s="14"/>
      <c r="H5" s="33">
        <v>3000</v>
      </c>
      <c r="I5" s="4" t="s">
        <v>22</v>
      </c>
      <c r="J5" s="89">
        <f>-SUM(H5:H19)</f>
        <v>1192.6699999999998</v>
      </c>
      <c r="K5" s="90"/>
    </row>
    <row r="6" spans="1:12" x14ac:dyDescent="0.2">
      <c r="A6" s="13">
        <v>44599</v>
      </c>
      <c r="B6" s="21">
        <v>1057</v>
      </c>
      <c r="C6" s="25" t="s">
        <v>146</v>
      </c>
      <c r="D6" s="13"/>
      <c r="E6" s="21"/>
      <c r="F6" s="25"/>
      <c r="G6" s="14"/>
      <c r="H6" s="33">
        <v>-100</v>
      </c>
      <c r="I6" s="4" t="s">
        <v>147</v>
      </c>
      <c r="J6" s="90"/>
      <c r="K6" s="90"/>
    </row>
    <row r="7" spans="1:12" x14ac:dyDescent="0.2">
      <c r="A7" s="13"/>
      <c r="B7" s="21">
        <v>1775</v>
      </c>
      <c r="C7" s="25" t="s">
        <v>48</v>
      </c>
      <c r="D7" s="13"/>
      <c r="E7" s="21"/>
      <c r="F7" s="25"/>
      <c r="G7" s="14"/>
      <c r="H7" s="33">
        <v>-6817.5</v>
      </c>
      <c r="I7" s="4" t="s">
        <v>82</v>
      </c>
      <c r="J7" s="90"/>
      <c r="K7" s="90"/>
    </row>
    <row r="8" spans="1:12" x14ac:dyDescent="0.2">
      <c r="A8" s="13">
        <v>44605</v>
      </c>
      <c r="B8" s="21">
        <f>106+18</f>
        <v>124</v>
      </c>
      <c r="C8" s="25" t="s">
        <v>10</v>
      </c>
      <c r="D8" s="13"/>
      <c r="E8" s="21"/>
      <c r="F8" s="25"/>
      <c r="G8" s="14"/>
      <c r="H8" s="33">
        <v>50</v>
      </c>
      <c r="I8" s="4" t="s">
        <v>148</v>
      </c>
      <c r="J8" s="90"/>
      <c r="K8" s="90"/>
    </row>
    <row r="9" spans="1:12" x14ac:dyDescent="0.2">
      <c r="A9" s="13"/>
      <c r="B9" s="21">
        <v>80</v>
      </c>
      <c r="C9" s="25" t="s">
        <v>149</v>
      </c>
      <c r="D9" s="13"/>
      <c r="E9" s="21"/>
      <c r="F9" s="25"/>
      <c r="G9" s="14"/>
      <c r="H9" s="33">
        <v>-500</v>
      </c>
      <c r="I9" s="4" t="s">
        <v>150</v>
      </c>
      <c r="J9" s="90"/>
      <c r="K9" s="90"/>
    </row>
    <row r="10" spans="1:12" x14ac:dyDescent="0.2">
      <c r="A10" s="13">
        <v>44609</v>
      </c>
      <c r="B10" s="21">
        <v>23</v>
      </c>
      <c r="C10" s="25" t="s">
        <v>10</v>
      </c>
      <c r="D10" s="13"/>
      <c r="E10" s="21"/>
      <c r="F10" s="25"/>
      <c r="G10" s="14"/>
      <c r="H10" s="33">
        <v>160</v>
      </c>
      <c r="I10" s="4" t="s">
        <v>151</v>
      </c>
      <c r="J10" s="90"/>
      <c r="K10" s="90"/>
    </row>
    <row r="11" spans="1:12" x14ac:dyDescent="0.2">
      <c r="A11" s="13">
        <v>44611</v>
      </c>
      <c r="B11" s="21">
        <f>50</f>
        <v>50</v>
      </c>
      <c r="C11" s="25" t="s">
        <v>30</v>
      </c>
      <c r="D11" s="7"/>
      <c r="E11" s="21"/>
      <c r="F11" s="25"/>
      <c r="G11" s="14"/>
      <c r="H11" s="33">
        <v>200</v>
      </c>
      <c r="I11" s="4" t="s">
        <v>152</v>
      </c>
      <c r="J11" s="90"/>
      <c r="K11" s="90"/>
    </row>
    <row r="12" spans="1:12" x14ac:dyDescent="0.2">
      <c r="A12" s="13">
        <v>44618</v>
      </c>
      <c r="B12" s="21">
        <f>-600+90+55+65</f>
        <v>-390</v>
      </c>
      <c r="C12" s="25" t="s">
        <v>18</v>
      </c>
      <c r="D12" s="7"/>
      <c r="E12" s="21"/>
      <c r="F12" s="25"/>
      <c r="G12" s="14"/>
      <c r="H12" s="33">
        <v>70</v>
      </c>
      <c r="I12" s="4" t="s">
        <v>153</v>
      </c>
      <c r="J12" s="90"/>
      <c r="K12" s="90"/>
    </row>
    <row r="13" spans="1:12" x14ac:dyDescent="0.2">
      <c r="A13" s="13">
        <v>44619</v>
      </c>
      <c r="B13" s="21">
        <v>80</v>
      </c>
      <c r="C13" s="25" t="s">
        <v>85</v>
      </c>
      <c r="D13" s="7"/>
      <c r="E13" s="21"/>
      <c r="F13" s="25"/>
      <c r="G13" s="14"/>
      <c r="H13" s="33">
        <v>-100.42100000000001</v>
      </c>
      <c r="I13" s="4" t="s">
        <v>154</v>
      </c>
      <c r="J13" s="90"/>
      <c r="K13" s="90"/>
    </row>
    <row r="14" spans="1:12" x14ac:dyDescent="0.2">
      <c r="A14" s="13"/>
      <c r="B14" s="21">
        <v>197</v>
      </c>
      <c r="C14" s="25" t="s">
        <v>155</v>
      </c>
      <c r="D14" s="7"/>
      <c r="E14" s="21"/>
      <c r="F14" s="25"/>
      <c r="G14" s="14"/>
      <c r="H14" s="33">
        <v>1046</v>
      </c>
      <c r="I14" s="4" t="s">
        <v>58</v>
      </c>
      <c r="J14" s="8" t="s">
        <v>13</v>
      </c>
      <c r="K14" s="9">
        <v>8598</v>
      </c>
    </row>
    <row r="15" spans="1:12" x14ac:dyDescent="0.2">
      <c r="A15" s="13"/>
      <c r="B15" s="21">
        <v>20</v>
      </c>
      <c r="C15" s="25" t="s">
        <v>156</v>
      </c>
      <c r="D15" s="7"/>
      <c r="E15" s="21"/>
      <c r="F15" s="25"/>
      <c r="G15" s="14"/>
      <c r="H15" s="33">
        <f>-0.749+2000-200</f>
        <v>1799.251</v>
      </c>
      <c r="I15" s="4" t="s">
        <v>22</v>
      </c>
      <c r="J15" s="8" t="s">
        <v>14</v>
      </c>
      <c r="K15" s="9">
        <v>8673</v>
      </c>
    </row>
    <row r="16" spans="1:12" x14ac:dyDescent="0.2">
      <c r="A16" s="13"/>
      <c r="B16" s="21"/>
      <c r="C16" s="25"/>
      <c r="D16" s="7"/>
      <c r="E16" s="21"/>
      <c r="F16" s="25"/>
      <c r="G16" s="14"/>
      <c r="H16" s="33"/>
      <c r="I16" s="4"/>
      <c r="J16" s="8" t="s">
        <v>15</v>
      </c>
      <c r="K16" s="9">
        <f>K15-K14</f>
        <v>75</v>
      </c>
    </row>
    <row r="17" spans="1:11" x14ac:dyDescent="0.2">
      <c r="A17" s="13"/>
      <c r="B17" s="21"/>
      <c r="C17" s="25"/>
      <c r="D17" s="7"/>
      <c r="E17" s="21"/>
      <c r="F17" s="25"/>
      <c r="G17" s="14"/>
      <c r="H17" s="33"/>
      <c r="I17" s="4"/>
      <c r="J17" s="8" t="s">
        <v>0</v>
      </c>
      <c r="K17" s="9">
        <f>K16*3</f>
        <v>225</v>
      </c>
    </row>
    <row r="18" spans="1:11" x14ac:dyDescent="0.2">
      <c r="A18" s="13"/>
      <c r="B18" s="21"/>
      <c r="C18" s="25"/>
      <c r="D18" s="7"/>
      <c r="E18" s="21"/>
      <c r="F18" s="25"/>
      <c r="G18" s="4"/>
      <c r="H18" s="33"/>
      <c r="I18" s="4"/>
      <c r="J18" s="8" t="s">
        <v>16</v>
      </c>
      <c r="K18" s="9">
        <f>1400+150</f>
        <v>1550</v>
      </c>
    </row>
    <row r="19" spans="1:11" ht="16.5" thickBot="1" x14ac:dyDescent="0.25">
      <c r="A19" s="15"/>
      <c r="B19" s="22"/>
      <c r="C19" s="26"/>
      <c r="D19" s="16"/>
      <c r="E19" s="22"/>
      <c r="F19" s="26"/>
      <c r="G19" s="17"/>
      <c r="H19" s="34"/>
      <c r="I19" s="17"/>
      <c r="J19" s="8" t="s">
        <v>17</v>
      </c>
      <c r="K19" s="8">
        <f>K18+K17</f>
        <v>1775</v>
      </c>
    </row>
    <row r="20" spans="1:11" ht="20.100000000000001" customHeight="1" x14ac:dyDescent="0.2">
      <c r="A20" s="59" t="s">
        <v>1</v>
      </c>
      <c r="B20" s="60"/>
      <c r="C20" s="60"/>
      <c r="D20" s="82">
        <f>451+520+3000-500</f>
        <v>3471</v>
      </c>
      <c r="E20" s="82"/>
      <c r="F20" s="83"/>
      <c r="G20" s="18" t="s">
        <v>1</v>
      </c>
      <c r="H20" s="86">
        <v>30500.071</v>
      </c>
      <c r="I20" s="87"/>
      <c r="J20" s="78" t="s">
        <v>23</v>
      </c>
      <c r="K20" s="79"/>
    </row>
    <row r="21" spans="1:11" ht="20.100000000000001" customHeight="1" x14ac:dyDescent="0.2">
      <c r="A21" s="61" t="s">
        <v>18</v>
      </c>
      <c r="B21" s="62"/>
      <c r="C21" s="62"/>
      <c r="D21" s="84">
        <f>SUM(B5:B19)+SUM(E5:E19)</f>
        <v>3048</v>
      </c>
      <c r="E21" s="84"/>
      <c r="F21" s="85"/>
      <c r="G21" s="19" t="s">
        <v>22</v>
      </c>
      <c r="H21" s="69">
        <f>SUM(H5:H19)</f>
        <v>-1192.6699999999998</v>
      </c>
      <c r="I21" s="70"/>
      <c r="J21" s="80">
        <f>D22+H22</f>
        <v>32115.740999999998</v>
      </c>
      <c r="K21" s="81"/>
    </row>
    <row r="22" spans="1:11" ht="36.75" customHeight="1" thickBot="1" x14ac:dyDescent="0.25">
      <c r="A22" s="63" t="s">
        <v>7</v>
      </c>
      <c r="B22" s="64"/>
      <c r="C22" s="64"/>
      <c r="D22" s="65">
        <f>D20-D21</f>
        <v>423</v>
      </c>
      <c r="E22" s="65"/>
      <c r="F22" s="66"/>
      <c r="G22" s="20" t="s">
        <v>7</v>
      </c>
      <c r="H22" s="76">
        <f>H20-H21</f>
        <v>31692.740999999998</v>
      </c>
      <c r="I22" s="77"/>
      <c r="J22" s="80"/>
      <c r="K22" s="81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1635-5611-4C13-A653-25AD6B20D327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1.75" style="37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134</v>
      </c>
      <c r="B1" s="75"/>
      <c r="C1" s="75"/>
      <c r="D1" s="75"/>
      <c r="E1" s="75"/>
      <c r="F1" s="75"/>
      <c r="G1" s="75"/>
      <c r="H1" s="75"/>
      <c r="I1" s="75"/>
      <c r="J1" s="91" t="s">
        <v>24</v>
      </c>
      <c r="K1" s="92">
        <f>SUM(H6:H16)-H7-H10+1799</f>
        <v>3942.0679999999993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91"/>
      <c r="K2" s="9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6" t="s">
        <v>3</v>
      </c>
      <c r="I4" s="3" t="s">
        <v>4</v>
      </c>
      <c r="J4" s="9" t="s">
        <v>26</v>
      </c>
      <c r="K4" s="12">
        <f>K1/K3</f>
        <v>131.40226666666663</v>
      </c>
      <c r="L4" s="10"/>
    </row>
    <row r="5" spans="1:12" x14ac:dyDescent="0.2">
      <c r="A5" s="13">
        <v>44564</v>
      </c>
      <c r="B5" s="21">
        <v>1725</v>
      </c>
      <c r="C5" s="25" t="s">
        <v>48</v>
      </c>
      <c r="D5" s="13">
        <v>44648</v>
      </c>
      <c r="E5" s="21">
        <v>60</v>
      </c>
      <c r="F5" s="25" t="s">
        <v>36</v>
      </c>
      <c r="G5" s="14">
        <v>44630</v>
      </c>
      <c r="H5" s="33">
        <v>-10674</v>
      </c>
      <c r="I5" s="4"/>
      <c r="J5" s="89">
        <f>-SUM(H5:H19)</f>
        <v>-1469.068</v>
      </c>
      <c r="K5" s="90"/>
    </row>
    <row r="6" spans="1:12" x14ac:dyDescent="0.2">
      <c r="A6" s="13"/>
      <c r="B6" s="21">
        <v>30</v>
      </c>
      <c r="C6" s="25" t="s">
        <v>35</v>
      </c>
      <c r="D6" s="13"/>
      <c r="E6" s="21">
        <v>13</v>
      </c>
      <c r="F6" s="25" t="s">
        <v>164</v>
      </c>
      <c r="G6" s="14"/>
      <c r="H6" s="33">
        <f>-500+166+100.741</f>
        <v>-233.25900000000001</v>
      </c>
      <c r="I6" s="4"/>
      <c r="J6" s="90"/>
      <c r="K6" s="90"/>
    </row>
    <row r="7" spans="1:12" x14ac:dyDescent="0.2">
      <c r="A7" s="13">
        <v>44627</v>
      </c>
      <c r="B7" s="21">
        <v>50</v>
      </c>
      <c r="C7" s="25" t="s">
        <v>35</v>
      </c>
      <c r="D7" s="13"/>
      <c r="E7" s="21">
        <v>15</v>
      </c>
      <c r="F7" s="25" t="s">
        <v>167</v>
      </c>
      <c r="G7" s="14">
        <v>44631</v>
      </c>
      <c r="H7" s="33">
        <v>5000</v>
      </c>
      <c r="I7" s="4" t="s">
        <v>158</v>
      </c>
      <c r="J7" s="90"/>
      <c r="K7" s="90"/>
    </row>
    <row r="8" spans="1:12" x14ac:dyDescent="0.2">
      <c r="A8" s="13"/>
      <c r="B8" s="21">
        <v>200</v>
      </c>
      <c r="C8" s="25" t="s">
        <v>9</v>
      </c>
      <c r="D8" s="13"/>
      <c r="E8" s="21"/>
      <c r="F8" s="25"/>
      <c r="G8" s="14"/>
      <c r="H8" s="33">
        <v>1000</v>
      </c>
      <c r="I8" s="4" t="s">
        <v>159</v>
      </c>
      <c r="J8" s="90"/>
      <c r="K8" s="90"/>
    </row>
    <row r="9" spans="1:12" x14ac:dyDescent="0.2">
      <c r="A9" s="13"/>
      <c r="B9" s="21">
        <v>15</v>
      </c>
      <c r="C9" s="25" t="s">
        <v>157</v>
      </c>
      <c r="D9" s="13"/>
      <c r="E9" s="21"/>
      <c r="F9" s="25"/>
      <c r="G9" s="14"/>
      <c r="H9" s="33">
        <v>100</v>
      </c>
      <c r="I9" s="4" t="s">
        <v>41</v>
      </c>
      <c r="J9" s="90"/>
      <c r="K9" s="90"/>
      <c r="L9" s="32"/>
    </row>
    <row r="10" spans="1:12" x14ac:dyDescent="0.2">
      <c r="A10" s="13"/>
      <c r="B10" s="21">
        <v>36</v>
      </c>
      <c r="C10" s="25" t="s">
        <v>86</v>
      </c>
      <c r="D10" s="13"/>
      <c r="E10" s="21"/>
      <c r="F10" s="25"/>
      <c r="G10" s="14">
        <v>44641</v>
      </c>
      <c r="H10" s="33">
        <v>5000</v>
      </c>
      <c r="I10" s="4" t="s">
        <v>112</v>
      </c>
      <c r="J10" s="90"/>
      <c r="K10" s="90"/>
    </row>
    <row r="11" spans="1:12" x14ac:dyDescent="0.2">
      <c r="A11" s="13">
        <v>44629</v>
      </c>
      <c r="B11" s="21">
        <f>47+90+30+35</f>
        <v>202</v>
      </c>
      <c r="C11" s="25" t="s">
        <v>18</v>
      </c>
      <c r="D11" s="7"/>
      <c r="E11" s="21"/>
      <c r="F11" s="25"/>
      <c r="G11" s="14"/>
      <c r="H11" s="33">
        <v>500</v>
      </c>
      <c r="I11" s="4" t="s">
        <v>41</v>
      </c>
      <c r="J11" s="90"/>
      <c r="K11" s="90"/>
    </row>
    <row r="12" spans="1:12" x14ac:dyDescent="0.2">
      <c r="A12" s="13">
        <v>44634</v>
      </c>
      <c r="B12" s="21">
        <f>80+60+14+58</f>
        <v>212</v>
      </c>
      <c r="C12" s="25" t="s">
        <v>10</v>
      </c>
      <c r="D12" s="7"/>
      <c r="E12" s="21"/>
      <c r="F12" s="25"/>
      <c r="G12" s="14"/>
      <c r="H12" s="33">
        <f>358.6-0.773</f>
        <v>357.827</v>
      </c>
      <c r="I12" s="4" t="s">
        <v>58</v>
      </c>
      <c r="J12" s="90"/>
      <c r="K12" s="90"/>
    </row>
    <row r="13" spans="1:12" x14ac:dyDescent="0.2">
      <c r="A13" s="13">
        <v>44635</v>
      </c>
      <c r="B13" s="21">
        <f>186+15</f>
        <v>201</v>
      </c>
      <c r="C13" s="25" t="s">
        <v>38</v>
      </c>
      <c r="D13" s="7"/>
      <c r="E13" s="21"/>
      <c r="F13" s="25"/>
      <c r="G13" s="14"/>
      <c r="H13" s="33">
        <v>358.5</v>
      </c>
      <c r="I13" s="4" t="s">
        <v>58</v>
      </c>
      <c r="J13" s="90"/>
      <c r="K13" s="90"/>
    </row>
    <row r="14" spans="1:12" x14ac:dyDescent="0.2">
      <c r="A14" s="13">
        <v>44641</v>
      </c>
      <c r="B14" s="21">
        <v>40</v>
      </c>
      <c r="C14" s="25" t="s">
        <v>160</v>
      </c>
      <c r="D14" s="7"/>
      <c r="E14" s="21"/>
      <c r="F14" s="25"/>
      <c r="G14" s="14"/>
      <c r="H14" s="33">
        <v>60</v>
      </c>
      <c r="I14" s="4" t="s">
        <v>165</v>
      </c>
      <c r="J14" s="8" t="s">
        <v>13</v>
      </c>
      <c r="K14" s="9">
        <v>8673</v>
      </c>
    </row>
    <row r="15" spans="1:12" x14ac:dyDescent="0.2">
      <c r="A15" s="13"/>
      <c r="B15" s="21">
        <v>35</v>
      </c>
      <c r="C15" s="25" t="s">
        <v>10</v>
      </c>
      <c r="D15" s="7"/>
      <c r="E15" s="21"/>
      <c r="F15" s="25"/>
      <c r="G15" s="14"/>
      <c r="H15" s="33"/>
      <c r="I15" s="4"/>
      <c r="J15" s="8" t="s">
        <v>14</v>
      </c>
      <c r="K15" s="9">
        <v>8715</v>
      </c>
    </row>
    <row r="16" spans="1:12" x14ac:dyDescent="0.2">
      <c r="A16" s="13">
        <v>44642</v>
      </c>
      <c r="B16" s="21">
        <v>85</v>
      </c>
      <c r="C16" s="25" t="s">
        <v>10</v>
      </c>
      <c r="D16" s="7"/>
      <c r="E16" s="21"/>
      <c r="F16" s="25"/>
      <c r="G16" s="14"/>
      <c r="H16" s="33"/>
      <c r="I16" s="4"/>
      <c r="J16" s="8" t="s">
        <v>15</v>
      </c>
      <c r="K16" s="9">
        <f>K15-K14</f>
        <v>42</v>
      </c>
    </row>
    <row r="17" spans="1:11" x14ac:dyDescent="0.2">
      <c r="A17" s="13"/>
      <c r="B17" s="21">
        <v>222</v>
      </c>
      <c r="C17" s="25" t="s">
        <v>161</v>
      </c>
      <c r="D17" s="7"/>
      <c r="E17" s="21"/>
      <c r="F17" s="25"/>
      <c r="G17" s="14"/>
      <c r="H17" s="33"/>
      <c r="I17" s="4"/>
      <c r="J17" s="8" t="s">
        <v>0</v>
      </c>
      <c r="K17" s="9">
        <f>K16*3</f>
        <v>126</v>
      </c>
    </row>
    <row r="18" spans="1:11" x14ac:dyDescent="0.2">
      <c r="A18" s="13">
        <v>44644</v>
      </c>
      <c r="B18" s="21">
        <v>100</v>
      </c>
      <c r="C18" s="25" t="s">
        <v>162</v>
      </c>
      <c r="D18" s="7"/>
      <c r="E18" s="21"/>
      <c r="F18" s="25"/>
      <c r="G18" s="4"/>
      <c r="H18" s="33"/>
      <c r="I18" s="4"/>
      <c r="J18" s="8" t="s">
        <v>16</v>
      </c>
      <c r="K18" s="9">
        <f>1400+200</f>
        <v>1600</v>
      </c>
    </row>
    <row r="19" spans="1:11" ht="16.5" thickBot="1" x14ac:dyDescent="0.25">
      <c r="A19" s="15">
        <v>44648</v>
      </c>
      <c r="B19" s="22">
        <v>50</v>
      </c>
      <c r="C19" s="26" t="s">
        <v>163</v>
      </c>
      <c r="D19" s="16"/>
      <c r="E19" s="22"/>
      <c r="F19" s="26"/>
      <c r="G19" s="17"/>
      <c r="H19" s="34"/>
      <c r="I19" s="17"/>
      <c r="J19" s="8" t="s">
        <v>17</v>
      </c>
      <c r="K19" s="8">
        <f>K18+K17</f>
        <v>1726</v>
      </c>
    </row>
    <row r="20" spans="1:11" ht="20.100000000000001" customHeight="1" x14ac:dyDescent="0.2">
      <c r="A20" s="59" t="s">
        <v>1</v>
      </c>
      <c r="B20" s="60"/>
      <c r="C20" s="60"/>
      <c r="D20" s="82">
        <f>423+2000+500-220+100+500</f>
        <v>3303</v>
      </c>
      <c r="E20" s="82"/>
      <c r="F20" s="83"/>
      <c r="G20" s="18" t="s">
        <v>1</v>
      </c>
      <c r="H20" s="86">
        <v>31692.741000000002</v>
      </c>
      <c r="I20" s="87"/>
      <c r="J20" s="78" t="s">
        <v>23</v>
      </c>
      <c r="K20" s="79"/>
    </row>
    <row r="21" spans="1:11" ht="20.100000000000001" customHeight="1" x14ac:dyDescent="0.2">
      <c r="A21" s="61" t="s">
        <v>18</v>
      </c>
      <c r="B21" s="62"/>
      <c r="C21" s="62"/>
      <c r="D21" s="84">
        <f>SUM(B5:B19)+SUM(E5:E19)</f>
        <v>3291</v>
      </c>
      <c r="E21" s="84"/>
      <c r="F21" s="85"/>
      <c r="G21" s="19" t="s">
        <v>22</v>
      </c>
      <c r="H21" s="69">
        <f>SUM(H5:H19)</f>
        <v>1469.068</v>
      </c>
      <c r="I21" s="70"/>
      <c r="J21" s="80">
        <f>D22+H22</f>
        <v>30235.673000000003</v>
      </c>
      <c r="K21" s="81"/>
    </row>
    <row r="22" spans="1:11" ht="36.75" customHeight="1" thickBot="1" x14ac:dyDescent="0.25">
      <c r="A22" s="63" t="s">
        <v>7</v>
      </c>
      <c r="B22" s="64"/>
      <c r="C22" s="64"/>
      <c r="D22" s="65">
        <f>D20-D21</f>
        <v>12</v>
      </c>
      <c r="E22" s="65"/>
      <c r="F22" s="66"/>
      <c r="G22" s="20" t="s">
        <v>7</v>
      </c>
      <c r="H22" s="76">
        <f>H20-H21</f>
        <v>30223.673000000003</v>
      </c>
      <c r="I22" s="77"/>
      <c r="J22" s="80"/>
      <c r="K22" s="81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3A9-EF34-43D7-8C84-A1B27CB08AA4}">
  <dimension ref="A1:L22"/>
  <sheetViews>
    <sheetView workbookViewId="0">
      <selection activeCell="H10" sqref="H10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134</v>
      </c>
      <c r="B1" s="75"/>
      <c r="C1" s="75"/>
      <c r="D1" s="75"/>
      <c r="E1" s="75"/>
      <c r="F1" s="75"/>
      <c r="G1" s="75"/>
      <c r="H1" s="75"/>
      <c r="I1" s="75"/>
      <c r="J1" s="91" t="s">
        <v>24</v>
      </c>
      <c r="K1" s="93">
        <f>SUM(H6:H19)</f>
        <v>4160.6729999999998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91"/>
      <c r="K2" s="93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138.6891</v>
      </c>
      <c r="L4" s="10"/>
    </row>
    <row r="5" spans="1:12" x14ac:dyDescent="0.2">
      <c r="A5" s="13">
        <v>44655</v>
      </c>
      <c r="B5" s="21">
        <v>1858</v>
      </c>
      <c r="C5" s="25" t="s">
        <v>48</v>
      </c>
      <c r="D5" s="13">
        <v>44680</v>
      </c>
      <c r="E5" s="21">
        <v>59</v>
      </c>
      <c r="F5" s="25" t="s">
        <v>86</v>
      </c>
      <c r="G5" s="14">
        <v>44661</v>
      </c>
      <c r="H5" s="23">
        <f>-10674-10000-300</f>
        <v>-20974</v>
      </c>
      <c r="I5" s="4" t="s">
        <v>82</v>
      </c>
      <c r="J5" s="89">
        <f>-SUM(H5:H19)</f>
        <v>16813.327000000001</v>
      </c>
      <c r="K5" s="90"/>
    </row>
    <row r="6" spans="1:12" x14ac:dyDescent="0.2">
      <c r="A6" s="13"/>
      <c r="B6" s="21">
        <f>80+40+11+60+50</f>
        <v>241</v>
      </c>
      <c r="C6" s="25" t="s">
        <v>10</v>
      </c>
      <c r="D6" s="13">
        <v>44681</v>
      </c>
      <c r="E6" s="21">
        <v>80</v>
      </c>
      <c r="F6" s="25" t="s">
        <v>32</v>
      </c>
      <c r="G6" s="14">
        <v>44656</v>
      </c>
      <c r="H6" s="23">
        <v>3000</v>
      </c>
      <c r="I6" s="4" t="s">
        <v>166</v>
      </c>
      <c r="J6" s="90"/>
      <c r="K6" s="90"/>
    </row>
    <row r="7" spans="1:12" x14ac:dyDescent="0.2">
      <c r="A7" s="13"/>
      <c r="B7" s="21">
        <v>116</v>
      </c>
      <c r="C7" s="25" t="s">
        <v>168</v>
      </c>
      <c r="D7" s="13"/>
      <c r="E7" s="21">
        <v>36</v>
      </c>
      <c r="F7" s="25" t="s">
        <v>10</v>
      </c>
      <c r="G7" s="14">
        <v>44673</v>
      </c>
      <c r="H7" s="23">
        <v>330.673</v>
      </c>
      <c r="I7" s="4"/>
      <c r="J7" s="90"/>
      <c r="K7" s="90"/>
    </row>
    <row r="8" spans="1:12" x14ac:dyDescent="0.2">
      <c r="A8" s="13">
        <v>44658</v>
      </c>
      <c r="B8" s="21">
        <v>100</v>
      </c>
      <c r="C8" s="25" t="s">
        <v>85</v>
      </c>
      <c r="D8" s="13"/>
      <c r="E8" s="21"/>
      <c r="F8" s="25"/>
      <c r="G8" s="14">
        <v>44679</v>
      </c>
      <c r="H8" s="23">
        <v>200</v>
      </c>
      <c r="I8" s="4" t="s">
        <v>173</v>
      </c>
      <c r="J8" s="90"/>
      <c r="K8" s="90"/>
    </row>
    <row r="9" spans="1:12" x14ac:dyDescent="0.2">
      <c r="A9" s="13"/>
      <c r="B9" s="21">
        <v>10</v>
      </c>
      <c r="C9" s="25" t="s">
        <v>10</v>
      </c>
      <c r="D9" s="13"/>
      <c r="E9" s="21"/>
      <c r="F9" s="25"/>
      <c r="G9" s="14">
        <v>44680</v>
      </c>
      <c r="H9" s="23">
        <v>130</v>
      </c>
      <c r="I9" s="4" t="s">
        <v>10</v>
      </c>
      <c r="J9" s="90"/>
      <c r="K9" s="90"/>
    </row>
    <row r="10" spans="1:12" x14ac:dyDescent="0.2">
      <c r="A10" s="13">
        <v>44659</v>
      </c>
      <c r="B10" s="21">
        <v>9</v>
      </c>
      <c r="C10" s="25" t="s">
        <v>10</v>
      </c>
      <c r="D10" s="13"/>
      <c r="E10" s="21"/>
      <c r="F10" s="25"/>
      <c r="G10" s="14"/>
      <c r="H10" s="23">
        <v>500</v>
      </c>
      <c r="I10" s="4" t="s">
        <v>173</v>
      </c>
      <c r="J10" s="90"/>
      <c r="K10" s="90"/>
    </row>
    <row r="11" spans="1:12" x14ac:dyDescent="0.2">
      <c r="A11" s="13">
        <v>44663</v>
      </c>
      <c r="B11" s="21">
        <f>100+11+25+25</f>
        <v>161</v>
      </c>
      <c r="C11" s="25" t="s">
        <v>10</v>
      </c>
      <c r="D11" s="7"/>
      <c r="E11" s="21"/>
      <c r="F11" s="25"/>
      <c r="G11" s="14"/>
      <c r="H11" s="23"/>
      <c r="I11" s="4"/>
      <c r="J11" s="90"/>
      <c r="K11" s="90"/>
    </row>
    <row r="12" spans="1:12" x14ac:dyDescent="0.2">
      <c r="A12" s="13"/>
      <c r="B12" s="21">
        <v>100</v>
      </c>
      <c r="C12" s="25" t="s">
        <v>85</v>
      </c>
      <c r="D12" s="7"/>
      <c r="E12" s="21"/>
      <c r="F12" s="25"/>
      <c r="G12" s="14"/>
      <c r="H12" s="23"/>
      <c r="I12" s="4"/>
      <c r="J12" s="90"/>
      <c r="K12" s="90"/>
    </row>
    <row r="13" spans="1:12" x14ac:dyDescent="0.2">
      <c r="A13" s="13">
        <v>44665</v>
      </c>
      <c r="B13" s="21">
        <v>86</v>
      </c>
      <c r="C13" s="25" t="s">
        <v>169</v>
      </c>
      <c r="D13" s="7"/>
      <c r="E13" s="21"/>
      <c r="F13" s="25"/>
      <c r="G13" s="14"/>
      <c r="H13" s="23"/>
      <c r="I13" s="4"/>
      <c r="J13" s="90"/>
      <c r="K13" s="90"/>
    </row>
    <row r="14" spans="1:12" x14ac:dyDescent="0.2">
      <c r="A14" s="13">
        <v>44669</v>
      </c>
      <c r="B14" s="21">
        <v>19</v>
      </c>
      <c r="C14" s="25" t="s">
        <v>169</v>
      </c>
      <c r="D14" s="7"/>
      <c r="E14" s="21"/>
      <c r="F14" s="25"/>
      <c r="G14" s="14"/>
      <c r="H14" s="23"/>
      <c r="I14" s="4"/>
      <c r="J14" s="8" t="s">
        <v>13</v>
      </c>
      <c r="K14" s="9">
        <v>0</v>
      </c>
    </row>
    <row r="15" spans="1:12" x14ac:dyDescent="0.2">
      <c r="A15" s="13">
        <v>44670</v>
      </c>
      <c r="B15" s="21">
        <v>13</v>
      </c>
      <c r="C15" s="25" t="s">
        <v>38</v>
      </c>
      <c r="D15" s="7"/>
      <c r="E15" s="21"/>
      <c r="F15" s="25"/>
      <c r="G15" s="14"/>
      <c r="H15" s="23"/>
      <c r="I15" s="4"/>
      <c r="J15" s="8" t="s">
        <v>14</v>
      </c>
      <c r="K15" s="9">
        <v>86</v>
      </c>
    </row>
    <row r="16" spans="1:12" x14ac:dyDescent="0.2">
      <c r="A16" s="13">
        <v>44673</v>
      </c>
      <c r="B16" s="21">
        <v>15</v>
      </c>
      <c r="C16" s="25" t="s">
        <v>10</v>
      </c>
      <c r="D16" s="7"/>
      <c r="E16" s="21"/>
      <c r="F16" s="25"/>
      <c r="G16" s="14"/>
      <c r="H16" s="23"/>
      <c r="I16" s="4"/>
      <c r="J16" s="8" t="s">
        <v>15</v>
      </c>
      <c r="K16" s="9">
        <f>K15-K14</f>
        <v>86</v>
      </c>
    </row>
    <row r="17" spans="1:11" x14ac:dyDescent="0.2">
      <c r="A17" s="13">
        <v>44676</v>
      </c>
      <c r="B17" s="21">
        <f>4+100+50+20+10</f>
        <v>184</v>
      </c>
      <c r="C17" s="25" t="s">
        <v>170</v>
      </c>
      <c r="D17" s="7" t="s">
        <v>171</v>
      </c>
      <c r="E17" s="21"/>
      <c r="F17" s="25"/>
      <c r="G17" s="14"/>
      <c r="H17" s="23"/>
      <c r="I17" s="4"/>
      <c r="J17" s="8" t="s">
        <v>0</v>
      </c>
      <c r="K17" s="9">
        <f>K16*3</f>
        <v>258</v>
      </c>
    </row>
    <row r="18" spans="1:11" x14ac:dyDescent="0.2">
      <c r="A18" s="13">
        <v>44677</v>
      </c>
      <c r="B18" s="21">
        <v>100</v>
      </c>
      <c r="C18" s="25" t="s">
        <v>85</v>
      </c>
      <c r="D18" s="7"/>
      <c r="E18" s="21"/>
      <c r="F18" s="25"/>
      <c r="G18" s="4"/>
      <c r="H18" s="23"/>
      <c r="I18" s="4"/>
      <c r="J18" s="8" t="s">
        <v>16</v>
      </c>
      <c r="K18" s="9">
        <f>1400+200</f>
        <v>1600</v>
      </c>
    </row>
    <row r="19" spans="1:11" ht="16.5" thickBot="1" x14ac:dyDescent="0.25">
      <c r="A19" s="15">
        <v>44679</v>
      </c>
      <c r="B19" s="22">
        <v>25</v>
      </c>
      <c r="C19" s="26" t="s">
        <v>10</v>
      </c>
      <c r="D19" s="16"/>
      <c r="E19" s="22"/>
      <c r="F19" s="26"/>
      <c r="G19" s="17"/>
      <c r="H19" s="24"/>
      <c r="I19" s="17"/>
      <c r="J19" s="8" t="s">
        <v>17</v>
      </c>
      <c r="K19" s="8">
        <f>K18+K17</f>
        <v>1858</v>
      </c>
    </row>
    <row r="20" spans="1:11" ht="20.100000000000001" customHeight="1" x14ac:dyDescent="0.2">
      <c r="A20" s="59" t="s">
        <v>1</v>
      </c>
      <c r="B20" s="60"/>
      <c r="C20" s="60"/>
      <c r="D20" s="82">
        <v>3212</v>
      </c>
      <c r="E20" s="82"/>
      <c r="F20" s="83"/>
      <c r="G20" s="18" t="s">
        <v>1</v>
      </c>
      <c r="H20" s="86">
        <v>30223.672999999999</v>
      </c>
      <c r="I20" s="87"/>
      <c r="J20" s="78" t="s">
        <v>23</v>
      </c>
      <c r="K20" s="79"/>
    </row>
    <row r="21" spans="1:11" ht="20.100000000000001" customHeight="1" x14ac:dyDescent="0.2">
      <c r="A21" s="61" t="s">
        <v>18</v>
      </c>
      <c r="B21" s="62"/>
      <c r="C21" s="62"/>
      <c r="D21" s="84">
        <f>SUM(B5:B19)+SUM(E5:E19)</f>
        <v>3212</v>
      </c>
      <c r="E21" s="84"/>
      <c r="F21" s="85"/>
      <c r="G21" s="19" t="s">
        <v>22</v>
      </c>
      <c r="H21" s="69">
        <f>SUM(H5:H19)</f>
        <v>-16813.327000000001</v>
      </c>
      <c r="I21" s="70"/>
      <c r="J21" s="80">
        <f>D22+H22</f>
        <v>47037</v>
      </c>
      <c r="K21" s="81"/>
    </row>
    <row r="22" spans="1:11" ht="36.75" customHeight="1" thickBot="1" x14ac:dyDescent="0.25">
      <c r="A22" s="63" t="s">
        <v>7</v>
      </c>
      <c r="B22" s="64"/>
      <c r="C22" s="64"/>
      <c r="D22" s="65">
        <f>D20-D21</f>
        <v>0</v>
      </c>
      <c r="E22" s="65"/>
      <c r="F22" s="66"/>
      <c r="G22" s="20" t="s">
        <v>7</v>
      </c>
      <c r="H22" s="76">
        <f>H20-H21</f>
        <v>47037</v>
      </c>
      <c r="I22" s="77"/>
      <c r="J22" s="80"/>
      <c r="K22" s="81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9F8-E9C2-4536-869B-5FD94CB95DB3}">
  <dimension ref="A1:L22"/>
  <sheetViews>
    <sheetView workbookViewId="0">
      <selection activeCell="K16" sqref="K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134</v>
      </c>
      <c r="B1" s="75"/>
      <c r="C1" s="75"/>
      <c r="D1" s="75"/>
      <c r="E1" s="75"/>
      <c r="F1" s="75"/>
      <c r="G1" s="75"/>
      <c r="H1" s="75"/>
      <c r="I1" s="75"/>
      <c r="J1" s="91" t="s">
        <v>24</v>
      </c>
      <c r="K1" s="92">
        <f>SUM(H6:H19)-H10</f>
        <v>3288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91"/>
      <c r="K2" s="9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109.6</v>
      </c>
      <c r="L4" s="10"/>
    </row>
    <row r="5" spans="1:12" x14ac:dyDescent="0.2">
      <c r="A5" s="13">
        <v>44682</v>
      </c>
      <c r="B5" s="21">
        <v>1840</v>
      </c>
      <c r="C5" s="25" t="s">
        <v>48</v>
      </c>
      <c r="D5" s="13"/>
      <c r="E5" s="21"/>
      <c r="F5" s="25"/>
      <c r="G5" s="14">
        <v>44682</v>
      </c>
      <c r="H5" s="33">
        <v>-10567.62</v>
      </c>
      <c r="I5" s="4" t="s">
        <v>181</v>
      </c>
      <c r="J5" s="89">
        <f>-SUM(H5:H19)</f>
        <v>6279.6200000000008</v>
      </c>
      <c r="K5" s="90"/>
    </row>
    <row r="6" spans="1:12" x14ac:dyDescent="0.2">
      <c r="A6" s="13"/>
      <c r="B6" s="21">
        <v>100</v>
      </c>
      <c r="C6" s="25" t="s">
        <v>32</v>
      </c>
      <c r="D6" s="13"/>
      <c r="E6" s="21"/>
      <c r="F6" s="25"/>
      <c r="G6" s="14"/>
      <c r="H6" s="33">
        <v>3000</v>
      </c>
      <c r="I6" s="4" t="s">
        <v>172</v>
      </c>
      <c r="J6" s="90"/>
      <c r="K6" s="90"/>
    </row>
    <row r="7" spans="1:12" x14ac:dyDescent="0.2">
      <c r="A7" s="13">
        <v>44687</v>
      </c>
      <c r="B7" s="21">
        <v>209</v>
      </c>
      <c r="C7" s="25"/>
      <c r="D7" s="13"/>
      <c r="E7" s="21"/>
      <c r="F7" s="25"/>
      <c r="G7" s="14"/>
      <c r="H7" s="33">
        <v>50</v>
      </c>
      <c r="I7" s="4" t="s">
        <v>180</v>
      </c>
      <c r="J7" s="90"/>
      <c r="K7" s="90"/>
    </row>
    <row r="8" spans="1:12" x14ac:dyDescent="0.2">
      <c r="A8" s="13">
        <v>44690</v>
      </c>
      <c r="B8" s="21">
        <v>91</v>
      </c>
      <c r="C8" s="25" t="s">
        <v>10</v>
      </c>
      <c r="D8" s="13"/>
      <c r="E8" s="21"/>
      <c r="F8" s="25"/>
      <c r="G8" s="14">
        <v>44704</v>
      </c>
      <c r="H8" s="33">
        <v>38</v>
      </c>
      <c r="I8" s="4" t="s">
        <v>10</v>
      </c>
      <c r="J8" s="90"/>
      <c r="K8" s="90"/>
    </row>
    <row r="9" spans="1:12" x14ac:dyDescent="0.2">
      <c r="A9" s="13">
        <v>44691</v>
      </c>
      <c r="B9" s="21">
        <v>57</v>
      </c>
      <c r="C9" s="25" t="s">
        <v>36</v>
      </c>
      <c r="D9" s="13"/>
      <c r="E9" s="21"/>
      <c r="F9" s="25"/>
      <c r="G9" s="14">
        <v>44705</v>
      </c>
      <c r="H9" s="33">
        <v>200</v>
      </c>
      <c r="I9" s="4" t="s">
        <v>41</v>
      </c>
      <c r="J9" s="90"/>
      <c r="K9" s="90"/>
    </row>
    <row r="10" spans="1:12" x14ac:dyDescent="0.2">
      <c r="A10" s="13"/>
      <c r="B10" s="21">
        <v>100</v>
      </c>
      <c r="C10" s="25" t="s">
        <v>85</v>
      </c>
      <c r="D10" s="13"/>
      <c r="E10" s="21"/>
      <c r="F10" s="25"/>
      <c r="G10" s="14">
        <v>44711</v>
      </c>
      <c r="H10" s="33">
        <v>1000</v>
      </c>
      <c r="I10" s="4" t="s">
        <v>184</v>
      </c>
      <c r="J10" s="90"/>
      <c r="K10" s="90"/>
    </row>
    <row r="11" spans="1:12" x14ac:dyDescent="0.2">
      <c r="A11" s="13">
        <v>44694</v>
      </c>
      <c r="B11" s="21">
        <v>26</v>
      </c>
      <c r="C11" s="25" t="s">
        <v>10</v>
      </c>
      <c r="D11" s="7"/>
      <c r="E11" s="21"/>
      <c r="F11" s="25"/>
      <c r="G11" s="14"/>
      <c r="H11" s="33"/>
      <c r="I11" s="4"/>
      <c r="J11" s="90"/>
      <c r="K11" s="90"/>
    </row>
    <row r="12" spans="1:12" x14ac:dyDescent="0.2">
      <c r="A12" s="13">
        <v>44697</v>
      </c>
      <c r="B12" s="21">
        <f>125+57+150+9+25</f>
        <v>366</v>
      </c>
      <c r="C12" s="25" t="s">
        <v>169</v>
      </c>
      <c r="D12" s="7"/>
      <c r="E12" s="21"/>
      <c r="F12" s="25"/>
      <c r="G12" s="14"/>
      <c r="H12" s="33"/>
      <c r="I12" s="4"/>
      <c r="J12" s="90"/>
      <c r="K12" s="90"/>
    </row>
    <row r="13" spans="1:12" x14ac:dyDescent="0.2">
      <c r="A13" s="13">
        <v>44704</v>
      </c>
      <c r="B13" s="21">
        <v>61</v>
      </c>
      <c r="C13" s="25" t="s">
        <v>38</v>
      </c>
      <c r="D13" s="7"/>
      <c r="E13" s="21"/>
      <c r="F13" s="25"/>
      <c r="G13" s="14"/>
      <c r="H13" s="33"/>
      <c r="I13" s="4"/>
      <c r="J13" s="90"/>
      <c r="K13" s="90"/>
    </row>
    <row r="14" spans="1:12" x14ac:dyDescent="0.2">
      <c r="A14" s="13"/>
      <c r="B14" s="21">
        <v>100</v>
      </c>
      <c r="C14" s="25" t="s">
        <v>85</v>
      </c>
      <c r="D14" s="7"/>
      <c r="E14" s="21"/>
      <c r="F14" s="25"/>
      <c r="G14" s="14"/>
      <c r="H14" s="33"/>
      <c r="I14" s="4"/>
      <c r="J14" s="8" t="s">
        <v>13</v>
      </c>
      <c r="K14" s="9">
        <v>86</v>
      </c>
    </row>
    <row r="15" spans="1:12" x14ac:dyDescent="0.2">
      <c r="A15" s="13">
        <v>44706</v>
      </c>
      <c r="B15" s="21">
        <v>50</v>
      </c>
      <c r="C15" s="25" t="s">
        <v>182</v>
      </c>
      <c r="D15" s="7"/>
      <c r="E15" s="21"/>
      <c r="F15" s="25"/>
      <c r="G15" s="14"/>
      <c r="H15" s="33"/>
      <c r="I15" s="4"/>
      <c r="J15" s="8" t="s">
        <v>14</v>
      </c>
      <c r="K15" s="9">
        <v>168</v>
      </c>
    </row>
    <row r="16" spans="1:12" x14ac:dyDescent="0.2">
      <c r="A16" s="13">
        <v>44708</v>
      </c>
      <c r="B16" s="21">
        <v>40</v>
      </c>
      <c r="C16" s="25" t="s">
        <v>10</v>
      </c>
      <c r="D16" s="7"/>
      <c r="E16" s="21"/>
      <c r="F16" s="25"/>
      <c r="G16" s="14"/>
      <c r="H16" s="33"/>
      <c r="I16" s="4"/>
      <c r="J16" s="8" t="s">
        <v>15</v>
      </c>
      <c r="K16" s="9">
        <f>K15-K14</f>
        <v>82</v>
      </c>
    </row>
    <row r="17" spans="1:11" x14ac:dyDescent="0.2">
      <c r="A17" s="13">
        <v>44711</v>
      </c>
      <c r="B17" s="21">
        <v>150</v>
      </c>
      <c r="C17" s="25" t="s">
        <v>183</v>
      </c>
      <c r="D17" s="7"/>
      <c r="E17" s="21"/>
      <c r="F17" s="25"/>
      <c r="G17" s="14"/>
      <c r="H17" s="33"/>
      <c r="I17" s="4"/>
      <c r="J17" s="8" t="s">
        <v>0</v>
      </c>
      <c r="K17" s="9">
        <f>K16*3</f>
        <v>246</v>
      </c>
    </row>
    <row r="18" spans="1:11" x14ac:dyDescent="0.2">
      <c r="A18" s="13"/>
      <c r="B18" s="21">
        <v>10</v>
      </c>
      <c r="C18" s="25" t="s">
        <v>185</v>
      </c>
      <c r="D18" s="7"/>
      <c r="E18" s="21"/>
      <c r="F18" s="25"/>
      <c r="G18" s="4"/>
      <c r="H18" s="33"/>
      <c r="I18" s="4"/>
      <c r="J18" s="8" t="s">
        <v>16</v>
      </c>
      <c r="K18" s="9">
        <f>1400+200</f>
        <v>1600</v>
      </c>
    </row>
    <row r="19" spans="1:11" ht="16.5" thickBot="1" x14ac:dyDescent="0.25">
      <c r="A19" s="15"/>
      <c r="B19" s="22"/>
      <c r="C19" s="26"/>
      <c r="D19" s="16"/>
      <c r="E19" s="22"/>
      <c r="F19" s="26"/>
      <c r="G19" s="17"/>
      <c r="H19" s="34"/>
      <c r="I19" s="17"/>
      <c r="J19" s="8" t="s">
        <v>17</v>
      </c>
      <c r="K19" s="8">
        <f>K18+K17</f>
        <v>1846</v>
      </c>
    </row>
    <row r="20" spans="1:11" ht="20.100000000000001" customHeight="1" x14ac:dyDescent="0.2">
      <c r="A20" s="59"/>
      <c r="B20" s="60"/>
      <c r="C20" s="60"/>
      <c r="D20" s="82">
        <v>3200</v>
      </c>
      <c r="E20" s="82"/>
      <c r="F20" s="83"/>
      <c r="G20" s="18" t="s">
        <v>1</v>
      </c>
      <c r="H20" s="86">
        <f>47037+1.176</f>
        <v>47038.175999999999</v>
      </c>
      <c r="I20" s="87"/>
      <c r="J20" s="78" t="s">
        <v>23</v>
      </c>
      <c r="K20" s="79"/>
    </row>
    <row r="21" spans="1:11" ht="20.100000000000001" customHeight="1" x14ac:dyDescent="0.2">
      <c r="A21" s="61" t="s">
        <v>18</v>
      </c>
      <c r="B21" s="62"/>
      <c r="C21" s="62"/>
      <c r="D21" s="84">
        <f>SUM(B5:B19)+SUM(E5:E19)</f>
        <v>3200</v>
      </c>
      <c r="E21" s="84"/>
      <c r="F21" s="85"/>
      <c r="G21" s="19" t="s">
        <v>22</v>
      </c>
      <c r="H21" s="94">
        <f>SUM(H5:H19)</f>
        <v>-6279.6200000000008</v>
      </c>
      <c r="I21" s="70"/>
      <c r="J21" s="80">
        <f>D22+H22</f>
        <v>53317.796000000002</v>
      </c>
      <c r="K21" s="81"/>
    </row>
    <row r="22" spans="1:11" ht="36.75" customHeight="1" thickBot="1" x14ac:dyDescent="0.25">
      <c r="A22" s="63" t="s">
        <v>7</v>
      </c>
      <c r="B22" s="64"/>
      <c r="C22" s="64"/>
      <c r="D22" s="65">
        <f>D20-D21</f>
        <v>0</v>
      </c>
      <c r="E22" s="65"/>
      <c r="F22" s="66"/>
      <c r="G22" s="20" t="s">
        <v>7</v>
      </c>
      <c r="H22" s="76">
        <f>H20-H21</f>
        <v>53317.796000000002</v>
      </c>
      <c r="I22" s="77"/>
      <c r="J22" s="80"/>
      <c r="K22" s="81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59BC-1A58-4541-AC31-B1DCD535F37F}">
  <dimension ref="A1:L22"/>
  <sheetViews>
    <sheetView workbookViewId="0">
      <selection activeCell="D16" sqref="D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186</v>
      </c>
      <c r="B1" s="75"/>
      <c r="C1" s="75"/>
      <c r="D1" s="75"/>
      <c r="E1" s="75"/>
      <c r="F1" s="75"/>
      <c r="G1" s="75"/>
      <c r="H1" s="75"/>
      <c r="I1" s="75"/>
      <c r="J1" s="91" t="s">
        <v>24</v>
      </c>
      <c r="K1" s="92">
        <f>SUM(H5:H18)-H10-H11-H14-H15</f>
        <v>4480.9560000000001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91"/>
      <c r="K2" s="9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149.36520000000002</v>
      </c>
      <c r="L4" s="10"/>
    </row>
    <row r="5" spans="1:12" x14ac:dyDescent="0.2">
      <c r="A5" s="13">
        <v>44713</v>
      </c>
      <c r="B5" s="21">
        <v>1868</v>
      </c>
      <c r="C5" s="25" t="s">
        <v>37</v>
      </c>
      <c r="D5" s="13"/>
      <c r="E5" s="21"/>
      <c r="F5" s="25"/>
      <c r="G5" s="14">
        <v>44714</v>
      </c>
      <c r="H5" s="33">
        <v>3000</v>
      </c>
      <c r="I5" s="4" t="s">
        <v>34</v>
      </c>
      <c r="J5" s="89">
        <f>-SUM(H5:H19)</f>
        <v>3172.8290000000002</v>
      </c>
      <c r="K5" s="90"/>
    </row>
    <row r="6" spans="1:12" x14ac:dyDescent="0.2">
      <c r="A6" s="13">
        <v>44718</v>
      </c>
      <c r="B6" s="21">
        <v>148</v>
      </c>
      <c r="C6" s="25" t="s">
        <v>35</v>
      </c>
      <c r="D6" s="13"/>
      <c r="E6" s="21"/>
      <c r="F6" s="25"/>
      <c r="G6" s="14"/>
      <c r="H6" s="33">
        <v>-1.1739999999999999</v>
      </c>
      <c r="I6" s="4"/>
      <c r="J6" s="90"/>
      <c r="K6" s="90"/>
    </row>
    <row r="7" spans="1:12" x14ac:dyDescent="0.2">
      <c r="A7" s="13">
        <v>44720</v>
      </c>
      <c r="B7" s="21">
        <v>15</v>
      </c>
      <c r="C7" s="25" t="s">
        <v>35</v>
      </c>
      <c r="D7" s="13"/>
      <c r="E7" s="21"/>
      <c r="F7" s="25"/>
      <c r="G7" s="14">
        <v>44715</v>
      </c>
      <c r="H7" s="33">
        <v>145</v>
      </c>
      <c r="I7" s="4" t="s">
        <v>35</v>
      </c>
      <c r="J7" s="90"/>
      <c r="K7" s="90"/>
    </row>
    <row r="8" spans="1:12" x14ac:dyDescent="0.2">
      <c r="A8" s="13"/>
      <c r="B8" s="21">
        <v>200</v>
      </c>
      <c r="C8" s="25" t="s">
        <v>35</v>
      </c>
      <c r="D8" s="13"/>
      <c r="E8" s="21"/>
      <c r="F8" s="25"/>
      <c r="G8" s="14">
        <v>44718</v>
      </c>
      <c r="H8" s="33">
        <v>20</v>
      </c>
      <c r="I8" s="4" t="s">
        <v>187</v>
      </c>
      <c r="J8" s="90"/>
      <c r="K8" s="90"/>
    </row>
    <row r="9" spans="1:12" x14ac:dyDescent="0.2">
      <c r="A9" s="13">
        <v>44722</v>
      </c>
      <c r="B9" s="21">
        <v>50</v>
      </c>
      <c r="C9" s="25" t="s">
        <v>109</v>
      </c>
      <c r="D9" s="13"/>
      <c r="E9" s="21"/>
      <c r="F9" s="25"/>
      <c r="G9" s="14">
        <v>44720</v>
      </c>
      <c r="H9" s="33">
        <v>400</v>
      </c>
      <c r="I9" s="4" t="s">
        <v>35</v>
      </c>
      <c r="J9" s="90"/>
      <c r="K9" s="90"/>
    </row>
    <row r="10" spans="1:12" x14ac:dyDescent="0.2">
      <c r="A10" s="13"/>
      <c r="B10" s="21">
        <v>19</v>
      </c>
      <c r="C10" s="25" t="s">
        <v>109</v>
      </c>
      <c r="D10" s="13"/>
      <c r="E10" s="21"/>
      <c r="F10" s="25"/>
      <c r="G10" s="14"/>
      <c r="H10" s="33">
        <v>2500</v>
      </c>
      <c r="I10" s="4" t="s">
        <v>112</v>
      </c>
      <c r="J10" s="90"/>
      <c r="K10" s="90"/>
    </row>
    <row r="11" spans="1:12" x14ac:dyDescent="0.2">
      <c r="A11" s="13">
        <v>44725</v>
      </c>
      <c r="B11" s="21">
        <v>100</v>
      </c>
      <c r="C11" s="25" t="s">
        <v>35</v>
      </c>
      <c r="D11" s="7"/>
      <c r="E11" s="21"/>
      <c r="F11" s="25"/>
      <c r="G11" s="14">
        <v>44722</v>
      </c>
      <c r="H11" s="33">
        <f>-1000-10753.785</f>
        <v>-11753.785</v>
      </c>
      <c r="I11" s="4"/>
      <c r="J11" s="90"/>
      <c r="K11" s="90"/>
    </row>
    <row r="12" spans="1:12" x14ac:dyDescent="0.2">
      <c r="A12" s="13">
        <v>44727</v>
      </c>
      <c r="B12" s="21">
        <f>10</f>
        <v>10</v>
      </c>
      <c r="C12" s="25" t="s">
        <v>38</v>
      </c>
      <c r="D12" s="7"/>
      <c r="E12" s="21"/>
      <c r="F12" s="25"/>
      <c r="G12" s="14"/>
      <c r="H12" s="33">
        <v>318.39999999999998</v>
      </c>
      <c r="I12" s="4" t="s">
        <v>188</v>
      </c>
      <c r="J12" s="90"/>
      <c r="K12" s="90"/>
    </row>
    <row r="13" spans="1:12" x14ac:dyDescent="0.2">
      <c r="A13" s="13"/>
      <c r="B13" s="21">
        <v>50</v>
      </c>
      <c r="C13" s="25" t="s">
        <v>30</v>
      </c>
      <c r="D13" s="7"/>
      <c r="E13" s="21"/>
      <c r="F13" s="25"/>
      <c r="G13" s="14">
        <v>44733</v>
      </c>
      <c r="H13" s="33">
        <v>600</v>
      </c>
      <c r="I13" s="4" t="s">
        <v>189</v>
      </c>
      <c r="J13" s="90"/>
      <c r="K13" s="90"/>
    </row>
    <row r="14" spans="1:12" x14ac:dyDescent="0.2">
      <c r="A14" s="13"/>
      <c r="B14" s="21">
        <v>30</v>
      </c>
      <c r="C14" s="25" t="s">
        <v>10</v>
      </c>
      <c r="D14" s="7"/>
      <c r="E14" s="21"/>
      <c r="F14" s="25"/>
      <c r="G14" s="14">
        <v>44735</v>
      </c>
      <c r="H14" s="33">
        <v>600</v>
      </c>
      <c r="I14" s="4" t="s">
        <v>112</v>
      </c>
      <c r="J14" s="8" t="s">
        <v>13</v>
      </c>
      <c r="K14" s="9">
        <v>168</v>
      </c>
    </row>
    <row r="15" spans="1:12" x14ac:dyDescent="0.2">
      <c r="A15" s="13">
        <v>44728</v>
      </c>
      <c r="B15" s="21">
        <v>45</v>
      </c>
      <c r="C15" s="25" t="s">
        <v>10</v>
      </c>
      <c r="D15" s="7"/>
      <c r="E15" s="21"/>
      <c r="F15" s="25"/>
      <c r="G15" s="14">
        <v>44736</v>
      </c>
      <c r="H15" s="33">
        <v>1000</v>
      </c>
      <c r="I15" s="4" t="s">
        <v>190</v>
      </c>
      <c r="J15" s="8" t="s">
        <v>14</v>
      </c>
      <c r="K15" s="9">
        <v>257</v>
      </c>
    </row>
    <row r="16" spans="1:12" x14ac:dyDescent="0.2">
      <c r="A16" s="13">
        <v>44729</v>
      </c>
      <c r="B16" s="21">
        <v>265</v>
      </c>
      <c r="C16" s="25" t="s">
        <v>10</v>
      </c>
      <c r="D16" s="7"/>
      <c r="E16" s="21"/>
      <c r="F16" s="25"/>
      <c r="G16" s="14"/>
      <c r="H16" s="33">
        <v>-1.27</v>
      </c>
      <c r="I16" s="4"/>
      <c r="J16" s="8" t="s">
        <v>15</v>
      </c>
      <c r="K16" s="9">
        <f>K15-K14</f>
        <v>89</v>
      </c>
    </row>
    <row r="17" spans="1:11" x14ac:dyDescent="0.2">
      <c r="A17" s="13">
        <v>44739</v>
      </c>
      <c r="B17" s="21">
        <v>100</v>
      </c>
      <c r="C17" s="25" t="s">
        <v>85</v>
      </c>
      <c r="D17" s="7"/>
      <c r="E17" s="21"/>
      <c r="F17" s="25"/>
      <c r="G17" s="14"/>
      <c r="H17" s="33"/>
      <c r="I17" s="4"/>
      <c r="J17" s="8" t="s">
        <v>0</v>
      </c>
      <c r="K17" s="9">
        <f>K16*3</f>
        <v>267</v>
      </c>
    </row>
    <row r="18" spans="1:11" x14ac:dyDescent="0.2">
      <c r="A18" s="13"/>
      <c r="B18" s="21">
        <f>30+25+25+14</f>
        <v>94</v>
      </c>
      <c r="C18" s="25"/>
      <c r="D18" s="7"/>
      <c r="E18" s="21"/>
      <c r="F18" s="25"/>
      <c r="G18" s="4"/>
      <c r="H18" s="33"/>
      <c r="I18" s="4"/>
      <c r="J18" s="8" t="s">
        <v>16</v>
      </c>
      <c r="K18" s="9">
        <f>1400+200</f>
        <v>1600</v>
      </c>
    </row>
    <row r="19" spans="1:11" ht="16.5" thickBot="1" x14ac:dyDescent="0.25">
      <c r="A19" s="15">
        <v>44741</v>
      </c>
      <c r="B19" s="22">
        <v>6</v>
      </c>
      <c r="C19" s="26" t="s">
        <v>35</v>
      </c>
      <c r="D19" s="16"/>
      <c r="E19" s="22"/>
      <c r="F19" s="26"/>
      <c r="G19" s="17"/>
      <c r="H19" s="34"/>
      <c r="I19" s="17"/>
      <c r="J19" s="8" t="s">
        <v>17</v>
      </c>
      <c r="K19" s="8">
        <f>K18+K17</f>
        <v>1867</v>
      </c>
    </row>
    <row r="20" spans="1:11" ht="20.100000000000001" customHeight="1" x14ac:dyDescent="0.2">
      <c r="A20" s="59" t="s">
        <v>1</v>
      </c>
      <c r="B20" s="60"/>
      <c r="C20" s="60"/>
      <c r="D20" s="82">
        <v>3000</v>
      </c>
      <c r="E20" s="82"/>
      <c r="F20" s="83"/>
      <c r="G20" s="18" t="s">
        <v>1</v>
      </c>
      <c r="H20" s="86">
        <v>53317.796000000002</v>
      </c>
      <c r="I20" s="87"/>
      <c r="J20" s="78" t="s">
        <v>23</v>
      </c>
      <c r="K20" s="79"/>
    </row>
    <row r="21" spans="1:11" ht="20.100000000000001" customHeight="1" x14ac:dyDescent="0.2">
      <c r="A21" s="61" t="s">
        <v>18</v>
      </c>
      <c r="B21" s="62"/>
      <c r="C21" s="62"/>
      <c r="D21" s="84">
        <f>SUM(B5:B19)+SUM(E5:E19)</f>
        <v>3000</v>
      </c>
      <c r="E21" s="84"/>
      <c r="F21" s="85"/>
      <c r="G21" s="19" t="s">
        <v>22</v>
      </c>
      <c r="H21" s="94">
        <f>SUM(H5:H19)</f>
        <v>-3172.8290000000002</v>
      </c>
      <c r="I21" s="70"/>
      <c r="J21" s="80">
        <f>D22+H22</f>
        <v>56490.625</v>
      </c>
      <c r="K21" s="81"/>
    </row>
    <row r="22" spans="1:11" ht="36.75" customHeight="1" thickBot="1" x14ac:dyDescent="0.25">
      <c r="A22" s="63" t="s">
        <v>7</v>
      </c>
      <c r="B22" s="64"/>
      <c r="C22" s="64"/>
      <c r="D22" s="65">
        <f>D20-D21</f>
        <v>0</v>
      </c>
      <c r="E22" s="65"/>
      <c r="F22" s="66"/>
      <c r="G22" s="20" t="s">
        <v>7</v>
      </c>
      <c r="H22" s="76">
        <f>H20-H21</f>
        <v>56490.625</v>
      </c>
      <c r="I22" s="77"/>
      <c r="J22" s="80"/>
      <c r="K22" s="81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A7E-3733-4B31-A7BF-B3D50F02E305}">
  <dimension ref="A1:L22"/>
  <sheetViews>
    <sheetView topLeftCell="B1" workbookViewId="0">
      <selection activeCell="G20" sqref="G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95" t="s">
        <v>191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2" ht="15.75" customHeight="1" x14ac:dyDescent="0.2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101" t="s">
        <v>192</v>
      </c>
      <c r="K3" s="10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257</v>
      </c>
      <c r="L4" s="10"/>
    </row>
    <row r="5" spans="1:12" ht="15.75" customHeight="1" x14ac:dyDescent="0.2">
      <c r="A5" s="13">
        <v>44743</v>
      </c>
      <c r="B5" s="21">
        <v>2000</v>
      </c>
      <c r="C5" s="25" t="s">
        <v>37</v>
      </c>
      <c r="D5" s="13">
        <v>44761</v>
      </c>
      <c r="E5" s="21">
        <v>100</v>
      </c>
      <c r="F5" s="25" t="s">
        <v>203</v>
      </c>
      <c r="G5" s="14">
        <v>44743</v>
      </c>
      <c r="H5" s="33">
        <v>10</v>
      </c>
      <c r="I5" s="4" t="s">
        <v>194</v>
      </c>
      <c r="J5" s="8" t="s">
        <v>14</v>
      </c>
      <c r="K5" s="9">
        <v>407</v>
      </c>
    </row>
    <row r="6" spans="1:12" ht="15.75" customHeight="1" x14ac:dyDescent="0.2">
      <c r="A6" s="13">
        <v>44746</v>
      </c>
      <c r="B6" s="21">
        <f>300+20+25+60</f>
        <v>405</v>
      </c>
      <c r="C6" s="25" t="s">
        <v>195</v>
      </c>
      <c r="D6" s="13"/>
      <c r="E6" s="21">
        <v>40</v>
      </c>
      <c r="F6" s="25" t="s">
        <v>85</v>
      </c>
      <c r="G6" s="14"/>
      <c r="H6" s="33">
        <v>3800</v>
      </c>
      <c r="I6" s="4" t="s">
        <v>34</v>
      </c>
      <c r="J6" s="8" t="s">
        <v>116</v>
      </c>
      <c r="K6" s="9">
        <f>(K5-K4)*3+1600</f>
        <v>2050</v>
      </c>
    </row>
    <row r="7" spans="1:12" ht="15.75" customHeight="1" x14ac:dyDescent="0.2">
      <c r="A7" s="13"/>
      <c r="B7" s="21">
        <v>80</v>
      </c>
      <c r="C7" s="25" t="s">
        <v>36</v>
      </c>
      <c r="D7" s="13">
        <v>44762</v>
      </c>
      <c r="E7" s="21">
        <v>20</v>
      </c>
      <c r="F7" s="25" t="s">
        <v>10</v>
      </c>
      <c r="G7" s="14"/>
      <c r="H7" s="33">
        <v>75</v>
      </c>
      <c r="I7" s="4" t="s">
        <v>10</v>
      </c>
      <c r="J7" s="8"/>
      <c r="K7" s="9"/>
    </row>
    <row r="8" spans="1:12" ht="15.75" customHeight="1" x14ac:dyDescent="0.2">
      <c r="A8" s="13"/>
      <c r="B8" s="21">
        <v>230</v>
      </c>
      <c r="C8" s="25" t="s">
        <v>36</v>
      </c>
      <c r="D8" s="13">
        <v>44767</v>
      </c>
      <c r="E8" s="21">
        <v>100</v>
      </c>
      <c r="F8" s="25" t="s">
        <v>85</v>
      </c>
      <c r="G8" s="14">
        <v>44750</v>
      </c>
      <c r="H8" s="33">
        <v>244.6</v>
      </c>
      <c r="I8" s="4" t="s">
        <v>196</v>
      </c>
      <c r="J8" s="8"/>
      <c r="K8" s="9"/>
    </row>
    <row r="9" spans="1:12" ht="15.75" customHeight="1" x14ac:dyDescent="0.2">
      <c r="A9" s="13"/>
      <c r="B9" s="21">
        <v>25</v>
      </c>
      <c r="C9" s="25" t="s">
        <v>10</v>
      </c>
      <c r="D9" s="13"/>
      <c r="E9" s="21">
        <v>80</v>
      </c>
      <c r="F9" s="25" t="s">
        <v>10</v>
      </c>
      <c r="G9" s="14"/>
      <c r="H9" s="33">
        <v>900</v>
      </c>
      <c r="I9" s="4" t="s">
        <v>112</v>
      </c>
      <c r="J9" s="8"/>
      <c r="K9" s="8"/>
    </row>
    <row r="10" spans="1:12" ht="15.75" customHeight="1" x14ac:dyDescent="0.2">
      <c r="A10" s="13">
        <v>44748</v>
      </c>
      <c r="B10" s="21">
        <v>355</v>
      </c>
      <c r="C10" s="25" t="s">
        <v>32</v>
      </c>
      <c r="D10" s="13">
        <v>44770</v>
      </c>
      <c r="E10" s="21">
        <v>42</v>
      </c>
      <c r="F10" s="25" t="s">
        <v>10</v>
      </c>
      <c r="G10" s="14">
        <v>44753</v>
      </c>
      <c r="H10" s="33">
        <v>-10685.594999999999</v>
      </c>
      <c r="I10" s="4" t="s">
        <v>181</v>
      </c>
      <c r="J10" s="8"/>
      <c r="K10" s="8"/>
    </row>
    <row r="11" spans="1:12" ht="15.75" customHeight="1" x14ac:dyDescent="0.2">
      <c r="A11" s="13"/>
      <c r="B11" s="21">
        <v>100</v>
      </c>
      <c r="C11" s="25" t="s">
        <v>85</v>
      </c>
      <c r="D11" s="7"/>
      <c r="E11" s="21"/>
      <c r="F11" s="25"/>
      <c r="G11" s="14"/>
      <c r="H11" s="33">
        <v>-2000</v>
      </c>
      <c r="I11" s="4" t="s">
        <v>197</v>
      </c>
      <c r="J11" s="8"/>
      <c r="K11" s="8"/>
    </row>
    <row r="12" spans="1:12" ht="15.75" customHeight="1" x14ac:dyDescent="0.2">
      <c r="A12" s="13">
        <v>44749</v>
      </c>
      <c r="B12" s="21">
        <v>25</v>
      </c>
      <c r="C12" s="25" t="s">
        <v>114</v>
      </c>
      <c r="D12" s="7"/>
      <c r="E12" s="21"/>
      <c r="F12" s="25"/>
      <c r="G12" s="14"/>
      <c r="H12" s="33">
        <v>400</v>
      </c>
      <c r="I12" s="4" t="s">
        <v>198</v>
      </c>
      <c r="J12" s="8"/>
      <c r="K12" s="8"/>
    </row>
    <row r="13" spans="1:12" ht="15.75" customHeight="1" x14ac:dyDescent="0.2">
      <c r="A13" s="13"/>
      <c r="B13" s="21">
        <v>20</v>
      </c>
      <c r="C13" s="25" t="s">
        <v>10</v>
      </c>
      <c r="D13" s="7"/>
      <c r="E13" s="21"/>
      <c r="F13" s="25"/>
      <c r="G13" s="14"/>
      <c r="H13" s="33">
        <v>246.62</v>
      </c>
      <c r="I13" s="4" t="s">
        <v>34</v>
      </c>
      <c r="J13" s="8"/>
      <c r="K13" s="8"/>
    </row>
    <row r="14" spans="1:12" x14ac:dyDescent="0.2">
      <c r="A14" s="13"/>
      <c r="B14" s="21">
        <v>10</v>
      </c>
      <c r="C14" s="25" t="s">
        <v>32</v>
      </c>
      <c r="D14" s="7"/>
      <c r="E14" s="21"/>
      <c r="F14" s="25"/>
      <c r="G14" s="14"/>
      <c r="H14" s="33">
        <f>-3000-2000</f>
        <v>-5000</v>
      </c>
      <c r="I14" s="4" t="s">
        <v>202</v>
      </c>
      <c r="J14" s="8"/>
      <c r="K14" s="8"/>
    </row>
    <row r="15" spans="1:12" x14ac:dyDescent="0.2">
      <c r="A15" s="13">
        <v>44753</v>
      </c>
      <c r="B15" s="21">
        <v>300</v>
      </c>
      <c r="C15" s="25" t="s">
        <v>199</v>
      </c>
      <c r="D15" s="7"/>
      <c r="E15" s="21"/>
      <c r="F15" s="25"/>
      <c r="G15" s="14">
        <v>44761</v>
      </c>
      <c r="H15" s="33">
        <f>270+70</f>
        <v>340</v>
      </c>
      <c r="I15" s="4" t="s">
        <v>204</v>
      </c>
      <c r="J15" s="8"/>
      <c r="K15" s="8"/>
    </row>
    <row r="16" spans="1:12" x14ac:dyDescent="0.2">
      <c r="A16" s="13"/>
      <c r="B16" s="21">
        <v>150</v>
      </c>
      <c r="C16" s="25" t="s">
        <v>32</v>
      </c>
      <c r="D16" s="7"/>
      <c r="E16" s="21"/>
      <c r="F16" s="25"/>
      <c r="G16" s="14"/>
      <c r="H16" s="33">
        <v>-1000</v>
      </c>
      <c r="I16" s="4" t="s">
        <v>205</v>
      </c>
      <c r="J16" s="8"/>
      <c r="K16" s="8"/>
    </row>
    <row r="17" spans="1:12" x14ac:dyDescent="0.2">
      <c r="A17" s="13">
        <v>44757</v>
      </c>
      <c r="B17" s="21">
        <v>50</v>
      </c>
      <c r="C17" s="25" t="s">
        <v>201</v>
      </c>
      <c r="D17" s="7"/>
      <c r="E17" s="21"/>
      <c r="F17" s="25"/>
      <c r="G17" s="14"/>
      <c r="H17" s="33">
        <v>160</v>
      </c>
      <c r="I17" s="4" t="s">
        <v>34</v>
      </c>
      <c r="J17" s="8"/>
      <c r="K17" s="8"/>
    </row>
    <row r="18" spans="1:12" x14ac:dyDescent="0.2">
      <c r="A18" s="13"/>
      <c r="B18" s="21">
        <v>15</v>
      </c>
      <c r="C18" s="25" t="s">
        <v>10</v>
      </c>
      <c r="D18" s="7"/>
      <c r="E18" s="21"/>
      <c r="F18" s="25"/>
      <c r="G18" s="14">
        <v>44767</v>
      </c>
      <c r="H18" s="33">
        <v>3600</v>
      </c>
      <c r="I18" s="4" t="s">
        <v>32</v>
      </c>
      <c r="J18" s="8"/>
      <c r="K18" s="8"/>
      <c r="L18" s="37"/>
    </row>
    <row r="19" spans="1:12" ht="16.5" thickBot="1" x14ac:dyDescent="0.25">
      <c r="A19" s="15"/>
      <c r="B19" s="22">
        <v>45</v>
      </c>
      <c r="C19" s="26"/>
      <c r="D19" s="16"/>
      <c r="E19" s="22"/>
      <c r="F19" s="26"/>
      <c r="G19" s="14">
        <v>44768</v>
      </c>
      <c r="H19" s="34">
        <v>127</v>
      </c>
      <c r="I19" s="17" t="s">
        <v>10</v>
      </c>
      <c r="J19" s="8"/>
      <c r="K19" s="8"/>
    </row>
    <row r="20" spans="1:12" ht="20.100000000000001" customHeight="1" x14ac:dyDescent="0.2">
      <c r="A20" s="59" t="s">
        <v>1</v>
      </c>
      <c r="B20" s="60"/>
      <c r="C20" s="60"/>
      <c r="D20" s="82">
        <f>4050+160</f>
        <v>4210</v>
      </c>
      <c r="E20" s="82"/>
      <c r="F20" s="83"/>
      <c r="G20" s="18" t="s">
        <v>1</v>
      </c>
      <c r="H20" s="105">
        <v>56490.625</v>
      </c>
      <c r="I20" s="106"/>
      <c r="J20" s="39"/>
      <c r="K20" s="8"/>
    </row>
    <row r="21" spans="1:12" ht="20.100000000000001" customHeight="1" x14ac:dyDescent="0.2">
      <c r="A21" s="61" t="s">
        <v>18</v>
      </c>
      <c r="B21" s="62"/>
      <c r="C21" s="62"/>
      <c r="D21" s="84">
        <f>SUM(B5:B19)+SUM(E5:E19)</f>
        <v>4192</v>
      </c>
      <c r="E21" s="84"/>
      <c r="F21" s="85"/>
      <c r="G21" s="19" t="s">
        <v>193</v>
      </c>
      <c r="H21" s="38">
        <f>-(H10+H11+H14+H16)</f>
        <v>18685.595000000001</v>
      </c>
      <c r="I21" s="40">
        <f>SUM(H5:H19)-H9-H10-H11-H14-H16</f>
        <v>9003.2199999999993</v>
      </c>
      <c r="J21" s="39"/>
      <c r="K21" s="8"/>
    </row>
    <row r="22" spans="1:12" ht="36.75" customHeight="1" thickBot="1" x14ac:dyDescent="0.25">
      <c r="A22" s="63" t="s">
        <v>7</v>
      </c>
      <c r="B22" s="64"/>
      <c r="C22" s="64"/>
      <c r="D22" s="65">
        <f>D20-D21</f>
        <v>18</v>
      </c>
      <c r="E22" s="65"/>
      <c r="F22" s="66"/>
      <c r="G22" s="20" t="s">
        <v>7</v>
      </c>
      <c r="H22" s="103">
        <f>H20-SUM(H5:H19)</f>
        <v>65273</v>
      </c>
      <c r="I22" s="104"/>
      <c r="J22" s="39"/>
      <c r="K22" s="8"/>
    </row>
  </sheetData>
  <mergeCells count="12">
    <mergeCell ref="A1:K2"/>
    <mergeCell ref="J3:K3"/>
    <mergeCell ref="A3:F3"/>
    <mergeCell ref="G3:I3"/>
    <mergeCell ref="H22:I22"/>
    <mergeCell ref="A20:C20"/>
    <mergeCell ref="D20:F20"/>
    <mergeCell ref="H20:I20"/>
    <mergeCell ref="A21:C21"/>
    <mergeCell ref="D21:F21"/>
    <mergeCell ref="A22:C22"/>
    <mergeCell ref="D22:F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66B9-27D6-4770-9F3A-298113396956}">
  <dimension ref="A1:L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95" t="s">
        <v>206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2" ht="15.75" customHeight="1" x14ac:dyDescent="0.2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101" t="s">
        <v>192</v>
      </c>
      <c r="K3" s="10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407</v>
      </c>
      <c r="L4" s="10"/>
    </row>
    <row r="5" spans="1:12" ht="15.75" customHeight="1" x14ac:dyDescent="0.2">
      <c r="A5" s="13">
        <v>44774</v>
      </c>
      <c r="B5" s="21">
        <v>1934</v>
      </c>
      <c r="C5" s="25" t="s">
        <v>48</v>
      </c>
      <c r="D5" s="13"/>
      <c r="E5" s="21"/>
      <c r="F5" s="25"/>
      <c r="G5" s="14">
        <v>44783</v>
      </c>
      <c r="H5" s="33">
        <f>26155+15000</f>
        <v>41155</v>
      </c>
      <c r="I5" s="4" t="s">
        <v>181</v>
      </c>
      <c r="J5" s="8" t="s">
        <v>14</v>
      </c>
      <c r="K5" s="9">
        <v>517</v>
      </c>
    </row>
    <row r="6" spans="1:12" ht="15.75" customHeight="1" x14ac:dyDescent="0.2">
      <c r="A6" s="13"/>
      <c r="B6" s="21">
        <v>346</v>
      </c>
      <c r="C6" s="25" t="s">
        <v>10</v>
      </c>
      <c r="D6" s="13"/>
      <c r="E6" s="21"/>
      <c r="F6" s="25"/>
      <c r="G6" s="14">
        <v>44774</v>
      </c>
      <c r="H6" s="33">
        <f>3000-1.78</f>
        <v>2998.22</v>
      </c>
      <c r="I6" s="4"/>
      <c r="J6" s="8" t="s">
        <v>116</v>
      </c>
      <c r="K6" s="9">
        <f>(K5-K4)*3+1600</f>
        <v>1930</v>
      </c>
    </row>
    <row r="7" spans="1:12" ht="15.75" customHeight="1" x14ac:dyDescent="0.2">
      <c r="A7" s="13"/>
      <c r="B7" s="21">
        <v>600</v>
      </c>
      <c r="C7" s="25" t="s">
        <v>207</v>
      </c>
      <c r="D7" s="13"/>
      <c r="E7" s="21"/>
      <c r="F7" s="25"/>
      <c r="G7" s="14"/>
      <c r="H7" s="33">
        <v>50</v>
      </c>
      <c r="I7" s="4" t="s">
        <v>208</v>
      </c>
      <c r="J7" s="8"/>
      <c r="K7" s="9"/>
    </row>
    <row r="8" spans="1:12" ht="15.75" customHeight="1" x14ac:dyDescent="0.2">
      <c r="A8" s="13">
        <v>44781</v>
      </c>
      <c r="B8" s="21">
        <v>20</v>
      </c>
      <c r="C8" s="25" t="s">
        <v>10</v>
      </c>
      <c r="D8" s="13"/>
      <c r="E8" s="21"/>
      <c r="F8" s="25"/>
      <c r="G8" s="14"/>
      <c r="H8" s="33">
        <v>30</v>
      </c>
      <c r="I8" s="4" t="s">
        <v>109</v>
      </c>
      <c r="J8" s="8"/>
      <c r="K8" s="9"/>
    </row>
    <row r="9" spans="1:12" ht="15.75" customHeight="1" x14ac:dyDescent="0.2">
      <c r="A9" s="13"/>
      <c r="B9" s="21">
        <v>50</v>
      </c>
      <c r="C9" s="25" t="s">
        <v>211</v>
      </c>
      <c r="D9" s="13"/>
      <c r="E9" s="21"/>
      <c r="F9" s="25"/>
      <c r="G9" s="14">
        <v>44777</v>
      </c>
      <c r="H9" s="33">
        <v>200</v>
      </c>
      <c r="I9" s="4" t="s">
        <v>209</v>
      </c>
      <c r="J9" s="8"/>
      <c r="K9" s="8"/>
    </row>
    <row r="10" spans="1:12" ht="15.75" customHeight="1" x14ac:dyDescent="0.2">
      <c r="A10" s="13">
        <v>44784</v>
      </c>
      <c r="B10" s="21">
        <v>80</v>
      </c>
      <c r="C10" s="25" t="s">
        <v>110</v>
      </c>
      <c r="D10" s="13"/>
      <c r="E10" s="21"/>
      <c r="F10" s="25"/>
      <c r="G10" s="14">
        <v>44781</v>
      </c>
      <c r="H10" s="33">
        <v>561.5</v>
      </c>
      <c r="I10" s="4" t="s">
        <v>210</v>
      </c>
      <c r="J10" s="8"/>
      <c r="K10" s="8"/>
    </row>
    <row r="11" spans="1:12" ht="15.75" customHeight="1" x14ac:dyDescent="0.2">
      <c r="A11" s="13"/>
      <c r="B11" s="21">
        <v>350</v>
      </c>
      <c r="C11" s="25" t="s">
        <v>212</v>
      </c>
      <c r="D11" s="7"/>
      <c r="E11" s="21"/>
      <c r="F11" s="25"/>
      <c r="G11" s="14">
        <v>44784</v>
      </c>
      <c r="H11" s="33">
        <v>588.28</v>
      </c>
      <c r="I11" s="4" t="s">
        <v>34</v>
      </c>
      <c r="J11" s="8"/>
      <c r="K11" s="8"/>
    </row>
    <row r="12" spans="1:12" ht="15.75" customHeight="1" x14ac:dyDescent="0.2">
      <c r="A12" s="13"/>
      <c r="B12" s="21">
        <v>30</v>
      </c>
      <c r="C12" s="25" t="s">
        <v>35</v>
      </c>
      <c r="D12" s="7"/>
      <c r="E12" s="21"/>
      <c r="F12" s="25"/>
      <c r="G12" s="14"/>
      <c r="H12" s="33">
        <v>45</v>
      </c>
      <c r="I12" s="4" t="s">
        <v>169</v>
      </c>
      <c r="J12" s="8"/>
      <c r="K12" s="8"/>
    </row>
    <row r="13" spans="1:12" ht="15.75" customHeight="1" x14ac:dyDescent="0.2">
      <c r="A13" s="13">
        <v>44792</v>
      </c>
      <c r="B13" s="21">
        <v>50</v>
      </c>
      <c r="C13" s="25" t="s">
        <v>213</v>
      </c>
      <c r="D13" s="7"/>
      <c r="E13" s="21"/>
      <c r="F13" s="25"/>
      <c r="G13" s="14"/>
      <c r="H13" s="33">
        <v>220</v>
      </c>
      <c r="I13" s="4" t="s">
        <v>214</v>
      </c>
      <c r="J13" s="8"/>
      <c r="K13" s="8"/>
    </row>
    <row r="14" spans="1:12" x14ac:dyDescent="0.2">
      <c r="A14" s="13">
        <v>44795</v>
      </c>
      <c r="B14" s="21">
        <v>175</v>
      </c>
      <c r="C14" s="25" t="s">
        <v>32</v>
      </c>
      <c r="D14" s="7"/>
      <c r="E14" s="21"/>
      <c r="F14" s="25"/>
      <c r="G14" s="14"/>
      <c r="H14" s="33">
        <v>35</v>
      </c>
      <c r="I14" s="4" t="s">
        <v>34</v>
      </c>
      <c r="J14" s="8"/>
      <c r="K14" s="8"/>
    </row>
    <row r="15" spans="1:12" x14ac:dyDescent="0.2">
      <c r="A15" s="13">
        <v>44809</v>
      </c>
      <c r="B15" s="21">
        <v>490</v>
      </c>
      <c r="C15" s="25" t="s">
        <v>216</v>
      </c>
      <c r="D15" s="7"/>
      <c r="E15" s="21"/>
      <c r="F15" s="25"/>
      <c r="G15" s="14"/>
      <c r="H15" s="33">
        <v>500</v>
      </c>
      <c r="I15" s="4" t="s">
        <v>34</v>
      </c>
      <c r="J15" s="8"/>
      <c r="K15" s="8"/>
    </row>
    <row r="16" spans="1:12" x14ac:dyDescent="0.2">
      <c r="A16" s="13"/>
      <c r="B16" s="21"/>
      <c r="C16" s="25"/>
      <c r="D16" s="7"/>
      <c r="E16" s="21"/>
      <c r="F16" s="25"/>
      <c r="G16" s="14"/>
      <c r="H16" s="33">
        <v>-1.87</v>
      </c>
      <c r="I16" s="4"/>
      <c r="J16" s="8"/>
      <c r="K16" s="8"/>
    </row>
    <row r="17" spans="1:12" x14ac:dyDescent="0.2">
      <c r="A17" s="13"/>
      <c r="B17" s="21"/>
      <c r="C17" s="25"/>
      <c r="D17" s="7"/>
      <c r="E17" s="21"/>
      <c r="F17" s="25"/>
      <c r="G17" s="14"/>
      <c r="H17" s="33"/>
      <c r="I17" s="4"/>
      <c r="J17" s="8"/>
      <c r="K17" s="8"/>
    </row>
    <row r="18" spans="1:12" x14ac:dyDescent="0.2">
      <c r="A18" s="13"/>
      <c r="B18" s="21"/>
      <c r="C18" s="25"/>
      <c r="D18" s="7"/>
      <c r="E18" s="21"/>
      <c r="F18" s="25"/>
      <c r="G18" s="41"/>
      <c r="H18" s="33"/>
      <c r="I18" s="4"/>
      <c r="J18" s="43"/>
      <c r="K18" s="8"/>
      <c r="L18" s="37"/>
    </row>
    <row r="19" spans="1:12" ht="16.5" thickBot="1" x14ac:dyDescent="0.25">
      <c r="A19" s="15"/>
      <c r="B19" s="22"/>
      <c r="C19" s="26"/>
      <c r="D19" s="16"/>
      <c r="E19" s="22"/>
      <c r="F19" s="26"/>
      <c r="G19" s="42"/>
      <c r="H19" s="34"/>
      <c r="I19" s="17"/>
      <c r="J19" s="8"/>
      <c r="K19" s="8"/>
    </row>
    <row r="20" spans="1:12" ht="20.100000000000001" customHeight="1" x14ac:dyDescent="0.2">
      <c r="A20" s="59" t="s">
        <v>1</v>
      </c>
      <c r="B20" s="60"/>
      <c r="C20" s="60"/>
      <c r="D20" s="82">
        <v>4135</v>
      </c>
      <c r="E20" s="82"/>
      <c r="F20" s="83"/>
      <c r="G20" s="18" t="s">
        <v>1</v>
      </c>
      <c r="H20" s="105">
        <v>65273</v>
      </c>
      <c r="I20" s="106"/>
      <c r="J20" s="39"/>
      <c r="K20" s="8"/>
    </row>
    <row r="21" spans="1:12" ht="20.100000000000001" customHeight="1" x14ac:dyDescent="0.2">
      <c r="A21" s="61" t="s">
        <v>18</v>
      </c>
      <c r="B21" s="62"/>
      <c r="C21" s="62"/>
      <c r="D21" s="84">
        <f>SUM(B5:B19)+SUM(E5:E19)</f>
        <v>4125</v>
      </c>
      <c r="E21" s="84"/>
      <c r="F21" s="85"/>
      <c r="G21" s="19" t="s">
        <v>193</v>
      </c>
      <c r="H21" s="38">
        <f>H5</f>
        <v>41155</v>
      </c>
      <c r="I21" s="40">
        <f>SUM(H6:H19)</f>
        <v>5226.13</v>
      </c>
      <c r="J21" s="39"/>
      <c r="K21" s="8"/>
    </row>
    <row r="22" spans="1:12" ht="36.75" customHeight="1" thickBot="1" x14ac:dyDescent="0.25">
      <c r="A22" s="63" t="s">
        <v>7</v>
      </c>
      <c r="B22" s="64"/>
      <c r="C22" s="64"/>
      <c r="D22" s="65">
        <f>D20-D21</f>
        <v>10</v>
      </c>
      <c r="E22" s="65"/>
      <c r="F22" s="66"/>
      <c r="G22" s="20" t="s">
        <v>7</v>
      </c>
      <c r="H22" s="103">
        <f>H20+H21-I21</f>
        <v>101201.87</v>
      </c>
      <c r="I22" s="104"/>
      <c r="J22" s="39"/>
      <c r="K22" s="8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145B-ABFE-4C8D-BA09-71375954F6E5}">
  <dimension ref="A1:L22"/>
  <sheetViews>
    <sheetView workbookViewId="0">
      <selection activeCell="D20" sqref="D20:F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95" t="s">
        <v>215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2" ht="15.75" customHeight="1" x14ac:dyDescent="0.2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101" t="s">
        <v>192</v>
      </c>
      <c r="K3" s="10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517</v>
      </c>
      <c r="L4" s="10"/>
    </row>
    <row r="5" spans="1:12" ht="15.75" customHeight="1" x14ac:dyDescent="0.2">
      <c r="A5" s="13">
        <v>44810</v>
      </c>
      <c r="B5" s="21">
        <v>1860</v>
      </c>
      <c r="C5" s="25" t="s">
        <v>37</v>
      </c>
      <c r="D5" s="13"/>
      <c r="E5" s="21">
        <v>20</v>
      </c>
      <c r="F5" s="25" t="s">
        <v>10</v>
      </c>
      <c r="G5" s="14"/>
      <c r="H5" s="33">
        <f>18246.724+500+1500+1.621</f>
        <v>20248.344999999998</v>
      </c>
      <c r="I5" s="4"/>
      <c r="J5" s="8" t="s">
        <v>14</v>
      </c>
      <c r="K5" s="9">
        <v>612</v>
      </c>
    </row>
    <row r="6" spans="1:12" ht="15.75" customHeight="1" x14ac:dyDescent="0.2">
      <c r="A6" s="13"/>
      <c r="B6" s="21">
        <v>60</v>
      </c>
      <c r="C6" s="25" t="s">
        <v>10</v>
      </c>
      <c r="D6" s="13"/>
      <c r="E6" s="21"/>
      <c r="F6" s="25"/>
      <c r="G6" s="14">
        <v>44810</v>
      </c>
      <c r="H6" s="33">
        <v>2598.5940000000001</v>
      </c>
      <c r="I6" s="4" t="s">
        <v>34</v>
      </c>
      <c r="J6" s="8" t="s">
        <v>116</v>
      </c>
      <c r="K6" s="9">
        <f>(K5-K4)*3+1600</f>
        <v>1885</v>
      </c>
    </row>
    <row r="7" spans="1:12" ht="15.75" customHeight="1" x14ac:dyDescent="0.2">
      <c r="A7" s="13"/>
      <c r="B7" s="21">
        <v>80</v>
      </c>
      <c r="C7" s="25" t="s">
        <v>85</v>
      </c>
      <c r="D7" s="13"/>
      <c r="E7" s="21"/>
      <c r="F7" s="25"/>
      <c r="G7" s="14">
        <v>44811</v>
      </c>
      <c r="H7" s="33">
        <v>50</v>
      </c>
      <c r="I7" s="4" t="s">
        <v>211</v>
      </c>
      <c r="J7" s="8"/>
      <c r="K7" s="9"/>
    </row>
    <row r="8" spans="1:12" ht="15.75" customHeight="1" x14ac:dyDescent="0.2">
      <c r="A8" s="13">
        <v>44813</v>
      </c>
      <c r="B8" s="21">
        <v>100</v>
      </c>
      <c r="C8" s="25" t="s">
        <v>10</v>
      </c>
      <c r="D8" s="13"/>
      <c r="E8" s="21"/>
      <c r="F8" s="25"/>
      <c r="G8" s="14">
        <v>44816</v>
      </c>
      <c r="H8" s="33">
        <v>300</v>
      </c>
      <c r="I8" s="4" t="s">
        <v>217</v>
      </c>
      <c r="J8" s="8"/>
      <c r="K8" s="9"/>
    </row>
    <row r="9" spans="1:12" ht="15.75" customHeight="1" x14ac:dyDescent="0.2">
      <c r="A9" s="13">
        <v>44816</v>
      </c>
      <c r="B9" s="21">
        <f>10+60+40</f>
        <v>110</v>
      </c>
      <c r="C9" s="25" t="s">
        <v>10</v>
      </c>
      <c r="D9" s="13"/>
      <c r="E9" s="21"/>
      <c r="F9" s="25"/>
      <c r="G9" s="14"/>
      <c r="H9" s="33"/>
      <c r="I9" s="4"/>
      <c r="J9" s="8"/>
      <c r="K9" s="8"/>
    </row>
    <row r="10" spans="1:12" ht="15.75" customHeight="1" x14ac:dyDescent="0.2">
      <c r="A10" s="13"/>
      <c r="B10" s="21">
        <v>440</v>
      </c>
      <c r="C10" s="25" t="s">
        <v>213</v>
      </c>
      <c r="D10" s="13"/>
      <c r="E10" s="21"/>
      <c r="F10" s="25"/>
      <c r="G10" s="14">
        <v>44819</v>
      </c>
      <c r="H10" s="33">
        <f>1000-82</f>
        <v>918</v>
      </c>
      <c r="I10" s="4" t="s">
        <v>41</v>
      </c>
      <c r="J10" s="8"/>
      <c r="K10" s="8"/>
    </row>
    <row r="11" spans="1:12" ht="15.75" customHeight="1" x14ac:dyDescent="0.2">
      <c r="A11" s="13">
        <v>44819</v>
      </c>
      <c r="B11" s="21">
        <v>16</v>
      </c>
      <c r="C11" s="25" t="s">
        <v>10</v>
      </c>
      <c r="D11" s="7"/>
      <c r="E11" s="21"/>
      <c r="F11" s="25"/>
      <c r="G11" s="14"/>
      <c r="H11" s="33">
        <v>-150</v>
      </c>
      <c r="I11" s="4" t="s">
        <v>219</v>
      </c>
      <c r="J11" s="8"/>
      <c r="K11" s="8"/>
    </row>
    <row r="12" spans="1:12" ht="15.75" customHeight="1" x14ac:dyDescent="0.2">
      <c r="A12" s="13"/>
      <c r="B12" s="21">
        <v>35</v>
      </c>
      <c r="C12" s="25" t="s">
        <v>220</v>
      </c>
      <c r="D12" s="7"/>
      <c r="E12" s="21"/>
      <c r="F12" s="25"/>
      <c r="G12" s="14">
        <v>44820</v>
      </c>
      <c r="H12" s="33">
        <v>182</v>
      </c>
      <c r="I12" s="4" t="s">
        <v>221</v>
      </c>
      <c r="J12" s="8"/>
      <c r="K12" s="8"/>
    </row>
    <row r="13" spans="1:12" ht="15.75" customHeight="1" x14ac:dyDescent="0.2">
      <c r="A13" s="13">
        <v>44823</v>
      </c>
      <c r="B13" s="21">
        <f>368+80+22</f>
        <v>470</v>
      </c>
      <c r="C13" s="25" t="s">
        <v>223</v>
      </c>
      <c r="D13" s="7"/>
      <c r="E13" s="21"/>
      <c r="F13" s="25"/>
      <c r="G13" s="14"/>
      <c r="H13" s="33">
        <v>50</v>
      </c>
      <c r="I13" s="4" t="s">
        <v>222</v>
      </c>
      <c r="J13" s="8"/>
      <c r="K13" s="8"/>
    </row>
    <row r="14" spans="1:12" x14ac:dyDescent="0.2">
      <c r="A14" s="13">
        <v>44826</v>
      </c>
      <c r="B14" s="21">
        <v>60</v>
      </c>
      <c r="C14" s="25" t="s">
        <v>10</v>
      </c>
      <c r="D14" s="7"/>
      <c r="E14" s="21"/>
      <c r="F14" s="25"/>
      <c r="G14" s="14"/>
      <c r="H14" s="33">
        <v>79.2</v>
      </c>
      <c r="I14" s="4" t="s">
        <v>225</v>
      </c>
      <c r="J14" s="8"/>
      <c r="K14" s="8"/>
    </row>
    <row r="15" spans="1:12" x14ac:dyDescent="0.2">
      <c r="A15" s="13">
        <v>44830</v>
      </c>
      <c r="B15" s="21">
        <f>110+9+21</f>
        <v>140</v>
      </c>
      <c r="C15" s="25" t="s">
        <v>32</v>
      </c>
      <c r="D15" s="7"/>
      <c r="E15" s="21"/>
      <c r="F15" s="25"/>
      <c r="G15" s="14"/>
      <c r="H15" s="33">
        <v>20</v>
      </c>
      <c r="I15" s="4" t="s">
        <v>10</v>
      </c>
      <c r="J15" s="8"/>
      <c r="K15" s="8"/>
    </row>
    <row r="16" spans="1:12" x14ac:dyDescent="0.2">
      <c r="A16" s="13"/>
      <c r="B16" s="21">
        <v>33</v>
      </c>
      <c r="C16" s="25" t="s">
        <v>10</v>
      </c>
      <c r="D16" s="7"/>
      <c r="E16" s="21"/>
      <c r="F16" s="25"/>
      <c r="G16" s="14"/>
      <c r="H16" s="33"/>
      <c r="I16" s="4"/>
      <c r="J16" s="8"/>
      <c r="K16" s="8"/>
    </row>
    <row r="17" spans="1:12" x14ac:dyDescent="0.2">
      <c r="A17" s="13">
        <v>44831</v>
      </c>
      <c r="B17" s="21">
        <v>40</v>
      </c>
      <c r="C17" s="25" t="s">
        <v>10</v>
      </c>
      <c r="D17" s="7"/>
      <c r="E17" s="21"/>
      <c r="F17" s="25"/>
      <c r="G17" s="14"/>
      <c r="H17" s="33"/>
      <c r="I17" s="4"/>
      <c r="J17" s="8"/>
      <c r="K17" s="8"/>
    </row>
    <row r="18" spans="1:12" x14ac:dyDescent="0.2">
      <c r="A18" s="13">
        <v>44832</v>
      </c>
      <c r="B18" s="21">
        <v>80</v>
      </c>
      <c r="C18" s="25" t="s">
        <v>10</v>
      </c>
      <c r="D18" s="7"/>
      <c r="E18" s="21"/>
      <c r="F18" s="25"/>
      <c r="G18" s="41"/>
      <c r="H18" s="33"/>
      <c r="I18" s="4"/>
      <c r="J18" s="43"/>
      <c r="K18" s="8"/>
      <c r="L18" s="37"/>
    </row>
    <row r="19" spans="1:12" ht="16.5" thickBot="1" x14ac:dyDescent="0.25">
      <c r="A19" s="15"/>
      <c r="B19" s="22">
        <v>34</v>
      </c>
      <c r="C19" s="26" t="s">
        <v>224</v>
      </c>
      <c r="D19" s="16"/>
      <c r="E19" s="22"/>
      <c r="F19" s="26"/>
      <c r="G19" s="42"/>
      <c r="H19" s="34"/>
      <c r="I19" s="17"/>
      <c r="J19" s="8"/>
      <c r="K19" s="8"/>
    </row>
    <row r="20" spans="1:12" ht="20.100000000000001" customHeight="1" x14ac:dyDescent="0.2">
      <c r="A20" s="59" t="s">
        <v>1</v>
      </c>
      <c r="B20" s="60"/>
      <c r="C20" s="60"/>
      <c r="D20" s="82">
        <f>3010-200-200+50+1000-82</f>
        <v>3578</v>
      </c>
      <c r="E20" s="82"/>
      <c r="F20" s="83"/>
      <c r="G20" s="18" t="s">
        <v>1</v>
      </c>
      <c r="H20" s="105">
        <f>101201.87-50000-15000</f>
        <v>36201.869999999995</v>
      </c>
      <c r="I20" s="106"/>
      <c r="J20" s="39"/>
      <c r="K20" s="8"/>
    </row>
    <row r="21" spans="1:12" ht="20.100000000000001" customHeight="1" x14ac:dyDescent="0.2">
      <c r="A21" s="61" t="s">
        <v>18</v>
      </c>
      <c r="B21" s="62"/>
      <c r="C21" s="62"/>
      <c r="D21" s="84">
        <f>SUM(B5:B19)+SUM(E5:E19)</f>
        <v>3578</v>
      </c>
      <c r="E21" s="84"/>
      <c r="F21" s="85"/>
      <c r="G21" s="19" t="s">
        <v>193</v>
      </c>
      <c r="H21" s="38">
        <f>H5</f>
        <v>20248.344999999998</v>
      </c>
      <c r="I21" s="40">
        <f>SUM(H6:H19)</f>
        <v>4047.7939999999999</v>
      </c>
      <c r="J21" s="39"/>
      <c r="K21" s="8"/>
    </row>
    <row r="22" spans="1:12" ht="36.75" customHeight="1" thickBot="1" x14ac:dyDescent="0.25">
      <c r="A22" s="63" t="s">
        <v>7</v>
      </c>
      <c r="B22" s="64"/>
      <c r="C22" s="64"/>
      <c r="D22" s="65">
        <f>D20-D21</f>
        <v>0</v>
      </c>
      <c r="E22" s="65"/>
      <c r="F22" s="66"/>
      <c r="G22" s="20" t="s">
        <v>7</v>
      </c>
      <c r="H22" s="103">
        <f>H20+H21-I21</f>
        <v>52402.420999999995</v>
      </c>
      <c r="I22" s="104"/>
      <c r="J22" s="39"/>
      <c r="K22" s="8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21-32D3-4B51-AF81-3788A1AD8DAC}">
  <dimension ref="A1:L22"/>
  <sheetViews>
    <sheetView topLeftCell="F1" workbookViewId="0">
      <selection activeCell="H20" sqref="H20:I20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95" t="s">
        <v>215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2" ht="15.75" customHeight="1" x14ac:dyDescent="0.2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101" t="s">
        <v>192</v>
      </c>
      <c r="K3" s="10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612</v>
      </c>
      <c r="L4" s="10"/>
    </row>
    <row r="5" spans="1:12" ht="15.75" customHeight="1" x14ac:dyDescent="0.2">
      <c r="A5" s="13">
        <v>44835</v>
      </c>
      <c r="B5" s="21">
        <v>1870</v>
      </c>
      <c r="C5" s="25"/>
      <c r="D5" s="13">
        <v>44854</v>
      </c>
      <c r="E5" s="21">
        <v>80</v>
      </c>
      <c r="F5" s="25" t="s">
        <v>10</v>
      </c>
      <c r="G5" s="14"/>
      <c r="H5" s="33">
        <f>15851.5</f>
        <v>15851.5</v>
      </c>
      <c r="I5" s="4"/>
      <c r="J5" s="8" t="s">
        <v>14</v>
      </c>
      <c r="K5" s="9">
        <v>702</v>
      </c>
    </row>
    <row r="6" spans="1:12" ht="15.75" customHeight="1" x14ac:dyDescent="0.2">
      <c r="A6" s="13">
        <v>44837</v>
      </c>
      <c r="B6" s="21">
        <f>40+50+36</f>
        <v>126</v>
      </c>
      <c r="C6" s="25"/>
      <c r="D6" s="13">
        <v>44855</v>
      </c>
      <c r="E6" s="21">
        <v>207</v>
      </c>
      <c r="F6" s="25" t="s">
        <v>10</v>
      </c>
      <c r="G6" s="14">
        <v>44837</v>
      </c>
      <c r="H6" s="33">
        <v>3000</v>
      </c>
      <c r="I6" s="4" t="s">
        <v>34</v>
      </c>
      <c r="J6" s="8" t="s">
        <v>116</v>
      </c>
      <c r="K6" s="9">
        <f>(K5-K4)*3+1600</f>
        <v>1870</v>
      </c>
    </row>
    <row r="7" spans="1:12" ht="15.75" customHeight="1" x14ac:dyDescent="0.2">
      <c r="A7" s="13">
        <v>44838</v>
      </c>
      <c r="B7" s="21">
        <v>174</v>
      </c>
      <c r="C7" s="25" t="s">
        <v>10</v>
      </c>
      <c r="D7" s="13"/>
      <c r="E7" s="21">
        <v>23</v>
      </c>
      <c r="F7" s="25" t="s">
        <v>10</v>
      </c>
      <c r="G7" s="14">
        <v>44839</v>
      </c>
      <c r="H7" s="33">
        <v>2.4209999999999998</v>
      </c>
      <c r="I7" s="4" t="s">
        <v>226</v>
      </c>
      <c r="J7" s="8"/>
      <c r="K7" s="9"/>
    </row>
    <row r="8" spans="1:12" ht="15.75" customHeight="1" x14ac:dyDescent="0.2">
      <c r="A8" s="13">
        <v>44840</v>
      </c>
      <c r="B8" s="21">
        <v>100</v>
      </c>
      <c r="C8" s="25" t="s">
        <v>10</v>
      </c>
      <c r="D8" s="13">
        <v>44858</v>
      </c>
      <c r="E8" s="21">
        <f>180+90+10</f>
        <v>280</v>
      </c>
      <c r="F8" s="25" t="s">
        <v>231</v>
      </c>
      <c r="G8" s="14">
        <v>44841</v>
      </c>
      <c r="H8" s="33">
        <v>250</v>
      </c>
      <c r="I8" s="4" t="s">
        <v>227</v>
      </c>
      <c r="J8" s="8"/>
      <c r="K8" s="9"/>
    </row>
    <row r="9" spans="1:12" ht="15.75" customHeight="1" x14ac:dyDescent="0.2">
      <c r="A9" s="13">
        <v>44841</v>
      </c>
      <c r="B9" s="21">
        <v>80</v>
      </c>
      <c r="C9" s="25" t="s">
        <v>149</v>
      </c>
      <c r="D9" s="13">
        <v>44861</v>
      </c>
      <c r="E9" s="21">
        <v>250</v>
      </c>
      <c r="F9" s="25" t="s">
        <v>233</v>
      </c>
      <c r="G9" s="14">
        <v>44858</v>
      </c>
      <c r="H9" s="33">
        <v>300</v>
      </c>
      <c r="I9" s="4" t="s">
        <v>230</v>
      </c>
      <c r="J9" s="8"/>
      <c r="K9" s="8"/>
    </row>
    <row r="10" spans="1:12" ht="15.75" customHeight="1" x14ac:dyDescent="0.2">
      <c r="A10" s="13"/>
      <c r="B10" s="21">
        <v>40</v>
      </c>
      <c r="C10" s="25" t="s">
        <v>10</v>
      </c>
      <c r="D10" s="13">
        <v>44862</v>
      </c>
      <c r="E10" s="21">
        <v>50</v>
      </c>
      <c r="F10" s="25" t="s">
        <v>234</v>
      </c>
      <c r="G10" s="14"/>
      <c r="H10" s="33">
        <v>800</v>
      </c>
      <c r="I10" s="4" t="s">
        <v>34</v>
      </c>
      <c r="J10" s="8"/>
      <c r="K10" s="8"/>
    </row>
    <row r="11" spans="1:12" ht="15.75" customHeight="1" x14ac:dyDescent="0.2">
      <c r="A11" s="13"/>
      <c r="B11" s="21">
        <v>20</v>
      </c>
      <c r="C11" s="25" t="s">
        <v>10</v>
      </c>
      <c r="D11" s="13">
        <v>44865</v>
      </c>
      <c r="E11" s="21">
        <f>140+8+14+15+10</f>
        <v>187</v>
      </c>
      <c r="F11" s="25" t="s">
        <v>236</v>
      </c>
      <c r="G11" s="14">
        <v>44865</v>
      </c>
      <c r="H11" s="33">
        <f>50-1.481+20</f>
        <v>68.519000000000005</v>
      </c>
      <c r="I11" s="4" t="s">
        <v>238</v>
      </c>
      <c r="J11" s="8"/>
      <c r="K11" s="8"/>
    </row>
    <row r="12" spans="1:12" ht="15.75" customHeight="1" x14ac:dyDescent="0.2">
      <c r="A12" s="13">
        <v>44845</v>
      </c>
      <c r="B12" s="21">
        <v>50</v>
      </c>
      <c r="C12" s="25" t="s">
        <v>10</v>
      </c>
      <c r="D12" s="13"/>
      <c r="E12" s="21"/>
      <c r="F12" s="25"/>
      <c r="G12" s="14"/>
      <c r="H12" s="33"/>
      <c r="I12" s="4"/>
      <c r="J12" s="8"/>
      <c r="K12" s="8"/>
    </row>
    <row r="13" spans="1:12" ht="15.75" customHeight="1" x14ac:dyDescent="0.2">
      <c r="A13" s="13"/>
      <c r="B13" s="21">
        <v>20</v>
      </c>
      <c r="C13" s="25" t="s">
        <v>156</v>
      </c>
      <c r="D13" s="13"/>
      <c r="E13" s="21"/>
      <c r="F13" s="25"/>
      <c r="G13" s="14"/>
      <c r="H13" s="33"/>
      <c r="I13" s="4"/>
      <c r="J13" s="8"/>
      <c r="K13" s="8"/>
    </row>
    <row r="14" spans="1:12" x14ac:dyDescent="0.2">
      <c r="A14" s="13"/>
      <c r="B14" s="21">
        <v>20</v>
      </c>
      <c r="C14" s="25" t="s">
        <v>10</v>
      </c>
      <c r="D14" s="7"/>
      <c r="E14" s="21"/>
      <c r="F14" s="25"/>
      <c r="G14" s="14"/>
      <c r="H14" s="33"/>
      <c r="I14" s="4"/>
      <c r="J14" s="8"/>
      <c r="K14" s="8"/>
    </row>
    <row r="15" spans="1:12" x14ac:dyDescent="0.2">
      <c r="A15" s="13">
        <v>44846</v>
      </c>
      <c r="B15" s="21">
        <v>50</v>
      </c>
      <c r="C15" s="25" t="s">
        <v>228</v>
      </c>
      <c r="D15" s="7"/>
      <c r="E15" s="21"/>
      <c r="F15" s="25"/>
      <c r="G15" s="14">
        <v>44865</v>
      </c>
      <c r="H15" s="33">
        <v>5160</v>
      </c>
      <c r="I15" s="4" t="s">
        <v>237</v>
      </c>
      <c r="J15" s="8"/>
      <c r="K15" s="8"/>
    </row>
    <row r="16" spans="1:12" x14ac:dyDescent="0.2">
      <c r="A16" s="13"/>
      <c r="B16" s="21">
        <v>40</v>
      </c>
      <c r="C16" s="25" t="s">
        <v>10</v>
      </c>
      <c r="D16" s="7"/>
      <c r="E16" s="21"/>
      <c r="F16" s="25"/>
      <c r="G16" s="14"/>
      <c r="H16" s="33"/>
      <c r="I16" s="4"/>
      <c r="J16" s="8"/>
      <c r="K16" s="8"/>
    </row>
    <row r="17" spans="1:12" x14ac:dyDescent="0.2">
      <c r="A17" s="13">
        <v>44848</v>
      </c>
      <c r="B17" s="21">
        <v>16</v>
      </c>
      <c r="C17" s="25" t="s">
        <v>10</v>
      </c>
      <c r="D17" s="7"/>
      <c r="E17" s="21"/>
      <c r="F17" s="25"/>
      <c r="G17" s="14"/>
      <c r="H17" s="33"/>
      <c r="I17" s="4"/>
      <c r="J17" s="8"/>
      <c r="K17" s="8"/>
    </row>
    <row r="18" spans="1:12" x14ac:dyDescent="0.2">
      <c r="A18" s="13">
        <v>44851</v>
      </c>
      <c r="B18" s="21">
        <v>74</v>
      </c>
      <c r="C18" s="25" t="s">
        <v>10</v>
      </c>
      <c r="D18" s="7"/>
      <c r="E18" s="21"/>
      <c r="F18" s="25"/>
      <c r="G18" s="41"/>
      <c r="H18" s="33"/>
      <c r="I18" s="4"/>
      <c r="J18" s="43"/>
      <c r="K18" s="8"/>
      <c r="L18" s="37"/>
    </row>
    <row r="19" spans="1:12" ht="16.5" thickBot="1" x14ac:dyDescent="0.25">
      <c r="A19" s="15">
        <v>44852</v>
      </c>
      <c r="B19" s="22">
        <v>10</v>
      </c>
      <c r="C19" s="26" t="s">
        <v>10</v>
      </c>
      <c r="D19" s="16"/>
      <c r="E19" s="22"/>
      <c r="F19" s="26"/>
      <c r="G19" s="42"/>
      <c r="H19" s="34">
        <v>15001.5</v>
      </c>
      <c r="I19" s="17" t="s">
        <v>229</v>
      </c>
      <c r="J19" s="8"/>
      <c r="K19" s="8"/>
    </row>
    <row r="20" spans="1:12" ht="20.100000000000001" customHeight="1" x14ac:dyDescent="0.2">
      <c r="A20" s="59" t="s">
        <v>1</v>
      </c>
      <c r="B20" s="60"/>
      <c r="C20" s="60"/>
      <c r="D20" s="82">
        <v>4800</v>
      </c>
      <c r="E20" s="82"/>
      <c r="F20" s="83"/>
      <c r="G20" s="18" t="s">
        <v>1</v>
      </c>
      <c r="H20" s="105">
        <v>52402.421000000002</v>
      </c>
      <c r="I20" s="106"/>
      <c r="J20" s="39"/>
      <c r="K20" s="8"/>
    </row>
    <row r="21" spans="1:12" ht="20.100000000000001" customHeight="1" x14ac:dyDescent="0.2">
      <c r="A21" s="61" t="s">
        <v>18</v>
      </c>
      <c r="B21" s="62"/>
      <c r="C21" s="62"/>
      <c r="D21" s="84">
        <f>SUM(B5:B19)+SUM(E5:E19)</f>
        <v>3767</v>
      </c>
      <c r="E21" s="84"/>
      <c r="F21" s="85"/>
      <c r="G21" s="19" t="s">
        <v>193</v>
      </c>
      <c r="H21" s="38">
        <f>H5</f>
        <v>15851.5</v>
      </c>
      <c r="I21" s="44">
        <f>SUM(H6:H18)</f>
        <v>9580.94</v>
      </c>
      <c r="J21" s="39"/>
      <c r="K21" s="8"/>
    </row>
    <row r="22" spans="1:12" ht="36.75" customHeight="1" thickBot="1" x14ac:dyDescent="0.25">
      <c r="A22" s="63" t="s">
        <v>7</v>
      </c>
      <c r="B22" s="64"/>
      <c r="C22" s="64"/>
      <c r="D22" s="65">
        <f>D20-D21</f>
        <v>1033</v>
      </c>
      <c r="E22" s="65"/>
      <c r="F22" s="66"/>
      <c r="G22" s="20" t="s">
        <v>7</v>
      </c>
      <c r="H22" s="103">
        <f>H20+H21-SUM(H6:H19)</f>
        <v>43671.481</v>
      </c>
      <c r="I22" s="104"/>
      <c r="J22" s="39"/>
      <c r="K22" s="8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B2B7-1CE7-40E2-8A01-742CFA487C2D}">
  <dimension ref="A1:L22"/>
  <sheetViews>
    <sheetView workbookViewId="0">
      <selection activeCell="H14" sqref="H14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95" t="s">
        <v>215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2" ht="15.75" customHeight="1" x14ac:dyDescent="0.2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101" t="s">
        <v>192</v>
      </c>
      <c r="K3" s="10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702</v>
      </c>
      <c r="L4" s="10"/>
    </row>
    <row r="5" spans="1:12" ht="15.75" customHeight="1" x14ac:dyDescent="0.2">
      <c r="A5" s="13">
        <v>44866</v>
      </c>
      <c r="B5" s="21">
        <v>1930</v>
      </c>
      <c r="C5" s="46" t="s">
        <v>37</v>
      </c>
      <c r="D5" s="13"/>
      <c r="E5" s="21"/>
      <c r="F5" s="25"/>
      <c r="G5" s="14"/>
      <c r="H5" s="33">
        <f>16148.5+15065.205</f>
        <v>31213.705000000002</v>
      </c>
      <c r="I5" s="4"/>
      <c r="J5" s="8" t="s">
        <v>14</v>
      </c>
      <c r="K5" s="9">
        <v>776</v>
      </c>
    </row>
    <row r="6" spans="1:12" ht="15.75" customHeight="1" x14ac:dyDescent="0.2">
      <c r="A6" s="13">
        <v>44866</v>
      </c>
      <c r="B6" s="21">
        <v>43</v>
      </c>
      <c r="C6" s="46" t="s">
        <v>35</v>
      </c>
      <c r="D6" s="13"/>
      <c r="E6" s="21"/>
      <c r="F6" s="25"/>
      <c r="G6" s="14">
        <v>44866</v>
      </c>
      <c r="H6" s="33">
        <f>3000-795</f>
        <v>2205</v>
      </c>
      <c r="I6" s="4" t="s">
        <v>41</v>
      </c>
      <c r="J6" s="8" t="s">
        <v>116</v>
      </c>
      <c r="K6" s="9">
        <f>(K5-K4)*3+1700</f>
        <v>1922</v>
      </c>
    </row>
    <row r="7" spans="1:12" ht="15.75" customHeight="1" x14ac:dyDescent="0.2">
      <c r="A7" s="13"/>
      <c r="B7" s="21">
        <v>119</v>
      </c>
      <c r="C7" s="25" t="s">
        <v>35</v>
      </c>
      <c r="D7" s="13"/>
      <c r="E7" s="21"/>
      <c r="F7" s="25"/>
      <c r="G7" s="14">
        <v>44873</v>
      </c>
      <c r="H7" s="33">
        <v>66.480999999999995</v>
      </c>
      <c r="I7" s="4" t="s">
        <v>239</v>
      </c>
      <c r="J7" s="8"/>
      <c r="K7" s="9"/>
    </row>
    <row r="8" spans="1:12" ht="15.75" customHeight="1" x14ac:dyDescent="0.2">
      <c r="A8" s="13">
        <v>44872</v>
      </c>
      <c r="B8" s="21">
        <v>70</v>
      </c>
      <c r="C8" s="25" t="s">
        <v>110</v>
      </c>
      <c r="D8" s="13"/>
      <c r="E8" s="21"/>
      <c r="F8" s="25"/>
      <c r="G8" s="14"/>
      <c r="H8" s="33">
        <v>400</v>
      </c>
      <c r="I8" s="4" t="s">
        <v>240</v>
      </c>
      <c r="J8" s="8"/>
      <c r="K8" s="9"/>
    </row>
    <row r="9" spans="1:12" ht="15.75" customHeight="1" x14ac:dyDescent="0.2">
      <c r="A9" s="13"/>
      <c r="B9" s="21">
        <v>73</v>
      </c>
      <c r="C9" s="25" t="s">
        <v>35</v>
      </c>
      <c r="D9" s="13"/>
      <c r="E9" s="21"/>
      <c r="F9" s="25"/>
      <c r="G9" s="14">
        <v>44874</v>
      </c>
      <c r="H9" s="33">
        <v>500</v>
      </c>
      <c r="I9" s="4"/>
      <c r="J9" s="8"/>
      <c r="K9" s="8"/>
    </row>
    <row r="10" spans="1:12" ht="15.75" customHeight="1" x14ac:dyDescent="0.2">
      <c r="A10" s="13"/>
      <c r="B10" s="21">
        <v>3</v>
      </c>
      <c r="C10" s="25" t="s">
        <v>36</v>
      </c>
      <c r="D10" s="13"/>
      <c r="E10" s="21"/>
      <c r="F10" s="25"/>
      <c r="G10" s="14">
        <v>44879</v>
      </c>
      <c r="H10" s="33">
        <v>169</v>
      </c>
      <c r="I10" s="4" t="s">
        <v>248</v>
      </c>
      <c r="J10" s="8"/>
      <c r="K10" s="8"/>
    </row>
    <row r="11" spans="1:12" ht="15.75" customHeight="1" x14ac:dyDescent="0.2">
      <c r="A11" s="13">
        <v>44874</v>
      </c>
      <c r="B11" s="21">
        <v>15</v>
      </c>
      <c r="C11" s="25" t="s">
        <v>35</v>
      </c>
      <c r="D11" s="13"/>
      <c r="E11" s="21"/>
      <c r="F11" s="25"/>
      <c r="G11" s="14"/>
      <c r="H11" s="33">
        <v>-20</v>
      </c>
      <c r="I11" s="4"/>
      <c r="J11" s="8"/>
      <c r="K11" s="8"/>
    </row>
    <row r="12" spans="1:12" ht="15.75" customHeight="1" x14ac:dyDescent="0.2">
      <c r="A12" s="13">
        <v>44875</v>
      </c>
      <c r="B12" s="21">
        <v>15</v>
      </c>
      <c r="C12" s="25" t="s">
        <v>35</v>
      </c>
      <c r="D12" s="13"/>
      <c r="E12" s="21"/>
      <c r="F12" s="25"/>
      <c r="G12" s="14">
        <v>44893</v>
      </c>
      <c r="H12" s="33">
        <v>765</v>
      </c>
      <c r="I12" s="4" t="s">
        <v>251</v>
      </c>
      <c r="J12" s="8"/>
      <c r="K12" s="8"/>
    </row>
    <row r="13" spans="1:12" ht="15.75" customHeight="1" x14ac:dyDescent="0.2">
      <c r="A13" s="13"/>
      <c r="B13" s="21">
        <v>24</v>
      </c>
      <c r="C13" s="25" t="s">
        <v>35</v>
      </c>
      <c r="D13" s="13"/>
      <c r="E13" s="21"/>
      <c r="F13" s="25"/>
      <c r="G13" s="14"/>
      <c r="H13" s="33">
        <v>-47.500999999999998</v>
      </c>
      <c r="I13" s="4" t="s">
        <v>252</v>
      </c>
      <c r="J13" s="8"/>
      <c r="K13" s="8"/>
    </row>
    <row r="14" spans="1:12" x14ac:dyDescent="0.2">
      <c r="A14" s="13">
        <v>44876</v>
      </c>
      <c r="B14" s="21">
        <v>90</v>
      </c>
      <c r="C14" s="25"/>
      <c r="D14" s="7"/>
      <c r="E14" s="21"/>
      <c r="F14" s="25"/>
      <c r="G14" s="14">
        <v>44895</v>
      </c>
      <c r="H14" s="33">
        <f>50+214.5</f>
        <v>264.5</v>
      </c>
      <c r="I14" s="4"/>
      <c r="J14" s="8"/>
      <c r="K14" s="8"/>
    </row>
    <row r="15" spans="1:12" x14ac:dyDescent="0.2">
      <c r="A15" s="13">
        <v>44879</v>
      </c>
      <c r="B15" s="21">
        <f>45+5+56+50</f>
        <v>156</v>
      </c>
      <c r="C15" s="25" t="s">
        <v>249</v>
      </c>
      <c r="D15" s="7"/>
      <c r="E15" s="21"/>
      <c r="F15" s="25"/>
      <c r="G15" s="14"/>
      <c r="H15" s="33"/>
      <c r="I15" s="4"/>
      <c r="J15" s="8"/>
      <c r="K15" s="8"/>
    </row>
    <row r="16" spans="1:12" x14ac:dyDescent="0.2">
      <c r="A16" s="13">
        <v>44886</v>
      </c>
      <c r="B16" s="21">
        <f>80+67+20</f>
        <v>167</v>
      </c>
      <c r="C16" s="25" t="s">
        <v>250</v>
      </c>
      <c r="D16" s="7"/>
      <c r="E16" s="21"/>
      <c r="F16" s="25"/>
      <c r="G16" s="14"/>
      <c r="H16" s="33"/>
      <c r="I16" s="4"/>
      <c r="J16" s="8"/>
      <c r="K16" s="8"/>
    </row>
    <row r="17" spans="1:12" x14ac:dyDescent="0.2">
      <c r="A17" s="13">
        <v>44888</v>
      </c>
      <c r="B17" s="21">
        <v>20</v>
      </c>
      <c r="C17" s="25"/>
      <c r="D17" s="7"/>
      <c r="E17" s="21"/>
      <c r="F17" s="25"/>
      <c r="G17" s="14"/>
      <c r="H17" s="33"/>
      <c r="I17" s="4"/>
      <c r="J17" s="8"/>
      <c r="K17" s="8"/>
    </row>
    <row r="18" spans="1:12" x14ac:dyDescent="0.2">
      <c r="A18" s="13"/>
      <c r="B18" s="21"/>
      <c r="C18" s="25"/>
      <c r="D18" s="7"/>
      <c r="E18" s="21"/>
      <c r="F18" s="25"/>
      <c r="G18" s="41"/>
      <c r="H18" s="33"/>
      <c r="I18" s="4"/>
      <c r="J18" s="43"/>
      <c r="K18" s="8"/>
      <c r="L18" s="37"/>
    </row>
    <row r="19" spans="1:12" ht="16.5" thickBot="1" x14ac:dyDescent="0.25">
      <c r="A19" s="15"/>
      <c r="B19" s="22"/>
      <c r="C19" s="26"/>
      <c r="D19" s="16"/>
      <c r="E19" s="22"/>
      <c r="F19" s="26"/>
      <c r="G19" s="42"/>
      <c r="H19" s="34">
        <v>47847.205999999998</v>
      </c>
      <c r="I19" s="17" t="s">
        <v>253</v>
      </c>
      <c r="J19" s="8"/>
      <c r="K19" s="8"/>
    </row>
    <row r="20" spans="1:12" ht="20.100000000000001" customHeight="1" x14ac:dyDescent="0.2">
      <c r="A20" s="59" t="s">
        <v>1</v>
      </c>
      <c r="B20" s="60"/>
      <c r="C20" s="60"/>
      <c r="D20" s="82">
        <f>3033-795+500</f>
        <v>2738</v>
      </c>
      <c r="E20" s="82"/>
      <c r="F20" s="83"/>
      <c r="G20" s="18" t="s">
        <v>1</v>
      </c>
      <c r="H20" s="105">
        <v>43671.481</v>
      </c>
      <c r="I20" s="106"/>
      <c r="J20" s="39"/>
      <c r="K20" s="8"/>
    </row>
    <row r="21" spans="1:12" ht="20.100000000000001" customHeight="1" x14ac:dyDescent="0.2">
      <c r="A21" s="61" t="s">
        <v>18</v>
      </c>
      <c r="B21" s="62"/>
      <c r="C21" s="62"/>
      <c r="D21" s="84">
        <f>SUM(B5:B19)+SUM(E5:E19)</f>
        <v>2725</v>
      </c>
      <c r="E21" s="84"/>
      <c r="F21" s="85"/>
      <c r="G21" s="19" t="s">
        <v>193</v>
      </c>
      <c r="H21" s="38">
        <f>H5</f>
        <v>31213.705000000002</v>
      </c>
      <c r="I21" s="44">
        <f>SUM(H6:H18)</f>
        <v>4302.4799999999996</v>
      </c>
      <c r="J21" s="39"/>
      <c r="K21" s="8"/>
    </row>
    <row r="22" spans="1:12" ht="36.75" customHeight="1" thickBot="1" x14ac:dyDescent="0.25">
      <c r="A22" s="63" t="s">
        <v>7</v>
      </c>
      <c r="B22" s="64"/>
      <c r="C22" s="64"/>
      <c r="D22" s="65">
        <f>D20-D21</f>
        <v>13</v>
      </c>
      <c r="E22" s="65"/>
      <c r="F22" s="66"/>
      <c r="G22" s="20" t="s">
        <v>7</v>
      </c>
      <c r="H22" s="107">
        <f>H20+H21-SUM(H6:H19)</f>
        <v>22735.5</v>
      </c>
      <c r="I22" s="108"/>
      <c r="J22" s="39"/>
      <c r="K22" s="8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K1" sqref="K1:K2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27</v>
      </c>
      <c r="B1" s="75"/>
      <c r="C1" s="75"/>
      <c r="D1" s="75"/>
      <c r="E1" s="75"/>
      <c r="F1" s="75"/>
      <c r="G1" s="75"/>
      <c r="H1" s="75"/>
      <c r="I1" s="75"/>
      <c r="J1" s="73" t="s">
        <v>24</v>
      </c>
      <c r="K1" s="72">
        <f>D26-B7</f>
        <v>4173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73"/>
      <c r="K2" s="7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f>DATEDIF(A5,D7,"d")+1</f>
        <v>50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83.46</v>
      </c>
      <c r="L4" s="10"/>
    </row>
    <row r="5" spans="1:12" x14ac:dyDescent="0.2">
      <c r="A5" s="5">
        <v>44326</v>
      </c>
      <c r="B5" s="6">
        <v>300</v>
      </c>
      <c r="C5" s="6" t="s">
        <v>9</v>
      </c>
      <c r="D5" s="13">
        <v>44371</v>
      </c>
      <c r="E5" s="7">
        <f>21+25</f>
        <v>46</v>
      </c>
      <c r="F5" s="7" t="s">
        <v>10</v>
      </c>
      <c r="G5" s="4"/>
      <c r="H5" s="4">
        <v>-0.127</v>
      </c>
      <c r="I5" s="4"/>
      <c r="J5" s="73"/>
      <c r="K5" s="73"/>
    </row>
    <row r="6" spans="1:12" x14ac:dyDescent="0.2">
      <c r="A6" s="5"/>
      <c r="B6" s="6">
        <v>30</v>
      </c>
      <c r="C6" s="6" t="s">
        <v>5</v>
      </c>
      <c r="D6" s="13">
        <v>44372</v>
      </c>
      <c r="E6" s="7">
        <v>-64</v>
      </c>
      <c r="F6" s="7"/>
      <c r="G6" s="14">
        <v>44314</v>
      </c>
      <c r="H6" s="4">
        <v>200</v>
      </c>
      <c r="I6" s="4" t="s">
        <v>6</v>
      </c>
      <c r="J6" s="73"/>
      <c r="K6" s="73"/>
    </row>
    <row r="7" spans="1:12" x14ac:dyDescent="0.2">
      <c r="A7" s="13">
        <v>44329</v>
      </c>
      <c r="B7" s="7">
        <f>290-50+87</f>
        <v>327</v>
      </c>
      <c r="C7" s="7" t="s">
        <v>42</v>
      </c>
      <c r="D7" s="13">
        <v>44375</v>
      </c>
      <c r="E7" s="7">
        <v>79</v>
      </c>
      <c r="F7" s="7"/>
      <c r="G7" s="14">
        <v>44321</v>
      </c>
      <c r="H7" s="4">
        <v>1500</v>
      </c>
      <c r="I7" s="4" t="s">
        <v>34</v>
      </c>
      <c r="J7" s="73"/>
      <c r="K7" s="73"/>
    </row>
    <row r="8" spans="1:12" x14ac:dyDescent="0.2">
      <c r="A8" s="13">
        <v>44332</v>
      </c>
      <c r="B8" s="7">
        <v>43</v>
      </c>
      <c r="C8" s="7" t="s">
        <v>10</v>
      </c>
      <c r="D8" s="13"/>
      <c r="E8" s="7"/>
      <c r="F8" s="7"/>
      <c r="G8" s="14">
        <v>44324</v>
      </c>
      <c r="H8" s="4">
        <v>100</v>
      </c>
      <c r="I8" s="4" t="s">
        <v>34</v>
      </c>
      <c r="J8" s="73"/>
      <c r="K8" s="73"/>
    </row>
    <row r="9" spans="1:12" x14ac:dyDescent="0.2">
      <c r="A9" s="13">
        <v>44333</v>
      </c>
      <c r="B9" s="7">
        <v>200</v>
      </c>
      <c r="C9" s="7" t="s">
        <v>9</v>
      </c>
      <c r="D9" s="13"/>
      <c r="E9" s="7"/>
      <c r="F9" s="7"/>
      <c r="G9" s="14">
        <v>44326</v>
      </c>
      <c r="H9" s="4">
        <v>-6937.5</v>
      </c>
      <c r="I9" s="4" t="s">
        <v>40</v>
      </c>
      <c r="J9" s="73"/>
      <c r="K9" s="73"/>
    </row>
    <row r="10" spans="1:12" x14ac:dyDescent="0.2">
      <c r="A10" s="13">
        <v>44352</v>
      </c>
      <c r="B10" s="7">
        <v>715</v>
      </c>
      <c r="C10" s="7" t="s">
        <v>44</v>
      </c>
      <c r="D10" s="7"/>
      <c r="E10" s="7"/>
      <c r="F10" s="7"/>
      <c r="G10" s="4"/>
      <c r="H10" s="4">
        <v>500</v>
      </c>
      <c r="I10" s="4" t="s">
        <v>41</v>
      </c>
      <c r="J10" s="73"/>
      <c r="K10" s="73"/>
    </row>
    <row r="11" spans="1:12" x14ac:dyDescent="0.2">
      <c r="A11" s="13">
        <v>44355</v>
      </c>
      <c r="B11" s="7">
        <f>42+18+17+39</f>
        <v>116</v>
      </c>
      <c r="C11" s="7" t="s">
        <v>10</v>
      </c>
      <c r="D11" s="13"/>
      <c r="E11" s="7"/>
      <c r="F11" s="7"/>
      <c r="G11" s="14">
        <v>44352</v>
      </c>
      <c r="H11" s="4">
        <f>110+4000+100+5839.702-0.279+170</f>
        <v>10219.423000000001</v>
      </c>
      <c r="I11" s="4" t="s">
        <v>43</v>
      </c>
      <c r="J11" s="73"/>
      <c r="K11" s="73"/>
    </row>
    <row r="12" spans="1:12" x14ac:dyDescent="0.2">
      <c r="A12" s="13"/>
      <c r="B12" s="7">
        <f>25+44</f>
        <v>69</v>
      </c>
      <c r="C12" s="7" t="s">
        <v>45</v>
      </c>
      <c r="D12" s="13"/>
      <c r="E12" s="7"/>
      <c r="F12" s="7"/>
      <c r="G12" s="14">
        <v>44357</v>
      </c>
      <c r="H12" s="4">
        <v>-6937.5</v>
      </c>
      <c r="I12" s="4" t="s">
        <v>40</v>
      </c>
      <c r="J12" s="73"/>
      <c r="K12" s="73"/>
    </row>
    <row r="13" spans="1:12" x14ac:dyDescent="0.2">
      <c r="A13" s="13">
        <v>44357</v>
      </c>
      <c r="B13" s="7">
        <f>15+38-4</f>
        <v>49</v>
      </c>
      <c r="C13" s="7" t="s">
        <v>10</v>
      </c>
      <c r="D13" s="7"/>
      <c r="E13" s="7"/>
      <c r="F13" s="7"/>
      <c r="G13" s="4"/>
      <c r="H13" s="4">
        <v>90</v>
      </c>
      <c r="I13" s="4" t="s">
        <v>46</v>
      </c>
      <c r="J13" s="73"/>
      <c r="K13" s="73"/>
    </row>
    <row r="14" spans="1:12" x14ac:dyDescent="0.2">
      <c r="A14" s="13">
        <v>44359</v>
      </c>
      <c r="B14" s="7">
        <v>1830</v>
      </c>
      <c r="C14" s="7" t="s">
        <v>48</v>
      </c>
      <c r="D14" s="7"/>
      <c r="E14" s="7"/>
      <c r="F14" s="7"/>
      <c r="G14" s="4"/>
      <c r="H14" s="4">
        <v>50</v>
      </c>
      <c r="I14" s="4" t="s">
        <v>47</v>
      </c>
      <c r="J14" s="73"/>
      <c r="K14" s="73"/>
    </row>
    <row r="15" spans="1:12" x14ac:dyDescent="0.2">
      <c r="A15" s="13"/>
      <c r="B15" s="7">
        <f>42+25</f>
        <v>67</v>
      </c>
      <c r="C15" s="7" t="s">
        <v>10</v>
      </c>
      <c r="D15" s="7"/>
      <c r="E15" s="7"/>
      <c r="F15" s="7"/>
      <c r="G15" s="14">
        <v>44361</v>
      </c>
      <c r="H15" s="4">
        <v>-400</v>
      </c>
      <c r="I15" s="4" t="s">
        <v>50</v>
      </c>
      <c r="J15" s="73"/>
      <c r="K15" s="73"/>
    </row>
    <row r="16" spans="1:12" x14ac:dyDescent="0.2">
      <c r="A16" s="13">
        <v>44360</v>
      </c>
      <c r="B16" s="7">
        <f>25+40+34+25</f>
        <v>124</v>
      </c>
      <c r="C16" s="7" t="s">
        <v>51</v>
      </c>
      <c r="D16" s="7"/>
      <c r="E16" s="7"/>
      <c r="F16" s="7"/>
      <c r="G16" s="14">
        <v>44364</v>
      </c>
      <c r="H16" s="4">
        <v>-58.396999999999998</v>
      </c>
      <c r="I16" s="4" t="s">
        <v>54</v>
      </c>
      <c r="J16" s="73"/>
      <c r="K16" s="73"/>
    </row>
    <row r="17" spans="1:12" x14ac:dyDescent="0.2">
      <c r="A17" s="13">
        <v>44361</v>
      </c>
      <c r="B17" s="7">
        <f>38+16</f>
        <v>54</v>
      </c>
      <c r="C17" s="7" t="s">
        <v>10</v>
      </c>
      <c r="D17" s="7"/>
      <c r="E17" s="7"/>
      <c r="F17" s="7"/>
      <c r="G17" s="14">
        <v>44371</v>
      </c>
      <c r="H17" s="4">
        <v>120</v>
      </c>
      <c r="I17" s="4" t="s">
        <v>56</v>
      </c>
      <c r="J17" s="73"/>
      <c r="K17" s="73"/>
    </row>
    <row r="18" spans="1:12" x14ac:dyDescent="0.2">
      <c r="A18" s="13">
        <v>44362</v>
      </c>
      <c r="B18" s="7">
        <v>20</v>
      </c>
      <c r="C18" s="7" t="s">
        <v>10</v>
      </c>
      <c r="D18" s="7"/>
      <c r="E18" s="7"/>
      <c r="F18" s="7"/>
      <c r="G18" s="14">
        <v>44372</v>
      </c>
      <c r="H18" s="4">
        <v>200</v>
      </c>
      <c r="I18" s="4" t="s">
        <v>10</v>
      </c>
      <c r="J18" s="73"/>
      <c r="K18" s="73"/>
    </row>
    <row r="19" spans="1:12" x14ac:dyDescent="0.2">
      <c r="A19" s="13">
        <v>44364</v>
      </c>
      <c r="B19" s="7">
        <v>109</v>
      </c>
      <c r="C19" s="7" t="s">
        <v>52</v>
      </c>
      <c r="D19" s="7"/>
      <c r="E19" s="7"/>
      <c r="F19" s="7"/>
      <c r="G19" s="14">
        <v>44375</v>
      </c>
      <c r="H19" s="4">
        <f>-0.158+3000</f>
        <v>2999.8420000000001</v>
      </c>
      <c r="I19" s="4" t="s">
        <v>22</v>
      </c>
      <c r="J19" s="8" t="s">
        <v>13</v>
      </c>
      <c r="K19" s="9">
        <v>8058</v>
      </c>
    </row>
    <row r="20" spans="1:12" x14ac:dyDescent="0.2">
      <c r="A20" s="13"/>
      <c r="B20" s="7">
        <v>42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8140</v>
      </c>
    </row>
    <row r="21" spans="1:12" x14ac:dyDescent="0.2">
      <c r="A21" s="13">
        <v>44365</v>
      </c>
      <c r="B21" s="7">
        <v>108</v>
      </c>
      <c r="C21" s="7" t="s">
        <v>53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82</v>
      </c>
    </row>
    <row r="22" spans="1:12" x14ac:dyDescent="0.2">
      <c r="A22" s="7"/>
      <c r="B22" s="7">
        <v>37</v>
      </c>
      <c r="C22" s="7" t="s">
        <v>10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287</v>
      </c>
    </row>
    <row r="23" spans="1:12" x14ac:dyDescent="0.2">
      <c r="A23" s="13">
        <v>44368</v>
      </c>
      <c r="B23" s="7">
        <f>50+55+20</f>
        <v>125</v>
      </c>
      <c r="C23" s="7" t="s">
        <v>55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  <c r="L23" s="2" t="s">
        <v>49</v>
      </c>
    </row>
    <row r="24" spans="1:12" ht="16.5" thickBot="1" x14ac:dyDescent="0.25">
      <c r="A24" s="15">
        <v>44369</v>
      </c>
      <c r="B24" s="16">
        <f>40+34</f>
        <v>74</v>
      </c>
      <c r="C24" s="16" t="s">
        <v>10</v>
      </c>
      <c r="D24" s="16"/>
      <c r="E24" s="16"/>
      <c r="F24" s="16"/>
      <c r="G24" s="17"/>
      <c r="H24" s="17"/>
      <c r="I24" s="17"/>
      <c r="J24" s="8" t="s">
        <v>17</v>
      </c>
      <c r="K24" s="8">
        <f>K23+K22</f>
        <v>1817</v>
      </c>
    </row>
    <row r="25" spans="1:12" ht="20.100000000000001" customHeight="1" x14ac:dyDescent="0.2">
      <c r="A25" s="59" t="s">
        <v>1</v>
      </c>
      <c r="B25" s="60"/>
      <c r="C25" s="60"/>
      <c r="D25" s="82">
        <f>1600+2900+3000</f>
        <v>7500</v>
      </c>
      <c r="E25" s="82"/>
      <c r="F25" s="83"/>
      <c r="G25" s="18" t="s">
        <v>1</v>
      </c>
      <c r="H25" s="67">
        <v>7431.75</v>
      </c>
      <c r="I25" s="68"/>
      <c r="J25" s="78" t="s">
        <v>23</v>
      </c>
      <c r="K25" s="79"/>
    </row>
    <row r="26" spans="1:12" ht="20.100000000000001" customHeight="1" x14ac:dyDescent="0.2">
      <c r="A26" s="61" t="s">
        <v>18</v>
      </c>
      <c r="B26" s="62"/>
      <c r="C26" s="62"/>
      <c r="D26" s="84">
        <f>SUM(B5:B24)+SUM(E5:E24)</f>
        <v>4500</v>
      </c>
      <c r="E26" s="84"/>
      <c r="F26" s="85"/>
      <c r="G26" s="19" t="s">
        <v>22</v>
      </c>
      <c r="H26" s="69">
        <f>SUM(H5:H24)</f>
        <v>1645.7410000000004</v>
      </c>
      <c r="I26" s="70"/>
      <c r="J26" s="80">
        <f>D27+H27</f>
        <v>8786.009</v>
      </c>
      <c r="K26" s="81"/>
    </row>
    <row r="27" spans="1:12" ht="36.75" customHeight="1" thickBot="1" x14ac:dyDescent="0.25">
      <c r="A27" s="63" t="s">
        <v>7</v>
      </c>
      <c r="B27" s="64"/>
      <c r="C27" s="64"/>
      <c r="D27" s="65">
        <f>D25-D26-L24</f>
        <v>3000</v>
      </c>
      <c r="E27" s="65"/>
      <c r="F27" s="66"/>
      <c r="G27" s="20" t="s">
        <v>7</v>
      </c>
      <c r="H27" s="76">
        <f>H25-H26</f>
        <v>5786.009</v>
      </c>
      <c r="I27" s="77"/>
      <c r="J27" s="80"/>
      <c r="K27" s="81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BE87-36C9-4B53-A292-DC3B21731D28}">
  <dimension ref="A1:L22"/>
  <sheetViews>
    <sheetView tabSelected="1" workbookViewId="0">
      <selection activeCell="C10" sqref="C10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95" t="s">
        <v>215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2" ht="15.75" customHeight="1" x14ac:dyDescent="0.2">
      <c r="A2" s="98"/>
      <c r="B2" s="99"/>
      <c r="C2" s="99"/>
      <c r="D2" s="99"/>
      <c r="E2" s="99"/>
      <c r="F2" s="99"/>
      <c r="G2" s="99"/>
      <c r="H2" s="99"/>
      <c r="I2" s="99"/>
      <c r="J2" s="99"/>
      <c r="K2" s="100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101" t="s">
        <v>192</v>
      </c>
      <c r="K3" s="102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776</v>
      </c>
      <c r="L4" s="10"/>
    </row>
    <row r="5" spans="1:12" ht="15.75" customHeight="1" x14ac:dyDescent="0.2">
      <c r="A5" s="13">
        <v>44896</v>
      </c>
      <c r="B5" s="21">
        <v>1990</v>
      </c>
      <c r="C5" s="46" t="s">
        <v>48</v>
      </c>
      <c r="D5" s="13"/>
      <c r="E5" s="21"/>
      <c r="F5" s="25"/>
      <c r="G5" s="14">
        <v>44905</v>
      </c>
      <c r="H5" s="33">
        <v>15802</v>
      </c>
      <c r="I5" s="4" t="s">
        <v>90</v>
      </c>
      <c r="J5" s="8" t="s">
        <v>14</v>
      </c>
      <c r="K5" s="9">
        <v>856</v>
      </c>
    </row>
    <row r="6" spans="1:12" ht="15.75" customHeight="1" x14ac:dyDescent="0.2">
      <c r="A6" s="13">
        <v>44898</v>
      </c>
      <c r="B6" s="21">
        <f>135+45+75+0</f>
        <v>255</v>
      </c>
      <c r="C6" s="46"/>
      <c r="D6" s="13"/>
      <c r="E6" s="21"/>
      <c r="F6" s="25"/>
      <c r="G6" s="14">
        <v>44896</v>
      </c>
      <c r="H6" s="33">
        <f>430+2000</f>
        <v>2430</v>
      </c>
      <c r="I6" s="4" t="s">
        <v>254</v>
      </c>
      <c r="J6" s="8" t="s">
        <v>116</v>
      </c>
      <c r="K6" s="9">
        <f>(K5-K4)*3+1700+50</f>
        <v>1990</v>
      </c>
    </row>
    <row r="7" spans="1:12" ht="15.75" customHeight="1" x14ac:dyDescent="0.2">
      <c r="A7" s="13"/>
      <c r="B7" s="21">
        <v>200</v>
      </c>
      <c r="C7" s="25" t="s">
        <v>255</v>
      </c>
      <c r="D7" s="13"/>
      <c r="E7" s="21"/>
      <c r="F7" s="25"/>
      <c r="G7" s="14">
        <v>44898</v>
      </c>
      <c r="H7" s="33">
        <v>805.5</v>
      </c>
      <c r="I7" s="4" t="s">
        <v>22</v>
      </c>
      <c r="J7" s="8"/>
      <c r="K7" s="9"/>
    </row>
    <row r="8" spans="1:12" ht="15.75" customHeight="1" x14ac:dyDescent="0.2">
      <c r="A8" s="13">
        <v>44903</v>
      </c>
      <c r="B8" s="21">
        <v>140</v>
      </c>
      <c r="C8" s="25" t="s">
        <v>85</v>
      </c>
      <c r="D8" s="13"/>
      <c r="E8" s="21"/>
      <c r="F8" s="25"/>
      <c r="G8" s="14"/>
      <c r="H8" s="33"/>
      <c r="I8" s="4"/>
      <c r="J8" s="8"/>
      <c r="K8" s="9"/>
    </row>
    <row r="9" spans="1:12" ht="15.75" customHeight="1" x14ac:dyDescent="0.2">
      <c r="A9" s="13">
        <v>44904</v>
      </c>
      <c r="B9" s="21">
        <v>355</v>
      </c>
      <c r="C9" s="25" t="s">
        <v>10</v>
      </c>
      <c r="D9" s="13"/>
      <c r="E9" s="21"/>
      <c r="F9" s="25"/>
      <c r="G9" s="14"/>
      <c r="H9" s="33"/>
      <c r="I9" s="4"/>
      <c r="J9" s="8"/>
      <c r="K9" s="8"/>
    </row>
    <row r="10" spans="1:12" ht="15.75" customHeight="1" x14ac:dyDescent="0.2">
      <c r="A10" s="13"/>
      <c r="B10" s="21"/>
      <c r="C10" s="25"/>
      <c r="D10" s="13"/>
      <c r="E10" s="21"/>
      <c r="F10" s="25"/>
      <c r="G10" s="14"/>
      <c r="H10" s="33"/>
      <c r="I10" s="4"/>
      <c r="J10" s="8"/>
      <c r="K10" s="8"/>
    </row>
    <row r="11" spans="1:12" ht="15.75" customHeight="1" x14ac:dyDescent="0.2">
      <c r="A11" s="13"/>
      <c r="B11" s="21"/>
      <c r="C11" s="25"/>
      <c r="D11" s="13"/>
      <c r="E11" s="21"/>
      <c r="F11" s="25"/>
      <c r="G11" s="14"/>
      <c r="H11" s="33"/>
      <c r="I11" s="4"/>
      <c r="J11" s="8"/>
      <c r="K11" s="8"/>
    </row>
    <row r="12" spans="1:12" ht="15.75" customHeight="1" x14ac:dyDescent="0.2">
      <c r="A12" s="13"/>
      <c r="B12" s="21"/>
      <c r="C12" s="25"/>
      <c r="D12" s="13"/>
      <c r="E12" s="21"/>
      <c r="F12" s="25"/>
      <c r="G12" s="14"/>
      <c r="H12" s="33"/>
      <c r="I12" s="4"/>
      <c r="J12" s="8"/>
      <c r="K12" s="8"/>
    </row>
    <row r="13" spans="1:12" ht="15.75" customHeight="1" x14ac:dyDescent="0.2">
      <c r="A13" s="13"/>
      <c r="B13" s="21"/>
      <c r="C13" s="25"/>
      <c r="D13" s="13"/>
      <c r="E13" s="21"/>
      <c r="F13" s="25"/>
      <c r="G13" s="14"/>
      <c r="H13" s="33"/>
      <c r="I13" s="4"/>
      <c r="J13" s="8"/>
      <c r="K13" s="8"/>
    </row>
    <row r="14" spans="1:12" x14ac:dyDescent="0.2">
      <c r="A14" s="13"/>
      <c r="B14" s="21"/>
      <c r="C14" s="25"/>
      <c r="D14" s="7"/>
      <c r="E14" s="21"/>
      <c r="F14" s="25"/>
      <c r="G14" s="14"/>
      <c r="H14" s="33"/>
      <c r="I14" s="4"/>
      <c r="J14" s="8"/>
      <c r="K14" s="8"/>
    </row>
    <row r="15" spans="1:12" x14ac:dyDescent="0.2">
      <c r="A15" s="13"/>
      <c r="B15" s="21"/>
      <c r="C15" s="25"/>
      <c r="D15" s="7"/>
      <c r="E15" s="21"/>
      <c r="F15" s="25"/>
      <c r="G15" s="14"/>
      <c r="H15" s="33"/>
      <c r="I15" s="4"/>
      <c r="J15" s="8"/>
      <c r="K15" s="8"/>
    </row>
    <row r="16" spans="1:12" x14ac:dyDescent="0.2">
      <c r="A16" s="13"/>
      <c r="B16" s="21"/>
      <c r="C16" s="25"/>
      <c r="D16" s="7"/>
      <c r="E16" s="21"/>
      <c r="F16" s="25"/>
      <c r="G16" s="14"/>
      <c r="H16" s="33"/>
      <c r="I16" s="4"/>
      <c r="J16" s="8"/>
      <c r="K16" s="8"/>
    </row>
    <row r="17" spans="1:12" x14ac:dyDescent="0.2">
      <c r="A17" s="13"/>
      <c r="B17" s="21"/>
      <c r="C17" s="25"/>
      <c r="D17" s="7"/>
      <c r="E17" s="21"/>
      <c r="F17" s="25"/>
      <c r="G17" s="14"/>
      <c r="H17" s="33"/>
      <c r="I17" s="4"/>
      <c r="J17" s="8"/>
      <c r="K17" s="8"/>
    </row>
    <row r="18" spans="1:12" x14ac:dyDescent="0.2">
      <c r="A18" s="13"/>
      <c r="B18" s="21"/>
      <c r="C18" s="25"/>
      <c r="D18" s="7"/>
      <c r="E18" s="21"/>
      <c r="F18" s="25"/>
      <c r="G18" s="41"/>
      <c r="H18" s="33"/>
      <c r="I18" s="4"/>
      <c r="J18" s="43"/>
      <c r="K18" s="8"/>
      <c r="L18" s="37"/>
    </row>
    <row r="19" spans="1:12" ht="16.5" thickBot="1" x14ac:dyDescent="0.25">
      <c r="A19" s="15"/>
      <c r="B19" s="22"/>
      <c r="C19" s="26"/>
      <c r="D19" s="16"/>
      <c r="E19" s="22"/>
      <c r="F19" s="26"/>
      <c r="G19" s="42"/>
      <c r="H19" s="34"/>
      <c r="I19" s="17"/>
      <c r="J19" s="8"/>
      <c r="K19" s="8"/>
    </row>
    <row r="20" spans="1:12" ht="20.100000000000001" customHeight="1" x14ac:dyDescent="0.2">
      <c r="A20" s="59" t="s">
        <v>1</v>
      </c>
      <c r="B20" s="60"/>
      <c r="C20" s="60"/>
      <c r="D20" s="82">
        <f>13+2000+215+800</f>
        <v>3028</v>
      </c>
      <c r="E20" s="82"/>
      <c r="F20" s="83"/>
      <c r="G20" s="18" t="s">
        <v>1</v>
      </c>
      <c r="H20" s="105">
        <v>22735.5</v>
      </c>
      <c r="I20" s="106"/>
      <c r="J20" s="39"/>
      <c r="K20" s="8"/>
    </row>
    <row r="21" spans="1:12" ht="20.100000000000001" customHeight="1" x14ac:dyDescent="0.2">
      <c r="A21" s="61" t="s">
        <v>18</v>
      </c>
      <c r="B21" s="62"/>
      <c r="C21" s="62"/>
      <c r="D21" s="84">
        <f>SUM(B5:B19)+SUM(E5:E19)</f>
        <v>2940</v>
      </c>
      <c r="E21" s="84"/>
      <c r="F21" s="85"/>
      <c r="G21" s="19" t="s">
        <v>193</v>
      </c>
      <c r="H21" s="38">
        <f>H5</f>
        <v>15802</v>
      </c>
      <c r="I21" s="44">
        <f>SUM(H6:H18)</f>
        <v>3235.5</v>
      </c>
      <c r="J21" s="39"/>
      <c r="K21" s="8"/>
    </row>
    <row r="22" spans="1:12" ht="36.75" customHeight="1" thickBot="1" x14ac:dyDescent="0.25">
      <c r="A22" s="63" t="s">
        <v>7</v>
      </c>
      <c r="B22" s="64"/>
      <c r="C22" s="64"/>
      <c r="D22" s="65">
        <f>D20-D21</f>
        <v>88</v>
      </c>
      <c r="E22" s="65"/>
      <c r="F22" s="66"/>
      <c r="G22" s="20" t="s">
        <v>7</v>
      </c>
      <c r="H22" s="107">
        <f>H20+H21-I21</f>
        <v>35302</v>
      </c>
      <c r="I22" s="108"/>
      <c r="J22" s="39"/>
      <c r="K22" s="8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00"/>
  <sheetViews>
    <sheetView showGridLines="0" workbookViewId="0">
      <selection activeCell="B22" sqref="B22"/>
    </sheetView>
  </sheetViews>
  <sheetFormatPr defaultColWidth="12.625" defaultRowHeight="15" customHeight="1" x14ac:dyDescent="0.2"/>
  <cols>
    <col min="1" max="25" width="7.625" customWidth="1"/>
  </cols>
  <sheetData>
    <row r="1" spans="1:20" ht="14.25" customHeight="1" x14ac:dyDescent="0.2">
      <c r="A1" s="29" t="s">
        <v>115</v>
      </c>
      <c r="B1" s="29" t="s">
        <v>116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20" ht="14.25" customHeight="1" x14ac:dyDescent="0.2">
      <c r="A2" s="28">
        <v>4</v>
      </c>
      <c r="B2" s="28">
        <f>Tháng4!K1</f>
        <v>3090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20" ht="16.5" customHeight="1" x14ac:dyDescent="0.2">
      <c r="A3" s="28">
        <v>5</v>
      </c>
      <c r="B3" s="28">
        <v>3000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1"/>
      <c r="S3" s="1"/>
      <c r="T3" s="1"/>
    </row>
    <row r="4" spans="1:20" ht="14.25" customHeight="1" x14ac:dyDescent="0.2">
      <c r="A4" s="28">
        <v>6</v>
      </c>
      <c r="B4" s="28">
        <v>3000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20" ht="14.25" customHeight="1" x14ac:dyDescent="0.2">
      <c r="A5" s="28">
        <v>7</v>
      </c>
      <c r="B5" s="28">
        <f>Tháng7!K1</f>
        <v>3395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1"/>
      <c r="S5" s="1"/>
      <c r="T5" s="1"/>
    </row>
    <row r="6" spans="1:20" ht="15.75" customHeight="1" x14ac:dyDescent="0.2">
      <c r="A6" s="28">
        <v>8</v>
      </c>
      <c r="B6" s="28">
        <f>Tháng8!K1</f>
        <v>2641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20" ht="15.75" customHeight="1" x14ac:dyDescent="0.2">
      <c r="A7" s="28">
        <v>9</v>
      </c>
      <c r="B7" s="28">
        <f>Tháng9!K1</f>
        <v>3020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1"/>
      <c r="S7" s="1"/>
      <c r="T7" s="1"/>
    </row>
    <row r="8" spans="1:20" ht="14.25" customHeight="1" x14ac:dyDescent="0.2">
      <c r="A8" s="28">
        <v>10</v>
      </c>
      <c r="B8" s="28">
        <f>Tháng10!K1</f>
        <v>3526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20" ht="18.75" customHeight="1" x14ac:dyDescent="0.2">
      <c r="A9" s="28">
        <v>11</v>
      </c>
      <c r="B9" s="28">
        <f>Tháng11!K1</f>
        <v>2648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1"/>
      <c r="S9" s="1"/>
      <c r="T9" s="1"/>
    </row>
    <row r="10" spans="1:20" ht="14.25" customHeight="1" x14ac:dyDescent="0.2">
      <c r="A10" s="28">
        <v>12</v>
      </c>
      <c r="B10" s="28">
        <f>Tháng12!K1</f>
        <v>3525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20" ht="14.25" customHeight="1" x14ac:dyDescent="0.2">
      <c r="A11" s="28">
        <v>1</v>
      </c>
      <c r="B11" s="28">
        <f>Tháng1!K1</f>
        <v>2010.2999999999993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1"/>
      <c r="S11" s="1"/>
      <c r="T11" s="1"/>
    </row>
    <row r="12" spans="1:20" ht="14.25" customHeight="1" x14ac:dyDescent="0.2">
      <c r="A12" s="28">
        <v>2</v>
      </c>
      <c r="B12" s="28">
        <f>Tháng2!K1</f>
        <v>3825.5789999999997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20" ht="14.25" customHeight="1" x14ac:dyDescent="0.2">
      <c r="A13" s="28">
        <v>3</v>
      </c>
      <c r="B13" s="28">
        <f>Tháng3!K1</f>
        <v>3942.0679999999993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1"/>
      <c r="S13" s="1"/>
      <c r="T13" s="1"/>
    </row>
    <row r="14" spans="1:20" ht="14.25" customHeight="1" x14ac:dyDescent="0.2">
      <c r="A14" s="28">
        <v>4</v>
      </c>
      <c r="B14" s="28">
        <f>Tháng4_22!K1</f>
        <v>4160.6729999999998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20" ht="15.75" customHeight="1" x14ac:dyDescent="0.2">
      <c r="A15" s="28">
        <v>5</v>
      </c>
      <c r="B15" s="35">
        <f>Tháng5_22!K1</f>
        <v>3288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1"/>
      <c r="S15" s="1"/>
      <c r="T15" s="1"/>
    </row>
    <row r="16" spans="1:20" ht="14.25" customHeight="1" x14ac:dyDescent="0.2">
      <c r="A16" s="28">
        <v>6</v>
      </c>
      <c r="B16" s="35">
        <f>Tháng6_22!K1</f>
        <v>4480.9560000000001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20" ht="14.25" customHeight="1" x14ac:dyDescent="0.2">
      <c r="A17" s="28">
        <v>7</v>
      </c>
      <c r="B17" s="35">
        <f>Tháng_7_22!I21-3500</f>
        <v>5503.2199999999993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1"/>
      <c r="S17" s="1"/>
      <c r="T17" s="1"/>
    </row>
    <row r="18" spans="1:20" ht="14.25" customHeight="1" x14ac:dyDescent="0.2">
      <c r="A18" s="28">
        <v>8</v>
      </c>
      <c r="B18" s="35">
        <f>Tháng_8_22!I21</f>
        <v>5226.13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20" ht="14.25" customHeight="1" x14ac:dyDescent="0.2">
      <c r="A19" s="28">
        <v>9</v>
      </c>
      <c r="B19" s="35">
        <f>Tháng_9_22!I21</f>
        <v>4047.7939999999999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1"/>
      <c r="S19" s="1"/>
      <c r="T19" s="1"/>
    </row>
    <row r="20" spans="1:20" ht="14.25" customHeight="1" x14ac:dyDescent="0.2">
      <c r="A20" s="28">
        <v>10</v>
      </c>
      <c r="B20" s="35">
        <f>Tháng_10_22!I21-5160</f>
        <v>4420.9400000000005</v>
      </c>
    </row>
    <row r="21" spans="1:20" ht="15.75" customHeight="1" x14ac:dyDescent="0.2">
      <c r="A21" s="28">
        <v>11</v>
      </c>
      <c r="B21" s="35">
        <f>Tháng_11_22!I21</f>
        <v>4302.4799999999996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28">
        <v>12</v>
      </c>
      <c r="B22" s="30"/>
    </row>
    <row r="23" spans="1:20" ht="15.75" customHeight="1" x14ac:dyDescent="0.2">
      <c r="A23" s="31"/>
      <c r="B23" s="3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30"/>
      <c r="B24" s="30"/>
    </row>
    <row r="25" spans="1:20" ht="15.75" customHeight="1" x14ac:dyDescent="0.2">
      <c r="A25" s="31"/>
      <c r="B25" s="3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30"/>
      <c r="B26" s="30"/>
    </row>
    <row r="27" spans="1:20" ht="15.75" customHeight="1" x14ac:dyDescent="0.2">
      <c r="A27" s="1"/>
      <c r="B27" s="1">
        <f>AVERAGE(B2:B20)</f>
        <v>3618.4557894736845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8A7E-F097-4085-B2D7-209459DBD406}">
  <dimension ref="A1:D52"/>
  <sheetViews>
    <sheetView showGridLines="0" workbookViewId="0">
      <selection activeCell="C2" sqref="C2"/>
    </sheetView>
  </sheetViews>
  <sheetFormatPr defaultRowHeight="14.25" x14ac:dyDescent="0.2"/>
  <cols>
    <col min="2" max="2" width="12.5" customWidth="1"/>
    <col min="3" max="3" width="16.5" customWidth="1"/>
  </cols>
  <sheetData>
    <row r="1" spans="1:4" ht="19.5" x14ac:dyDescent="0.3">
      <c r="B1" s="48" t="s">
        <v>241</v>
      </c>
      <c r="C1" s="49">
        <f>(Tháng_11_22!H22+50000)/1000</f>
        <v>72.735500000000002</v>
      </c>
      <c r="D1" s="47">
        <f>C2-C1</f>
        <v>746.2645</v>
      </c>
    </row>
    <row r="2" spans="1:4" ht="19.5" x14ac:dyDescent="0.3">
      <c r="B2" s="48" t="s">
        <v>242</v>
      </c>
      <c r="C2" s="48">
        <v>819</v>
      </c>
    </row>
    <row r="3" spans="1:4" ht="19.5" x14ac:dyDescent="0.3">
      <c r="B3" s="48" t="s">
        <v>243</v>
      </c>
      <c r="C3" s="50">
        <f>C1/C2*100</f>
        <v>8.8810134310134305</v>
      </c>
    </row>
    <row r="5" spans="1:4" ht="18.75" x14ac:dyDescent="0.2">
      <c r="A5" s="115" t="s">
        <v>246</v>
      </c>
      <c r="B5" s="116"/>
      <c r="C5" s="117"/>
    </row>
    <row r="6" spans="1:4" ht="18.75" x14ac:dyDescent="0.2">
      <c r="A6" s="55" t="s">
        <v>247</v>
      </c>
      <c r="B6" s="56" t="s">
        <v>244</v>
      </c>
      <c r="C6" s="56" t="s">
        <v>245</v>
      </c>
    </row>
    <row r="7" spans="1:4" ht="18.75" x14ac:dyDescent="0.2">
      <c r="A7" s="54">
        <v>2022</v>
      </c>
      <c r="B7" s="58">
        <v>12</v>
      </c>
      <c r="C7" s="53">
        <f>121.5+12.5</f>
        <v>134</v>
      </c>
    </row>
    <row r="8" spans="1:4" ht="18.75" x14ac:dyDescent="0.2">
      <c r="A8" s="109">
        <v>2023</v>
      </c>
      <c r="B8" s="57">
        <v>1</v>
      </c>
      <c r="C8" s="52">
        <f>C7+12.5</f>
        <v>146.5</v>
      </c>
    </row>
    <row r="9" spans="1:4" ht="18.75" x14ac:dyDescent="0.2">
      <c r="A9" s="110"/>
      <c r="B9" s="57">
        <v>2</v>
      </c>
      <c r="C9" s="52">
        <f>C8+12.5+5+16+4</f>
        <v>184</v>
      </c>
    </row>
    <row r="10" spans="1:4" ht="18.75" x14ac:dyDescent="0.2">
      <c r="A10" s="110"/>
      <c r="B10" s="57">
        <v>3</v>
      </c>
      <c r="C10" s="52">
        <f>C9+12.5</f>
        <v>196.5</v>
      </c>
    </row>
    <row r="11" spans="1:4" ht="18.75" x14ac:dyDescent="0.2">
      <c r="A11" s="110"/>
      <c r="B11" s="57">
        <v>4</v>
      </c>
      <c r="C11" s="52">
        <f>C10+12.5</f>
        <v>209</v>
      </c>
    </row>
    <row r="12" spans="1:4" ht="18.75" x14ac:dyDescent="0.2">
      <c r="A12" s="110"/>
      <c r="B12" s="57">
        <v>5</v>
      </c>
      <c r="C12" s="52">
        <f>C11+12.5</f>
        <v>221.5</v>
      </c>
    </row>
    <row r="13" spans="1:4" ht="18.75" x14ac:dyDescent="0.2">
      <c r="A13" s="110"/>
      <c r="B13" s="57">
        <v>6</v>
      </c>
      <c r="C13" s="52">
        <f t="shared" ref="C13:C15" si="0">C12+12.5</f>
        <v>234</v>
      </c>
    </row>
    <row r="14" spans="1:4" ht="18.75" x14ac:dyDescent="0.2">
      <c r="A14" s="110"/>
      <c r="B14" s="57">
        <v>7</v>
      </c>
      <c r="C14" s="52">
        <f t="shared" si="0"/>
        <v>246.5</v>
      </c>
    </row>
    <row r="15" spans="1:4" ht="18.75" x14ac:dyDescent="0.2">
      <c r="A15" s="110"/>
      <c r="B15" s="57">
        <v>8</v>
      </c>
      <c r="C15" s="52">
        <f t="shared" si="0"/>
        <v>259</v>
      </c>
    </row>
    <row r="16" spans="1:4" ht="18.75" x14ac:dyDescent="0.2">
      <c r="A16" s="110"/>
      <c r="B16" s="57">
        <v>9</v>
      </c>
      <c r="C16" s="52">
        <f>C15+20</f>
        <v>279</v>
      </c>
    </row>
    <row r="17" spans="1:3" ht="18.75" x14ac:dyDescent="0.2">
      <c r="A17" s="110"/>
      <c r="B17" s="57">
        <v>10</v>
      </c>
      <c r="C17" s="52">
        <f t="shared" ref="C17:C39" si="1">C16+20</f>
        <v>299</v>
      </c>
    </row>
    <row r="18" spans="1:3" ht="18.75" x14ac:dyDescent="0.2">
      <c r="A18" s="110"/>
      <c r="B18" s="57">
        <v>11</v>
      </c>
      <c r="C18" s="52">
        <f t="shared" si="1"/>
        <v>319</v>
      </c>
    </row>
    <row r="19" spans="1:3" ht="18.75" x14ac:dyDescent="0.2">
      <c r="A19" s="111"/>
      <c r="B19" s="57">
        <v>12</v>
      </c>
      <c r="C19" s="52">
        <f t="shared" si="1"/>
        <v>339</v>
      </c>
    </row>
    <row r="20" spans="1:3" ht="18.75" x14ac:dyDescent="0.2">
      <c r="A20" s="112">
        <v>2024</v>
      </c>
      <c r="B20" s="58">
        <v>1</v>
      </c>
      <c r="C20" s="53">
        <f t="shared" si="1"/>
        <v>359</v>
      </c>
    </row>
    <row r="21" spans="1:3" ht="18.75" x14ac:dyDescent="0.2">
      <c r="A21" s="113"/>
      <c r="B21" s="58">
        <v>2</v>
      </c>
      <c r="C21" s="53">
        <f t="shared" si="1"/>
        <v>379</v>
      </c>
    </row>
    <row r="22" spans="1:3" ht="18.75" x14ac:dyDescent="0.2">
      <c r="A22" s="113"/>
      <c r="B22" s="58">
        <v>3</v>
      </c>
      <c r="C22" s="53">
        <f t="shared" si="1"/>
        <v>399</v>
      </c>
    </row>
    <row r="23" spans="1:3" ht="18.75" x14ac:dyDescent="0.2">
      <c r="A23" s="113"/>
      <c r="B23" s="58">
        <v>4</v>
      </c>
      <c r="C23" s="53">
        <f t="shared" si="1"/>
        <v>419</v>
      </c>
    </row>
    <row r="24" spans="1:3" ht="18.75" x14ac:dyDescent="0.2">
      <c r="A24" s="113"/>
      <c r="B24" s="58">
        <v>5</v>
      </c>
      <c r="C24" s="53">
        <f t="shared" si="1"/>
        <v>439</v>
      </c>
    </row>
    <row r="25" spans="1:3" ht="18.75" x14ac:dyDescent="0.2">
      <c r="A25" s="113"/>
      <c r="B25" s="58">
        <v>6</v>
      </c>
      <c r="C25" s="53">
        <f t="shared" si="1"/>
        <v>459</v>
      </c>
    </row>
    <row r="26" spans="1:3" ht="18.75" x14ac:dyDescent="0.2">
      <c r="A26" s="113"/>
      <c r="B26" s="58">
        <v>7</v>
      </c>
      <c r="C26" s="53">
        <f t="shared" si="1"/>
        <v>479</v>
      </c>
    </row>
    <row r="27" spans="1:3" ht="18.75" x14ac:dyDescent="0.2">
      <c r="A27" s="113"/>
      <c r="B27" s="58">
        <v>8</v>
      </c>
      <c r="C27" s="53">
        <f t="shared" si="1"/>
        <v>499</v>
      </c>
    </row>
    <row r="28" spans="1:3" ht="18.75" x14ac:dyDescent="0.2">
      <c r="A28" s="113"/>
      <c r="B28" s="58">
        <v>9</v>
      </c>
      <c r="C28" s="53">
        <f t="shared" si="1"/>
        <v>519</v>
      </c>
    </row>
    <row r="29" spans="1:3" ht="18.75" x14ac:dyDescent="0.2">
      <c r="A29" s="113"/>
      <c r="B29" s="58">
        <v>10</v>
      </c>
      <c r="C29" s="53">
        <f t="shared" si="1"/>
        <v>539</v>
      </c>
    </row>
    <row r="30" spans="1:3" ht="18.75" x14ac:dyDescent="0.2">
      <c r="A30" s="113"/>
      <c r="B30" s="58">
        <v>11</v>
      </c>
      <c r="C30" s="53">
        <f t="shared" si="1"/>
        <v>559</v>
      </c>
    </row>
    <row r="31" spans="1:3" ht="18.75" x14ac:dyDescent="0.2">
      <c r="A31" s="114"/>
      <c r="B31" s="58">
        <v>12</v>
      </c>
      <c r="C31" s="53">
        <f t="shared" si="1"/>
        <v>579</v>
      </c>
    </row>
    <row r="32" spans="1:3" ht="18.75" x14ac:dyDescent="0.2">
      <c r="A32" s="109">
        <v>2025</v>
      </c>
      <c r="B32" s="57">
        <v>1</v>
      </c>
      <c r="C32" s="52">
        <f t="shared" si="1"/>
        <v>599</v>
      </c>
    </row>
    <row r="33" spans="1:3" ht="18.75" x14ac:dyDescent="0.2">
      <c r="A33" s="110"/>
      <c r="B33" s="57">
        <v>2</v>
      </c>
      <c r="C33" s="52">
        <f t="shared" si="1"/>
        <v>619</v>
      </c>
    </row>
    <row r="34" spans="1:3" ht="18.75" x14ac:dyDescent="0.2">
      <c r="A34" s="110"/>
      <c r="B34" s="57">
        <v>3</v>
      </c>
      <c r="C34" s="52">
        <f>C33+20</f>
        <v>639</v>
      </c>
    </row>
    <row r="35" spans="1:3" ht="18.75" x14ac:dyDescent="0.2">
      <c r="A35" s="110"/>
      <c r="B35" s="57">
        <v>4</v>
      </c>
      <c r="C35" s="52">
        <f t="shared" si="1"/>
        <v>659</v>
      </c>
    </row>
    <row r="36" spans="1:3" ht="18.75" x14ac:dyDescent="0.2">
      <c r="A36" s="110"/>
      <c r="B36" s="57">
        <v>5</v>
      </c>
      <c r="C36" s="52">
        <f t="shared" si="1"/>
        <v>679</v>
      </c>
    </row>
    <row r="37" spans="1:3" ht="18.75" x14ac:dyDescent="0.2">
      <c r="A37" s="110"/>
      <c r="B37" s="57">
        <v>6</v>
      </c>
      <c r="C37" s="52">
        <f t="shared" si="1"/>
        <v>699</v>
      </c>
    </row>
    <row r="38" spans="1:3" ht="18.75" x14ac:dyDescent="0.2">
      <c r="A38" s="110"/>
      <c r="B38" s="57">
        <v>7</v>
      </c>
      <c r="C38" s="52">
        <f>C37+20</f>
        <v>719</v>
      </c>
    </row>
    <row r="39" spans="1:3" ht="18.75" x14ac:dyDescent="0.2">
      <c r="A39" s="110"/>
      <c r="B39" s="57">
        <v>8</v>
      </c>
      <c r="C39" s="52">
        <f t="shared" si="1"/>
        <v>739</v>
      </c>
    </row>
    <row r="40" spans="1:3" ht="18.75" x14ac:dyDescent="0.2">
      <c r="A40" s="110"/>
      <c r="B40" s="57">
        <v>9</v>
      </c>
      <c r="C40" s="52">
        <f>C39+20</f>
        <v>759</v>
      </c>
    </row>
    <row r="41" spans="1:3" ht="18.75" x14ac:dyDescent="0.2">
      <c r="A41" s="110"/>
      <c r="B41" s="57">
        <v>10</v>
      </c>
      <c r="C41" s="52">
        <f>C40+20</f>
        <v>779</v>
      </c>
    </row>
    <row r="42" spans="1:3" ht="18.75" x14ac:dyDescent="0.2">
      <c r="A42" s="110"/>
      <c r="B42" s="57">
        <v>11</v>
      </c>
      <c r="C42" s="52">
        <f t="shared" ref="C42:C43" si="2">C41+20</f>
        <v>799</v>
      </c>
    </row>
    <row r="43" spans="1:3" ht="18.75" x14ac:dyDescent="0.2">
      <c r="A43" s="111"/>
      <c r="B43" s="57">
        <v>12</v>
      </c>
      <c r="C43" s="52">
        <f t="shared" si="2"/>
        <v>819</v>
      </c>
    </row>
    <row r="44" spans="1:3" x14ac:dyDescent="0.2">
      <c r="C44" s="51"/>
    </row>
    <row r="45" spans="1:3" x14ac:dyDescent="0.2">
      <c r="C45" s="51"/>
    </row>
    <row r="46" spans="1:3" x14ac:dyDescent="0.2">
      <c r="C46" s="51"/>
    </row>
    <row r="47" spans="1:3" x14ac:dyDescent="0.2">
      <c r="C47" s="51"/>
    </row>
    <row r="48" spans="1:3" x14ac:dyDescent="0.2">
      <c r="C48" s="51"/>
    </row>
    <row r="49" spans="3:3" x14ac:dyDescent="0.2">
      <c r="C49" s="51"/>
    </row>
    <row r="50" spans="3:3" x14ac:dyDescent="0.2">
      <c r="C50" s="51"/>
    </row>
    <row r="51" spans="3:3" x14ac:dyDescent="0.2">
      <c r="C51" s="51"/>
    </row>
    <row r="52" spans="3:3" x14ac:dyDescent="0.2">
      <c r="C52" s="51"/>
    </row>
  </sheetData>
  <mergeCells count="4">
    <mergeCell ref="A8:A19"/>
    <mergeCell ref="A20:A31"/>
    <mergeCell ref="A32:A43"/>
    <mergeCell ref="A5:C5"/>
  </mergeCells>
  <phoneticPr fontId="16" type="noConversion"/>
  <pageMargins left="0.7" right="0.7" top="0.75" bottom="0.75" header="0.3" footer="0.3"/>
  <pageSetup orientation="portrait" r:id="rId1"/>
  <ignoredErrors>
    <ignoredError sqref="C9" formula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CC19-198F-48CD-8002-17E41717BCB9}">
  <dimension ref="A1:F9"/>
  <sheetViews>
    <sheetView workbookViewId="0">
      <selection activeCell="B10" sqref="B10"/>
    </sheetView>
  </sheetViews>
  <sheetFormatPr defaultRowHeight="14.25" x14ac:dyDescent="0.2"/>
  <cols>
    <col min="1" max="1" width="15.375" customWidth="1"/>
    <col min="5" max="5" width="14.375" customWidth="1"/>
  </cols>
  <sheetData>
    <row r="1" spans="1:6" x14ac:dyDescent="0.2">
      <c r="A1" t="s">
        <v>174</v>
      </c>
      <c r="B1">
        <v>300</v>
      </c>
      <c r="E1" t="s">
        <v>200</v>
      </c>
      <c r="F1">
        <v>500</v>
      </c>
    </row>
    <row r="2" spans="1:6" x14ac:dyDescent="0.2">
      <c r="A2" t="s">
        <v>175</v>
      </c>
      <c r="B2">
        <v>200</v>
      </c>
    </row>
    <row r="3" spans="1:6" x14ac:dyDescent="0.2">
      <c r="A3" t="s">
        <v>176</v>
      </c>
      <c r="B3">
        <v>300</v>
      </c>
    </row>
    <row r="4" spans="1:6" x14ac:dyDescent="0.2">
      <c r="A4" t="s">
        <v>177</v>
      </c>
      <c r="B4">
        <v>300</v>
      </c>
    </row>
    <row r="5" spans="1:6" x14ac:dyDescent="0.2">
      <c r="A5" t="s">
        <v>178</v>
      </c>
      <c r="B5">
        <v>500</v>
      </c>
    </row>
    <row r="6" spans="1:6" x14ac:dyDescent="0.2">
      <c r="A6" t="s">
        <v>179</v>
      </c>
      <c r="B6">
        <v>500</v>
      </c>
    </row>
    <row r="7" spans="1:6" x14ac:dyDescent="0.2">
      <c r="A7" t="s">
        <v>218</v>
      </c>
      <c r="B7">
        <v>300</v>
      </c>
    </row>
    <row r="8" spans="1:6" x14ac:dyDescent="0.2">
      <c r="A8" s="45" t="s">
        <v>232</v>
      </c>
      <c r="B8">
        <v>300</v>
      </c>
    </row>
    <row r="9" spans="1:6" x14ac:dyDescent="0.2">
      <c r="A9" s="45" t="s">
        <v>235</v>
      </c>
      <c r="B9">
        <v>5160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zoomScale="85" zoomScaleNormal="85"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57</v>
      </c>
      <c r="B1" s="75"/>
      <c r="C1" s="75"/>
      <c r="D1" s="75"/>
      <c r="E1" s="75"/>
      <c r="F1" s="75"/>
      <c r="G1" s="75"/>
      <c r="H1" s="75"/>
      <c r="I1" s="75"/>
      <c r="J1" s="73" t="s">
        <v>24</v>
      </c>
      <c r="K1" s="72">
        <f>D26-B15-B8-B12-B16-B9-B11-E5</f>
        <v>3395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73"/>
      <c r="K2" s="7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f>DATEDIF(A5,D15,"d")+1</f>
        <v>34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99.852941176470594</v>
      </c>
      <c r="L4" s="10"/>
    </row>
    <row r="5" spans="1:12" x14ac:dyDescent="0.2">
      <c r="A5" s="5">
        <v>44375</v>
      </c>
      <c r="B5" s="6">
        <f>14+347</f>
        <v>361</v>
      </c>
      <c r="C5" s="6" t="s">
        <v>58</v>
      </c>
      <c r="D5" s="13"/>
      <c r="E5" s="7">
        <v>-300</v>
      </c>
      <c r="F5" s="7" t="s">
        <v>22</v>
      </c>
      <c r="G5" s="14">
        <v>44397</v>
      </c>
      <c r="H5" s="4">
        <v>84</v>
      </c>
      <c r="I5" s="4" t="s">
        <v>10</v>
      </c>
      <c r="J5" s="73"/>
      <c r="K5" s="73"/>
    </row>
    <row r="6" spans="1:12" x14ac:dyDescent="0.2">
      <c r="A6" s="5">
        <v>44378</v>
      </c>
      <c r="B6" s="6">
        <f>19+10</f>
        <v>29</v>
      </c>
      <c r="C6" s="6" t="s">
        <v>32</v>
      </c>
      <c r="D6" s="13">
        <v>44394</v>
      </c>
      <c r="E6" s="7">
        <f>10+13+18+12</f>
        <v>53</v>
      </c>
      <c r="F6" s="7" t="s">
        <v>66</v>
      </c>
      <c r="G6" s="14">
        <v>44400</v>
      </c>
      <c r="H6" s="4">
        <v>500</v>
      </c>
      <c r="I6" s="4" t="s">
        <v>8</v>
      </c>
      <c r="J6" s="73"/>
      <c r="K6" s="73"/>
    </row>
    <row r="7" spans="1:12" x14ac:dyDescent="0.2">
      <c r="A7" s="13">
        <v>44381</v>
      </c>
      <c r="B7" s="7">
        <v>20</v>
      </c>
      <c r="C7" s="7" t="s">
        <v>10</v>
      </c>
      <c r="D7" s="13">
        <v>44395</v>
      </c>
      <c r="E7" s="7">
        <f>34</f>
        <v>34</v>
      </c>
      <c r="F7" s="7" t="s">
        <v>10</v>
      </c>
      <c r="G7" s="14"/>
      <c r="H7" s="4">
        <v>-200</v>
      </c>
      <c r="I7" s="4" t="s">
        <v>69</v>
      </c>
      <c r="J7" s="73"/>
      <c r="K7" s="73"/>
    </row>
    <row r="8" spans="1:12" x14ac:dyDescent="0.2">
      <c r="A8" s="13"/>
      <c r="B8" s="7">
        <v>-300</v>
      </c>
      <c r="C8" s="7" t="s">
        <v>6</v>
      </c>
      <c r="D8" s="13">
        <v>44396</v>
      </c>
      <c r="E8" s="7">
        <v>-28</v>
      </c>
      <c r="F8" s="7" t="s">
        <v>67</v>
      </c>
      <c r="G8" s="14"/>
      <c r="H8" s="4"/>
      <c r="I8" s="4"/>
      <c r="J8" s="73"/>
      <c r="K8" s="73"/>
    </row>
    <row r="9" spans="1:12" x14ac:dyDescent="0.2">
      <c r="A9" s="13"/>
      <c r="B9" s="7">
        <v>30</v>
      </c>
      <c r="C9" s="7" t="s">
        <v>59</v>
      </c>
      <c r="D9" s="13"/>
      <c r="E9" s="7">
        <v>45</v>
      </c>
      <c r="F9" s="7" t="s">
        <v>10</v>
      </c>
      <c r="G9" s="14"/>
      <c r="H9" s="4"/>
      <c r="I9" s="4"/>
      <c r="J9" s="73"/>
      <c r="K9" s="73"/>
    </row>
    <row r="10" spans="1:12" x14ac:dyDescent="0.2">
      <c r="A10" s="13"/>
      <c r="B10" s="7">
        <v>25</v>
      </c>
      <c r="C10" s="7" t="s">
        <v>10</v>
      </c>
      <c r="D10" s="13">
        <v>44400</v>
      </c>
      <c r="E10" s="7">
        <v>482</v>
      </c>
      <c r="F10" s="7" t="s">
        <v>58</v>
      </c>
      <c r="G10" s="4"/>
      <c r="H10" s="4"/>
      <c r="I10" s="4"/>
      <c r="J10" s="73"/>
      <c r="K10" s="73"/>
    </row>
    <row r="11" spans="1:12" x14ac:dyDescent="0.2">
      <c r="A11" s="13">
        <v>44382</v>
      </c>
      <c r="B11" s="7">
        <v>70</v>
      </c>
      <c r="C11" s="7" t="s">
        <v>61</v>
      </c>
      <c r="D11" s="13">
        <v>44401</v>
      </c>
      <c r="E11" s="7">
        <v>53</v>
      </c>
      <c r="F11" s="7" t="s">
        <v>68</v>
      </c>
      <c r="G11" s="14"/>
      <c r="H11" s="4"/>
      <c r="I11" s="4"/>
      <c r="J11" s="73"/>
      <c r="K11" s="73"/>
    </row>
    <row r="12" spans="1:12" x14ac:dyDescent="0.2">
      <c r="A12" s="13"/>
      <c r="B12" s="7">
        <v>-140</v>
      </c>
      <c r="C12" s="7" t="s">
        <v>60</v>
      </c>
      <c r="D12" s="13"/>
      <c r="E12" s="7">
        <f>35+20+12+8</f>
        <v>75</v>
      </c>
      <c r="F12" s="7" t="s">
        <v>10</v>
      </c>
      <c r="G12" s="14"/>
      <c r="H12" s="4"/>
      <c r="I12" s="4"/>
      <c r="J12" s="73"/>
      <c r="K12" s="73"/>
    </row>
    <row r="13" spans="1:12" x14ac:dyDescent="0.2">
      <c r="A13" s="13"/>
      <c r="B13" s="7">
        <v>2</v>
      </c>
      <c r="C13" s="7" t="s">
        <v>10</v>
      </c>
      <c r="D13" s="13">
        <v>44404</v>
      </c>
      <c r="E13" s="7">
        <v>10</v>
      </c>
      <c r="F13" s="7" t="s">
        <v>64</v>
      </c>
      <c r="G13" s="4"/>
      <c r="H13" s="4"/>
      <c r="I13" s="4"/>
      <c r="J13" s="73"/>
      <c r="K13" s="73"/>
    </row>
    <row r="14" spans="1:12" x14ac:dyDescent="0.2">
      <c r="A14" s="13">
        <v>44384</v>
      </c>
      <c r="B14" s="7">
        <v>12</v>
      </c>
      <c r="C14" s="7" t="s">
        <v>10</v>
      </c>
      <c r="D14" s="13">
        <v>44406</v>
      </c>
      <c r="E14" s="7">
        <v>135</v>
      </c>
      <c r="F14" s="7" t="s">
        <v>70</v>
      </c>
      <c r="G14" s="4"/>
      <c r="H14" s="4"/>
      <c r="I14" s="4"/>
      <c r="J14" s="73"/>
      <c r="K14" s="73"/>
    </row>
    <row r="15" spans="1:12" x14ac:dyDescent="0.2">
      <c r="A15" s="13"/>
      <c r="B15" s="7">
        <f>115+720</f>
        <v>835</v>
      </c>
      <c r="C15" s="7" t="s">
        <v>62</v>
      </c>
      <c r="D15" s="13">
        <v>44408</v>
      </c>
      <c r="E15" s="7">
        <v>20</v>
      </c>
      <c r="F15" s="7" t="s">
        <v>10</v>
      </c>
      <c r="G15" s="14"/>
      <c r="H15" s="4"/>
      <c r="I15" s="4"/>
      <c r="J15" s="73"/>
      <c r="K15" s="73"/>
    </row>
    <row r="16" spans="1:12" x14ac:dyDescent="0.2">
      <c r="A16" s="13">
        <v>44386</v>
      </c>
      <c r="B16" s="7">
        <v>-200</v>
      </c>
      <c r="C16" s="7" t="s">
        <v>63</v>
      </c>
      <c r="D16" s="7"/>
      <c r="E16" s="7"/>
      <c r="F16" s="7"/>
      <c r="G16" s="14"/>
      <c r="H16" s="4"/>
      <c r="I16" s="4"/>
      <c r="J16" s="73"/>
      <c r="K16" s="73"/>
    </row>
    <row r="17" spans="1:12" x14ac:dyDescent="0.2">
      <c r="A17" s="13"/>
      <c r="B17" s="7">
        <v>39</v>
      </c>
      <c r="C17" s="7" t="s">
        <v>30</v>
      </c>
      <c r="D17" s="7"/>
      <c r="E17" s="7"/>
      <c r="F17" s="7"/>
      <c r="G17" s="14"/>
      <c r="H17" s="4"/>
      <c r="I17" s="4"/>
      <c r="J17" s="73"/>
      <c r="K17" s="73"/>
    </row>
    <row r="18" spans="1:12" x14ac:dyDescent="0.2">
      <c r="A18" s="13"/>
      <c r="B18" s="7">
        <v>21</v>
      </c>
      <c r="C18" s="7" t="s">
        <v>64</v>
      </c>
      <c r="D18" s="7"/>
      <c r="E18" s="7"/>
      <c r="F18" s="7"/>
      <c r="G18" s="14"/>
      <c r="H18" s="4"/>
      <c r="I18" s="4"/>
      <c r="J18" s="73"/>
      <c r="K18" s="73"/>
    </row>
    <row r="19" spans="1:12" x14ac:dyDescent="0.2">
      <c r="A19" s="13"/>
      <c r="B19" s="7">
        <v>1798</v>
      </c>
      <c r="C19" s="7" t="s">
        <v>48</v>
      </c>
      <c r="D19" s="7"/>
      <c r="E19" s="7"/>
      <c r="F19" s="7"/>
      <c r="G19" s="14"/>
      <c r="H19" s="4"/>
      <c r="I19" s="4"/>
      <c r="J19" s="8" t="s">
        <v>13</v>
      </c>
      <c r="K19" s="9">
        <v>8135</v>
      </c>
    </row>
    <row r="20" spans="1:12" x14ac:dyDescent="0.2">
      <c r="A20" s="13"/>
      <c r="B20" s="7">
        <v>48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8219</v>
      </c>
    </row>
    <row r="21" spans="1:12" x14ac:dyDescent="0.2">
      <c r="A21" s="13">
        <v>44388</v>
      </c>
      <c r="B21" s="7">
        <v>35</v>
      </c>
      <c r="C21" s="7" t="s">
        <v>10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84</v>
      </c>
    </row>
    <row r="22" spans="1:12" x14ac:dyDescent="0.2">
      <c r="A22" s="13">
        <v>44389</v>
      </c>
      <c r="B22" s="7">
        <v>86</v>
      </c>
      <c r="C22" s="7" t="s">
        <v>10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294</v>
      </c>
    </row>
    <row r="23" spans="1:12" x14ac:dyDescent="0.2">
      <c r="A23" s="13">
        <v>44390</v>
      </c>
      <c r="B23" s="7">
        <v>15</v>
      </c>
      <c r="C23" s="7" t="s">
        <v>10</v>
      </c>
      <c r="D23" s="7"/>
      <c r="E23" s="7"/>
      <c r="F23" s="7"/>
      <c r="G23" s="4"/>
      <c r="H23" s="4"/>
      <c r="I23" s="4"/>
      <c r="J23" s="8" t="s">
        <v>16</v>
      </c>
      <c r="K23" s="9">
        <f>1300+80</f>
        <v>1380</v>
      </c>
      <c r="L23" s="2" t="s">
        <v>49</v>
      </c>
    </row>
    <row r="24" spans="1:12" ht="16.5" thickBot="1" x14ac:dyDescent="0.25">
      <c r="A24" s="15">
        <v>44392</v>
      </c>
      <c r="B24" s="16">
        <v>25</v>
      </c>
      <c r="C24" s="16" t="s">
        <v>65</v>
      </c>
      <c r="D24" s="16"/>
      <c r="E24" s="16"/>
      <c r="F24" s="16"/>
      <c r="G24" s="17"/>
      <c r="H24" s="17"/>
      <c r="I24" s="17"/>
      <c r="J24" s="8" t="s">
        <v>17</v>
      </c>
      <c r="K24" s="8">
        <f>K23+K22</f>
        <v>1674</v>
      </c>
    </row>
    <row r="25" spans="1:12" ht="20.100000000000001" customHeight="1" x14ac:dyDescent="0.2">
      <c r="A25" s="59" t="s">
        <v>1</v>
      </c>
      <c r="B25" s="60"/>
      <c r="C25" s="60"/>
      <c r="D25" s="82">
        <v>3500</v>
      </c>
      <c r="E25" s="82"/>
      <c r="F25" s="83"/>
      <c r="G25" s="18" t="s">
        <v>1</v>
      </c>
      <c r="H25" s="86">
        <v>12239.388999999999</v>
      </c>
      <c r="I25" s="87"/>
      <c r="J25" s="78" t="s">
        <v>23</v>
      </c>
      <c r="K25" s="79"/>
    </row>
    <row r="26" spans="1:12" ht="20.100000000000001" customHeight="1" x14ac:dyDescent="0.2">
      <c r="A26" s="61" t="s">
        <v>18</v>
      </c>
      <c r="B26" s="62"/>
      <c r="C26" s="62"/>
      <c r="D26" s="84">
        <f>SUM(B5:B24)+SUM(E5:E24)</f>
        <v>3390</v>
      </c>
      <c r="E26" s="84"/>
      <c r="F26" s="85"/>
      <c r="G26" s="19" t="s">
        <v>22</v>
      </c>
      <c r="H26" s="69">
        <f>SUM(H5:H24)</f>
        <v>384</v>
      </c>
      <c r="I26" s="70"/>
      <c r="J26" s="80">
        <f>D27+H27</f>
        <v>11965.388999999999</v>
      </c>
      <c r="K26" s="81"/>
    </row>
    <row r="27" spans="1:12" ht="36.75" customHeight="1" thickBot="1" x14ac:dyDescent="0.25">
      <c r="A27" s="63" t="s">
        <v>7</v>
      </c>
      <c r="B27" s="64"/>
      <c r="C27" s="64"/>
      <c r="D27" s="65">
        <f>D25-D26-L24</f>
        <v>110</v>
      </c>
      <c r="E27" s="65"/>
      <c r="F27" s="66"/>
      <c r="G27" s="20" t="s">
        <v>7</v>
      </c>
      <c r="H27" s="76">
        <f>H25-H26</f>
        <v>11855.388999999999</v>
      </c>
      <c r="I27" s="77"/>
      <c r="J27" s="80"/>
      <c r="K27" s="81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71</v>
      </c>
      <c r="B1" s="75"/>
      <c r="C1" s="75"/>
      <c r="D1" s="75"/>
      <c r="E1" s="75"/>
      <c r="F1" s="75"/>
      <c r="G1" s="75"/>
      <c r="H1" s="75"/>
      <c r="I1" s="75"/>
      <c r="J1" s="73" t="s">
        <v>24</v>
      </c>
      <c r="K1" s="72">
        <f>D26-B10</f>
        <v>2641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73"/>
      <c r="K2" s="7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f>DATEDIF(A5,A17,"d")+1</f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85.193548387096769</v>
      </c>
      <c r="L4" s="10"/>
    </row>
    <row r="5" spans="1:12" x14ac:dyDescent="0.2">
      <c r="A5" s="5">
        <v>44409</v>
      </c>
      <c r="B5" s="6">
        <v>20</v>
      </c>
      <c r="C5" s="6" t="s">
        <v>72</v>
      </c>
      <c r="D5" s="13"/>
      <c r="E5" s="7"/>
      <c r="F5" s="7"/>
      <c r="G5" s="14">
        <v>44397</v>
      </c>
      <c r="H5" s="4">
        <v>84</v>
      </c>
      <c r="I5" s="4" t="s">
        <v>10</v>
      </c>
      <c r="J5" s="73"/>
      <c r="K5" s="73"/>
    </row>
    <row r="6" spans="1:12" x14ac:dyDescent="0.2">
      <c r="A6" s="5">
        <v>44415</v>
      </c>
      <c r="B6" s="6">
        <f>15+28</f>
        <v>43</v>
      </c>
      <c r="C6" s="6" t="s">
        <v>73</v>
      </c>
      <c r="D6" s="13"/>
      <c r="E6" s="7"/>
      <c r="F6" s="7"/>
      <c r="G6" s="14">
        <v>44400</v>
      </c>
      <c r="H6" s="4">
        <v>500</v>
      </c>
      <c r="I6" s="4" t="s">
        <v>8</v>
      </c>
      <c r="J6" s="73"/>
      <c r="K6" s="73"/>
    </row>
    <row r="7" spans="1:12" x14ac:dyDescent="0.2">
      <c r="A7" s="13">
        <v>44416</v>
      </c>
      <c r="B7" s="7">
        <f>65+42+26</f>
        <v>133</v>
      </c>
      <c r="C7" s="7" t="s">
        <v>74</v>
      </c>
      <c r="D7" s="13"/>
      <c r="E7" s="7"/>
      <c r="F7" s="7"/>
      <c r="G7" s="14"/>
      <c r="H7" s="4">
        <v>-200.30199999999999</v>
      </c>
      <c r="I7" s="4" t="s">
        <v>69</v>
      </c>
      <c r="J7" s="73"/>
      <c r="K7" s="73"/>
    </row>
    <row r="8" spans="1:12" x14ac:dyDescent="0.2">
      <c r="A8" s="13">
        <v>44420</v>
      </c>
      <c r="B8" s="7">
        <v>1674</v>
      </c>
      <c r="C8" s="7" t="s">
        <v>48</v>
      </c>
      <c r="D8" s="13"/>
      <c r="E8" s="7"/>
      <c r="F8" s="7"/>
      <c r="G8" s="14"/>
      <c r="H8" s="4">
        <v>4000</v>
      </c>
      <c r="I8" s="4" t="s">
        <v>22</v>
      </c>
      <c r="J8" s="73"/>
      <c r="K8" s="73"/>
    </row>
    <row r="9" spans="1:12" x14ac:dyDescent="0.2">
      <c r="A9" s="13"/>
      <c r="B9" s="7">
        <f>16+10+47</f>
        <v>73</v>
      </c>
      <c r="C9" s="7" t="s">
        <v>76</v>
      </c>
      <c r="D9" s="13"/>
      <c r="E9" s="7"/>
      <c r="F9" s="7"/>
      <c r="G9" s="14">
        <v>44415</v>
      </c>
      <c r="H9" s="4">
        <v>275</v>
      </c>
      <c r="I9" s="4" t="s">
        <v>75</v>
      </c>
      <c r="J9" s="73"/>
      <c r="K9" s="73"/>
    </row>
    <row r="10" spans="1:12" x14ac:dyDescent="0.2">
      <c r="A10" s="13">
        <v>44423</v>
      </c>
      <c r="B10" s="7">
        <v>200</v>
      </c>
      <c r="C10" s="7" t="s">
        <v>77</v>
      </c>
      <c r="D10" s="13"/>
      <c r="E10" s="7"/>
      <c r="F10" s="7"/>
      <c r="G10" s="14">
        <v>44418</v>
      </c>
      <c r="H10" s="4">
        <v>-6937.5</v>
      </c>
      <c r="I10" s="4"/>
      <c r="J10" s="73"/>
      <c r="K10" s="73"/>
    </row>
    <row r="11" spans="1:12" x14ac:dyDescent="0.2">
      <c r="A11" s="13"/>
      <c r="B11" s="7">
        <f>60+60+186</f>
        <v>306</v>
      </c>
      <c r="C11" s="7" t="s">
        <v>10</v>
      </c>
      <c r="D11" s="13"/>
      <c r="E11" s="7"/>
      <c r="F11" s="7"/>
      <c r="G11" s="14"/>
      <c r="H11" s="4">
        <f>-53.341-0.291</f>
        <v>-53.631999999999998</v>
      </c>
      <c r="I11" s="4"/>
      <c r="J11" s="73"/>
      <c r="K11" s="73"/>
    </row>
    <row r="12" spans="1:12" x14ac:dyDescent="0.2">
      <c r="A12" s="13"/>
      <c r="B12" s="7">
        <v>76</v>
      </c>
      <c r="C12" s="7" t="s">
        <v>10</v>
      </c>
      <c r="D12" s="13"/>
      <c r="E12" s="7"/>
      <c r="F12" s="7"/>
      <c r="G12" s="14">
        <v>44442</v>
      </c>
      <c r="H12" s="4">
        <f>200+143+50</f>
        <v>393</v>
      </c>
      <c r="I12" s="4"/>
      <c r="J12" s="73"/>
      <c r="K12" s="73"/>
    </row>
    <row r="13" spans="1:12" x14ac:dyDescent="0.2">
      <c r="A13" s="13">
        <v>44426</v>
      </c>
      <c r="B13" s="7">
        <f>55+12+12+6</f>
        <v>85</v>
      </c>
      <c r="C13" s="7" t="s">
        <v>10</v>
      </c>
      <c r="D13" s="13"/>
      <c r="E13" s="7"/>
      <c r="F13" s="7"/>
      <c r="G13" s="4"/>
      <c r="H13" s="4"/>
      <c r="I13" s="4"/>
      <c r="J13" s="73"/>
      <c r="K13" s="73"/>
    </row>
    <row r="14" spans="1:12" x14ac:dyDescent="0.2">
      <c r="A14" s="13"/>
      <c r="B14" s="7">
        <v>4</v>
      </c>
      <c r="C14" s="7" t="s">
        <v>78</v>
      </c>
      <c r="D14" s="13"/>
      <c r="E14" s="7"/>
      <c r="F14" s="7"/>
      <c r="G14" s="4"/>
      <c r="H14" s="4"/>
      <c r="I14" s="4"/>
      <c r="J14" s="73"/>
      <c r="K14" s="73"/>
    </row>
    <row r="15" spans="1:12" x14ac:dyDescent="0.2">
      <c r="A15" s="13">
        <v>44428</v>
      </c>
      <c r="B15" s="7">
        <f>40+130</f>
        <v>170</v>
      </c>
      <c r="C15" s="7" t="s">
        <v>79</v>
      </c>
      <c r="D15" s="13"/>
      <c r="E15" s="7"/>
      <c r="F15" s="7"/>
      <c r="G15" s="14"/>
      <c r="H15" s="4"/>
      <c r="I15" s="4"/>
      <c r="J15" s="73"/>
      <c r="K15" s="73"/>
    </row>
    <row r="16" spans="1:12" x14ac:dyDescent="0.2">
      <c r="A16" s="13">
        <v>44433</v>
      </c>
      <c r="B16" s="7">
        <v>38</v>
      </c>
      <c r="C16" s="7" t="s">
        <v>10</v>
      </c>
      <c r="D16" s="7"/>
      <c r="E16" s="7"/>
      <c r="F16" s="7"/>
      <c r="G16" s="14"/>
      <c r="H16" s="4"/>
      <c r="I16" s="4"/>
      <c r="J16" s="73"/>
      <c r="K16" s="73"/>
    </row>
    <row r="17" spans="1:12" x14ac:dyDescent="0.2">
      <c r="A17" s="13">
        <v>44439</v>
      </c>
      <c r="B17" s="7">
        <v>19</v>
      </c>
      <c r="C17" s="7" t="s">
        <v>10</v>
      </c>
      <c r="D17" s="7"/>
      <c r="E17" s="7"/>
      <c r="F17" s="7"/>
      <c r="G17" s="14"/>
      <c r="H17" s="4"/>
      <c r="I17" s="4"/>
      <c r="J17" s="73"/>
      <c r="K17" s="73"/>
    </row>
    <row r="18" spans="1:12" x14ac:dyDescent="0.2">
      <c r="A18" s="13"/>
      <c r="B18" s="7"/>
      <c r="C18" s="7"/>
      <c r="D18" s="7"/>
      <c r="E18" s="7"/>
      <c r="F18" s="7"/>
      <c r="G18" s="14"/>
      <c r="H18" s="4"/>
      <c r="I18" s="4"/>
      <c r="J18" s="73"/>
      <c r="K18" s="73"/>
    </row>
    <row r="19" spans="1:12" x14ac:dyDescent="0.2">
      <c r="A19" s="13"/>
      <c r="B19" s="7"/>
      <c r="C19" s="7"/>
      <c r="D19" s="7"/>
      <c r="E19" s="7"/>
      <c r="F19" s="7"/>
      <c r="G19" s="14"/>
      <c r="H19" s="4"/>
      <c r="I19" s="4"/>
      <c r="J19" s="8" t="s">
        <v>13</v>
      </c>
      <c r="K19" s="9">
        <v>8219</v>
      </c>
    </row>
    <row r="20" spans="1:12" x14ac:dyDescent="0.2">
      <c r="A20" s="13"/>
      <c r="B20" s="7"/>
      <c r="C20" s="7"/>
      <c r="D20" s="7"/>
      <c r="E20" s="7"/>
      <c r="F20" s="7"/>
      <c r="G20" s="4"/>
      <c r="H20" s="4"/>
      <c r="I20" s="4"/>
      <c r="J20" s="8" t="s">
        <v>14</v>
      </c>
      <c r="K20" s="9">
        <f>8293+21</f>
        <v>8314</v>
      </c>
    </row>
    <row r="21" spans="1:12" x14ac:dyDescent="0.2">
      <c r="A21" s="13"/>
      <c r="B21" s="7"/>
      <c r="C21" s="7"/>
      <c r="D21" s="7"/>
      <c r="E21" s="7"/>
      <c r="F21" s="7"/>
      <c r="G21" s="4"/>
      <c r="H21" s="4"/>
      <c r="I21" s="4"/>
      <c r="J21" s="8" t="s">
        <v>15</v>
      </c>
      <c r="K21" s="9">
        <f>K20-K19</f>
        <v>95</v>
      </c>
    </row>
    <row r="22" spans="1:12" x14ac:dyDescent="0.2">
      <c r="A22" s="13"/>
      <c r="B22" s="7"/>
      <c r="C22" s="7"/>
      <c r="D22" s="7"/>
      <c r="E22" s="7"/>
      <c r="F22" s="7"/>
      <c r="G22" s="4"/>
      <c r="H22" s="4"/>
      <c r="I22" s="4"/>
      <c r="J22" s="8" t="s">
        <v>0</v>
      </c>
      <c r="K22" s="9">
        <f>K21*3.5</f>
        <v>332.5</v>
      </c>
    </row>
    <row r="23" spans="1:12" x14ac:dyDescent="0.2">
      <c r="A23" s="13"/>
      <c r="B23" s="7"/>
      <c r="C23" s="7"/>
      <c r="D23" s="7"/>
      <c r="E23" s="7"/>
      <c r="F23" s="7"/>
      <c r="G23" s="4"/>
      <c r="H23" s="4"/>
      <c r="I23" s="4"/>
      <c r="J23" s="8" t="s">
        <v>16</v>
      </c>
      <c r="K23" s="9">
        <f>1400+80</f>
        <v>1480</v>
      </c>
    </row>
    <row r="24" spans="1:12" ht="16.5" thickBot="1" x14ac:dyDescent="0.25">
      <c r="A24" s="15"/>
      <c r="B24" s="16"/>
      <c r="C24" s="16"/>
      <c r="D24" s="16"/>
      <c r="E24" s="16"/>
      <c r="F24" s="16"/>
      <c r="G24" s="17"/>
      <c r="H24" s="17"/>
      <c r="I24" s="17"/>
      <c r="J24" s="8" t="s">
        <v>17</v>
      </c>
      <c r="K24" s="8">
        <f>K23+K22</f>
        <v>1812.5</v>
      </c>
      <c r="L24" s="2" t="s">
        <v>49</v>
      </c>
    </row>
    <row r="25" spans="1:12" ht="20.100000000000001" customHeight="1" x14ac:dyDescent="0.2">
      <c r="A25" s="59" t="s">
        <v>1</v>
      </c>
      <c r="B25" s="60"/>
      <c r="C25" s="60"/>
      <c r="D25" s="82">
        <v>4110</v>
      </c>
      <c r="E25" s="82"/>
      <c r="F25" s="83"/>
      <c r="G25" s="18" t="s">
        <v>1</v>
      </c>
      <c r="H25" s="86">
        <v>12239.388999999999</v>
      </c>
      <c r="I25" s="87"/>
      <c r="J25" s="78" t="s">
        <v>23</v>
      </c>
      <c r="K25" s="79"/>
    </row>
    <row r="26" spans="1:12" ht="20.100000000000001" customHeight="1" x14ac:dyDescent="0.2">
      <c r="A26" s="61" t="s">
        <v>18</v>
      </c>
      <c r="B26" s="62"/>
      <c r="C26" s="62"/>
      <c r="D26" s="84">
        <f>SUM(B5:B24)+SUM(E5:E24)</f>
        <v>2841</v>
      </c>
      <c r="E26" s="84"/>
      <c r="F26" s="85"/>
      <c r="G26" s="19" t="s">
        <v>22</v>
      </c>
      <c r="H26" s="69">
        <f>SUM(H5:H24)</f>
        <v>-1939.4339999999997</v>
      </c>
      <c r="I26" s="70"/>
      <c r="J26" s="80">
        <f>D27+H27</f>
        <v>15447.822999999999</v>
      </c>
      <c r="K26" s="81"/>
    </row>
    <row r="27" spans="1:12" ht="36.75" customHeight="1" thickBot="1" x14ac:dyDescent="0.25">
      <c r="A27" s="63" t="s">
        <v>7</v>
      </c>
      <c r="B27" s="64"/>
      <c r="C27" s="64"/>
      <c r="D27" s="65">
        <f>D25-D26</f>
        <v>1269</v>
      </c>
      <c r="E27" s="65"/>
      <c r="F27" s="66"/>
      <c r="G27" s="20" t="s">
        <v>7</v>
      </c>
      <c r="H27" s="76">
        <f>H25-H26</f>
        <v>14178.822999999999</v>
      </c>
      <c r="I27" s="77"/>
      <c r="J27" s="80"/>
      <c r="K27" s="81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E15" sqref="E15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80</v>
      </c>
      <c r="B1" s="75"/>
      <c r="C1" s="75"/>
      <c r="D1" s="75"/>
      <c r="E1" s="75"/>
      <c r="F1" s="75"/>
      <c r="G1" s="75"/>
      <c r="H1" s="75"/>
      <c r="I1" s="75"/>
      <c r="J1" s="73" t="s">
        <v>24</v>
      </c>
      <c r="K1" s="72">
        <f>D26-B19</f>
        <v>3020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73"/>
      <c r="K2" s="7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100.66666666666667</v>
      </c>
      <c r="L4" s="10"/>
    </row>
    <row r="5" spans="1:12" x14ac:dyDescent="0.2">
      <c r="A5" s="13">
        <v>44440</v>
      </c>
      <c r="B5" s="7">
        <v>140</v>
      </c>
      <c r="C5" s="7" t="s">
        <v>81</v>
      </c>
      <c r="D5" s="13"/>
      <c r="E5" s="7"/>
      <c r="F5" s="7"/>
      <c r="G5" s="14">
        <v>44397</v>
      </c>
      <c r="H5" s="4">
        <v>84</v>
      </c>
      <c r="I5" s="4" t="s">
        <v>10</v>
      </c>
      <c r="J5" s="73"/>
      <c r="K5" s="73"/>
    </row>
    <row r="6" spans="1:12" x14ac:dyDescent="0.2">
      <c r="A6" s="13">
        <v>44441</v>
      </c>
      <c r="B6" s="7">
        <f>24+35</f>
        <v>59</v>
      </c>
      <c r="C6" s="7" t="s">
        <v>10</v>
      </c>
      <c r="D6" s="13"/>
      <c r="E6" s="7"/>
      <c r="F6" s="7"/>
      <c r="G6" s="14">
        <v>44400</v>
      </c>
      <c r="H6" s="4">
        <v>500</v>
      </c>
      <c r="I6" s="4" t="s">
        <v>8</v>
      </c>
      <c r="J6" s="73"/>
      <c r="K6" s="73"/>
    </row>
    <row r="7" spans="1:12" x14ac:dyDescent="0.2">
      <c r="A7" s="13">
        <v>44442</v>
      </c>
      <c r="B7" s="7">
        <v>40</v>
      </c>
      <c r="C7" s="7" t="s">
        <v>10</v>
      </c>
      <c r="D7" s="13"/>
      <c r="E7" s="7"/>
      <c r="F7" s="7"/>
      <c r="G7" s="14"/>
      <c r="H7" s="4">
        <v>-200.30199999999999</v>
      </c>
      <c r="I7" s="4" t="s">
        <v>69</v>
      </c>
      <c r="J7" s="73"/>
      <c r="K7" s="73"/>
    </row>
    <row r="8" spans="1:12" x14ac:dyDescent="0.2">
      <c r="A8" s="13">
        <v>44443</v>
      </c>
      <c r="B8" s="7">
        <v>366</v>
      </c>
      <c r="C8" s="7" t="s">
        <v>10</v>
      </c>
      <c r="D8" s="13"/>
      <c r="E8" s="7"/>
      <c r="F8" s="7"/>
      <c r="G8" s="14"/>
      <c r="H8" s="4">
        <v>4000</v>
      </c>
      <c r="I8" s="4" t="s">
        <v>22</v>
      </c>
      <c r="J8" s="73"/>
      <c r="K8" s="73"/>
    </row>
    <row r="9" spans="1:12" x14ac:dyDescent="0.2">
      <c r="A9" s="13">
        <v>44444</v>
      </c>
      <c r="B9" s="7">
        <f>50+17</f>
        <v>67</v>
      </c>
      <c r="C9" s="7" t="s">
        <v>10</v>
      </c>
      <c r="D9" s="13"/>
      <c r="E9" s="7"/>
      <c r="F9" s="7"/>
      <c r="G9" s="14">
        <v>44415</v>
      </c>
      <c r="H9" s="4">
        <v>275</v>
      </c>
      <c r="I9" s="4" t="s">
        <v>75</v>
      </c>
      <c r="J9" s="73"/>
      <c r="K9" s="73"/>
    </row>
    <row r="10" spans="1:12" x14ac:dyDescent="0.2">
      <c r="A10" s="13">
        <v>44445</v>
      </c>
      <c r="B10" s="7">
        <f>23+13</f>
        <v>36</v>
      </c>
      <c r="C10" s="7" t="s">
        <v>10</v>
      </c>
      <c r="D10" s="13"/>
      <c r="E10" s="7"/>
      <c r="F10" s="7"/>
      <c r="G10" s="14">
        <v>44418</v>
      </c>
      <c r="H10" s="4">
        <v>-6937.5</v>
      </c>
      <c r="I10" s="4" t="s">
        <v>82</v>
      </c>
      <c r="J10" s="73"/>
      <c r="K10" s="73"/>
    </row>
    <row r="11" spans="1:12" x14ac:dyDescent="0.2">
      <c r="A11" s="13">
        <v>44449</v>
      </c>
      <c r="B11" s="7">
        <f>27+25+12+14</f>
        <v>78</v>
      </c>
      <c r="C11" s="7" t="s">
        <v>10</v>
      </c>
      <c r="D11" s="13"/>
      <c r="E11" s="7"/>
      <c r="F11" s="7"/>
      <c r="G11" s="14"/>
      <c r="H11" s="4">
        <f>-53.341-0.291</f>
        <v>-53.631999999999998</v>
      </c>
      <c r="I11" s="4" t="s">
        <v>54</v>
      </c>
      <c r="J11" s="73"/>
      <c r="K11" s="73"/>
    </row>
    <row r="12" spans="1:12" x14ac:dyDescent="0.2">
      <c r="A12" s="13">
        <v>44450</v>
      </c>
      <c r="B12" s="7">
        <f>91+25</f>
        <v>116</v>
      </c>
      <c r="C12" s="7" t="s">
        <v>10</v>
      </c>
      <c r="D12" s="13"/>
      <c r="E12" s="7"/>
      <c r="F12" s="7"/>
      <c r="G12" s="14">
        <v>44442</v>
      </c>
      <c r="H12" s="4">
        <f>200+143+50</f>
        <v>393</v>
      </c>
      <c r="I12" s="4" t="s">
        <v>83</v>
      </c>
      <c r="J12" s="73"/>
      <c r="K12" s="73"/>
    </row>
    <row r="13" spans="1:12" x14ac:dyDescent="0.2">
      <c r="A13" s="13">
        <v>44452</v>
      </c>
      <c r="B13" s="7">
        <v>57</v>
      </c>
      <c r="C13" s="7" t="s">
        <v>10</v>
      </c>
      <c r="D13" s="13"/>
      <c r="E13" s="7"/>
      <c r="F13" s="7"/>
      <c r="G13" s="14">
        <v>44445</v>
      </c>
      <c r="H13" s="4">
        <v>-6937.5</v>
      </c>
      <c r="I13" s="4" t="s">
        <v>90</v>
      </c>
      <c r="J13" s="73"/>
      <c r="K13" s="73"/>
    </row>
    <row r="14" spans="1:12" x14ac:dyDescent="0.2">
      <c r="A14" s="13">
        <v>44454</v>
      </c>
      <c r="B14" s="7">
        <f>15+18</f>
        <v>33</v>
      </c>
      <c r="C14" s="7" t="s">
        <v>10</v>
      </c>
      <c r="D14" s="13"/>
      <c r="E14" s="7"/>
      <c r="F14" s="7"/>
      <c r="G14" s="4"/>
      <c r="H14" s="4">
        <v>28.1</v>
      </c>
      <c r="I14" s="4" t="s">
        <v>10</v>
      </c>
      <c r="J14" s="73"/>
      <c r="K14" s="73"/>
    </row>
    <row r="15" spans="1:12" x14ac:dyDescent="0.2">
      <c r="A15" s="13">
        <v>44459</v>
      </c>
      <c r="B15" s="7">
        <f>16+22+60</f>
        <v>98</v>
      </c>
      <c r="C15" s="7" t="s">
        <v>10</v>
      </c>
      <c r="D15" s="13"/>
      <c r="E15" s="7"/>
      <c r="F15" s="7"/>
      <c r="G15" s="14">
        <v>44459</v>
      </c>
      <c r="H15" s="4">
        <f>5000+2000+200+231-2050</f>
        <v>5381</v>
      </c>
      <c r="I15" s="4" t="s">
        <v>84</v>
      </c>
      <c r="J15" s="73"/>
      <c r="K15" s="73"/>
    </row>
    <row r="16" spans="1:12" x14ac:dyDescent="0.2">
      <c r="A16" s="13"/>
      <c r="B16" s="7">
        <f>1755</f>
        <v>1755</v>
      </c>
      <c r="C16" s="7" t="s">
        <v>48</v>
      </c>
      <c r="D16" s="7"/>
      <c r="E16" s="7"/>
      <c r="F16" s="7"/>
      <c r="G16" s="14">
        <v>44466</v>
      </c>
      <c r="H16" s="4">
        <f>400+2000-0.397+310.89</f>
        <v>2710.4929999999999</v>
      </c>
      <c r="I16" s="4" t="s">
        <v>89</v>
      </c>
      <c r="J16" s="73"/>
      <c r="K16" s="73"/>
    </row>
    <row r="17" spans="1:12" x14ac:dyDescent="0.2">
      <c r="A17" s="13">
        <v>44466</v>
      </c>
      <c r="B17" s="7">
        <f>20+22+23+40</f>
        <v>105</v>
      </c>
      <c r="C17" s="7" t="s">
        <v>86</v>
      </c>
      <c r="D17" s="7"/>
      <c r="E17" s="7"/>
      <c r="F17" s="7"/>
      <c r="G17" s="14"/>
      <c r="H17" s="4"/>
      <c r="I17" s="4"/>
      <c r="J17" s="73"/>
      <c r="K17" s="73"/>
    </row>
    <row r="18" spans="1:12" x14ac:dyDescent="0.2">
      <c r="A18" s="13"/>
      <c r="B18" s="7">
        <v>70</v>
      </c>
      <c r="C18" s="7" t="s">
        <v>85</v>
      </c>
      <c r="D18" s="7"/>
      <c r="E18" s="7"/>
      <c r="F18" s="7"/>
      <c r="G18" s="14"/>
      <c r="H18" s="4"/>
      <c r="I18" s="4"/>
      <c r="J18" s="73"/>
      <c r="K18" s="73"/>
    </row>
    <row r="19" spans="1:12" x14ac:dyDescent="0.2">
      <c r="A19" s="13"/>
      <c r="B19" s="7">
        <v>350</v>
      </c>
      <c r="C19" s="7" t="s">
        <v>87</v>
      </c>
      <c r="D19" s="7"/>
      <c r="E19" s="7"/>
      <c r="F19" s="7"/>
      <c r="G19" s="14"/>
      <c r="H19" s="4"/>
      <c r="I19" s="4"/>
      <c r="J19" s="8" t="s">
        <v>13</v>
      </c>
      <c r="K19" s="9">
        <v>8219</v>
      </c>
    </row>
    <row r="20" spans="1:12" x14ac:dyDescent="0.2">
      <c r="A20" s="13"/>
      <c r="B20" s="7"/>
      <c r="C20" s="7"/>
      <c r="D20" s="7"/>
      <c r="E20" s="7"/>
      <c r="F20" s="7"/>
      <c r="G20" s="4"/>
      <c r="H20" s="4"/>
      <c r="I20" s="4"/>
      <c r="J20" s="8" t="s">
        <v>14</v>
      </c>
      <c r="K20" s="9">
        <v>8326</v>
      </c>
    </row>
    <row r="21" spans="1:12" x14ac:dyDescent="0.2">
      <c r="A21" s="13"/>
      <c r="B21" s="7"/>
      <c r="C21" s="7"/>
      <c r="D21" s="7"/>
      <c r="E21" s="7"/>
      <c r="F21" s="7"/>
      <c r="G21" s="4"/>
      <c r="H21" s="4"/>
      <c r="I21" s="4"/>
      <c r="J21" s="8" t="s">
        <v>15</v>
      </c>
      <c r="K21" s="9">
        <f>K20-K19</f>
        <v>107</v>
      </c>
    </row>
    <row r="22" spans="1:12" x14ac:dyDescent="0.2">
      <c r="A22" s="13"/>
      <c r="B22" s="7"/>
      <c r="C22" s="7"/>
      <c r="D22" s="7"/>
      <c r="E22" s="7"/>
      <c r="F22" s="7"/>
      <c r="G22" s="4"/>
      <c r="H22" s="4"/>
      <c r="I22" s="4"/>
      <c r="J22" s="8" t="s">
        <v>0</v>
      </c>
      <c r="K22" s="9">
        <f>K21*3.5</f>
        <v>374.5</v>
      </c>
    </row>
    <row r="23" spans="1:12" x14ac:dyDescent="0.2">
      <c r="A23" s="13"/>
      <c r="B23" s="7"/>
      <c r="C23" s="7"/>
      <c r="D23" s="7"/>
      <c r="E23" s="7"/>
      <c r="F23" s="7"/>
      <c r="G23" s="4"/>
      <c r="H23" s="4"/>
      <c r="I23" s="4"/>
      <c r="J23" s="8" t="s">
        <v>16</v>
      </c>
      <c r="K23" s="9">
        <f>1300+80</f>
        <v>1380</v>
      </c>
    </row>
    <row r="24" spans="1:12" ht="16.5" thickBot="1" x14ac:dyDescent="0.25">
      <c r="A24" s="15"/>
      <c r="B24" s="16"/>
      <c r="C24" s="16"/>
      <c r="D24" s="16"/>
      <c r="E24" s="16"/>
      <c r="F24" s="16"/>
      <c r="G24" s="17"/>
      <c r="H24" s="17"/>
      <c r="I24" s="17"/>
      <c r="J24" s="8" t="s">
        <v>17</v>
      </c>
      <c r="K24" s="8">
        <f>K23+K22</f>
        <v>1754.5</v>
      </c>
      <c r="L24" s="2" t="s">
        <v>49</v>
      </c>
    </row>
    <row r="25" spans="1:12" ht="20.100000000000001" customHeight="1" x14ac:dyDescent="0.2">
      <c r="A25" s="59" t="s">
        <v>1</v>
      </c>
      <c r="B25" s="60"/>
      <c r="C25" s="60"/>
      <c r="D25" s="82">
        <f>1269+5000+300</f>
        <v>6569</v>
      </c>
      <c r="E25" s="82"/>
      <c r="F25" s="83"/>
      <c r="G25" s="18" t="s">
        <v>1</v>
      </c>
      <c r="H25" s="86">
        <v>12239.388999999999</v>
      </c>
      <c r="I25" s="87"/>
      <c r="J25" s="78" t="s">
        <v>23</v>
      </c>
      <c r="K25" s="79"/>
    </row>
    <row r="26" spans="1:12" ht="20.100000000000001" customHeight="1" x14ac:dyDescent="0.2">
      <c r="A26" s="61" t="s">
        <v>18</v>
      </c>
      <c r="B26" s="62"/>
      <c r="C26" s="62"/>
      <c r="D26" s="84">
        <f>SUM(B5:B24)+SUM(E5:E24)</f>
        <v>3370</v>
      </c>
      <c r="E26" s="84"/>
      <c r="F26" s="85"/>
      <c r="G26" s="19" t="s">
        <v>22</v>
      </c>
      <c r="H26" s="69">
        <f>SUM(H5:H24)</f>
        <v>-757.34099999999899</v>
      </c>
      <c r="I26" s="70"/>
      <c r="J26" s="80">
        <f>D27+H27</f>
        <v>16195.729999999998</v>
      </c>
      <c r="K26" s="81"/>
    </row>
    <row r="27" spans="1:12" ht="36.75" customHeight="1" thickBot="1" x14ac:dyDescent="0.25">
      <c r="A27" s="63" t="s">
        <v>7</v>
      </c>
      <c r="B27" s="64"/>
      <c r="C27" s="64"/>
      <c r="D27" s="65">
        <f>D25-D26</f>
        <v>3199</v>
      </c>
      <c r="E27" s="65"/>
      <c r="F27" s="66"/>
      <c r="G27" s="20" t="s">
        <v>7</v>
      </c>
      <c r="H27" s="76">
        <f>H25-H26</f>
        <v>12996.729999999998</v>
      </c>
      <c r="I27" s="77"/>
      <c r="J27" s="80"/>
      <c r="K27" s="81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workbookViewId="0">
      <selection activeCell="G17" sqref="G17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88</v>
      </c>
      <c r="B1" s="75"/>
      <c r="C1" s="75"/>
      <c r="D1" s="75"/>
      <c r="E1" s="75"/>
      <c r="F1" s="75"/>
      <c r="G1" s="75"/>
      <c r="H1" s="75"/>
      <c r="I1" s="75"/>
      <c r="J1" s="73" t="s">
        <v>24</v>
      </c>
      <c r="K1" s="72">
        <f>D26-B13</f>
        <v>3526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73"/>
      <c r="K2" s="7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113.74193548387096</v>
      </c>
      <c r="L4" s="10"/>
    </row>
    <row r="5" spans="1:12" x14ac:dyDescent="0.2">
      <c r="A5" s="13">
        <v>44470</v>
      </c>
      <c r="B5" s="7">
        <f>106</f>
        <v>106</v>
      </c>
      <c r="C5" s="7" t="s">
        <v>36</v>
      </c>
      <c r="D5" s="13"/>
      <c r="E5" s="7"/>
      <c r="F5" s="7"/>
      <c r="G5" s="14">
        <v>44470</v>
      </c>
      <c r="H5" s="4">
        <v>124</v>
      </c>
      <c r="I5" s="4" t="s">
        <v>32</v>
      </c>
      <c r="J5" s="73"/>
      <c r="K5" s="73"/>
    </row>
    <row r="6" spans="1:12" x14ac:dyDescent="0.2">
      <c r="A6" s="13">
        <v>44471</v>
      </c>
      <c r="B6" s="7">
        <f>371+55+13+20+10+514+8</f>
        <v>991</v>
      </c>
      <c r="C6" s="7" t="s">
        <v>92</v>
      </c>
      <c r="D6" s="13"/>
      <c r="E6" s="7"/>
      <c r="F6" s="7"/>
      <c r="G6" s="14">
        <v>44471</v>
      </c>
      <c r="H6" s="4">
        <f>79.2+3000+90</f>
        <v>3169.2</v>
      </c>
      <c r="I6" s="4" t="s">
        <v>91</v>
      </c>
      <c r="J6" s="73"/>
      <c r="K6" s="73"/>
    </row>
    <row r="7" spans="1:12" x14ac:dyDescent="0.2">
      <c r="A7" s="13">
        <v>44474</v>
      </c>
      <c r="B7" s="7">
        <v>1772</v>
      </c>
      <c r="C7" s="7" t="s">
        <v>48</v>
      </c>
      <c r="D7" s="13"/>
      <c r="E7" s="7"/>
      <c r="F7" s="7"/>
      <c r="G7" s="14"/>
      <c r="H7" s="4">
        <f>-6937.5-400+30</f>
        <v>-7307.5</v>
      </c>
      <c r="I7" s="4"/>
      <c r="J7" s="73"/>
      <c r="K7" s="73"/>
    </row>
    <row r="8" spans="1:12" x14ac:dyDescent="0.2">
      <c r="A8" s="13">
        <v>44477</v>
      </c>
      <c r="B8" s="7">
        <v>194</v>
      </c>
      <c r="C8" s="7" t="s">
        <v>8</v>
      </c>
      <c r="D8" s="13"/>
      <c r="E8" s="7"/>
      <c r="F8" s="7"/>
      <c r="G8" s="14"/>
      <c r="H8" s="4">
        <f>-1800-2000+120</f>
        <v>-3680</v>
      </c>
      <c r="I8" s="4"/>
      <c r="J8" s="73"/>
      <c r="K8" s="73"/>
    </row>
    <row r="9" spans="1:12" x14ac:dyDescent="0.2">
      <c r="A9" s="13">
        <v>44479</v>
      </c>
      <c r="B9" s="7">
        <f>17+27</f>
        <v>44</v>
      </c>
      <c r="C9" s="7" t="s">
        <v>74</v>
      </c>
      <c r="D9" s="13"/>
      <c r="E9" s="7"/>
      <c r="F9" s="7"/>
      <c r="G9" s="14">
        <v>44496</v>
      </c>
      <c r="H9" s="4">
        <v>2000</v>
      </c>
      <c r="I9" s="4" t="s">
        <v>98</v>
      </c>
      <c r="J9" s="73"/>
      <c r="K9" s="73"/>
    </row>
    <row r="10" spans="1:12" x14ac:dyDescent="0.2">
      <c r="A10" s="13"/>
      <c r="B10" s="7">
        <v>30</v>
      </c>
      <c r="C10" s="7" t="s">
        <v>45</v>
      </c>
      <c r="D10" s="13"/>
      <c r="E10" s="7"/>
      <c r="F10" s="7"/>
      <c r="G10" s="14">
        <v>11628</v>
      </c>
      <c r="H10" s="4">
        <f>105-0.464</f>
        <v>104.536</v>
      </c>
      <c r="I10" s="4" t="s">
        <v>10</v>
      </c>
      <c r="J10" s="73"/>
      <c r="K10" s="73"/>
    </row>
    <row r="11" spans="1:12" x14ac:dyDescent="0.2">
      <c r="A11" s="13">
        <v>44488</v>
      </c>
      <c r="B11" s="7">
        <v>30</v>
      </c>
      <c r="C11" s="7" t="s">
        <v>93</v>
      </c>
      <c r="D11" s="13"/>
      <c r="E11" s="7"/>
      <c r="F11" s="7"/>
      <c r="G11" s="14"/>
      <c r="H11" s="14"/>
      <c r="I11" s="4"/>
      <c r="J11" s="73"/>
      <c r="K11" s="73"/>
    </row>
    <row r="12" spans="1:12" x14ac:dyDescent="0.2">
      <c r="A12" s="13"/>
      <c r="B12" s="7">
        <v>132</v>
      </c>
      <c r="C12" s="7" t="s">
        <v>94</v>
      </c>
      <c r="D12" s="13"/>
      <c r="E12" s="7"/>
      <c r="F12" s="7"/>
      <c r="G12" s="14"/>
      <c r="H12" s="4"/>
      <c r="I12" s="4"/>
      <c r="J12" s="73"/>
      <c r="K12" s="73"/>
    </row>
    <row r="13" spans="1:12" x14ac:dyDescent="0.2">
      <c r="A13" s="13">
        <v>44490</v>
      </c>
      <c r="B13" s="7">
        <v>150</v>
      </c>
      <c r="C13" s="7" t="s">
        <v>95</v>
      </c>
      <c r="D13" s="13"/>
      <c r="E13" s="7"/>
      <c r="F13" s="7"/>
      <c r="G13" s="14"/>
      <c r="H13" s="4"/>
      <c r="I13" s="4"/>
      <c r="J13" s="73"/>
      <c r="K13" s="73"/>
    </row>
    <row r="14" spans="1:12" x14ac:dyDescent="0.2">
      <c r="A14" s="13">
        <v>44494</v>
      </c>
      <c r="B14" s="7">
        <v>45</v>
      </c>
      <c r="C14" s="7" t="s">
        <v>45</v>
      </c>
      <c r="D14" s="13"/>
      <c r="E14" s="7"/>
      <c r="F14" s="7"/>
      <c r="G14" s="4"/>
      <c r="H14" s="4"/>
      <c r="I14" s="4"/>
      <c r="J14" s="73"/>
      <c r="K14" s="73"/>
    </row>
    <row r="15" spans="1:12" x14ac:dyDescent="0.2">
      <c r="A15" s="13">
        <v>44497</v>
      </c>
      <c r="B15" s="7">
        <v>22</v>
      </c>
      <c r="C15" s="7" t="s">
        <v>10</v>
      </c>
      <c r="D15" s="13"/>
      <c r="E15" s="7"/>
      <c r="F15" s="7"/>
      <c r="G15" s="14"/>
      <c r="H15" s="4"/>
      <c r="I15" s="4"/>
      <c r="J15" s="73"/>
      <c r="K15" s="73"/>
    </row>
    <row r="16" spans="1:12" x14ac:dyDescent="0.2">
      <c r="A16" s="13">
        <v>44498</v>
      </c>
      <c r="B16" s="7">
        <f>5+27</f>
        <v>32</v>
      </c>
      <c r="C16" s="7" t="s">
        <v>96</v>
      </c>
      <c r="D16" s="7"/>
      <c r="E16" s="7"/>
      <c r="F16" s="7"/>
      <c r="G16" s="14"/>
      <c r="H16" s="4"/>
      <c r="I16" s="4"/>
      <c r="J16" s="73"/>
      <c r="K16" s="73"/>
    </row>
    <row r="17" spans="1:12" x14ac:dyDescent="0.2">
      <c r="A17" s="13">
        <v>44500</v>
      </c>
      <c r="B17" s="7">
        <f>65+43+20</f>
        <v>128</v>
      </c>
      <c r="C17" s="7" t="s">
        <v>97</v>
      </c>
      <c r="D17" s="7"/>
      <c r="E17" s="7"/>
      <c r="F17" s="7"/>
      <c r="G17" s="14"/>
      <c r="H17" s="4"/>
      <c r="I17" s="4"/>
      <c r="J17" s="73"/>
      <c r="K17" s="73"/>
    </row>
    <row r="18" spans="1:12" x14ac:dyDescent="0.2">
      <c r="A18" s="13"/>
      <c r="B18" s="7"/>
      <c r="C18" s="7"/>
      <c r="D18" s="7"/>
      <c r="E18" s="7"/>
      <c r="F18" s="7"/>
      <c r="G18" s="14"/>
      <c r="H18" s="4"/>
      <c r="I18" s="4"/>
      <c r="J18" s="73"/>
      <c r="K18" s="73"/>
    </row>
    <row r="19" spans="1:12" x14ac:dyDescent="0.2">
      <c r="A19" s="13"/>
      <c r="B19" s="7"/>
      <c r="C19" s="7"/>
      <c r="D19" s="7"/>
      <c r="E19" s="7"/>
      <c r="F19" s="7"/>
      <c r="G19" s="14"/>
      <c r="H19" s="4"/>
      <c r="I19" s="4"/>
      <c r="J19" s="8" t="s">
        <v>13</v>
      </c>
      <c r="K19" s="9">
        <v>8410</v>
      </c>
    </row>
    <row r="20" spans="1:12" x14ac:dyDescent="0.2">
      <c r="A20" s="13"/>
      <c r="B20" s="7"/>
      <c r="C20" s="7"/>
      <c r="D20" s="7"/>
      <c r="E20" s="7"/>
      <c r="F20" s="7"/>
      <c r="G20" s="4"/>
      <c r="H20" s="4"/>
      <c r="I20" s="4"/>
      <c r="J20" s="8" t="s">
        <v>14</v>
      </c>
      <c r="K20" s="9">
        <v>8482</v>
      </c>
    </row>
    <row r="21" spans="1:12" x14ac:dyDescent="0.2">
      <c r="A21" s="13"/>
      <c r="B21" s="7"/>
      <c r="C21" s="7"/>
      <c r="D21" s="7"/>
      <c r="E21" s="7"/>
      <c r="F21" s="7"/>
      <c r="G21" s="4"/>
      <c r="H21" s="4"/>
      <c r="I21" s="4"/>
      <c r="J21" s="8" t="s">
        <v>15</v>
      </c>
      <c r="K21" s="9">
        <f>K20-K19</f>
        <v>72</v>
      </c>
    </row>
    <row r="22" spans="1:12" x14ac:dyDescent="0.2">
      <c r="A22" s="13"/>
      <c r="B22" s="7"/>
      <c r="C22" s="7"/>
      <c r="D22" s="7"/>
      <c r="E22" s="7"/>
      <c r="F22" s="7"/>
      <c r="G22" s="4"/>
      <c r="H22" s="4"/>
      <c r="I22" s="4"/>
      <c r="J22" s="8" t="s">
        <v>0</v>
      </c>
      <c r="K22" s="9">
        <f>K21*3.5</f>
        <v>252</v>
      </c>
    </row>
    <row r="23" spans="1:12" x14ac:dyDescent="0.2">
      <c r="A23" s="13"/>
      <c r="B23" s="7"/>
      <c r="C23" s="7"/>
      <c r="D23" s="7"/>
      <c r="E23" s="7"/>
      <c r="F23" s="7"/>
      <c r="G23" s="4"/>
      <c r="H23" s="4"/>
      <c r="I23" s="4"/>
      <c r="J23" s="8" t="s">
        <v>16</v>
      </c>
      <c r="K23" s="9">
        <f>1400+80</f>
        <v>1480</v>
      </c>
    </row>
    <row r="24" spans="1:12" ht="16.5" thickBot="1" x14ac:dyDescent="0.25">
      <c r="A24" s="15"/>
      <c r="B24" s="16"/>
      <c r="C24" s="16"/>
      <c r="D24" s="16"/>
      <c r="E24" s="16"/>
      <c r="F24" s="16"/>
      <c r="G24" s="17"/>
      <c r="H24" s="17"/>
      <c r="I24" s="17"/>
      <c r="J24" s="8" t="s">
        <v>17</v>
      </c>
      <c r="K24" s="8">
        <f>K23+K22</f>
        <v>1732</v>
      </c>
      <c r="L24" s="2" t="s">
        <v>49</v>
      </c>
    </row>
    <row r="25" spans="1:12" ht="20.100000000000001" customHeight="1" x14ac:dyDescent="0.2">
      <c r="A25" s="59" t="s">
        <v>1</v>
      </c>
      <c r="B25" s="60"/>
      <c r="C25" s="60"/>
      <c r="D25" s="82">
        <f>3199+3000+1000</f>
        <v>7199</v>
      </c>
      <c r="E25" s="82"/>
      <c r="F25" s="83"/>
      <c r="G25" s="18" t="s">
        <v>1</v>
      </c>
      <c r="H25" s="86">
        <v>12996.73</v>
      </c>
      <c r="I25" s="87"/>
      <c r="J25" s="78" t="s">
        <v>23</v>
      </c>
      <c r="K25" s="79"/>
    </row>
    <row r="26" spans="1:12" ht="20.100000000000001" customHeight="1" x14ac:dyDescent="0.2">
      <c r="A26" s="61" t="s">
        <v>18</v>
      </c>
      <c r="B26" s="62"/>
      <c r="C26" s="62"/>
      <c r="D26" s="84">
        <f>SUM(B5:B24)+SUM(E5:E24)</f>
        <v>3676</v>
      </c>
      <c r="E26" s="84"/>
      <c r="F26" s="85"/>
      <c r="G26" s="19" t="s">
        <v>22</v>
      </c>
      <c r="H26" s="69">
        <f>SUM(H5:H24)</f>
        <v>-5589.7640000000001</v>
      </c>
      <c r="I26" s="70"/>
      <c r="J26" s="80">
        <f>D27+H27</f>
        <v>22109.493999999999</v>
      </c>
      <c r="K26" s="81"/>
    </row>
    <row r="27" spans="1:12" ht="36.75" customHeight="1" thickBot="1" x14ac:dyDescent="0.25">
      <c r="A27" s="63" t="s">
        <v>7</v>
      </c>
      <c r="B27" s="64"/>
      <c r="C27" s="64"/>
      <c r="D27" s="65">
        <f>D25-D26</f>
        <v>3523</v>
      </c>
      <c r="E27" s="65"/>
      <c r="F27" s="66"/>
      <c r="G27" s="20" t="s">
        <v>7</v>
      </c>
      <c r="H27" s="76">
        <f>H25-H26</f>
        <v>18586.493999999999</v>
      </c>
      <c r="I27" s="77"/>
      <c r="J27" s="80"/>
      <c r="K27" s="81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J5" sqref="J5:K18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88</v>
      </c>
      <c r="B1" s="75"/>
      <c r="C1" s="75"/>
      <c r="D1" s="75"/>
      <c r="E1" s="75"/>
      <c r="F1" s="75"/>
      <c r="G1" s="75"/>
      <c r="H1" s="75"/>
      <c r="I1" s="75"/>
      <c r="J1" s="73" t="s">
        <v>24</v>
      </c>
      <c r="K1" s="72">
        <f>D26-B12</f>
        <v>2648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73"/>
      <c r="K2" s="7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88.266666666666666</v>
      </c>
      <c r="L4" s="10"/>
    </row>
    <row r="5" spans="1:12" x14ac:dyDescent="0.2">
      <c r="A5" s="13">
        <v>44501</v>
      </c>
      <c r="B5" s="21">
        <f>31+30+10</f>
        <v>71</v>
      </c>
      <c r="C5" s="25" t="s">
        <v>10</v>
      </c>
      <c r="D5" s="13"/>
      <c r="E5" s="21"/>
      <c r="F5" s="25"/>
      <c r="G5" s="14">
        <v>44470</v>
      </c>
      <c r="H5" s="23">
        <v>124</v>
      </c>
      <c r="I5" s="4" t="s">
        <v>32</v>
      </c>
      <c r="J5" s="88">
        <f>SUM(H5:H24)</f>
        <v>-2007.1869999999999</v>
      </c>
      <c r="K5" s="73"/>
    </row>
    <row r="6" spans="1:12" x14ac:dyDescent="0.2">
      <c r="A6" s="13">
        <v>44504</v>
      </c>
      <c r="B6" s="21">
        <f>50+(544-180)-100-10</f>
        <v>304</v>
      </c>
      <c r="C6" s="25" t="s">
        <v>100</v>
      </c>
      <c r="D6" s="13"/>
      <c r="E6" s="21"/>
      <c r="F6" s="25"/>
      <c r="G6" s="14">
        <v>44471</v>
      </c>
      <c r="H6" s="23">
        <f>79.2+3000+90</f>
        <v>3169.2</v>
      </c>
      <c r="I6" s="4" t="s">
        <v>91</v>
      </c>
      <c r="J6" s="73"/>
      <c r="K6" s="73"/>
    </row>
    <row r="7" spans="1:12" x14ac:dyDescent="0.2">
      <c r="A7" s="13">
        <v>44508</v>
      </c>
      <c r="B7" s="21">
        <f>20+10+27</f>
        <v>57</v>
      </c>
      <c r="C7" s="25" t="s">
        <v>10</v>
      </c>
      <c r="D7" s="13"/>
      <c r="E7" s="21"/>
      <c r="F7" s="25"/>
      <c r="G7" s="14"/>
      <c r="H7" s="23">
        <f>-6937.5-400+30</f>
        <v>-7307.5</v>
      </c>
      <c r="I7" s="4"/>
      <c r="J7" s="73"/>
      <c r="K7" s="73"/>
    </row>
    <row r="8" spans="1:12" x14ac:dyDescent="0.2">
      <c r="A8" s="13">
        <v>44510</v>
      </c>
      <c r="B8" s="21">
        <f>65+7</f>
        <v>72</v>
      </c>
      <c r="C8" s="25" t="s">
        <v>102</v>
      </c>
      <c r="D8" s="13"/>
      <c r="E8" s="21"/>
      <c r="F8" s="25"/>
      <c r="G8" s="14"/>
      <c r="H8" s="23">
        <f>-1800-2000+120</f>
        <v>-3680</v>
      </c>
      <c r="I8" s="4"/>
      <c r="J8" s="73"/>
      <c r="K8" s="73"/>
    </row>
    <row r="9" spans="1:12" x14ac:dyDescent="0.2">
      <c r="A9" s="13">
        <v>44511</v>
      </c>
      <c r="B9" s="21">
        <f>20+35</f>
        <v>55</v>
      </c>
      <c r="C9" s="25" t="s">
        <v>10</v>
      </c>
      <c r="D9" s="13"/>
      <c r="E9" s="21"/>
      <c r="F9" s="25"/>
      <c r="G9" s="14">
        <v>44496</v>
      </c>
      <c r="H9" s="23">
        <v>2000</v>
      </c>
      <c r="I9" s="4" t="s">
        <v>98</v>
      </c>
      <c r="J9" s="73"/>
      <c r="K9" s="73"/>
    </row>
    <row r="10" spans="1:12" x14ac:dyDescent="0.2">
      <c r="A10" s="13"/>
      <c r="B10" s="21">
        <v>97</v>
      </c>
      <c r="C10" s="25" t="s">
        <v>103</v>
      </c>
      <c r="D10" s="13"/>
      <c r="E10" s="21"/>
      <c r="F10" s="25"/>
      <c r="G10" s="14">
        <v>11628</v>
      </c>
      <c r="H10" s="23">
        <f>105-0.464</f>
        <v>104.536</v>
      </c>
      <c r="I10" s="4" t="s">
        <v>10</v>
      </c>
      <c r="J10" s="73"/>
      <c r="K10" s="73"/>
    </row>
    <row r="11" spans="1:12" x14ac:dyDescent="0.2">
      <c r="A11" s="13">
        <v>44518</v>
      </c>
      <c r="B11" s="21">
        <f>50+10+107</f>
        <v>167</v>
      </c>
      <c r="C11" s="25" t="s">
        <v>105</v>
      </c>
      <c r="D11" s="13"/>
      <c r="E11" s="21"/>
      <c r="F11" s="25"/>
      <c r="G11" s="14">
        <v>44504</v>
      </c>
      <c r="H11" s="23">
        <v>-180</v>
      </c>
      <c r="I11" s="4" t="s">
        <v>99</v>
      </c>
      <c r="J11" s="73"/>
      <c r="K11" s="73"/>
    </row>
    <row r="12" spans="1:12" x14ac:dyDescent="0.2">
      <c r="A12" s="13"/>
      <c r="B12" s="21">
        <v>350</v>
      </c>
      <c r="C12" s="25" t="s">
        <v>106</v>
      </c>
      <c r="D12" s="13"/>
      <c r="E12" s="21"/>
      <c r="F12" s="25"/>
      <c r="G12" s="14"/>
      <c r="H12" s="23">
        <v>500</v>
      </c>
      <c r="I12" s="4" t="s">
        <v>101</v>
      </c>
      <c r="J12" s="73"/>
      <c r="K12" s="73"/>
    </row>
    <row r="13" spans="1:12" x14ac:dyDescent="0.2">
      <c r="A13" s="13">
        <v>44521</v>
      </c>
      <c r="B13" s="21">
        <v>1610</v>
      </c>
      <c r="C13" s="25" t="s">
        <v>48</v>
      </c>
      <c r="D13" s="13"/>
      <c r="E13" s="21"/>
      <c r="F13" s="25"/>
      <c r="G13" s="14">
        <v>44510</v>
      </c>
      <c r="H13" s="23">
        <v>-7514.4229999999998</v>
      </c>
      <c r="I13" s="4" t="s">
        <v>40</v>
      </c>
      <c r="J13" s="73"/>
      <c r="K13" s="73"/>
    </row>
    <row r="14" spans="1:12" x14ac:dyDescent="0.2">
      <c r="A14" s="13"/>
      <c r="B14" s="21">
        <f>13+40+10+10</f>
        <v>73</v>
      </c>
      <c r="C14" s="25" t="s">
        <v>107</v>
      </c>
      <c r="D14" s="13"/>
      <c r="E14" s="21"/>
      <c r="F14" s="25"/>
      <c r="G14" s="4"/>
      <c r="H14" s="23">
        <v>-2000</v>
      </c>
      <c r="I14" s="4" t="s">
        <v>104</v>
      </c>
      <c r="J14" s="73"/>
      <c r="K14" s="73"/>
    </row>
    <row r="15" spans="1:12" x14ac:dyDescent="0.2">
      <c r="A15" s="13">
        <v>44523</v>
      </c>
      <c r="B15" s="21">
        <v>60</v>
      </c>
      <c r="C15" s="25" t="s">
        <v>109</v>
      </c>
      <c r="D15" s="13"/>
      <c r="E15" s="21"/>
      <c r="F15" s="25"/>
      <c r="G15" s="14">
        <v>44519</v>
      </c>
      <c r="H15" s="23">
        <f>90+47</f>
        <v>137</v>
      </c>
      <c r="I15" s="4" t="s">
        <v>10</v>
      </c>
      <c r="J15" s="73"/>
      <c r="K15" s="73"/>
    </row>
    <row r="16" spans="1:12" x14ac:dyDescent="0.2">
      <c r="A16" s="13">
        <v>44524</v>
      </c>
      <c r="B16" s="21">
        <v>50</v>
      </c>
      <c r="C16" s="25" t="s">
        <v>110</v>
      </c>
      <c r="D16" s="7"/>
      <c r="E16" s="21"/>
      <c r="F16" s="25"/>
      <c r="G16" s="14">
        <v>44523</v>
      </c>
      <c r="H16" s="23">
        <v>-360</v>
      </c>
      <c r="I16" s="4" t="s">
        <v>108</v>
      </c>
      <c r="J16" s="73"/>
      <c r="K16" s="73"/>
    </row>
    <row r="17" spans="1:11" x14ac:dyDescent="0.2">
      <c r="A17" s="13">
        <v>44526</v>
      </c>
      <c r="B17" s="21">
        <f>20+12</f>
        <v>32</v>
      </c>
      <c r="C17" s="25" t="s">
        <v>38</v>
      </c>
      <c r="D17" s="7"/>
      <c r="E17" s="21"/>
      <c r="F17" s="25"/>
      <c r="G17" s="14">
        <v>44525</v>
      </c>
      <c r="H17" s="23">
        <v>10000</v>
      </c>
      <c r="I17" s="4" t="s">
        <v>111</v>
      </c>
      <c r="J17" s="73"/>
      <c r="K17" s="73"/>
    </row>
    <row r="18" spans="1:11" x14ac:dyDescent="0.2">
      <c r="A18" s="13"/>
      <c r="B18" s="21"/>
      <c r="C18" s="25"/>
      <c r="D18" s="7"/>
      <c r="E18" s="21"/>
      <c r="F18" s="25"/>
      <c r="G18" s="14">
        <v>44526</v>
      </c>
      <c r="H18" s="23">
        <v>2500</v>
      </c>
      <c r="I18" s="4" t="s">
        <v>22</v>
      </c>
      <c r="J18" s="73"/>
      <c r="K18" s="73"/>
    </row>
    <row r="19" spans="1:11" x14ac:dyDescent="0.2">
      <c r="A19" s="13"/>
      <c r="B19" s="21"/>
      <c r="C19" s="25"/>
      <c r="D19" s="7"/>
      <c r="E19" s="21"/>
      <c r="F19" s="25"/>
      <c r="G19" s="14"/>
      <c r="H19" s="23">
        <v>500</v>
      </c>
      <c r="I19" s="4" t="s">
        <v>112</v>
      </c>
      <c r="J19" s="8" t="s">
        <v>13</v>
      </c>
      <c r="K19" s="9">
        <v>8410</v>
      </c>
    </row>
    <row r="20" spans="1:11" x14ac:dyDescent="0.2">
      <c r="A20" s="13"/>
      <c r="B20" s="21"/>
      <c r="C20" s="25"/>
      <c r="D20" s="7"/>
      <c r="E20" s="21"/>
      <c r="F20" s="25"/>
      <c r="G20" s="4"/>
      <c r="H20" s="23"/>
      <c r="I20" s="4"/>
      <c r="J20" s="8" t="s">
        <v>14</v>
      </c>
      <c r="K20" s="9">
        <v>8476</v>
      </c>
    </row>
    <row r="21" spans="1:11" x14ac:dyDescent="0.2">
      <c r="A21" s="13"/>
      <c r="B21" s="21"/>
      <c r="C21" s="25"/>
      <c r="D21" s="7"/>
      <c r="E21" s="21"/>
      <c r="F21" s="25"/>
      <c r="G21" s="4"/>
      <c r="H21" s="23"/>
      <c r="I21" s="4"/>
      <c r="J21" s="8" t="s">
        <v>15</v>
      </c>
      <c r="K21" s="9">
        <f>K20-K19</f>
        <v>66</v>
      </c>
    </row>
    <row r="22" spans="1:11" x14ac:dyDescent="0.2">
      <c r="A22" s="13"/>
      <c r="B22" s="21"/>
      <c r="C22" s="25"/>
      <c r="D22" s="7"/>
      <c r="E22" s="21"/>
      <c r="F22" s="25"/>
      <c r="G22" s="4"/>
      <c r="H22" s="23"/>
      <c r="I22" s="4"/>
      <c r="J22" s="8" t="s">
        <v>0</v>
      </c>
      <c r="K22" s="9">
        <f>K21*3.5</f>
        <v>231</v>
      </c>
    </row>
    <row r="23" spans="1:11" x14ac:dyDescent="0.2">
      <c r="A23" s="13"/>
      <c r="B23" s="21"/>
      <c r="C23" s="25"/>
      <c r="D23" s="7"/>
      <c r="E23" s="21"/>
      <c r="F23" s="25"/>
      <c r="G23" s="4"/>
      <c r="H23" s="23"/>
      <c r="I23" s="4"/>
      <c r="J23" s="8" t="s">
        <v>16</v>
      </c>
      <c r="K23" s="9">
        <f>1300+80</f>
        <v>1380</v>
      </c>
    </row>
    <row r="24" spans="1:11" ht="16.5" thickBot="1" x14ac:dyDescent="0.25">
      <c r="A24" s="15"/>
      <c r="B24" s="22"/>
      <c r="C24" s="26"/>
      <c r="D24" s="16"/>
      <c r="E24" s="22"/>
      <c r="F24" s="26"/>
      <c r="G24" s="17"/>
      <c r="H24" s="24"/>
      <c r="I24" s="17"/>
      <c r="J24" s="8" t="s">
        <v>17</v>
      </c>
      <c r="K24" s="8">
        <f>K23+K22</f>
        <v>1611</v>
      </c>
    </row>
    <row r="25" spans="1:11" ht="20.100000000000001" customHeight="1" x14ac:dyDescent="0.2">
      <c r="A25" s="59" t="s">
        <v>1</v>
      </c>
      <c r="B25" s="60"/>
      <c r="C25" s="60"/>
      <c r="D25" s="82">
        <f>3523</f>
        <v>3523</v>
      </c>
      <c r="E25" s="82"/>
      <c r="F25" s="83"/>
      <c r="G25" s="18" t="s">
        <v>1</v>
      </c>
      <c r="H25" s="86">
        <v>12996.73</v>
      </c>
      <c r="I25" s="87"/>
      <c r="J25" s="78" t="s">
        <v>23</v>
      </c>
      <c r="K25" s="79"/>
    </row>
    <row r="26" spans="1:11" ht="20.100000000000001" customHeight="1" x14ac:dyDescent="0.2">
      <c r="A26" s="61" t="s">
        <v>18</v>
      </c>
      <c r="B26" s="62"/>
      <c r="C26" s="62"/>
      <c r="D26" s="84">
        <f>SUM(B5:B24)+SUM(E5:E24)</f>
        <v>2998</v>
      </c>
      <c r="E26" s="84"/>
      <c r="F26" s="85"/>
      <c r="G26" s="19" t="s">
        <v>22</v>
      </c>
      <c r="H26" s="69">
        <f>SUM(H5:H24)</f>
        <v>-2007.1869999999999</v>
      </c>
      <c r="I26" s="70"/>
      <c r="J26" s="80">
        <f>D27+H27</f>
        <v>15528.916999999999</v>
      </c>
      <c r="K26" s="81"/>
    </row>
    <row r="27" spans="1:11" ht="36.75" customHeight="1" thickBot="1" x14ac:dyDescent="0.25">
      <c r="A27" s="63" t="s">
        <v>7</v>
      </c>
      <c r="B27" s="64"/>
      <c r="C27" s="64"/>
      <c r="D27" s="65">
        <f>D25-D26</f>
        <v>525</v>
      </c>
      <c r="E27" s="65"/>
      <c r="F27" s="66"/>
      <c r="G27" s="20" t="s">
        <v>7</v>
      </c>
      <c r="H27" s="76">
        <f>H25-H26</f>
        <v>15003.916999999999</v>
      </c>
      <c r="I27" s="77"/>
      <c r="J27" s="80"/>
      <c r="K27" s="81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workbookViewId="0">
      <selection activeCell="K1" sqref="K1:K2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88</v>
      </c>
      <c r="B1" s="75"/>
      <c r="C1" s="75"/>
      <c r="D1" s="75"/>
      <c r="E1" s="75"/>
      <c r="F1" s="75"/>
      <c r="G1" s="75"/>
      <c r="H1" s="75"/>
      <c r="I1" s="75"/>
      <c r="J1" s="73" t="s">
        <v>24</v>
      </c>
      <c r="K1" s="72">
        <f>D26-B14</f>
        <v>3525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73"/>
      <c r="K2" s="7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117.5</v>
      </c>
      <c r="L4" s="10"/>
    </row>
    <row r="5" spans="1:12" x14ac:dyDescent="0.2">
      <c r="A5" s="13">
        <v>44531</v>
      </c>
      <c r="B5" s="21">
        <f>63</f>
        <v>63</v>
      </c>
      <c r="C5" s="25" t="s">
        <v>10</v>
      </c>
      <c r="D5" s="13"/>
      <c r="E5" s="21"/>
      <c r="F5" s="25"/>
      <c r="G5" s="14">
        <v>44470</v>
      </c>
      <c r="H5" s="23">
        <v>124</v>
      </c>
      <c r="I5" s="4" t="s">
        <v>32</v>
      </c>
      <c r="J5" s="73"/>
      <c r="K5" s="73"/>
    </row>
    <row r="6" spans="1:12" x14ac:dyDescent="0.2">
      <c r="A6" s="13"/>
      <c r="B6" s="21">
        <v>12</v>
      </c>
      <c r="C6" s="25" t="s">
        <v>113</v>
      </c>
      <c r="D6" s="13"/>
      <c r="E6" s="21"/>
      <c r="F6" s="25"/>
      <c r="G6" s="14">
        <v>44471</v>
      </c>
      <c r="H6" s="23">
        <f>79.2+3000+90</f>
        <v>3169.2</v>
      </c>
      <c r="I6" s="4" t="s">
        <v>91</v>
      </c>
      <c r="J6" s="73"/>
      <c r="K6" s="73"/>
    </row>
    <row r="7" spans="1:12" x14ac:dyDescent="0.2">
      <c r="A7" s="13"/>
      <c r="B7" s="21">
        <v>269</v>
      </c>
      <c r="C7" s="25" t="s">
        <v>58</v>
      </c>
      <c r="D7" s="13"/>
      <c r="E7" s="21"/>
      <c r="F7" s="25"/>
      <c r="G7" s="14"/>
      <c r="H7" s="23">
        <f>-6937.5-400+30</f>
        <v>-7307.5</v>
      </c>
      <c r="I7" s="4"/>
      <c r="J7" s="73"/>
      <c r="K7" s="73"/>
    </row>
    <row r="8" spans="1:12" x14ac:dyDescent="0.2">
      <c r="A8" s="13">
        <v>44531</v>
      </c>
      <c r="B8" s="21">
        <v>145</v>
      </c>
      <c r="C8" s="25" t="s">
        <v>114</v>
      </c>
      <c r="D8" s="13"/>
      <c r="E8" s="21"/>
      <c r="F8" s="25"/>
      <c r="G8" s="14"/>
      <c r="H8" s="23">
        <f>-1800-2000+120</f>
        <v>-3680</v>
      </c>
      <c r="I8" s="4"/>
      <c r="J8" s="73"/>
      <c r="K8" s="73"/>
    </row>
    <row r="9" spans="1:12" x14ac:dyDescent="0.2">
      <c r="A9" s="13">
        <v>44536</v>
      </c>
      <c r="B9" s="21">
        <f>70+569+85+62+15+15-400</f>
        <v>416</v>
      </c>
      <c r="C9" s="25" t="s">
        <v>117</v>
      </c>
      <c r="D9" s="13"/>
      <c r="E9" s="21"/>
      <c r="F9" s="25"/>
      <c r="G9" s="14">
        <v>44496</v>
      </c>
      <c r="H9" s="23">
        <v>2000</v>
      </c>
      <c r="I9" s="4" t="s">
        <v>98</v>
      </c>
      <c r="J9" s="73"/>
      <c r="K9" s="73"/>
    </row>
    <row r="10" spans="1:12" x14ac:dyDescent="0.2">
      <c r="A10" s="13">
        <v>44537</v>
      </c>
      <c r="B10" s="21">
        <v>20</v>
      </c>
      <c r="C10" s="25" t="s">
        <v>10</v>
      </c>
      <c r="D10" s="13"/>
      <c r="E10" s="21"/>
      <c r="F10" s="25"/>
      <c r="G10" s="14">
        <v>11628</v>
      </c>
      <c r="H10" s="23">
        <f>105-0.464</f>
        <v>104.536</v>
      </c>
      <c r="I10" s="4" t="s">
        <v>10</v>
      </c>
      <c r="J10" s="73"/>
      <c r="K10" s="73"/>
    </row>
    <row r="11" spans="1:12" x14ac:dyDescent="0.2">
      <c r="A11" s="13">
        <v>44543</v>
      </c>
      <c r="B11" s="21">
        <f>80+50+40</f>
        <v>170</v>
      </c>
      <c r="C11" s="25" t="s">
        <v>119</v>
      </c>
      <c r="D11" s="13"/>
      <c r="E11" s="21"/>
      <c r="F11" s="25"/>
      <c r="G11" s="14">
        <v>44504</v>
      </c>
      <c r="H11" s="23">
        <v>-180</v>
      </c>
      <c r="I11" s="4" t="s">
        <v>99</v>
      </c>
      <c r="J11" s="73"/>
      <c r="K11" s="73"/>
    </row>
    <row r="12" spans="1:12" x14ac:dyDescent="0.2">
      <c r="A12" s="13">
        <v>44550</v>
      </c>
      <c r="B12" s="21">
        <f>430+80</f>
        <v>510</v>
      </c>
      <c r="C12" s="25" t="s">
        <v>121</v>
      </c>
      <c r="D12" s="13"/>
      <c r="E12" s="21"/>
      <c r="F12" s="25"/>
      <c r="G12" s="14"/>
      <c r="H12" s="23">
        <v>500</v>
      </c>
      <c r="I12" s="4" t="s">
        <v>101</v>
      </c>
      <c r="J12" s="73"/>
      <c r="K12" s="73"/>
    </row>
    <row r="13" spans="1:12" x14ac:dyDescent="0.2">
      <c r="A13" s="13"/>
      <c r="B13" s="21">
        <v>1700</v>
      </c>
      <c r="C13" s="25" t="s">
        <v>48</v>
      </c>
      <c r="D13" s="13"/>
      <c r="E13" s="21"/>
      <c r="F13" s="25"/>
      <c r="G13" s="14">
        <v>44510</v>
      </c>
      <c r="H13" s="23">
        <v>-7514.4229999999998</v>
      </c>
      <c r="I13" s="4" t="s">
        <v>40</v>
      </c>
      <c r="J13" s="73"/>
      <c r="K13" s="73"/>
    </row>
    <row r="14" spans="1:12" x14ac:dyDescent="0.2">
      <c r="A14" s="13"/>
      <c r="B14" s="21">
        <v>500</v>
      </c>
      <c r="C14" s="25" t="s">
        <v>122</v>
      </c>
      <c r="D14" s="13"/>
      <c r="E14" s="21"/>
      <c r="F14" s="25"/>
      <c r="G14" s="4"/>
      <c r="H14" s="23">
        <v>-2000</v>
      </c>
      <c r="I14" s="4" t="s">
        <v>104</v>
      </c>
      <c r="J14" s="73"/>
      <c r="K14" s="73"/>
    </row>
    <row r="15" spans="1:12" x14ac:dyDescent="0.2">
      <c r="A15" s="13"/>
      <c r="B15" s="21">
        <v>10</v>
      </c>
      <c r="C15" s="25" t="s">
        <v>10</v>
      </c>
      <c r="D15" s="13"/>
      <c r="E15" s="21"/>
      <c r="F15" s="25"/>
      <c r="G15" s="14">
        <v>44519</v>
      </c>
      <c r="H15" s="23">
        <f>90+47</f>
        <v>137</v>
      </c>
      <c r="I15" s="4" t="s">
        <v>10</v>
      </c>
      <c r="J15" s="73"/>
      <c r="K15" s="73"/>
    </row>
    <row r="16" spans="1:12" x14ac:dyDescent="0.2">
      <c r="A16" s="13">
        <v>44552</v>
      </c>
      <c r="B16" s="21">
        <v>12</v>
      </c>
      <c r="C16" s="25" t="s">
        <v>10</v>
      </c>
      <c r="D16" s="7"/>
      <c r="E16" s="21"/>
      <c r="F16" s="25"/>
      <c r="G16" s="14">
        <v>44523</v>
      </c>
      <c r="H16" s="23">
        <v>-360</v>
      </c>
      <c r="I16" s="4" t="s">
        <v>108</v>
      </c>
      <c r="J16" s="73"/>
      <c r="K16" s="73"/>
    </row>
    <row r="17" spans="1:11" x14ac:dyDescent="0.2">
      <c r="A17" s="13"/>
      <c r="B17" s="21">
        <v>48</v>
      </c>
      <c r="C17" s="25" t="s">
        <v>10</v>
      </c>
      <c r="D17" s="7"/>
      <c r="E17" s="21"/>
      <c r="F17" s="25"/>
      <c r="G17" s="14">
        <v>44525</v>
      </c>
      <c r="H17" s="23">
        <v>10000</v>
      </c>
      <c r="I17" s="4" t="s">
        <v>111</v>
      </c>
      <c r="J17" s="73"/>
      <c r="K17" s="73"/>
    </row>
    <row r="18" spans="1:11" x14ac:dyDescent="0.2">
      <c r="A18" s="13">
        <v>44557</v>
      </c>
      <c r="B18" s="21">
        <v>150</v>
      </c>
      <c r="C18" s="25" t="s">
        <v>123</v>
      </c>
      <c r="D18" s="7"/>
      <c r="E18" s="21"/>
      <c r="F18" s="25"/>
      <c r="G18" s="14">
        <v>44526</v>
      </c>
      <c r="H18" s="23">
        <v>2500</v>
      </c>
      <c r="I18" s="4" t="s">
        <v>22</v>
      </c>
      <c r="J18" s="73"/>
      <c r="K18" s="73"/>
    </row>
    <row r="19" spans="1:11" x14ac:dyDescent="0.2">
      <c r="A19" s="13"/>
      <c r="B19" s="21"/>
      <c r="C19" s="25"/>
      <c r="D19" s="7"/>
      <c r="E19" s="21"/>
      <c r="F19" s="25"/>
      <c r="G19" s="14"/>
      <c r="H19" s="23">
        <f>500-0.507</f>
        <v>499.49299999999999</v>
      </c>
      <c r="I19" s="4" t="s">
        <v>112</v>
      </c>
      <c r="J19" s="8" t="s">
        <v>13</v>
      </c>
      <c r="K19" s="9">
        <v>8476</v>
      </c>
    </row>
    <row r="20" spans="1:11" x14ac:dyDescent="0.2">
      <c r="A20" s="13"/>
      <c r="B20" s="21"/>
      <c r="C20" s="25"/>
      <c r="D20" s="7"/>
      <c r="E20" s="21"/>
      <c r="F20" s="25"/>
      <c r="G20" s="4"/>
      <c r="H20" s="23">
        <f>-6937.5-500</f>
        <v>-7437.5</v>
      </c>
      <c r="I20" s="4" t="s">
        <v>118</v>
      </c>
      <c r="J20" s="8" t="s">
        <v>14</v>
      </c>
      <c r="K20" s="9">
        <v>8533</v>
      </c>
    </row>
    <row r="21" spans="1:11" x14ac:dyDescent="0.2">
      <c r="A21" s="13"/>
      <c r="B21" s="21"/>
      <c r="C21" s="25"/>
      <c r="D21" s="7"/>
      <c r="E21" s="21"/>
      <c r="F21" s="25"/>
      <c r="G21" s="4"/>
      <c r="H21" s="23">
        <f>420+1000+500</f>
        <v>1920</v>
      </c>
      <c r="I21" s="4" t="s">
        <v>120</v>
      </c>
      <c r="J21" s="8" t="s">
        <v>15</v>
      </c>
      <c r="K21" s="9">
        <f>K20-K19</f>
        <v>57</v>
      </c>
    </row>
    <row r="22" spans="1:11" x14ac:dyDescent="0.2">
      <c r="A22" s="13"/>
      <c r="B22" s="21"/>
      <c r="C22" s="25"/>
      <c r="D22" s="7"/>
      <c r="E22" s="21"/>
      <c r="F22" s="25"/>
      <c r="G22" s="4"/>
      <c r="H22" s="23">
        <f>180-0.427</f>
        <v>179.57300000000001</v>
      </c>
      <c r="I22" s="4" t="s">
        <v>5</v>
      </c>
      <c r="J22" s="8" t="s">
        <v>0</v>
      </c>
      <c r="K22" s="9">
        <f>K21*3.5</f>
        <v>199.5</v>
      </c>
    </row>
    <row r="23" spans="1:11" x14ac:dyDescent="0.2">
      <c r="A23" s="13"/>
      <c r="B23" s="21"/>
      <c r="C23" s="25"/>
      <c r="D23" s="7"/>
      <c r="E23" s="21"/>
      <c r="F23" s="25"/>
      <c r="G23" s="4"/>
      <c r="H23" s="23">
        <v>185</v>
      </c>
      <c r="I23" s="4" t="s">
        <v>10</v>
      </c>
      <c r="J23" s="8" t="s">
        <v>16</v>
      </c>
      <c r="K23" s="9">
        <f>1300+80</f>
        <v>1380</v>
      </c>
    </row>
    <row r="24" spans="1:11" ht="16.5" thickBot="1" x14ac:dyDescent="0.25">
      <c r="A24" s="15"/>
      <c r="B24" s="22"/>
      <c r="C24" s="26"/>
      <c r="D24" s="16"/>
      <c r="E24" s="22"/>
      <c r="F24" s="26"/>
      <c r="G24" s="17"/>
      <c r="H24" s="24">
        <f>3000+17.351</f>
        <v>3017.3510000000001</v>
      </c>
      <c r="I24" s="17" t="s">
        <v>10</v>
      </c>
      <c r="J24" s="8" t="s">
        <v>17</v>
      </c>
      <c r="K24" s="8">
        <f>K23+K22</f>
        <v>1579.5</v>
      </c>
    </row>
    <row r="25" spans="1:11" ht="20.100000000000001" customHeight="1" x14ac:dyDescent="0.2">
      <c r="A25" s="59" t="s">
        <v>1</v>
      </c>
      <c r="B25" s="60"/>
      <c r="C25" s="60"/>
      <c r="D25" s="82">
        <f>525+2500+1000</f>
        <v>4025</v>
      </c>
      <c r="E25" s="82"/>
      <c r="F25" s="83"/>
      <c r="G25" s="18" t="s">
        <v>1</v>
      </c>
      <c r="H25" s="86">
        <v>12996.73</v>
      </c>
      <c r="I25" s="87"/>
      <c r="J25" s="78" t="s">
        <v>23</v>
      </c>
      <c r="K25" s="79"/>
    </row>
    <row r="26" spans="1:11" ht="20.100000000000001" customHeight="1" x14ac:dyDescent="0.2">
      <c r="A26" s="61" t="s">
        <v>18</v>
      </c>
      <c r="B26" s="62"/>
      <c r="C26" s="62"/>
      <c r="D26" s="84">
        <f>SUM(B5:B24)+SUM(E5:E24)</f>
        <v>4025</v>
      </c>
      <c r="E26" s="84"/>
      <c r="F26" s="85"/>
      <c r="G26" s="19" t="s">
        <v>22</v>
      </c>
      <c r="H26" s="69">
        <f>SUM(H5:H24)</f>
        <v>-4143.2699999999986</v>
      </c>
      <c r="I26" s="70"/>
      <c r="J26" s="80">
        <f>D27+H27</f>
        <v>17140</v>
      </c>
      <c r="K26" s="81"/>
    </row>
    <row r="27" spans="1:11" ht="36.75" customHeight="1" thickBot="1" x14ac:dyDescent="0.25">
      <c r="A27" s="63" t="s">
        <v>7</v>
      </c>
      <c r="B27" s="64"/>
      <c r="C27" s="64"/>
      <c r="D27" s="65">
        <f>D25-D26</f>
        <v>0</v>
      </c>
      <c r="E27" s="65"/>
      <c r="F27" s="66"/>
      <c r="G27" s="20" t="s">
        <v>7</v>
      </c>
      <c r="H27" s="76">
        <f>H25-H26</f>
        <v>17140</v>
      </c>
      <c r="I27" s="77"/>
      <c r="J27" s="80"/>
      <c r="K27" s="81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selection activeCell="K3" sqref="K3"/>
    </sheetView>
  </sheetViews>
  <sheetFormatPr defaultRowHeight="15.75" x14ac:dyDescent="0.2"/>
  <cols>
    <col min="1" max="3" width="9" style="2"/>
    <col min="4" max="4" width="9.875" style="2" bestFit="1" customWidth="1"/>
    <col min="5" max="6" width="9" style="2"/>
    <col min="7" max="7" width="9.875" style="2" bestFit="1" customWidth="1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75" t="s">
        <v>124</v>
      </c>
      <c r="B1" s="75"/>
      <c r="C1" s="75"/>
      <c r="D1" s="75"/>
      <c r="E1" s="75"/>
      <c r="F1" s="75"/>
      <c r="G1" s="75"/>
      <c r="H1" s="75"/>
      <c r="I1" s="75"/>
      <c r="J1" s="91" t="s">
        <v>24</v>
      </c>
      <c r="K1" s="92">
        <f>SUM(H5:H19)-H6-H9-H16-H17-H8</f>
        <v>2010.2999999999993</v>
      </c>
    </row>
    <row r="2" spans="1:12" x14ac:dyDescent="0.2">
      <c r="A2" s="75"/>
      <c r="B2" s="75"/>
      <c r="C2" s="75"/>
      <c r="D2" s="75"/>
      <c r="E2" s="75"/>
      <c r="F2" s="75"/>
      <c r="G2" s="75"/>
      <c r="H2" s="75"/>
      <c r="I2" s="75"/>
      <c r="J2" s="91"/>
      <c r="K2" s="92"/>
    </row>
    <row r="3" spans="1:12" ht="20.25" x14ac:dyDescent="0.2">
      <c r="A3" s="74" t="s">
        <v>20</v>
      </c>
      <c r="B3" s="74"/>
      <c r="C3" s="74"/>
      <c r="D3" s="74"/>
      <c r="E3" s="74"/>
      <c r="F3" s="74"/>
      <c r="G3" s="74" t="s">
        <v>21</v>
      </c>
      <c r="H3" s="74"/>
      <c r="I3" s="74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67.009999999999977</v>
      </c>
      <c r="L4" s="10"/>
    </row>
    <row r="5" spans="1:12" x14ac:dyDescent="0.2">
      <c r="A5" s="13">
        <v>44562</v>
      </c>
      <c r="B5" s="21">
        <v>1667</v>
      </c>
      <c r="C5" s="25" t="s">
        <v>48</v>
      </c>
      <c r="D5" s="13">
        <v>44575</v>
      </c>
      <c r="E5" s="21">
        <v>10</v>
      </c>
      <c r="F5" s="25" t="s">
        <v>10</v>
      </c>
      <c r="G5" s="14"/>
      <c r="H5" s="33">
        <v>-200</v>
      </c>
      <c r="I5" s="4"/>
      <c r="J5" s="89">
        <f>-SUM(H5:H19)</f>
        <v>13360.071</v>
      </c>
      <c r="K5" s="90"/>
    </row>
    <row r="6" spans="1:12" x14ac:dyDescent="0.2">
      <c r="A6" s="13"/>
      <c r="B6" s="21">
        <v>60</v>
      </c>
      <c r="C6" s="25" t="s">
        <v>125</v>
      </c>
      <c r="D6" s="13">
        <v>44577</v>
      </c>
      <c r="E6" s="21">
        <v>30</v>
      </c>
      <c r="F6" s="25" t="s">
        <v>36</v>
      </c>
      <c r="G6" s="14"/>
      <c r="H6" s="33">
        <v>1000</v>
      </c>
      <c r="I6" s="4" t="s">
        <v>112</v>
      </c>
      <c r="J6" s="90"/>
      <c r="K6" s="90"/>
    </row>
    <row r="7" spans="1:12" x14ac:dyDescent="0.2">
      <c r="A7" s="13"/>
      <c r="B7" s="21">
        <v>40</v>
      </c>
      <c r="C7" s="25" t="s">
        <v>10</v>
      </c>
      <c r="D7" s="13">
        <v>44578</v>
      </c>
      <c r="E7" s="21">
        <v>15</v>
      </c>
      <c r="F7" s="25" t="s">
        <v>10</v>
      </c>
      <c r="G7" s="14"/>
      <c r="H7" s="33">
        <v>-100.15</v>
      </c>
      <c r="I7" s="4"/>
      <c r="J7" s="90"/>
      <c r="K7" s="90"/>
    </row>
    <row r="8" spans="1:12" x14ac:dyDescent="0.2">
      <c r="A8" s="13"/>
      <c r="B8" s="21">
        <v>50</v>
      </c>
      <c r="C8" s="25" t="s">
        <v>126</v>
      </c>
      <c r="D8" s="13">
        <v>44580</v>
      </c>
      <c r="E8" s="21">
        <v>12</v>
      </c>
      <c r="F8" s="25" t="s">
        <v>10</v>
      </c>
      <c r="G8" s="14"/>
      <c r="H8" s="33">
        <v>9698</v>
      </c>
      <c r="I8" s="4" t="s">
        <v>128</v>
      </c>
      <c r="J8" s="90"/>
      <c r="K8" s="90"/>
    </row>
    <row r="9" spans="1:12" x14ac:dyDescent="0.2">
      <c r="A9" s="13"/>
      <c r="B9" s="21">
        <v>130</v>
      </c>
      <c r="C9" s="25" t="s">
        <v>58</v>
      </c>
      <c r="D9" s="13">
        <v>44580</v>
      </c>
      <c r="E9" s="21">
        <v>70</v>
      </c>
      <c r="F9" s="25" t="s">
        <v>135</v>
      </c>
      <c r="G9" s="14"/>
      <c r="H9" s="33">
        <f>130-1000-6937.778-4850-20</f>
        <v>-12677.778</v>
      </c>
      <c r="I9" s="4" t="s">
        <v>133</v>
      </c>
      <c r="J9" s="90"/>
      <c r="K9" s="90"/>
    </row>
    <row r="10" spans="1:12" x14ac:dyDescent="0.2">
      <c r="A10" s="13">
        <v>44563</v>
      </c>
      <c r="B10" s="21">
        <v>30</v>
      </c>
      <c r="C10" s="25" t="s">
        <v>127</v>
      </c>
      <c r="D10" s="13">
        <v>44582</v>
      </c>
      <c r="E10" s="21">
        <v>30</v>
      </c>
      <c r="F10" s="25" t="s">
        <v>10</v>
      </c>
      <c r="G10" s="14"/>
      <c r="H10" s="33">
        <v>500</v>
      </c>
      <c r="I10" s="4" t="s">
        <v>22</v>
      </c>
      <c r="J10" s="90"/>
      <c r="K10" s="90"/>
    </row>
    <row r="11" spans="1:12" x14ac:dyDescent="0.2">
      <c r="A11" s="13"/>
      <c r="B11" s="21">
        <v>80</v>
      </c>
      <c r="C11" s="25" t="s">
        <v>10</v>
      </c>
      <c r="D11" s="13">
        <v>44583</v>
      </c>
      <c r="E11" s="21">
        <v>25</v>
      </c>
      <c r="F11" s="25" t="s">
        <v>10</v>
      </c>
      <c r="G11" s="14"/>
      <c r="H11" s="33">
        <f>1000</f>
        <v>1000</v>
      </c>
      <c r="I11" s="4" t="s">
        <v>22</v>
      </c>
      <c r="J11" s="90"/>
      <c r="K11" s="90"/>
    </row>
    <row r="12" spans="1:12" x14ac:dyDescent="0.2">
      <c r="A12" s="13"/>
      <c r="B12" s="21">
        <v>200</v>
      </c>
      <c r="C12" s="25" t="s">
        <v>129</v>
      </c>
      <c r="D12" s="13"/>
      <c r="E12" s="21">
        <f>105+267</f>
        <v>372</v>
      </c>
      <c r="F12" s="25" t="s">
        <v>137</v>
      </c>
      <c r="G12" s="14">
        <v>44582</v>
      </c>
      <c r="H12" s="33">
        <v>459.928</v>
      </c>
      <c r="I12" s="4" t="s">
        <v>136</v>
      </c>
      <c r="J12" s="90"/>
      <c r="K12" s="90"/>
    </row>
    <row r="13" spans="1:12" x14ac:dyDescent="0.2">
      <c r="A13" s="13"/>
      <c r="B13" s="21">
        <v>70</v>
      </c>
      <c r="C13" s="25" t="s">
        <v>85</v>
      </c>
      <c r="D13" s="13">
        <v>44586</v>
      </c>
      <c r="E13" s="21">
        <v>22</v>
      </c>
      <c r="F13" s="25" t="s">
        <v>10</v>
      </c>
      <c r="G13" s="14"/>
      <c r="H13" s="33">
        <v>214</v>
      </c>
      <c r="I13" s="4" t="s">
        <v>58</v>
      </c>
      <c r="J13" s="90"/>
      <c r="K13" s="90"/>
    </row>
    <row r="14" spans="1:12" x14ac:dyDescent="0.2">
      <c r="A14" s="13">
        <v>44572</v>
      </c>
      <c r="B14" s="21">
        <v>50</v>
      </c>
      <c r="C14" s="25" t="s">
        <v>30</v>
      </c>
      <c r="D14" s="13"/>
      <c r="E14" s="21">
        <v>65</v>
      </c>
      <c r="F14" s="25" t="s">
        <v>85</v>
      </c>
      <c r="G14" s="14"/>
      <c r="H14" s="33">
        <v>166</v>
      </c>
      <c r="I14" s="4" t="s">
        <v>114</v>
      </c>
      <c r="J14" s="8" t="s">
        <v>13</v>
      </c>
      <c r="K14" s="9">
        <v>8533</v>
      </c>
    </row>
    <row r="15" spans="1:12" x14ac:dyDescent="0.2">
      <c r="A15" s="13"/>
      <c r="B15" s="21">
        <v>50</v>
      </c>
      <c r="C15" s="25" t="s">
        <v>130</v>
      </c>
      <c r="D15" s="13"/>
      <c r="E15" s="21">
        <f>22</f>
        <v>22</v>
      </c>
      <c r="F15" s="25" t="s">
        <v>10</v>
      </c>
      <c r="G15" s="14"/>
      <c r="H15" s="33">
        <v>100</v>
      </c>
      <c r="I15" s="4" t="s">
        <v>138</v>
      </c>
      <c r="J15" s="8" t="s">
        <v>14</v>
      </c>
      <c r="K15" s="9">
        <v>8598</v>
      </c>
    </row>
    <row r="16" spans="1:12" x14ac:dyDescent="0.2">
      <c r="A16" s="13"/>
      <c r="B16" s="21">
        <v>60</v>
      </c>
      <c r="C16" s="25" t="s">
        <v>131</v>
      </c>
      <c r="D16" s="13"/>
      <c r="E16" s="21">
        <v>100</v>
      </c>
      <c r="F16" s="25" t="s">
        <v>141</v>
      </c>
      <c r="G16" s="14">
        <v>44586</v>
      </c>
      <c r="H16" s="33">
        <f>-1900-7000-4750-4240</f>
        <v>-17890</v>
      </c>
      <c r="I16" s="4" t="s">
        <v>139</v>
      </c>
      <c r="J16" s="8" t="s">
        <v>15</v>
      </c>
      <c r="K16" s="9">
        <f>K15-K14</f>
        <v>65</v>
      </c>
    </row>
    <row r="17" spans="1:11" x14ac:dyDescent="0.2">
      <c r="A17" s="13"/>
      <c r="B17" s="21">
        <v>120</v>
      </c>
      <c r="C17" s="25" t="s">
        <v>10</v>
      </c>
      <c r="D17" s="7"/>
      <c r="E17" s="21">
        <v>205</v>
      </c>
      <c r="F17" s="25" t="s">
        <v>143</v>
      </c>
      <c r="G17" s="14">
        <v>44592</v>
      </c>
      <c r="H17" s="33">
        <f>4500-0.593</f>
        <v>4499.4070000000002</v>
      </c>
      <c r="I17" s="4" t="s">
        <v>140</v>
      </c>
      <c r="J17" s="8" t="s">
        <v>0</v>
      </c>
      <c r="K17" s="9">
        <f>K16*3.5</f>
        <v>227.5</v>
      </c>
    </row>
    <row r="18" spans="1:11" x14ac:dyDescent="0.2">
      <c r="A18" s="13"/>
      <c r="B18" s="21">
        <v>36</v>
      </c>
      <c r="C18" s="25" t="s">
        <v>10</v>
      </c>
      <c r="D18" s="7"/>
      <c r="E18" s="21">
        <f>25+30</f>
        <v>55</v>
      </c>
      <c r="F18" s="25" t="s">
        <v>144</v>
      </c>
      <c r="G18" s="4"/>
      <c r="H18" s="33">
        <f>-200+70.522</f>
        <v>-129.47800000000001</v>
      </c>
      <c r="I18" s="4"/>
      <c r="J18" s="8" t="s">
        <v>16</v>
      </c>
      <c r="K18" s="9">
        <f>1300+80+60</f>
        <v>1440</v>
      </c>
    </row>
    <row r="19" spans="1:11" ht="16.5" thickBot="1" x14ac:dyDescent="0.25">
      <c r="A19" s="15"/>
      <c r="B19" s="22">
        <v>24</v>
      </c>
      <c r="C19" s="26" t="s">
        <v>132</v>
      </c>
      <c r="D19" s="16"/>
      <c r="E19" s="22">
        <f>250+149</f>
        <v>399</v>
      </c>
      <c r="F19" s="26" t="s">
        <v>142</v>
      </c>
      <c r="G19" s="17"/>
      <c r="H19" s="34"/>
      <c r="I19" s="17"/>
      <c r="J19" s="8" t="s">
        <v>17</v>
      </c>
      <c r="K19" s="8">
        <f>K18+K17</f>
        <v>1667.5</v>
      </c>
    </row>
    <row r="20" spans="1:11" ht="20.100000000000001" customHeight="1" x14ac:dyDescent="0.2">
      <c r="A20" s="59" t="s">
        <v>1</v>
      </c>
      <c r="B20" s="60"/>
      <c r="C20" s="60"/>
      <c r="D20" s="82">
        <f>3000+1000+550</f>
        <v>4550</v>
      </c>
      <c r="E20" s="82"/>
      <c r="F20" s="83"/>
      <c r="G20" s="18" t="s">
        <v>1</v>
      </c>
      <c r="H20" s="86">
        <v>17140</v>
      </c>
      <c r="I20" s="87"/>
      <c r="J20" s="78" t="s">
        <v>23</v>
      </c>
      <c r="K20" s="79"/>
    </row>
    <row r="21" spans="1:11" ht="20.100000000000001" customHeight="1" x14ac:dyDescent="0.2">
      <c r="A21" s="61" t="s">
        <v>18</v>
      </c>
      <c r="B21" s="62"/>
      <c r="C21" s="62"/>
      <c r="D21" s="84">
        <f>SUM(B5:B19)+SUM(E5:E19)</f>
        <v>4099</v>
      </c>
      <c r="E21" s="84"/>
      <c r="F21" s="85"/>
      <c r="G21" s="19" t="s">
        <v>22</v>
      </c>
      <c r="H21" s="69">
        <f>SUM(H5:H19)</f>
        <v>-13360.071</v>
      </c>
      <c r="I21" s="70"/>
      <c r="J21" s="80">
        <f>D22+H22</f>
        <v>30951.071</v>
      </c>
      <c r="K21" s="81"/>
    </row>
    <row r="22" spans="1:11" ht="36.75" customHeight="1" thickBot="1" x14ac:dyDescent="0.25">
      <c r="A22" s="63" t="s">
        <v>7</v>
      </c>
      <c r="B22" s="64"/>
      <c r="C22" s="64"/>
      <c r="D22" s="65">
        <f>D20-D21</f>
        <v>451</v>
      </c>
      <c r="E22" s="65"/>
      <c r="F22" s="66"/>
      <c r="G22" s="20" t="s">
        <v>7</v>
      </c>
      <c r="H22" s="76">
        <f>H20-H21</f>
        <v>30500.071</v>
      </c>
      <c r="I22" s="77"/>
      <c r="J22" s="80"/>
      <c r="K22" s="81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Tháng4</vt:lpstr>
      <vt:lpstr>Tháng5+6</vt:lpstr>
      <vt:lpstr>Tháng7</vt:lpstr>
      <vt:lpstr>Tháng8</vt:lpstr>
      <vt:lpstr>Tháng9</vt:lpstr>
      <vt:lpstr>Tháng10</vt:lpstr>
      <vt:lpstr>Tháng11</vt:lpstr>
      <vt:lpstr>Tháng12</vt:lpstr>
      <vt:lpstr>Tháng1</vt:lpstr>
      <vt:lpstr>Tháng2</vt:lpstr>
      <vt:lpstr>Tháng3</vt:lpstr>
      <vt:lpstr>Tháng4_22</vt:lpstr>
      <vt:lpstr>Tháng5_22</vt:lpstr>
      <vt:lpstr>Tháng6_22</vt:lpstr>
      <vt:lpstr>Tháng_7_22</vt:lpstr>
      <vt:lpstr>Tháng_8_22</vt:lpstr>
      <vt:lpstr>Tháng_9_22</vt:lpstr>
      <vt:lpstr>Tháng_10_22</vt:lpstr>
      <vt:lpstr>Tháng_11_22</vt:lpstr>
      <vt:lpstr>Tháng_12_22</vt:lpstr>
      <vt:lpstr>Phân tích</vt:lpstr>
      <vt:lpstr>Tiết kiệm</vt:lpstr>
      <vt:lpstr>Phong bì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 ngoc Thien</cp:lastModifiedBy>
  <dcterms:created xsi:type="dcterms:W3CDTF">2020-09-20T02:36:02Z</dcterms:created>
  <dcterms:modified xsi:type="dcterms:W3CDTF">2022-12-12T08:02:21Z</dcterms:modified>
</cp:coreProperties>
</file>