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Chat\"/>
    </mc:Choice>
  </mc:AlternateContent>
  <xr:revisionPtr revIDLastSave="0" documentId="13_ncr:1_{A761FE52-9CE2-4EF8-8BBB-D534D0FC6F8B}" xr6:coauthVersionLast="47" xr6:coauthVersionMax="47" xr10:uidLastSave="{00000000-0000-0000-0000-000000000000}"/>
  <bookViews>
    <workbookView xWindow="29985" yWindow="3825" windowWidth="14955" windowHeight="11385" firstSheet="14" activeTab="17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Tháng_10_22" sheetId="20" r:id="rId18"/>
    <sheet name="Phân tích" sheetId="1" r:id="rId19"/>
    <sheet name="Phong bì" sheetId="15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1" roundtripDataSignature="AMtx7mj6XPDsJvypGO3puwhUzgbakyIu7w=="/>
    </ext>
  </extLst>
</workbook>
</file>

<file path=xl/calcChain.xml><?xml version="1.0" encoding="utf-8"?>
<calcChain xmlns="http://schemas.openxmlformats.org/spreadsheetml/2006/main">
  <c r="I21" i="20" l="1"/>
  <c r="H21" i="20"/>
  <c r="B6" i="20"/>
  <c r="D21" i="20"/>
  <c r="K6" i="20"/>
  <c r="H5" i="19"/>
  <c r="H21" i="19" s="1"/>
  <c r="B15" i="19"/>
  <c r="D20" i="19"/>
  <c r="H10" i="19"/>
  <c r="I21" i="19"/>
  <c r="B19" i="1" s="1"/>
  <c r="B13" i="19"/>
  <c r="B9" i="19"/>
  <c r="H20" i="19"/>
  <c r="K6" i="19"/>
  <c r="H5" i="18"/>
  <c r="H21" i="18" s="1"/>
  <c r="H6" i="18"/>
  <c r="I21" i="18" s="1"/>
  <c r="B18" i="1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B14" i="1" s="1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" s="1"/>
  <c r="B12" i="11"/>
  <c r="D22" i="20" l="1"/>
  <c r="H22" i="20"/>
  <c r="D21" i="19"/>
  <c r="D22" i="19" s="1"/>
  <c r="K19" i="16"/>
  <c r="K1" i="12"/>
  <c r="B13" i="1" s="1"/>
  <c r="H22" i="17"/>
  <c r="D21" i="16"/>
  <c r="D22" i="16" s="1"/>
  <c r="H22" i="14"/>
  <c r="J21" i="14" s="1"/>
  <c r="J5" i="11"/>
  <c r="I21" i="17"/>
  <c r="B17" i="1" s="1"/>
  <c r="H21" i="12"/>
  <c r="H22" i="12" s="1"/>
  <c r="H21" i="17"/>
  <c r="J5" i="12"/>
  <c r="H22" i="19"/>
  <c r="H22" i="18"/>
  <c r="D22" i="18"/>
  <c r="D22" i="17"/>
  <c r="B16" i="1"/>
  <c r="J5" i="16"/>
  <c r="K4" i="16"/>
  <c r="H21" i="16"/>
  <c r="H22" i="16" s="1"/>
  <c r="B15" i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B11" i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B9" i="1" s="1"/>
  <c r="K24" i="8"/>
  <c r="H26" i="8"/>
  <c r="H27" i="8" s="1"/>
  <c r="K21" i="7"/>
  <c r="K22" i="7" s="1"/>
  <c r="H26" i="7"/>
  <c r="H27" i="7" s="1"/>
  <c r="D26" i="7"/>
  <c r="K1" i="7" s="1"/>
  <c r="B8" i="1" s="1"/>
  <c r="H15" i="6"/>
  <c r="H16" i="6"/>
  <c r="D25" i="6"/>
  <c r="B15" i="6"/>
  <c r="K4" i="9" l="1"/>
  <c r="B10" i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1" s="1"/>
  <c r="B6" i="4"/>
  <c r="K1" i="6" l="1"/>
  <c r="B7" i="1" s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B5" i="1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B2" i="1" s="1"/>
  <c r="B27" i="1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<sst xmlns="http://schemas.openxmlformats.org/spreadsheetml/2006/main" count="950" uniqueCount="226">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</sst>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'Phân tích'!$A$1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tích'!$A$2:$A$22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7434656"/>
        <c:axId val="1197440640"/>
      </c:areaChart>
      <c:barChart>
        <c:barDir val="col"/>
        <c:grouping val="clustered"/>
        <c:varyColors val="0"/>
        <c:ser>
          <c:idx val="1"/>
          <c:order val="1"/>
          <c:tx>
            <c:strRef>
              <c:f>'Phân tích'!$B$1</c:f>
              <c:strCache>
                <c:ptCount val="1"/>
                <c:pt idx="0">
                  <c:v>Tiền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tích'!$B$2:$B$22</c:f>
              <c:numCache>
                <c:formatCode>General</c:formatCode>
                <c:ptCount val="21"/>
                <c:pt idx="0">
                  <c:v>3090</c:v>
                </c:pt>
                <c:pt idx="1">
                  <c:v>3000</c:v>
                </c:pt>
                <c:pt idx="2">
                  <c:v>3000</c:v>
                </c:pt>
                <c:pt idx="3">
                  <c:v>3395</c:v>
                </c:pt>
                <c:pt idx="4">
                  <c:v>2641</c:v>
                </c:pt>
                <c:pt idx="5">
                  <c:v>3020</c:v>
                </c:pt>
                <c:pt idx="6">
                  <c:v>3526</c:v>
                </c:pt>
                <c:pt idx="7">
                  <c:v>2648</c:v>
                </c:pt>
                <c:pt idx="8">
                  <c:v>3525</c:v>
                </c:pt>
                <c:pt idx="9">
                  <c:v>2010.2999999999993</c:v>
                </c:pt>
                <c:pt idx="10">
                  <c:v>3825.5789999999997</c:v>
                </c:pt>
                <c:pt idx="11">
                  <c:v>3942.0679999999993</c:v>
                </c:pt>
                <c:pt idx="12">
                  <c:v>4160.6729999999998</c:v>
                </c:pt>
                <c:pt idx="13" formatCode="0">
                  <c:v>3288</c:v>
                </c:pt>
                <c:pt idx="14" formatCode="0">
                  <c:v>4480.9560000000001</c:v>
                </c:pt>
                <c:pt idx="15" formatCode="0">
                  <c:v>5503.2199999999993</c:v>
                </c:pt>
                <c:pt idx="16" formatCode="0">
                  <c:v>5226.13</c:v>
                </c:pt>
                <c:pt idx="17" formatCode="0">
                  <c:v>4047.7939999999999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7434656"/>
        <c:axId val="1197440640"/>
      </c:barChart>
      <c:catAx>
        <c:axId val="11974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40640"/>
        <c:crosses val="autoZero"/>
        <c:auto val="1"/>
        <c:lblAlgn val="ctr"/>
        <c:lblOffset val="100"/>
        <c:noMultiLvlLbl val="0"/>
      </c:catAx>
      <c:valAx>
        <c:axId val="119744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74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23811</xdr:rowOff>
    </xdr:from>
    <xdr:to>
      <xdr:col>21</xdr:col>
      <xdr:colOff>47625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9CAC-59BF-4E4B-8622-AC8B5874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147" t="s">
        <v>19</v>
      </c>
      <c r="B1" s="147"/>
      <c r="C1" s="147"/>
      <c r="D1" s="147"/>
      <c r="E1" s="147"/>
      <c r="F1" s="147"/>
      <c r="G1" s="147"/>
      <c r="H1" s="147"/>
      <c r="I1" s="147"/>
      <c r="J1" s="143" t="s">
        <v>33</v>
      </c>
      <c r="K1" s="144">
        <f>D26-200-200</f>
        <v>3090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3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145"/>
      <c r="K5" s="145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145"/>
      <c r="K6" s="145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145"/>
      <c r="K7" s="145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145"/>
      <c r="K8" s="145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145"/>
      <c r="K9" s="145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145"/>
      <c r="K10" s="145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145"/>
      <c r="K11" s="145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145"/>
      <c r="K12" s="145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145"/>
      <c r="K13" s="145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145"/>
      <c r="K14" s="145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145"/>
      <c r="K15" s="145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145"/>
      <c r="K16" s="145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145"/>
      <c r="K17" s="145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145"/>
      <c r="K18" s="145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6">
        <v>44318</v>
      </c>
      <c r="B24" s="17">
        <v>200</v>
      </c>
      <c r="C24" s="17" t="s">
        <v>11</v>
      </c>
      <c r="D24" s="17"/>
      <c r="E24" s="17"/>
      <c r="F24" s="17"/>
      <c r="G24" s="18"/>
      <c r="H24" s="18"/>
      <c r="I24" s="18"/>
      <c r="J24" s="8" t="s">
        <v>17</v>
      </c>
      <c r="K24" s="15">
        <f>K23+K22</f>
        <v>1729.5</v>
      </c>
    </row>
    <row r="25" spans="1:11" ht="20.100000000000001" customHeight="1" x14ac:dyDescent="0.2">
      <c r="A25" s="148" t="s">
        <v>1</v>
      </c>
      <c r="B25" s="149"/>
      <c r="C25" s="149"/>
      <c r="D25" s="139">
        <f>3090+1500</f>
        <v>4590</v>
      </c>
      <c r="E25" s="139"/>
      <c r="F25" s="140"/>
      <c r="G25" s="19" t="s">
        <v>1</v>
      </c>
      <c r="H25" s="156">
        <v>7431.75</v>
      </c>
      <c r="I25" s="157"/>
      <c r="J25" s="135" t="s">
        <v>23</v>
      </c>
      <c r="K25" s="136"/>
    </row>
    <row r="26" spans="1:11" ht="20.100000000000001" customHeight="1" x14ac:dyDescent="0.2">
      <c r="A26" s="150" t="s">
        <v>18</v>
      </c>
      <c r="B26" s="151"/>
      <c r="C26" s="151"/>
      <c r="D26" s="141">
        <f>SUM(B5:B24)+SUM(E5:E24)</f>
        <v>3490</v>
      </c>
      <c r="E26" s="141"/>
      <c r="F26" s="142"/>
      <c r="G26" s="20" t="s">
        <v>22</v>
      </c>
      <c r="H26" s="158">
        <f>SUM(H5:H24)</f>
        <v>1799.873</v>
      </c>
      <c r="I26" s="159"/>
      <c r="J26" s="137">
        <f>D27+H27</f>
        <v>6731.8770000000004</v>
      </c>
      <c r="K26" s="138"/>
    </row>
    <row r="27" spans="1:11" ht="36.75" customHeight="1" thickBot="1" x14ac:dyDescent="0.25">
      <c r="A27" s="152" t="s">
        <v>7</v>
      </c>
      <c r="B27" s="153"/>
      <c r="C27" s="153"/>
      <c r="D27" s="154">
        <f>D25-D26-L24</f>
        <v>1100</v>
      </c>
      <c r="E27" s="154"/>
      <c r="F27" s="155"/>
      <c r="G27" s="21" t="s">
        <v>7</v>
      </c>
      <c r="H27" s="133">
        <f>H25-H26</f>
        <v>5631.8770000000004</v>
      </c>
      <c r="I27" s="134"/>
      <c r="J27" s="137"/>
      <c r="K27" s="138"/>
    </row>
  </sheetData>
  <mergeCells count="17">
    <mergeCell ref="A25:C25"/>
    <mergeCell ref="A26:C26"/>
    <mergeCell ref="A27:C27"/>
    <mergeCell ref="D27:F27"/>
    <mergeCell ref="H25:I25"/>
    <mergeCell ref="H26:I26"/>
    <mergeCell ref="J1:J2"/>
    <mergeCell ref="K1:K2"/>
    <mergeCell ref="J5:K18"/>
    <mergeCell ref="A3:F3"/>
    <mergeCell ref="G3:I3"/>
    <mergeCell ref="A1:I2"/>
    <mergeCell ref="H27:I27"/>
    <mergeCell ref="J25:K25"/>
    <mergeCell ref="J26:K27"/>
    <mergeCell ref="D25:F25"/>
    <mergeCell ref="D26:F26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134</v>
      </c>
      <c r="B1" s="147"/>
      <c r="C1" s="147"/>
      <c r="D1" s="147"/>
      <c r="E1" s="147"/>
      <c r="F1" s="147"/>
      <c r="G1" s="147"/>
      <c r="H1" s="147"/>
      <c r="I1" s="147"/>
      <c r="J1" s="165" t="s">
        <v>24</v>
      </c>
      <c r="K1" s="166">
        <f>SUM(H5:H19)-H7-H15</f>
        <v>3825.5789999999997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65"/>
      <c r="K2" s="166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77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7" t="s">
        <v>26</v>
      </c>
      <c r="K4" s="76">
        <f>K1/K3</f>
        <v>127.51929999999999</v>
      </c>
      <c r="L4" s="10"/>
    </row>
    <row r="5" spans="1:12" x14ac:dyDescent="0.2">
      <c r="A5" s="13">
        <v>44562</v>
      </c>
      <c r="B5" s="53">
        <f>4+28</f>
        <v>32</v>
      </c>
      <c r="C5" s="57" t="s">
        <v>145</v>
      </c>
      <c r="D5" s="13"/>
      <c r="E5" s="53"/>
      <c r="F5" s="57"/>
      <c r="G5" s="14"/>
      <c r="H5" s="97">
        <v>3000</v>
      </c>
      <c r="I5" s="79" t="s">
        <v>22</v>
      </c>
      <c r="J5" s="163">
        <f>-SUM(H5:H19)</f>
        <v>1192.6699999999998</v>
      </c>
      <c r="K5" s="164"/>
    </row>
    <row r="6" spans="1:12" x14ac:dyDescent="0.2">
      <c r="A6" s="13">
        <v>44599</v>
      </c>
      <c r="B6" s="53">
        <v>1057</v>
      </c>
      <c r="C6" s="57" t="s">
        <v>146</v>
      </c>
      <c r="D6" s="13"/>
      <c r="E6" s="53"/>
      <c r="F6" s="57"/>
      <c r="G6" s="14"/>
      <c r="H6" s="97">
        <v>-100</v>
      </c>
      <c r="I6" s="79" t="s">
        <v>147</v>
      </c>
      <c r="J6" s="164"/>
      <c r="K6" s="164"/>
    </row>
    <row r="7" spans="1:12" x14ac:dyDescent="0.2">
      <c r="A7" s="13"/>
      <c r="B7" s="53">
        <v>1775</v>
      </c>
      <c r="C7" s="57" t="s">
        <v>48</v>
      </c>
      <c r="D7" s="13"/>
      <c r="E7" s="53"/>
      <c r="F7" s="57"/>
      <c r="G7" s="14"/>
      <c r="H7" s="97">
        <v>-6817.5</v>
      </c>
      <c r="I7" s="79" t="s">
        <v>82</v>
      </c>
      <c r="J7" s="164"/>
      <c r="K7" s="164"/>
    </row>
    <row r="8" spans="1:12" x14ac:dyDescent="0.2">
      <c r="A8" s="13">
        <v>44605</v>
      </c>
      <c r="B8" s="53">
        <f>106+18</f>
        <v>124</v>
      </c>
      <c r="C8" s="57" t="s">
        <v>10</v>
      </c>
      <c r="D8" s="13"/>
      <c r="E8" s="53"/>
      <c r="F8" s="57"/>
      <c r="G8" s="14"/>
      <c r="H8" s="97">
        <v>50</v>
      </c>
      <c r="I8" s="79" t="s">
        <v>148</v>
      </c>
      <c r="J8" s="164"/>
      <c r="K8" s="164"/>
    </row>
    <row r="9" spans="1:12" x14ac:dyDescent="0.2">
      <c r="A9" s="13"/>
      <c r="B9" s="53">
        <v>80</v>
      </c>
      <c r="C9" s="57" t="s">
        <v>149</v>
      </c>
      <c r="D9" s="13"/>
      <c r="E9" s="53"/>
      <c r="F9" s="57"/>
      <c r="G9" s="14"/>
      <c r="H9" s="97">
        <v>-500</v>
      </c>
      <c r="I9" s="79" t="s">
        <v>150</v>
      </c>
      <c r="J9" s="164"/>
      <c r="K9" s="164"/>
    </row>
    <row r="10" spans="1:12" x14ac:dyDescent="0.2">
      <c r="A10" s="13">
        <v>44609</v>
      </c>
      <c r="B10" s="53">
        <v>23</v>
      </c>
      <c r="C10" s="57" t="s">
        <v>10</v>
      </c>
      <c r="D10" s="13"/>
      <c r="E10" s="53"/>
      <c r="F10" s="57"/>
      <c r="G10" s="14"/>
      <c r="H10" s="97">
        <v>160</v>
      </c>
      <c r="I10" s="79" t="s">
        <v>151</v>
      </c>
      <c r="J10" s="164"/>
      <c r="K10" s="164"/>
    </row>
    <row r="11" spans="1:12" x14ac:dyDescent="0.2">
      <c r="A11" s="13">
        <v>44611</v>
      </c>
      <c r="B11" s="53">
        <f>50</f>
        <v>50</v>
      </c>
      <c r="C11" s="57" t="s">
        <v>30</v>
      </c>
      <c r="D11" s="78"/>
      <c r="E11" s="53"/>
      <c r="F11" s="57"/>
      <c r="G11" s="14"/>
      <c r="H11" s="97">
        <v>200</v>
      </c>
      <c r="I11" s="79" t="s">
        <v>152</v>
      </c>
      <c r="J11" s="164"/>
      <c r="K11" s="164"/>
    </row>
    <row r="12" spans="1:12" x14ac:dyDescent="0.2">
      <c r="A12" s="13">
        <v>44618</v>
      </c>
      <c r="B12" s="53">
        <f>-600+90+55+65</f>
        <v>-390</v>
      </c>
      <c r="C12" s="57" t="s">
        <v>18</v>
      </c>
      <c r="D12" s="78"/>
      <c r="E12" s="53"/>
      <c r="F12" s="57"/>
      <c r="G12" s="14"/>
      <c r="H12" s="97">
        <v>70</v>
      </c>
      <c r="I12" s="79" t="s">
        <v>153</v>
      </c>
      <c r="J12" s="164"/>
      <c r="K12" s="164"/>
    </row>
    <row r="13" spans="1:12" x14ac:dyDescent="0.2">
      <c r="A13" s="13">
        <v>44619</v>
      </c>
      <c r="B13" s="53">
        <v>80</v>
      </c>
      <c r="C13" s="57" t="s">
        <v>85</v>
      </c>
      <c r="D13" s="78"/>
      <c r="E13" s="53"/>
      <c r="F13" s="57"/>
      <c r="G13" s="14"/>
      <c r="H13" s="97">
        <v>-100.42100000000001</v>
      </c>
      <c r="I13" s="79" t="s">
        <v>154</v>
      </c>
      <c r="J13" s="164"/>
      <c r="K13" s="164"/>
    </row>
    <row r="14" spans="1:12" x14ac:dyDescent="0.2">
      <c r="A14" s="13"/>
      <c r="B14" s="53">
        <v>197</v>
      </c>
      <c r="C14" s="57" t="s">
        <v>155</v>
      </c>
      <c r="D14" s="78"/>
      <c r="E14" s="53"/>
      <c r="F14" s="57"/>
      <c r="G14" s="14"/>
      <c r="H14" s="97">
        <v>1046</v>
      </c>
      <c r="I14" s="79" t="s">
        <v>58</v>
      </c>
      <c r="J14" s="75" t="s">
        <v>13</v>
      </c>
      <c r="K14" s="77">
        <v>8598</v>
      </c>
    </row>
    <row r="15" spans="1:12" x14ac:dyDescent="0.2">
      <c r="A15" s="13"/>
      <c r="B15" s="53">
        <v>20</v>
      </c>
      <c r="C15" s="57" t="s">
        <v>156</v>
      </c>
      <c r="D15" s="78"/>
      <c r="E15" s="53"/>
      <c r="F15" s="57"/>
      <c r="G15" s="14"/>
      <c r="H15" s="97">
        <f>-0.749+2000-200</f>
        <v>1799.251</v>
      </c>
      <c r="I15" s="79" t="s">
        <v>22</v>
      </c>
      <c r="J15" s="75" t="s">
        <v>14</v>
      </c>
      <c r="K15" s="77">
        <v>8673</v>
      </c>
    </row>
    <row r="16" spans="1:12" x14ac:dyDescent="0.2">
      <c r="A16" s="13"/>
      <c r="B16" s="53"/>
      <c r="C16" s="57"/>
      <c r="D16" s="78"/>
      <c r="E16" s="53"/>
      <c r="F16" s="57"/>
      <c r="G16" s="14"/>
      <c r="H16" s="97"/>
      <c r="I16" s="79"/>
      <c r="J16" s="75" t="s">
        <v>15</v>
      </c>
      <c r="K16" s="77">
        <f>K15-K14</f>
        <v>75</v>
      </c>
    </row>
    <row r="17" spans="1:11" x14ac:dyDescent="0.2">
      <c r="A17" s="13"/>
      <c r="B17" s="53"/>
      <c r="C17" s="57"/>
      <c r="D17" s="78"/>
      <c r="E17" s="53"/>
      <c r="F17" s="57"/>
      <c r="G17" s="14"/>
      <c r="H17" s="97"/>
      <c r="I17" s="79"/>
      <c r="J17" s="75" t="s">
        <v>0</v>
      </c>
      <c r="K17" s="77">
        <f>K16*3</f>
        <v>225</v>
      </c>
    </row>
    <row r="18" spans="1:11" x14ac:dyDescent="0.2">
      <c r="A18" s="13"/>
      <c r="B18" s="53"/>
      <c r="C18" s="57"/>
      <c r="D18" s="78"/>
      <c r="E18" s="53"/>
      <c r="F18" s="57"/>
      <c r="G18" s="79"/>
      <c r="H18" s="97"/>
      <c r="I18" s="79"/>
      <c r="J18" s="75" t="s">
        <v>16</v>
      </c>
      <c r="K18" s="77">
        <f>1400+150</f>
        <v>1550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75" t="s">
        <v>17</v>
      </c>
      <c r="K19" s="75">
        <f>K18+K17</f>
        <v>1775</v>
      </c>
    </row>
    <row r="20" spans="1:11" ht="20.100000000000001" customHeight="1" x14ac:dyDescent="0.2">
      <c r="A20" s="148" t="s">
        <v>1</v>
      </c>
      <c r="B20" s="149"/>
      <c r="C20" s="149"/>
      <c r="D20" s="139">
        <f>451+520+3000-500</f>
        <v>3471</v>
      </c>
      <c r="E20" s="139"/>
      <c r="F20" s="140"/>
      <c r="G20" s="19" t="s">
        <v>1</v>
      </c>
      <c r="H20" s="160">
        <v>30500.071</v>
      </c>
      <c r="I20" s="161"/>
      <c r="J20" s="135" t="s">
        <v>23</v>
      </c>
      <c r="K20" s="136"/>
    </row>
    <row r="21" spans="1:11" ht="20.100000000000001" customHeight="1" x14ac:dyDescent="0.2">
      <c r="A21" s="150" t="s">
        <v>18</v>
      </c>
      <c r="B21" s="151"/>
      <c r="C21" s="151"/>
      <c r="D21" s="141">
        <f>SUM(B5:B19)+SUM(E5:E19)</f>
        <v>3048</v>
      </c>
      <c r="E21" s="141"/>
      <c r="F21" s="142"/>
      <c r="G21" s="20" t="s">
        <v>22</v>
      </c>
      <c r="H21" s="158">
        <f>SUM(H5:H19)</f>
        <v>-1192.6699999999998</v>
      </c>
      <c r="I21" s="159"/>
      <c r="J21" s="137">
        <f>D22+H22</f>
        <v>32115.740999999998</v>
      </c>
      <c r="K21" s="138"/>
    </row>
    <row r="22" spans="1:11" ht="36.75" customHeight="1" thickBot="1" x14ac:dyDescent="0.25">
      <c r="A22" s="152" t="s">
        <v>7</v>
      </c>
      <c r="B22" s="153"/>
      <c r="C22" s="153"/>
      <c r="D22" s="154">
        <f>D20-D21</f>
        <v>423</v>
      </c>
      <c r="E22" s="154"/>
      <c r="F22" s="155"/>
      <c r="G22" s="21" t="s">
        <v>7</v>
      </c>
      <c r="H22" s="133">
        <f>H20-H21</f>
        <v>31692.740999999998</v>
      </c>
      <c r="I22" s="134"/>
      <c r="J22" s="137"/>
      <c r="K22" s="138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101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134</v>
      </c>
      <c r="B1" s="147"/>
      <c r="C1" s="147"/>
      <c r="D1" s="147"/>
      <c r="E1" s="147"/>
      <c r="F1" s="147"/>
      <c r="G1" s="147"/>
      <c r="H1" s="147"/>
      <c r="I1" s="147"/>
      <c r="J1" s="165" t="s">
        <v>24</v>
      </c>
      <c r="K1" s="166">
        <f>SUM(H6:H16)-H7-H10+1799</f>
        <v>3942.0679999999993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65"/>
      <c r="K2" s="166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83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100" t="s">
        <v>3</v>
      </c>
      <c r="I4" s="3" t="s">
        <v>4</v>
      </c>
      <c r="J4" s="83" t="s">
        <v>26</v>
      </c>
      <c r="K4" s="82">
        <f>K1/K3</f>
        <v>131.40226666666663</v>
      </c>
      <c r="L4" s="10"/>
    </row>
    <row r="5" spans="1:12" x14ac:dyDescent="0.2">
      <c r="A5" s="13">
        <v>44564</v>
      </c>
      <c r="B5" s="53">
        <v>1725</v>
      </c>
      <c r="C5" s="57" t="s">
        <v>48</v>
      </c>
      <c r="D5" s="13">
        <v>44648</v>
      </c>
      <c r="E5" s="53">
        <v>60</v>
      </c>
      <c r="F5" s="57" t="s">
        <v>36</v>
      </c>
      <c r="G5" s="14">
        <v>44630</v>
      </c>
      <c r="H5" s="97">
        <v>-10674</v>
      </c>
      <c r="I5" s="84"/>
      <c r="J5" s="163">
        <f>-SUM(H5:H19)</f>
        <v>-1469.068</v>
      </c>
      <c r="K5" s="164"/>
    </row>
    <row r="6" spans="1:12" x14ac:dyDescent="0.2">
      <c r="A6" s="13"/>
      <c r="B6" s="53">
        <v>30</v>
      </c>
      <c r="C6" s="57" t="s">
        <v>35</v>
      </c>
      <c r="D6" s="13"/>
      <c r="E6" s="53">
        <v>13</v>
      </c>
      <c r="F6" s="57" t="s">
        <v>164</v>
      </c>
      <c r="G6" s="14"/>
      <c r="H6" s="97">
        <f>-500+166+100.741</f>
        <v>-233.25900000000001</v>
      </c>
      <c r="I6" s="84"/>
      <c r="J6" s="164"/>
      <c r="K6" s="164"/>
    </row>
    <row r="7" spans="1:12" x14ac:dyDescent="0.2">
      <c r="A7" s="13">
        <v>44627</v>
      </c>
      <c r="B7" s="53">
        <v>50</v>
      </c>
      <c r="C7" s="57" t="s">
        <v>35</v>
      </c>
      <c r="D7" s="13"/>
      <c r="E7" s="53">
        <v>15</v>
      </c>
      <c r="F7" s="57" t="s">
        <v>167</v>
      </c>
      <c r="G7" s="14">
        <v>44631</v>
      </c>
      <c r="H7" s="97">
        <v>5000</v>
      </c>
      <c r="I7" s="84" t="s">
        <v>158</v>
      </c>
      <c r="J7" s="164"/>
      <c r="K7" s="164"/>
    </row>
    <row r="8" spans="1:12" x14ac:dyDescent="0.2">
      <c r="A8" s="13"/>
      <c r="B8" s="53">
        <v>200</v>
      </c>
      <c r="C8" s="57" t="s">
        <v>9</v>
      </c>
      <c r="D8" s="13"/>
      <c r="E8" s="53"/>
      <c r="F8" s="57"/>
      <c r="G8" s="14"/>
      <c r="H8" s="97">
        <v>1000</v>
      </c>
      <c r="I8" s="84" t="s">
        <v>159</v>
      </c>
      <c r="J8" s="164"/>
      <c r="K8" s="164"/>
    </row>
    <row r="9" spans="1:12" x14ac:dyDescent="0.2">
      <c r="A9" s="13"/>
      <c r="B9" s="53">
        <v>15</v>
      </c>
      <c r="C9" s="57" t="s">
        <v>157</v>
      </c>
      <c r="D9" s="13"/>
      <c r="E9" s="53"/>
      <c r="F9" s="57"/>
      <c r="G9" s="14"/>
      <c r="H9" s="97">
        <v>100</v>
      </c>
      <c r="I9" s="84" t="s">
        <v>41</v>
      </c>
      <c r="J9" s="164"/>
      <c r="K9" s="164"/>
      <c r="L9" s="90"/>
    </row>
    <row r="10" spans="1:12" x14ac:dyDescent="0.2">
      <c r="A10" s="13"/>
      <c r="B10" s="53">
        <v>36</v>
      </c>
      <c r="C10" s="57" t="s">
        <v>86</v>
      </c>
      <c r="D10" s="13"/>
      <c r="E10" s="53"/>
      <c r="F10" s="57"/>
      <c r="G10" s="14">
        <v>44641</v>
      </c>
      <c r="H10" s="97">
        <v>5000</v>
      </c>
      <c r="I10" s="84" t="s">
        <v>112</v>
      </c>
      <c r="J10" s="164"/>
      <c r="K10" s="164"/>
    </row>
    <row r="11" spans="1:12" x14ac:dyDescent="0.2">
      <c r="A11" s="13">
        <v>44629</v>
      </c>
      <c r="B11" s="53">
        <f>47+90+30+35</f>
        <v>202</v>
      </c>
      <c r="C11" s="57" t="s">
        <v>18</v>
      </c>
      <c r="D11" s="80"/>
      <c r="E11" s="53"/>
      <c r="F11" s="57"/>
      <c r="G11" s="14"/>
      <c r="H11" s="97">
        <v>500</v>
      </c>
      <c r="I11" s="84" t="s">
        <v>41</v>
      </c>
      <c r="J11" s="164"/>
      <c r="K11" s="164"/>
    </row>
    <row r="12" spans="1:12" x14ac:dyDescent="0.2">
      <c r="A12" s="13">
        <v>44634</v>
      </c>
      <c r="B12" s="53">
        <f>80+60+14+58</f>
        <v>212</v>
      </c>
      <c r="C12" s="57" t="s">
        <v>10</v>
      </c>
      <c r="D12" s="80"/>
      <c r="E12" s="53"/>
      <c r="F12" s="57"/>
      <c r="G12" s="14"/>
      <c r="H12" s="97">
        <f>358.6-0.773</f>
        <v>357.827</v>
      </c>
      <c r="I12" s="84" t="s">
        <v>58</v>
      </c>
      <c r="J12" s="164"/>
      <c r="K12" s="164"/>
    </row>
    <row r="13" spans="1:12" x14ac:dyDescent="0.2">
      <c r="A13" s="13">
        <v>44635</v>
      </c>
      <c r="B13" s="53">
        <f>186+15</f>
        <v>201</v>
      </c>
      <c r="C13" s="57" t="s">
        <v>38</v>
      </c>
      <c r="D13" s="80"/>
      <c r="E13" s="53"/>
      <c r="F13" s="57"/>
      <c r="G13" s="14"/>
      <c r="H13" s="97">
        <v>358.5</v>
      </c>
      <c r="I13" s="84" t="s">
        <v>58</v>
      </c>
      <c r="J13" s="164"/>
      <c r="K13" s="164"/>
    </row>
    <row r="14" spans="1:12" x14ac:dyDescent="0.2">
      <c r="A14" s="13">
        <v>44641</v>
      </c>
      <c r="B14" s="53">
        <v>40</v>
      </c>
      <c r="C14" s="57" t="s">
        <v>160</v>
      </c>
      <c r="D14" s="80"/>
      <c r="E14" s="53"/>
      <c r="F14" s="57"/>
      <c r="G14" s="14"/>
      <c r="H14" s="97">
        <v>60</v>
      </c>
      <c r="I14" s="84" t="s">
        <v>165</v>
      </c>
      <c r="J14" s="81" t="s">
        <v>13</v>
      </c>
      <c r="K14" s="83">
        <v>8673</v>
      </c>
    </row>
    <row r="15" spans="1:12" x14ac:dyDescent="0.2">
      <c r="A15" s="13"/>
      <c r="B15" s="53">
        <v>35</v>
      </c>
      <c r="C15" s="57" t="s">
        <v>10</v>
      </c>
      <c r="D15" s="80"/>
      <c r="E15" s="53"/>
      <c r="F15" s="57"/>
      <c r="G15" s="14"/>
      <c r="H15" s="97"/>
      <c r="I15" s="84"/>
      <c r="J15" s="81" t="s">
        <v>14</v>
      </c>
      <c r="K15" s="83">
        <v>8715</v>
      </c>
    </row>
    <row r="16" spans="1:12" x14ac:dyDescent="0.2">
      <c r="A16" s="13">
        <v>44642</v>
      </c>
      <c r="B16" s="53">
        <v>85</v>
      </c>
      <c r="C16" s="57" t="s">
        <v>10</v>
      </c>
      <c r="D16" s="80"/>
      <c r="E16" s="53"/>
      <c r="F16" s="57"/>
      <c r="G16" s="14"/>
      <c r="H16" s="97"/>
      <c r="I16" s="84"/>
      <c r="J16" s="81" t="s">
        <v>15</v>
      </c>
      <c r="K16" s="83">
        <f>K15-K14</f>
        <v>42</v>
      </c>
    </row>
    <row r="17" spans="1:11" x14ac:dyDescent="0.2">
      <c r="A17" s="13"/>
      <c r="B17" s="53">
        <v>222</v>
      </c>
      <c r="C17" s="57" t="s">
        <v>161</v>
      </c>
      <c r="D17" s="80"/>
      <c r="E17" s="53"/>
      <c r="F17" s="57"/>
      <c r="G17" s="14"/>
      <c r="H17" s="97"/>
      <c r="I17" s="84"/>
      <c r="J17" s="81" t="s">
        <v>0</v>
      </c>
      <c r="K17" s="83">
        <f>K16*3</f>
        <v>126</v>
      </c>
    </row>
    <row r="18" spans="1:11" x14ac:dyDescent="0.2">
      <c r="A18" s="13">
        <v>44644</v>
      </c>
      <c r="B18" s="53">
        <v>100</v>
      </c>
      <c r="C18" s="57" t="s">
        <v>162</v>
      </c>
      <c r="D18" s="80"/>
      <c r="E18" s="53"/>
      <c r="F18" s="57"/>
      <c r="G18" s="84"/>
      <c r="H18" s="97"/>
      <c r="I18" s="84"/>
      <c r="J18" s="81" t="s">
        <v>16</v>
      </c>
      <c r="K18" s="83">
        <f>1400+200</f>
        <v>1600</v>
      </c>
    </row>
    <row r="19" spans="1:11" ht="16.5" thickBot="1" x14ac:dyDescent="0.25">
      <c r="A19" s="16">
        <v>44648</v>
      </c>
      <c r="B19" s="54">
        <v>50</v>
      </c>
      <c r="C19" s="58" t="s">
        <v>163</v>
      </c>
      <c r="D19" s="17"/>
      <c r="E19" s="54"/>
      <c r="F19" s="58"/>
      <c r="G19" s="18"/>
      <c r="H19" s="98"/>
      <c r="I19" s="18"/>
      <c r="J19" s="81" t="s">
        <v>17</v>
      </c>
      <c r="K19" s="81">
        <f>K18+K17</f>
        <v>1726</v>
      </c>
    </row>
    <row r="20" spans="1:11" ht="20.100000000000001" customHeight="1" x14ac:dyDescent="0.2">
      <c r="A20" s="148" t="s">
        <v>1</v>
      </c>
      <c r="B20" s="149"/>
      <c r="C20" s="149"/>
      <c r="D20" s="139">
        <f>423+2000+500-220+100+500</f>
        <v>3303</v>
      </c>
      <c r="E20" s="139"/>
      <c r="F20" s="140"/>
      <c r="G20" s="19" t="s">
        <v>1</v>
      </c>
      <c r="H20" s="160">
        <v>31692.741000000002</v>
      </c>
      <c r="I20" s="161"/>
      <c r="J20" s="135" t="s">
        <v>23</v>
      </c>
      <c r="K20" s="136"/>
    </row>
    <row r="21" spans="1:11" ht="20.100000000000001" customHeight="1" x14ac:dyDescent="0.2">
      <c r="A21" s="150" t="s">
        <v>18</v>
      </c>
      <c r="B21" s="151"/>
      <c r="C21" s="151"/>
      <c r="D21" s="141">
        <f>SUM(B5:B19)+SUM(E5:E19)</f>
        <v>3291</v>
      </c>
      <c r="E21" s="141"/>
      <c r="F21" s="142"/>
      <c r="G21" s="20" t="s">
        <v>22</v>
      </c>
      <c r="H21" s="158">
        <f>SUM(H5:H19)</f>
        <v>1469.068</v>
      </c>
      <c r="I21" s="159"/>
      <c r="J21" s="137">
        <f>D22+H22</f>
        <v>30235.673000000003</v>
      </c>
      <c r="K21" s="138"/>
    </row>
    <row r="22" spans="1:11" ht="36.75" customHeight="1" thickBot="1" x14ac:dyDescent="0.25">
      <c r="A22" s="152" t="s">
        <v>7</v>
      </c>
      <c r="B22" s="153"/>
      <c r="C22" s="153"/>
      <c r="D22" s="154">
        <f>D20-D21</f>
        <v>12</v>
      </c>
      <c r="E22" s="154"/>
      <c r="F22" s="155"/>
      <c r="G22" s="21" t="s">
        <v>7</v>
      </c>
      <c r="H22" s="133">
        <f>H20-H21</f>
        <v>30223.673000000003</v>
      </c>
      <c r="I22" s="134"/>
      <c r="J22" s="137"/>
      <c r="K22" s="138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134</v>
      </c>
      <c r="B1" s="147"/>
      <c r="C1" s="147"/>
      <c r="D1" s="147"/>
      <c r="E1" s="147"/>
      <c r="F1" s="147"/>
      <c r="G1" s="147"/>
      <c r="H1" s="147"/>
      <c r="I1" s="147"/>
      <c r="J1" s="165" t="s">
        <v>24</v>
      </c>
      <c r="K1" s="167">
        <f>SUM(H6:H19)</f>
        <v>4160.6729999999998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65"/>
      <c r="K2" s="167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88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8" t="s">
        <v>26</v>
      </c>
      <c r="K4" s="87">
        <f>K1/K3</f>
        <v>138.6891</v>
      </c>
      <c r="L4" s="10"/>
    </row>
    <row r="5" spans="1:12" x14ac:dyDescent="0.2">
      <c r="A5" s="13">
        <v>44655</v>
      </c>
      <c r="B5" s="53">
        <v>1858</v>
      </c>
      <c r="C5" s="57" t="s">
        <v>48</v>
      </c>
      <c r="D5" s="13">
        <v>44680</v>
      </c>
      <c r="E5" s="53">
        <v>59</v>
      </c>
      <c r="F5" s="57" t="s">
        <v>86</v>
      </c>
      <c r="G5" s="14">
        <v>44661</v>
      </c>
      <c r="H5" s="55">
        <f>-10674-10000-300</f>
        <v>-20974</v>
      </c>
      <c r="I5" s="89" t="s">
        <v>82</v>
      </c>
      <c r="J5" s="163">
        <f>-SUM(H5:H19)</f>
        <v>16813.327000000001</v>
      </c>
      <c r="K5" s="164"/>
    </row>
    <row r="6" spans="1:12" x14ac:dyDescent="0.2">
      <c r="A6" s="13"/>
      <c r="B6" s="53">
        <f>80+40+11+60+50</f>
        <v>241</v>
      </c>
      <c r="C6" s="57" t="s">
        <v>10</v>
      </c>
      <c r="D6" s="13">
        <v>44681</v>
      </c>
      <c r="E6" s="53">
        <v>80</v>
      </c>
      <c r="F6" s="57" t="s">
        <v>32</v>
      </c>
      <c r="G6" s="14">
        <v>44656</v>
      </c>
      <c r="H6" s="55">
        <v>3000</v>
      </c>
      <c r="I6" s="89" t="s">
        <v>166</v>
      </c>
      <c r="J6" s="164"/>
      <c r="K6" s="164"/>
    </row>
    <row r="7" spans="1:12" x14ac:dyDescent="0.2">
      <c r="A7" s="13"/>
      <c r="B7" s="53">
        <v>116</v>
      </c>
      <c r="C7" s="57" t="s">
        <v>168</v>
      </c>
      <c r="D7" s="13"/>
      <c r="E7" s="53">
        <v>36</v>
      </c>
      <c r="F7" s="57" t="s">
        <v>10</v>
      </c>
      <c r="G7" s="14">
        <v>44673</v>
      </c>
      <c r="H7" s="55">
        <v>330.673</v>
      </c>
      <c r="I7" s="89"/>
      <c r="J7" s="164"/>
      <c r="K7" s="164"/>
    </row>
    <row r="8" spans="1:12" x14ac:dyDescent="0.2">
      <c r="A8" s="13">
        <v>44658</v>
      </c>
      <c r="B8" s="53">
        <v>100</v>
      </c>
      <c r="C8" s="57" t="s">
        <v>85</v>
      </c>
      <c r="D8" s="13"/>
      <c r="E8" s="53"/>
      <c r="F8" s="57"/>
      <c r="G8" s="14">
        <v>44679</v>
      </c>
      <c r="H8" s="55">
        <v>200</v>
      </c>
      <c r="I8" s="89" t="s">
        <v>173</v>
      </c>
      <c r="J8" s="164"/>
      <c r="K8" s="164"/>
    </row>
    <row r="9" spans="1:12" x14ac:dyDescent="0.2">
      <c r="A9" s="13"/>
      <c r="B9" s="53">
        <v>10</v>
      </c>
      <c r="C9" s="57" t="s">
        <v>10</v>
      </c>
      <c r="D9" s="13"/>
      <c r="E9" s="53"/>
      <c r="F9" s="57"/>
      <c r="G9" s="14">
        <v>44680</v>
      </c>
      <c r="H9" s="55">
        <v>130</v>
      </c>
      <c r="I9" s="89" t="s">
        <v>10</v>
      </c>
      <c r="J9" s="164"/>
      <c r="K9" s="164"/>
    </row>
    <row r="10" spans="1:12" x14ac:dyDescent="0.2">
      <c r="A10" s="13">
        <v>44659</v>
      </c>
      <c r="B10" s="53">
        <v>9</v>
      </c>
      <c r="C10" s="57" t="s">
        <v>10</v>
      </c>
      <c r="D10" s="13"/>
      <c r="E10" s="53"/>
      <c r="F10" s="57"/>
      <c r="G10" s="14"/>
      <c r="H10" s="55">
        <v>500</v>
      </c>
      <c r="I10" s="89" t="s">
        <v>173</v>
      </c>
      <c r="J10" s="164"/>
      <c r="K10" s="164"/>
    </row>
    <row r="11" spans="1:12" x14ac:dyDescent="0.2">
      <c r="A11" s="13">
        <v>44663</v>
      </c>
      <c r="B11" s="53">
        <f>100+11+25+25</f>
        <v>161</v>
      </c>
      <c r="C11" s="57" t="s">
        <v>10</v>
      </c>
      <c r="D11" s="85"/>
      <c r="E11" s="53"/>
      <c r="F11" s="57"/>
      <c r="G11" s="14"/>
      <c r="H11" s="55"/>
      <c r="I11" s="89"/>
      <c r="J11" s="164"/>
      <c r="K11" s="164"/>
    </row>
    <row r="12" spans="1:12" x14ac:dyDescent="0.2">
      <c r="A12" s="13"/>
      <c r="B12" s="53">
        <v>100</v>
      </c>
      <c r="C12" s="57" t="s">
        <v>85</v>
      </c>
      <c r="D12" s="85"/>
      <c r="E12" s="53"/>
      <c r="F12" s="57"/>
      <c r="G12" s="14"/>
      <c r="H12" s="55"/>
      <c r="I12" s="89"/>
      <c r="J12" s="164"/>
      <c r="K12" s="164"/>
    </row>
    <row r="13" spans="1:12" x14ac:dyDescent="0.2">
      <c r="A13" s="13">
        <v>44665</v>
      </c>
      <c r="B13" s="53">
        <v>86</v>
      </c>
      <c r="C13" s="57" t="s">
        <v>169</v>
      </c>
      <c r="D13" s="85"/>
      <c r="E13" s="53"/>
      <c r="F13" s="57"/>
      <c r="G13" s="14"/>
      <c r="H13" s="55"/>
      <c r="I13" s="89"/>
      <c r="J13" s="164"/>
      <c r="K13" s="164"/>
    </row>
    <row r="14" spans="1:12" x14ac:dyDescent="0.2">
      <c r="A14" s="13">
        <v>44669</v>
      </c>
      <c r="B14" s="53">
        <v>19</v>
      </c>
      <c r="C14" s="57" t="s">
        <v>169</v>
      </c>
      <c r="D14" s="85"/>
      <c r="E14" s="53"/>
      <c r="F14" s="57"/>
      <c r="G14" s="14"/>
      <c r="H14" s="55"/>
      <c r="I14" s="89"/>
      <c r="J14" s="86" t="s">
        <v>13</v>
      </c>
      <c r="K14" s="88">
        <v>0</v>
      </c>
    </row>
    <row r="15" spans="1:12" x14ac:dyDescent="0.2">
      <c r="A15" s="13">
        <v>44670</v>
      </c>
      <c r="B15" s="53">
        <v>13</v>
      </c>
      <c r="C15" s="57" t="s">
        <v>38</v>
      </c>
      <c r="D15" s="85"/>
      <c r="E15" s="53"/>
      <c r="F15" s="57"/>
      <c r="G15" s="14"/>
      <c r="H15" s="55"/>
      <c r="I15" s="89"/>
      <c r="J15" s="86" t="s">
        <v>14</v>
      </c>
      <c r="K15" s="88">
        <v>86</v>
      </c>
    </row>
    <row r="16" spans="1:12" x14ac:dyDescent="0.2">
      <c r="A16" s="13">
        <v>44673</v>
      </c>
      <c r="B16" s="53">
        <v>15</v>
      </c>
      <c r="C16" s="57" t="s">
        <v>10</v>
      </c>
      <c r="D16" s="85"/>
      <c r="E16" s="53"/>
      <c r="F16" s="57"/>
      <c r="G16" s="14"/>
      <c r="H16" s="55"/>
      <c r="I16" s="89"/>
      <c r="J16" s="86" t="s">
        <v>15</v>
      </c>
      <c r="K16" s="88">
        <f>K15-K14</f>
        <v>86</v>
      </c>
    </row>
    <row r="17" spans="1:11" x14ac:dyDescent="0.2">
      <c r="A17" s="13">
        <v>44676</v>
      </c>
      <c r="B17" s="53">
        <f>4+100+50+20+10</f>
        <v>184</v>
      </c>
      <c r="C17" s="57" t="s">
        <v>170</v>
      </c>
      <c r="D17" s="85" t="s">
        <v>171</v>
      </c>
      <c r="E17" s="53"/>
      <c r="F17" s="57"/>
      <c r="G17" s="14"/>
      <c r="H17" s="55"/>
      <c r="I17" s="89"/>
      <c r="J17" s="86" t="s">
        <v>0</v>
      </c>
      <c r="K17" s="88">
        <f>K16*3</f>
        <v>258</v>
      </c>
    </row>
    <row r="18" spans="1:11" x14ac:dyDescent="0.2">
      <c r="A18" s="13">
        <v>44677</v>
      </c>
      <c r="B18" s="53">
        <v>100</v>
      </c>
      <c r="C18" s="57" t="s">
        <v>85</v>
      </c>
      <c r="D18" s="85"/>
      <c r="E18" s="53"/>
      <c r="F18" s="57"/>
      <c r="G18" s="89"/>
      <c r="H18" s="55"/>
      <c r="I18" s="89"/>
      <c r="J18" s="86" t="s">
        <v>16</v>
      </c>
      <c r="K18" s="88">
        <f>1400+200</f>
        <v>1600</v>
      </c>
    </row>
    <row r="19" spans="1:11" ht="16.5" thickBot="1" x14ac:dyDescent="0.25">
      <c r="A19" s="16">
        <v>44679</v>
      </c>
      <c r="B19" s="54">
        <v>25</v>
      </c>
      <c r="C19" s="58" t="s">
        <v>10</v>
      </c>
      <c r="D19" s="17"/>
      <c r="E19" s="54"/>
      <c r="F19" s="58"/>
      <c r="G19" s="18"/>
      <c r="H19" s="56"/>
      <c r="I19" s="18"/>
      <c r="J19" s="86" t="s">
        <v>17</v>
      </c>
      <c r="K19" s="86">
        <f>K18+K17</f>
        <v>1858</v>
      </c>
    </row>
    <row r="20" spans="1:11" ht="20.100000000000001" customHeight="1" x14ac:dyDescent="0.2">
      <c r="A20" s="148" t="s">
        <v>1</v>
      </c>
      <c r="B20" s="149"/>
      <c r="C20" s="149"/>
      <c r="D20" s="139">
        <v>3212</v>
      </c>
      <c r="E20" s="139"/>
      <c r="F20" s="140"/>
      <c r="G20" s="19" t="s">
        <v>1</v>
      </c>
      <c r="H20" s="160">
        <v>30223.672999999999</v>
      </c>
      <c r="I20" s="161"/>
      <c r="J20" s="135" t="s">
        <v>23</v>
      </c>
      <c r="K20" s="136"/>
    </row>
    <row r="21" spans="1:11" ht="20.100000000000001" customHeight="1" x14ac:dyDescent="0.2">
      <c r="A21" s="150" t="s">
        <v>18</v>
      </c>
      <c r="B21" s="151"/>
      <c r="C21" s="151"/>
      <c r="D21" s="141">
        <f>SUM(B5:B19)+SUM(E5:E19)</f>
        <v>3212</v>
      </c>
      <c r="E21" s="141"/>
      <c r="F21" s="142"/>
      <c r="G21" s="20" t="s">
        <v>22</v>
      </c>
      <c r="H21" s="158">
        <f>SUM(H5:H19)</f>
        <v>-16813.327000000001</v>
      </c>
      <c r="I21" s="159"/>
      <c r="J21" s="137">
        <f>D22+H22</f>
        <v>47037</v>
      </c>
      <c r="K21" s="138"/>
    </row>
    <row r="22" spans="1:11" ht="36.75" customHeight="1" thickBot="1" x14ac:dyDescent="0.25">
      <c r="A22" s="152" t="s">
        <v>7</v>
      </c>
      <c r="B22" s="153"/>
      <c r="C22" s="153"/>
      <c r="D22" s="154">
        <f>D20-D21</f>
        <v>0</v>
      </c>
      <c r="E22" s="154"/>
      <c r="F22" s="155"/>
      <c r="G22" s="21" t="s">
        <v>7</v>
      </c>
      <c r="H22" s="133">
        <f>H20-H21</f>
        <v>47037</v>
      </c>
      <c r="I22" s="134"/>
      <c r="J22" s="137"/>
      <c r="K22" s="138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134</v>
      </c>
      <c r="B1" s="147"/>
      <c r="C1" s="147"/>
      <c r="D1" s="147"/>
      <c r="E1" s="147"/>
      <c r="F1" s="147"/>
      <c r="G1" s="147"/>
      <c r="H1" s="147"/>
      <c r="I1" s="147"/>
      <c r="J1" s="165" t="s">
        <v>24</v>
      </c>
      <c r="K1" s="166">
        <f>SUM(H6:H19)-H10</f>
        <v>3288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65"/>
      <c r="K2" s="166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94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4" t="s">
        <v>26</v>
      </c>
      <c r="K4" s="93">
        <f>K1/K3</f>
        <v>109.6</v>
      </c>
      <c r="L4" s="10"/>
    </row>
    <row r="5" spans="1:12" x14ac:dyDescent="0.2">
      <c r="A5" s="13">
        <v>44682</v>
      </c>
      <c r="B5" s="53">
        <v>1840</v>
      </c>
      <c r="C5" s="57" t="s">
        <v>48</v>
      </c>
      <c r="D5" s="13"/>
      <c r="E5" s="53"/>
      <c r="F5" s="57"/>
      <c r="G5" s="14">
        <v>44682</v>
      </c>
      <c r="H5" s="97">
        <v>-10567.62</v>
      </c>
      <c r="I5" s="91" t="s">
        <v>181</v>
      </c>
      <c r="J5" s="163">
        <f>-SUM(H5:H19)</f>
        <v>6279.6200000000008</v>
      </c>
      <c r="K5" s="164"/>
    </row>
    <row r="6" spans="1:12" x14ac:dyDescent="0.2">
      <c r="A6" s="13"/>
      <c r="B6" s="53">
        <v>100</v>
      </c>
      <c r="C6" s="57" t="s">
        <v>32</v>
      </c>
      <c r="D6" s="13"/>
      <c r="E6" s="53"/>
      <c r="F6" s="57"/>
      <c r="G6" s="14"/>
      <c r="H6" s="97">
        <v>3000</v>
      </c>
      <c r="I6" s="91" t="s">
        <v>172</v>
      </c>
      <c r="J6" s="164"/>
      <c r="K6" s="164"/>
    </row>
    <row r="7" spans="1:12" x14ac:dyDescent="0.2">
      <c r="A7" s="13">
        <v>44687</v>
      </c>
      <c r="B7" s="53">
        <v>209</v>
      </c>
      <c r="C7" s="57"/>
      <c r="D7" s="13"/>
      <c r="E7" s="53"/>
      <c r="F7" s="57"/>
      <c r="G7" s="14"/>
      <c r="H7" s="97">
        <v>50</v>
      </c>
      <c r="I7" s="91" t="s">
        <v>180</v>
      </c>
      <c r="J7" s="164"/>
      <c r="K7" s="164"/>
    </row>
    <row r="8" spans="1:12" x14ac:dyDescent="0.2">
      <c r="A8" s="13">
        <v>44690</v>
      </c>
      <c r="B8" s="53">
        <v>91</v>
      </c>
      <c r="C8" s="57" t="s">
        <v>10</v>
      </c>
      <c r="D8" s="13"/>
      <c r="E8" s="53"/>
      <c r="F8" s="57"/>
      <c r="G8" s="14">
        <v>44704</v>
      </c>
      <c r="H8" s="97">
        <v>38</v>
      </c>
      <c r="I8" s="96" t="s">
        <v>10</v>
      </c>
      <c r="J8" s="164"/>
      <c r="K8" s="164"/>
    </row>
    <row r="9" spans="1:12" x14ac:dyDescent="0.2">
      <c r="A9" s="13">
        <v>44691</v>
      </c>
      <c r="B9" s="53">
        <v>57</v>
      </c>
      <c r="C9" s="57" t="s">
        <v>36</v>
      </c>
      <c r="D9" s="13"/>
      <c r="E9" s="53"/>
      <c r="F9" s="57"/>
      <c r="G9" s="14">
        <v>44705</v>
      </c>
      <c r="H9" s="97">
        <v>200</v>
      </c>
      <c r="I9" s="96" t="s">
        <v>41</v>
      </c>
      <c r="J9" s="164"/>
      <c r="K9" s="164"/>
    </row>
    <row r="10" spans="1:12" x14ac:dyDescent="0.2">
      <c r="A10" s="13"/>
      <c r="B10" s="53">
        <v>100</v>
      </c>
      <c r="C10" s="57" t="s">
        <v>85</v>
      </c>
      <c r="D10" s="13"/>
      <c r="E10" s="53"/>
      <c r="F10" s="57"/>
      <c r="G10" s="14">
        <v>44711</v>
      </c>
      <c r="H10" s="97">
        <v>1000</v>
      </c>
      <c r="I10" s="91" t="s">
        <v>184</v>
      </c>
      <c r="J10" s="164"/>
      <c r="K10" s="164"/>
    </row>
    <row r="11" spans="1:12" x14ac:dyDescent="0.2">
      <c r="A11" s="13">
        <v>44694</v>
      </c>
      <c r="B11" s="53">
        <v>26</v>
      </c>
      <c r="C11" s="57" t="s">
        <v>10</v>
      </c>
      <c r="D11" s="95"/>
      <c r="E11" s="53"/>
      <c r="F11" s="57"/>
      <c r="G11" s="14"/>
      <c r="H11" s="97"/>
      <c r="I11" s="91"/>
      <c r="J11" s="164"/>
      <c r="K11" s="164"/>
    </row>
    <row r="12" spans="1:12" x14ac:dyDescent="0.2">
      <c r="A12" s="13">
        <v>44697</v>
      </c>
      <c r="B12" s="53">
        <f>125+57+150+9+25</f>
        <v>366</v>
      </c>
      <c r="C12" s="57" t="s">
        <v>169</v>
      </c>
      <c r="D12" s="95"/>
      <c r="E12" s="53"/>
      <c r="F12" s="57"/>
      <c r="G12" s="14"/>
      <c r="H12" s="97"/>
      <c r="I12" s="91"/>
      <c r="J12" s="164"/>
      <c r="K12" s="164"/>
    </row>
    <row r="13" spans="1:12" x14ac:dyDescent="0.2">
      <c r="A13" s="13">
        <v>44704</v>
      </c>
      <c r="B13" s="53">
        <v>61</v>
      </c>
      <c r="C13" s="57" t="s">
        <v>38</v>
      </c>
      <c r="D13" s="95"/>
      <c r="E13" s="53"/>
      <c r="F13" s="57"/>
      <c r="G13" s="14"/>
      <c r="H13" s="97"/>
      <c r="I13" s="91"/>
      <c r="J13" s="164"/>
      <c r="K13" s="164"/>
    </row>
    <row r="14" spans="1:12" x14ac:dyDescent="0.2">
      <c r="A14" s="13"/>
      <c r="B14" s="53">
        <v>100</v>
      </c>
      <c r="C14" s="57" t="s">
        <v>85</v>
      </c>
      <c r="D14" s="95"/>
      <c r="E14" s="53"/>
      <c r="F14" s="57"/>
      <c r="G14" s="14"/>
      <c r="H14" s="97"/>
      <c r="I14" s="91"/>
      <c r="J14" s="92" t="s">
        <v>13</v>
      </c>
      <c r="K14" s="94">
        <v>86</v>
      </c>
    </row>
    <row r="15" spans="1:12" x14ac:dyDescent="0.2">
      <c r="A15" s="13">
        <v>44706</v>
      </c>
      <c r="B15" s="53">
        <v>50</v>
      </c>
      <c r="C15" s="57" t="s">
        <v>182</v>
      </c>
      <c r="D15" s="95"/>
      <c r="E15" s="53"/>
      <c r="F15" s="57"/>
      <c r="G15" s="14"/>
      <c r="H15" s="97"/>
      <c r="I15" s="91"/>
      <c r="J15" s="92" t="s">
        <v>14</v>
      </c>
      <c r="K15" s="94">
        <v>168</v>
      </c>
    </row>
    <row r="16" spans="1:12" x14ac:dyDescent="0.2">
      <c r="A16" s="13">
        <v>44708</v>
      </c>
      <c r="B16" s="53">
        <v>40</v>
      </c>
      <c r="C16" s="57" t="s">
        <v>10</v>
      </c>
      <c r="D16" s="95"/>
      <c r="E16" s="53"/>
      <c r="F16" s="57"/>
      <c r="G16" s="14"/>
      <c r="H16" s="97"/>
      <c r="I16" s="91"/>
      <c r="J16" s="92" t="s">
        <v>15</v>
      </c>
      <c r="K16" s="94">
        <f>K15-K14</f>
        <v>82</v>
      </c>
    </row>
    <row r="17" spans="1:11" x14ac:dyDescent="0.2">
      <c r="A17" s="13">
        <v>44711</v>
      </c>
      <c r="B17" s="53">
        <v>150</v>
      </c>
      <c r="C17" s="57" t="s">
        <v>183</v>
      </c>
      <c r="D17" s="95"/>
      <c r="E17" s="53"/>
      <c r="F17" s="57"/>
      <c r="G17" s="14"/>
      <c r="H17" s="97"/>
      <c r="I17" s="91"/>
      <c r="J17" s="92" t="s">
        <v>0</v>
      </c>
      <c r="K17" s="94">
        <f>K16*3</f>
        <v>246</v>
      </c>
    </row>
    <row r="18" spans="1:11" x14ac:dyDescent="0.2">
      <c r="A18" s="13"/>
      <c r="B18" s="53">
        <v>10</v>
      </c>
      <c r="C18" s="57" t="s">
        <v>185</v>
      </c>
      <c r="D18" s="95"/>
      <c r="E18" s="53"/>
      <c r="F18" s="57"/>
      <c r="G18" s="91"/>
      <c r="H18" s="97"/>
      <c r="I18" s="91"/>
      <c r="J18" s="92" t="s">
        <v>16</v>
      </c>
      <c r="K18" s="94">
        <f>1400+200</f>
        <v>1600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92" t="s">
        <v>17</v>
      </c>
      <c r="K19" s="92">
        <f>K18+K17</f>
        <v>1846</v>
      </c>
    </row>
    <row r="20" spans="1:11" ht="20.100000000000001" customHeight="1" x14ac:dyDescent="0.2">
      <c r="A20" s="148"/>
      <c r="B20" s="149"/>
      <c r="C20" s="149"/>
      <c r="D20" s="139">
        <v>3200</v>
      </c>
      <c r="E20" s="139"/>
      <c r="F20" s="140"/>
      <c r="G20" s="19" t="s">
        <v>1</v>
      </c>
      <c r="H20" s="160">
        <f>47037+1.176</f>
        <v>47038.175999999999</v>
      </c>
      <c r="I20" s="161"/>
      <c r="J20" s="135" t="s">
        <v>23</v>
      </c>
      <c r="K20" s="136"/>
    </row>
    <row r="21" spans="1:11" ht="20.100000000000001" customHeight="1" x14ac:dyDescent="0.2">
      <c r="A21" s="150" t="s">
        <v>18</v>
      </c>
      <c r="B21" s="151"/>
      <c r="C21" s="151"/>
      <c r="D21" s="141">
        <f>SUM(B5:B19)+SUM(E5:E19)</f>
        <v>3200</v>
      </c>
      <c r="E21" s="141"/>
      <c r="F21" s="142"/>
      <c r="G21" s="20" t="s">
        <v>22</v>
      </c>
      <c r="H21" s="168">
        <f>SUM(H5:H19)</f>
        <v>-6279.6200000000008</v>
      </c>
      <c r="I21" s="159"/>
      <c r="J21" s="137">
        <f>D22+H22</f>
        <v>53317.796000000002</v>
      </c>
      <c r="K21" s="138"/>
    </row>
    <row r="22" spans="1:11" ht="36.75" customHeight="1" thickBot="1" x14ac:dyDescent="0.25">
      <c r="A22" s="152" t="s">
        <v>7</v>
      </c>
      <c r="B22" s="153"/>
      <c r="C22" s="153"/>
      <c r="D22" s="154">
        <f>D20-D21</f>
        <v>0</v>
      </c>
      <c r="E22" s="154"/>
      <c r="F22" s="155"/>
      <c r="G22" s="21" t="s">
        <v>7</v>
      </c>
      <c r="H22" s="133">
        <f>H20-H21</f>
        <v>53317.796000000002</v>
      </c>
      <c r="I22" s="134"/>
      <c r="J22" s="137"/>
      <c r="K22" s="138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186</v>
      </c>
      <c r="B1" s="147"/>
      <c r="C1" s="147"/>
      <c r="D1" s="147"/>
      <c r="E1" s="147"/>
      <c r="F1" s="147"/>
      <c r="G1" s="147"/>
      <c r="H1" s="147"/>
      <c r="I1" s="147"/>
      <c r="J1" s="165" t="s">
        <v>24</v>
      </c>
      <c r="K1" s="166">
        <f>SUM(H5:H18)-H10-H11-H14-H15</f>
        <v>4480.9560000000001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65"/>
      <c r="K2" s="166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105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5" t="s">
        <v>26</v>
      </c>
      <c r="K4" s="104">
        <f>K1/K3</f>
        <v>149.36520000000002</v>
      </c>
      <c r="L4" s="10"/>
    </row>
    <row r="5" spans="1:12" x14ac:dyDescent="0.2">
      <c r="A5" s="13">
        <v>44713</v>
      </c>
      <c r="B5" s="53">
        <v>1868</v>
      </c>
      <c r="C5" s="57" t="s">
        <v>37</v>
      </c>
      <c r="D5" s="13"/>
      <c r="E5" s="53"/>
      <c r="F5" s="57"/>
      <c r="G5" s="14">
        <v>44714</v>
      </c>
      <c r="H5" s="97">
        <v>3000</v>
      </c>
      <c r="I5" s="102" t="s">
        <v>34</v>
      </c>
      <c r="J5" s="163">
        <f>-SUM(H5:H19)</f>
        <v>3172.8290000000002</v>
      </c>
      <c r="K5" s="164"/>
    </row>
    <row r="6" spans="1:12" x14ac:dyDescent="0.2">
      <c r="A6" s="13">
        <v>44718</v>
      </c>
      <c r="B6" s="53">
        <v>148</v>
      </c>
      <c r="C6" s="57" t="s">
        <v>35</v>
      </c>
      <c r="D6" s="13"/>
      <c r="E6" s="53"/>
      <c r="F6" s="57"/>
      <c r="G6" s="14"/>
      <c r="H6" s="97">
        <v>-1.1739999999999999</v>
      </c>
      <c r="I6" s="102"/>
      <c r="J6" s="164"/>
      <c r="K6" s="164"/>
    </row>
    <row r="7" spans="1:12" x14ac:dyDescent="0.2">
      <c r="A7" s="13">
        <v>44720</v>
      </c>
      <c r="B7" s="53">
        <v>15</v>
      </c>
      <c r="C7" s="57" t="s">
        <v>35</v>
      </c>
      <c r="D7" s="13"/>
      <c r="E7" s="53"/>
      <c r="F7" s="57"/>
      <c r="G7" s="14">
        <v>44715</v>
      </c>
      <c r="H7" s="97">
        <v>145</v>
      </c>
      <c r="I7" s="102" t="s">
        <v>35</v>
      </c>
      <c r="J7" s="164"/>
      <c r="K7" s="164"/>
    </row>
    <row r="8" spans="1:12" x14ac:dyDescent="0.2">
      <c r="A8" s="13"/>
      <c r="B8" s="53">
        <v>200</v>
      </c>
      <c r="C8" s="57" t="s">
        <v>35</v>
      </c>
      <c r="D8" s="13"/>
      <c r="E8" s="53"/>
      <c r="F8" s="57"/>
      <c r="G8" s="14">
        <v>44718</v>
      </c>
      <c r="H8" s="97">
        <v>20</v>
      </c>
      <c r="I8" s="102" t="s">
        <v>187</v>
      </c>
      <c r="J8" s="164"/>
      <c r="K8" s="164"/>
    </row>
    <row r="9" spans="1:12" x14ac:dyDescent="0.2">
      <c r="A9" s="13">
        <v>44722</v>
      </c>
      <c r="B9" s="53">
        <v>50</v>
      </c>
      <c r="C9" s="57" t="s">
        <v>109</v>
      </c>
      <c r="D9" s="13"/>
      <c r="E9" s="53"/>
      <c r="F9" s="57"/>
      <c r="G9" s="14">
        <v>44720</v>
      </c>
      <c r="H9" s="97">
        <v>400</v>
      </c>
      <c r="I9" s="102" t="s">
        <v>35</v>
      </c>
      <c r="J9" s="164"/>
      <c r="K9" s="164"/>
    </row>
    <row r="10" spans="1:12" x14ac:dyDescent="0.2">
      <c r="A10" s="13"/>
      <c r="B10" s="53">
        <v>19</v>
      </c>
      <c r="C10" s="57" t="s">
        <v>109</v>
      </c>
      <c r="D10" s="13"/>
      <c r="E10" s="53"/>
      <c r="F10" s="57"/>
      <c r="G10" s="14"/>
      <c r="H10" s="97">
        <v>2500</v>
      </c>
      <c r="I10" s="102" t="s">
        <v>112</v>
      </c>
      <c r="J10" s="164"/>
      <c r="K10" s="164"/>
    </row>
    <row r="11" spans="1:12" x14ac:dyDescent="0.2">
      <c r="A11" s="13">
        <v>44725</v>
      </c>
      <c r="B11" s="53">
        <v>100</v>
      </c>
      <c r="C11" s="57" t="s">
        <v>35</v>
      </c>
      <c r="D11" s="106"/>
      <c r="E11" s="53"/>
      <c r="F11" s="57"/>
      <c r="G11" s="14">
        <v>44722</v>
      </c>
      <c r="H11" s="97">
        <f>-1000-10753.785</f>
        <v>-11753.785</v>
      </c>
      <c r="I11" s="102"/>
      <c r="J11" s="164"/>
      <c r="K11" s="164"/>
    </row>
    <row r="12" spans="1:12" x14ac:dyDescent="0.2">
      <c r="A12" s="13">
        <v>44727</v>
      </c>
      <c r="B12" s="53">
        <f>10</f>
        <v>10</v>
      </c>
      <c r="C12" s="57" t="s">
        <v>38</v>
      </c>
      <c r="D12" s="106"/>
      <c r="E12" s="53"/>
      <c r="F12" s="57"/>
      <c r="G12" s="14"/>
      <c r="H12" s="97">
        <v>318.39999999999998</v>
      </c>
      <c r="I12" s="102" t="s">
        <v>188</v>
      </c>
      <c r="J12" s="164"/>
      <c r="K12" s="164"/>
    </row>
    <row r="13" spans="1:12" x14ac:dyDescent="0.2">
      <c r="A13" s="13"/>
      <c r="B13" s="53">
        <v>50</v>
      </c>
      <c r="C13" s="57" t="s">
        <v>30</v>
      </c>
      <c r="D13" s="106"/>
      <c r="E13" s="53"/>
      <c r="F13" s="57"/>
      <c r="G13" s="14">
        <v>44733</v>
      </c>
      <c r="H13" s="97">
        <v>600</v>
      </c>
      <c r="I13" s="102" t="s">
        <v>189</v>
      </c>
      <c r="J13" s="164"/>
      <c r="K13" s="164"/>
    </row>
    <row r="14" spans="1:12" x14ac:dyDescent="0.2">
      <c r="A14" s="13"/>
      <c r="B14" s="53">
        <v>30</v>
      </c>
      <c r="C14" s="57" t="s">
        <v>10</v>
      </c>
      <c r="D14" s="106"/>
      <c r="E14" s="53"/>
      <c r="F14" s="57"/>
      <c r="G14" s="14">
        <v>44735</v>
      </c>
      <c r="H14" s="97">
        <v>600</v>
      </c>
      <c r="I14" s="102" t="s">
        <v>112</v>
      </c>
      <c r="J14" s="103" t="s">
        <v>13</v>
      </c>
      <c r="K14" s="105">
        <v>168</v>
      </c>
    </row>
    <row r="15" spans="1:12" x14ac:dyDescent="0.2">
      <c r="A15" s="13">
        <v>44728</v>
      </c>
      <c r="B15" s="53">
        <v>45</v>
      </c>
      <c r="C15" s="57" t="s">
        <v>10</v>
      </c>
      <c r="D15" s="106"/>
      <c r="E15" s="53"/>
      <c r="F15" s="57"/>
      <c r="G15" s="14">
        <v>44736</v>
      </c>
      <c r="H15" s="97">
        <v>1000</v>
      </c>
      <c r="I15" s="102" t="s">
        <v>190</v>
      </c>
      <c r="J15" s="103" t="s">
        <v>14</v>
      </c>
      <c r="K15" s="105">
        <v>257</v>
      </c>
    </row>
    <row r="16" spans="1:12" x14ac:dyDescent="0.2">
      <c r="A16" s="13">
        <v>44729</v>
      </c>
      <c r="B16" s="53">
        <v>265</v>
      </c>
      <c r="C16" s="57" t="s">
        <v>10</v>
      </c>
      <c r="D16" s="106"/>
      <c r="E16" s="53"/>
      <c r="F16" s="57"/>
      <c r="G16" s="14"/>
      <c r="H16" s="97">
        <v>-1.27</v>
      </c>
      <c r="I16" s="102"/>
      <c r="J16" s="103" t="s">
        <v>15</v>
      </c>
      <c r="K16" s="105">
        <f>K15-K14</f>
        <v>89</v>
      </c>
    </row>
    <row r="17" spans="1:11" x14ac:dyDescent="0.2">
      <c r="A17" s="13">
        <v>44739</v>
      </c>
      <c r="B17" s="53">
        <v>100</v>
      </c>
      <c r="C17" s="57" t="s">
        <v>85</v>
      </c>
      <c r="D17" s="106"/>
      <c r="E17" s="53"/>
      <c r="F17" s="57"/>
      <c r="G17" s="14"/>
      <c r="H17" s="97"/>
      <c r="I17" s="102"/>
      <c r="J17" s="103" t="s">
        <v>0</v>
      </c>
      <c r="K17" s="105">
        <f>K16*3</f>
        <v>267</v>
      </c>
    </row>
    <row r="18" spans="1:11" x14ac:dyDescent="0.2">
      <c r="A18" s="13"/>
      <c r="B18" s="53">
        <f>30+25+25+14</f>
        <v>94</v>
      </c>
      <c r="C18" s="57"/>
      <c r="D18" s="106"/>
      <c r="E18" s="53"/>
      <c r="F18" s="57"/>
      <c r="G18" s="102"/>
      <c r="H18" s="97"/>
      <c r="I18" s="102"/>
      <c r="J18" s="103" t="s">
        <v>16</v>
      </c>
      <c r="K18" s="105">
        <f>1400+200</f>
        <v>1600</v>
      </c>
    </row>
    <row r="19" spans="1:11" ht="16.5" thickBot="1" x14ac:dyDescent="0.25">
      <c r="A19" s="16">
        <v>44741</v>
      </c>
      <c r="B19" s="54">
        <v>6</v>
      </c>
      <c r="C19" s="58" t="s">
        <v>35</v>
      </c>
      <c r="D19" s="17"/>
      <c r="E19" s="54"/>
      <c r="F19" s="58"/>
      <c r="G19" s="18"/>
      <c r="H19" s="98"/>
      <c r="I19" s="18"/>
      <c r="J19" s="103" t="s">
        <v>17</v>
      </c>
      <c r="K19" s="103">
        <f>K18+K17</f>
        <v>1867</v>
      </c>
    </row>
    <row r="20" spans="1:11" ht="20.100000000000001" customHeight="1" x14ac:dyDescent="0.2">
      <c r="A20" s="148" t="s">
        <v>1</v>
      </c>
      <c r="B20" s="149"/>
      <c r="C20" s="149"/>
      <c r="D20" s="139">
        <v>3000</v>
      </c>
      <c r="E20" s="139"/>
      <c r="F20" s="140"/>
      <c r="G20" s="19" t="s">
        <v>1</v>
      </c>
      <c r="H20" s="160">
        <v>53317.796000000002</v>
      </c>
      <c r="I20" s="161"/>
      <c r="J20" s="135" t="s">
        <v>23</v>
      </c>
      <c r="K20" s="136"/>
    </row>
    <row r="21" spans="1:11" ht="20.100000000000001" customHeight="1" x14ac:dyDescent="0.2">
      <c r="A21" s="150" t="s">
        <v>18</v>
      </c>
      <c r="B21" s="151"/>
      <c r="C21" s="151"/>
      <c r="D21" s="141">
        <f>SUM(B5:B19)+SUM(E5:E19)</f>
        <v>3000</v>
      </c>
      <c r="E21" s="141"/>
      <c r="F21" s="142"/>
      <c r="G21" s="20" t="s">
        <v>22</v>
      </c>
      <c r="H21" s="168">
        <f>SUM(H5:H19)</f>
        <v>-3172.8290000000002</v>
      </c>
      <c r="I21" s="159"/>
      <c r="J21" s="137">
        <f>D22+H22</f>
        <v>56490.625</v>
      </c>
      <c r="K21" s="138"/>
    </row>
    <row r="22" spans="1:11" ht="36.75" customHeight="1" thickBot="1" x14ac:dyDescent="0.25">
      <c r="A22" s="152" t="s">
        <v>7</v>
      </c>
      <c r="B22" s="153"/>
      <c r="C22" s="153"/>
      <c r="D22" s="154">
        <f>D20-D21</f>
        <v>0</v>
      </c>
      <c r="E22" s="154"/>
      <c r="F22" s="155"/>
      <c r="G22" s="21" t="s">
        <v>7</v>
      </c>
      <c r="H22" s="133">
        <f>H20-H21</f>
        <v>56490.625</v>
      </c>
      <c r="I22" s="134"/>
      <c r="J22" s="137"/>
      <c r="K22" s="138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9" t="s">
        <v>191</v>
      </c>
      <c r="B1" s="170"/>
      <c r="C1" s="170"/>
      <c r="D1" s="170"/>
      <c r="E1" s="170"/>
      <c r="F1" s="170"/>
      <c r="G1" s="170"/>
      <c r="H1" s="170"/>
      <c r="I1" s="170"/>
      <c r="J1" s="170"/>
      <c r="K1" s="171"/>
    </row>
    <row r="2" spans="1:12" ht="15.75" customHeight="1" x14ac:dyDescent="0.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175" t="s">
        <v>192</v>
      </c>
      <c r="K3" s="17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8" t="s">
        <v>13</v>
      </c>
      <c r="K4" s="109">
        <v>257</v>
      </c>
      <c r="L4" s="10"/>
    </row>
    <row r="5" spans="1:12" ht="15.75" customHeight="1" x14ac:dyDescent="0.2">
      <c r="A5" s="13">
        <v>44743</v>
      </c>
      <c r="B5" s="53">
        <v>2000</v>
      </c>
      <c r="C5" s="57" t="s">
        <v>37</v>
      </c>
      <c r="D5" s="13">
        <v>44761</v>
      </c>
      <c r="E5" s="53">
        <v>100</v>
      </c>
      <c r="F5" s="57" t="s">
        <v>203</v>
      </c>
      <c r="G5" s="14">
        <v>44743</v>
      </c>
      <c r="H5" s="97">
        <v>10</v>
      </c>
      <c r="I5" s="110" t="s">
        <v>194</v>
      </c>
      <c r="J5" s="108" t="s">
        <v>14</v>
      </c>
      <c r="K5" s="109">
        <v>407</v>
      </c>
    </row>
    <row r="6" spans="1:12" ht="15.75" customHeight="1" x14ac:dyDescent="0.2">
      <c r="A6" s="13">
        <v>44746</v>
      </c>
      <c r="B6" s="53">
        <f>300+20+25+60</f>
        <v>405</v>
      </c>
      <c r="C6" s="57" t="s">
        <v>195</v>
      </c>
      <c r="D6" s="13"/>
      <c r="E6" s="53">
        <v>40</v>
      </c>
      <c r="F6" s="57" t="s">
        <v>85</v>
      </c>
      <c r="G6" s="14"/>
      <c r="H6" s="97">
        <v>3800</v>
      </c>
      <c r="I6" s="110" t="s">
        <v>34</v>
      </c>
      <c r="J6" s="108" t="s">
        <v>116</v>
      </c>
      <c r="K6" s="109">
        <f>(K5-K4)*3+1600</f>
        <v>2050</v>
      </c>
    </row>
    <row r="7" spans="1:12" ht="15.75" customHeight="1" x14ac:dyDescent="0.2">
      <c r="A7" s="13"/>
      <c r="B7" s="53">
        <v>80</v>
      </c>
      <c r="C7" s="57" t="s">
        <v>36</v>
      </c>
      <c r="D7" s="13">
        <v>44762</v>
      </c>
      <c r="E7" s="53">
        <v>20</v>
      </c>
      <c r="F7" s="57" t="s">
        <v>10</v>
      </c>
      <c r="G7" s="14"/>
      <c r="H7" s="97">
        <v>75</v>
      </c>
      <c r="I7" s="110" t="s">
        <v>10</v>
      </c>
      <c r="J7" s="108"/>
      <c r="K7" s="109"/>
    </row>
    <row r="8" spans="1:12" ht="15.75" customHeight="1" x14ac:dyDescent="0.2">
      <c r="A8" s="13"/>
      <c r="B8" s="53">
        <v>230</v>
      </c>
      <c r="C8" s="57" t="s">
        <v>36</v>
      </c>
      <c r="D8" s="13">
        <v>44767</v>
      </c>
      <c r="E8" s="53">
        <v>100</v>
      </c>
      <c r="F8" s="57" t="s">
        <v>85</v>
      </c>
      <c r="G8" s="14">
        <v>44750</v>
      </c>
      <c r="H8" s="97">
        <v>244.6</v>
      </c>
      <c r="I8" s="110" t="s">
        <v>196</v>
      </c>
      <c r="J8" s="108"/>
      <c r="K8" s="109"/>
    </row>
    <row r="9" spans="1:12" ht="15.75" customHeight="1" x14ac:dyDescent="0.2">
      <c r="A9" s="13"/>
      <c r="B9" s="53">
        <v>25</v>
      </c>
      <c r="C9" s="57" t="s">
        <v>10</v>
      </c>
      <c r="D9" s="13"/>
      <c r="E9" s="53">
        <v>80</v>
      </c>
      <c r="F9" s="57" t="s">
        <v>10</v>
      </c>
      <c r="G9" s="14"/>
      <c r="H9" s="97">
        <v>900</v>
      </c>
      <c r="I9" s="110" t="s">
        <v>112</v>
      </c>
      <c r="J9" s="108"/>
      <c r="K9" s="108"/>
    </row>
    <row r="10" spans="1:12" ht="15.75" customHeight="1" x14ac:dyDescent="0.2">
      <c r="A10" s="13">
        <v>44748</v>
      </c>
      <c r="B10" s="53">
        <v>355</v>
      </c>
      <c r="C10" s="57" t="s">
        <v>32</v>
      </c>
      <c r="D10" s="13">
        <v>44770</v>
      </c>
      <c r="E10" s="53">
        <v>42</v>
      </c>
      <c r="F10" s="57" t="s">
        <v>10</v>
      </c>
      <c r="G10" s="14">
        <v>44753</v>
      </c>
      <c r="H10" s="97">
        <v>-10685.594999999999</v>
      </c>
      <c r="I10" s="110" t="s">
        <v>181</v>
      </c>
      <c r="J10" s="111"/>
      <c r="K10" s="111"/>
    </row>
    <row r="11" spans="1:12" ht="15.75" customHeight="1" x14ac:dyDescent="0.2">
      <c r="A11" s="13"/>
      <c r="B11" s="53">
        <v>100</v>
      </c>
      <c r="C11" s="57" t="s">
        <v>85</v>
      </c>
      <c r="D11" s="107"/>
      <c r="E11" s="53"/>
      <c r="F11" s="57"/>
      <c r="G11" s="14"/>
      <c r="H11" s="97">
        <v>-2000</v>
      </c>
      <c r="I11" s="110" t="s">
        <v>197</v>
      </c>
      <c r="J11" s="111"/>
      <c r="K11" s="111"/>
    </row>
    <row r="12" spans="1:12" ht="15.75" customHeight="1" x14ac:dyDescent="0.2">
      <c r="A12" s="13">
        <v>44749</v>
      </c>
      <c r="B12" s="53">
        <v>25</v>
      </c>
      <c r="C12" s="57" t="s">
        <v>114</v>
      </c>
      <c r="D12" s="107"/>
      <c r="E12" s="53"/>
      <c r="F12" s="57"/>
      <c r="G12" s="14"/>
      <c r="H12" s="97">
        <v>400</v>
      </c>
      <c r="I12" s="110" t="s">
        <v>198</v>
      </c>
      <c r="J12" s="111"/>
      <c r="K12" s="111"/>
    </row>
    <row r="13" spans="1:12" ht="15.75" customHeight="1" x14ac:dyDescent="0.2">
      <c r="A13" s="13"/>
      <c r="B13" s="53">
        <v>20</v>
      </c>
      <c r="C13" s="57" t="s">
        <v>10</v>
      </c>
      <c r="D13" s="107"/>
      <c r="E13" s="53"/>
      <c r="F13" s="57"/>
      <c r="G13" s="14"/>
      <c r="H13" s="97">
        <v>246.62</v>
      </c>
      <c r="I13" s="110" t="s">
        <v>34</v>
      </c>
      <c r="J13" s="111"/>
      <c r="K13" s="111"/>
    </row>
    <row r="14" spans="1:12" x14ac:dyDescent="0.2">
      <c r="A14" s="13"/>
      <c r="B14" s="53">
        <v>10</v>
      </c>
      <c r="C14" s="57" t="s">
        <v>32</v>
      </c>
      <c r="D14" s="107"/>
      <c r="E14" s="53"/>
      <c r="F14" s="57"/>
      <c r="G14" s="14"/>
      <c r="H14" s="97">
        <f>-3000-2000</f>
        <v>-5000</v>
      </c>
      <c r="I14" s="110" t="s">
        <v>202</v>
      </c>
      <c r="J14" s="111"/>
      <c r="K14" s="111"/>
    </row>
    <row r="15" spans="1:12" x14ac:dyDescent="0.2">
      <c r="A15" s="13">
        <v>44753</v>
      </c>
      <c r="B15" s="53">
        <v>300</v>
      </c>
      <c r="C15" s="57" t="s">
        <v>199</v>
      </c>
      <c r="D15" s="107"/>
      <c r="E15" s="53"/>
      <c r="F15" s="57"/>
      <c r="G15" s="14">
        <v>44761</v>
      </c>
      <c r="H15" s="97">
        <f>270+70</f>
        <v>340</v>
      </c>
      <c r="I15" s="110" t="s">
        <v>204</v>
      </c>
      <c r="J15" s="111"/>
      <c r="K15" s="111"/>
    </row>
    <row r="16" spans="1:12" x14ac:dyDescent="0.2">
      <c r="A16" s="13"/>
      <c r="B16" s="53">
        <v>150</v>
      </c>
      <c r="C16" s="57" t="s">
        <v>32</v>
      </c>
      <c r="D16" s="107"/>
      <c r="E16" s="53"/>
      <c r="F16" s="57"/>
      <c r="G16" s="14"/>
      <c r="H16" s="97">
        <v>-1000</v>
      </c>
      <c r="I16" s="110" t="s">
        <v>205</v>
      </c>
      <c r="J16" s="111"/>
      <c r="K16" s="111"/>
    </row>
    <row r="17" spans="1:12" x14ac:dyDescent="0.2">
      <c r="A17" s="13">
        <v>44757</v>
      </c>
      <c r="B17" s="53">
        <v>50</v>
      </c>
      <c r="C17" s="57" t="s">
        <v>201</v>
      </c>
      <c r="D17" s="107"/>
      <c r="E17" s="53"/>
      <c r="F17" s="57"/>
      <c r="G17" s="14"/>
      <c r="H17" s="97">
        <v>160</v>
      </c>
      <c r="I17" s="110" t="s">
        <v>34</v>
      </c>
      <c r="J17" s="111"/>
      <c r="K17" s="111"/>
    </row>
    <row r="18" spans="1:12" x14ac:dyDescent="0.2">
      <c r="A18" s="13"/>
      <c r="B18" s="53">
        <v>15</v>
      </c>
      <c r="C18" s="57" t="s">
        <v>10</v>
      </c>
      <c r="D18" s="107"/>
      <c r="E18" s="53"/>
      <c r="F18" s="57"/>
      <c r="G18" s="115">
        <v>44767</v>
      </c>
      <c r="H18" s="97">
        <v>3600</v>
      </c>
      <c r="I18" s="110" t="s">
        <v>32</v>
      </c>
      <c r="J18" s="111"/>
      <c r="K18" s="111"/>
      <c r="L18" s="101"/>
    </row>
    <row r="19" spans="1:12" ht="16.5" thickBot="1" x14ac:dyDescent="0.25">
      <c r="A19" s="16"/>
      <c r="B19" s="54">
        <v>45</v>
      </c>
      <c r="C19" s="58"/>
      <c r="D19" s="17"/>
      <c r="E19" s="54"/>
      <c r="F19" s="58"/>
      <c r="G19" s="121">
        <v>44770</v>
      </c>
      <c r="H19" s="98">
        <v>127</v>
      </c>
      <c r="I19" s="18" t="s">
        <v>10</v>
      </c>
      <c r="J19" s="111"/>
      <c r="K19" s="111"/>
    </row>
    <row r="20" spans="1:12" ht="20.100000000000001" customHeight="1" x14ac:dyDescent="0.2">
      <c r="A20" s="148" t="s">
        <v>1</v>
      </c>
      <c r="B20" s="149"/>
      <c r="C20" s="149"/>
      <c r="D20" s="139">
        <f>4050+160</f>
        <v>4210</v>
      </c>
      <c r="E20" s="139"/>
      <c r="F20" s="140"/>
      <c r="G20" s="19" t="s">
        <v>1</v>
      </c>
      <c r="H20" s="179">
        <v>56490.625</v>
      </c>
      <c r="I20" s="180"/>
      <c r="J20" s="113"/>
      <c r="K20" s="111"/>
    </row>
    <row r="21" spans="1:12" ht="20.100000000000001" customHeight="1" x14ac:dyDescent="0.2">
      <c r="A21" s="150" t="s">
        <v>18</v>
      </c>
      <c r="B21" s="151"/>
      <c r="C21" s="151"/>
      <c r="D21" s="141">
        <f>SUM(B5:B19)+SUM(E5:E19)</f>
        <v>4192</v>
      </c>
      <c r="E21" s="141"/>
      <c r="F21" s="142"/>
      <c r="G21" s="20" t="s">
        <v>193</v>
      </c>
      <c r="H21" s="112">
        <f>-(H10+H11+H14+H16)</f>
        <v>18685.595000000001</v>
      </c>
      <c r="I21" s="114">
        <f>SUM(H5:H19)-H9-H10-H11-H14-H16</f>
        <v>9003.2199999999993</v>
      </c>
      <c r="J21" s="113"/>
      <c r="K21" s="111"/>
    </row>
    <row r="22" spans="1:12" ht="36.75" customHeight="1" thickBot="1" x14ac:dyDescent="0.25">
      <c r="A22" s="152" t="s">
        <v>7</v>
      </c>
      <c r="B22" s="153"/>
      <c r="C22" s="153"/>
      <c r="D22" s="154">
        <f>D20-D21</f>
        <v>18</v>
      </c>
      <c r="E22" s="154"/>
      <c r="F22" s="155"/>
      <c r="G22" s="21" t="s">
        <v>7</v>
      </c>
      <c r="H22" s="177">
        <f>H20-SUM(H5:H19)</f>
        <v>65273</v>
      </c>
      <c r="I22" s="178"/>
      <c r="J22" s="113"/>
      <c r="K22" s="111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9" t="s">
        <v>206</v>
      </c>
      <c r="B1" s="170"/>
      <c r="C1" s="170"/>
      <c r="D1" s="170"/>
      <c r="E1" s="170"/>
      <c r="F1" s="170"/>
      <c r="G1" s="170"/>
      <c r="H1" s="170"/>
      <c r="I1" s="170"/>
      <c r="J1" s="170"/>
      <c r="K1" s="171"/>
    </row>
    <row r="2" spans="1:12" ht="15.75" customHeight="1" x14ac:dyDescent="0.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175" t="s">
        <v>192</v>
      </c>
      <c r="K3" s="17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17" t="s">
        <v>13</v>
      </c>
      <c r="K4" s="118">
        <v>407</v>
      </c>
      <c r="L4" s="10"/>
    </row>
    <row r="5" spans="1:12" ht="15.75" customHeight="1" x14ac:dyDescent="0.2">
      <c r="A5" s="13">
        <v>44774</v>
      </c>
      <c r="B5" s="53">
        <v>1934</v>
      </c>
      <c r="C5" s="57" t="s">
        <v>48</v>
      </c>
      <c r="D5" s="13"/>
      <c r="E5" s="53"/>
      <c r="F5" s="57"/>
      <c r="G5" s="14">
        <v>44783</v>
      </c>
      <c r="H5" s="97">
        <f>26155+15000</f>
        <v>41155</v>
      </c>
      <c r="I5" s="116" t="s">
        <v>181</v>
      </c>
      <c r="J5" s="117" t="s">
        <v>14</v>
      </c>
      <c r="K5" s="118">
        <v>517</v>
      </c>
    </row>
    <row r="6" spans="1:12" ht="15.75" customHeight="1" x14ac:dyDescent="0.2">
      <c r="A6" s="13"/>
      <c r="B6" s="53">
        <v>346</v>
      </c>
      <c r="C6" s="57" t="s">
        <v>10</v>
      </c>
      <c r="D6" s="13"/>
      <c r="E6" s="53"/>
      <c r="F6" s="57"/>
      <c r="G6" s="14">
        <v>44774</v>
      </c>
      <c r="H6" s="97">
        <f>3000-1.78</f>
        <v>2998.22</v>
      </c>
      <c r="I6" s="116"/>
      <c r="J6" s="117" t="s">
        <v>116</v>
      </c>
      <c r="K6" s="118">
        <f>(K5-K4)*3+1600</f>
        <v>1930</v>
      </c>
    </row>
    <row r="7" spans="1:12" ht="15.75" customHeight="1" x14ac:dyDescent="0.2">
      <c r="A7" s="13"/>
      <c r="B7" s="53">
        <v>600</v>
      </c>
      <c r="C7" s="57" t="s">
        <v>207</v>
      </c>
      <c r="D7" s="13"/>
      <c r="E7" s="53"/>
      <c r="F7" s="57"/>
      <c r="G7" s="14"/>
      <c r="H7" s="97">
        <v>50</v>
      </c>
      <c r="I7" s="116" t="s">
        <v>208</v>
      </c>
      <c r="J7" s="117"/>
      <c r="K7" s="118"/>
    </row>
    <row r="8" spans="1:12" ht="15.75" customHeight="1" x14ac:dyDescent="0.2">
      <c r="A8" s="13">
        <v>44781</v>
      </c>
      <c r="B8" s="53">
        <v>20</v>
      </c>
      <c r="C8" s="57" t="s">
        <v>10</v>
      </c>
      <c r="D8" s="13"/>
      <c r="E8" s="53"/>
      <c r="F8" s="57"/>
      <c r="G8" s="14"/>
      <c r="H8" s="97">
        <v>30</v>
      </c>
      <c r="I8" s="116" t="s">
        <v>109</v>
      </c>
      <c r="J8" s="117"/>
      <c r="K8" s="118"/>
    </row>
    <row r="9" spans="1:12" ht="15.75" customHeight="1" x14ac:dyDescent="0.2">
      <c r="A9" s="13"/>
      <c r="B9" s="53">
        <v>50</v>
      </c>
      <c r="C9" s="57" t="s">
        <v>211</v>
      </c>
      <c r="D9" s="13"/>
      <c r="E9" s="53"/>
      <c r="F9" s="57"/>
      <c r="G9" s="14">
        <v>44777</v>
      </c>
      <c r="H9" s="97">
        <v>200</v>
      </c>
      <c r="I9" s="116" t="s">
        <v>209</v>
      </c>
      <c r="J9" s="117"/>
      <c r="K9" s="117"/>
    </row>
    <row r="10" spans="1:12" ht="15.75" customHeight="1" x14ac:dyDescent="0.2">
      <c r="A10" s="13">
        <v>44784</v>
      </c>
      <c r="B10" s="53">
        <v>80</v>
      </c>
      <c r="C10" s="57" t="s">
        <v>110</v>
      </c>
      <c r="D10" s="13"/>
      <c r="E10" s="53"/>
      <c r="F10" s="57"/>
      <c r="G10" s="14">
        <v>44781</v>
      </c>
      <c r="H10" s="97">
        <v>561.5</v>
      </c>
      <c r="I10" s="116" t="s">
        <v>210</v>
      </c>
      <c r="J10" s="117"/>
      <c r="K10" s="117"/>
    </row>
    <row r="11" spans="1:12" ht="15.75" customHeight="1" x14ac:dyDescent="0.2">
      <c r="A11" s="13"/>
      <c r="B11" s="53">
        <v>350</v>
      </c>
      <c r="C11" s="57" t="s">
        <v>212</v>
      </c>
      <c r="D11" s="119"/>
      <c r="E11" s="53"/>
      <c r="F11" s="57"/>
      <c r="G11" s="14">
        <v>44784</v>
      </c>
      <c r="H11" s="97">
        <v>588.28</v>
      </c>
      <c r="I11" s="116" t="s">
        <v>34</v>
      </c>
      <c r="J11" s="117"/>
      <c r="K11" s="117"/>
    </row>
    <row r="12" spans="1:12" ht="15.75" customHeight="1" x14ac:dyDescent="0.2">
      <c r="A12" s="13"/>
      <c r="B12" s="53">
        <v>30</v>
      </c>
      <c r="C12" s="57" t="s">
        <v>35</v>
      </c>
      <c r="D12" s="119"/>
      <c r="E12" s="53"/>
      <c r="F12" s="57"/>
      <c r="G12" s="14"/>
      <c r="H12" s="97">
        <v>45</v>
      </c>
      <c r="I12" s="116" t="s">
        <v>169</v>
      </c>
      <c r="J12" s="117"/>
      <c r="K12" s="117"/>
    </row>
    <row r="13" spans="1:12" ht="15.75" customHeight="1" x14ac:dyDescent="0.2">
      <c r="A13" s="13">
        <v>44792</v>
      </c>
      <c r="B13" s="53">
        <v>50</v>
      </c>
      <c r="C13" s="57" t="s">
        <v>213</v>
      </c>
      <c r="D13" s="119"/>
      <c r="E13" s="53"/>
      <c r="F13" s="57"/>
      <c r="G13" s="14"/>
      <c r="H13" s="97">
        <v>220</v>
      </c>
      <c r="I13" s="116" t="s">
        <v>214</v>
      </c>
      <c r="J13" s="117"/>
      <c r="K13" s="117"/>
    </row>
    <row r="14" spans="1:12" x14ac:dyDescent="0.2">
      <c r="A14" s="13">
        <v>44795</v>
      </c>
      <c r="B14" s="53">
        <v>175</v>
      </c>
      <c r="C14" s="57" t="s">
        <v>32</v>
      </c>
      <c r="D14" s="119"/>
      <c r="E14" s="53"/>
      <c r="F14" s="57"/>
      <c r="G14" s="14"/>
      <c r="H14" s="97">
        <v>35</v>
      </c>
      <c r="I14" s="116" t="s">
        <v>34</v>
      </c>
      <c r="J14" s="117"/>
      <c r="K14" s="117"/>
    </row>
    <row r="15" spans="1:12" x14ac:dyDescent="0.2">
      <c r="A15" s="13">
        <v>44809</v>
      </c>
      <c r="B15" s="53">
        <v>490</v>
      </c>
      <c r="C15" s="57" t="s">
        <v>216</v>
      </c>
      <c r="D15" s="119"/>
      <c r="E15" s="53"/>
      <c r="F15" s="57"/>
      <c r="G15" s="14"/>
      <c r="H15" s="97">
        <v>500</v>
      </c>
      <c r="I15" s="116" t="s">
        <v>34</v>
      </c>
      <c r="J15" s="117"/>
      <c r="K15" s="117"/>
    </row>
    <row r="16" spans="1:12" x14ac:dyDescent="0.2">
      <c r="A16" s="13"/>
      <c r="B16" s="53"/>
      <c r="C16" s="57"/>
      <c r="D16" s="119"/>
      <c r="E16" s="53"/>
      <c r="F16" s="57"/>
      <c r="G16" s="14"/>
      <c r="H16" s="97">
        <v>-1.87</v>
      </c>
      <c r="I16" s="116"/>
      <c r="J16" s="117"/>
      <c r="K16" s="117"/>
    </row>
    <row r="17" spans="1:12" x14ac:dyDescent="0.2">
      <c r="A17" s="13"/>
      <c r="B17" s="53"/>
      <c r="C17" s="57"/>
      <c r="D17" s="119"/>
      <c r="E17" s="53"/>
      <c r="F17" s="57"/>
      <c r="G17" s="14"/>
      <c r="H17" s="97"/>
      <c r="I17" s="116"/>
      <c r="J17" s="117"/>
      <c r="K17" s="117"/>
    </row>
    <row r="18" spans="1:12" x14ac:dyDescent="0.2">
      <c r="A18" s="13"/>
      <c r="B18" s="53"/>
      <c r="C18" s="57"/>
      <c r="D18" s="119"/>
      <c r="E18" s="53"/>
      <c r="F18" s="57"/>
      <c r="G18" s="115"/>
      <c r="H18" s="97"/>
      <c r="I18" s="116"/>
      <c r="J18" s="122"/>
      <c r="K18" s="117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/>
      <c r="I19" s="18"/>
      <c r="J19" s="117"/>
      <c r="K19" s="117"/>
    </row>
    <row r="20" spans="1:12" ht="20.100000000000001" customHeight="1" x14ac:dyDescent="0.2">
      <c r="A20" s="148" t="s">
        <v>1</v>
      </c>
      <c r="B20" s="149"/>
      <c r="C20" s="149"/>
      <c r="D20" s="139">
        <v>4135</v>
      </c>
      <c r="E20" s="139"/>
      <c r="F20" s="140"/>
      <c r="G20" s="19" t="s">
        <v>1</v>
      </c>
      <c r="H20" s="179">
        <v>65273</v>
      </c>
      <c r="I20" s="180"/>
      <c r="J20" s="113"/>
      <c r="K20" s="117"/>
    </row>
    <row r="21" spans="1:12" ht="20.100000000000001" customHeight="1" x14ac:dyDescent="0.2">
      <c r="A21" s="150" t="s">
        <v>18</v>
      </c>
      <c r="B21" s="151"/>
      <c r="C21" s="151"/>
      <c r="D21" s="141">
        <f>SUM(B5:B19)+SUM(E5:E19)</f>
        <v>4125</v>
      </c>
      <c r="E21" s="141"/>
      <c r="F21" s="142"/>
      <c r="G21" s="20" t="s">
        <v>193</v>
      </c>
      <c r="H21" s="120">
        <f>H5</f>
        <v>41155</v>
      </c>
      <c r="I21" s="114">
        <f>SUM(H6:H19)</f>
        <v>5226.13</v>
      </c>
      <c r="J21" s="113"/>
      <c r="K21" s="117"/>
    </row>
    <row r="22" spans="1:12" ht="36.75" customHeight="1" thickBot="1" x14ac:dyDescent="0.25">
      <c r="A22" s="152" t="s">
        <v>7</v>
      </c>
      <c r="B22" s="153"/>
      <c r="C22" s="153"/>
      <c r="D22" s="154">
        <f>D20-D21</f>
        <v>10</v>
      </c>
      <c r="E22" s="154"/>
      <c r="F22" s="155"/>
      <c r="G22" s="21" t="s">
        <v>7</v>
      </c>
      <c r="H22" s="177">
        <f>H20+H21-I21</f>
        <v>101201.87</v>
      </c>
      <c r="I22" s="178"/>
      <c r="J22" s="113"/>
      <c r="K22" s="117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topLeftCell="A4" workbookViewId="0">
      <selection activeCell="D20" sqref="D20:F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9" t="s">
        <v>215</v>
      </c>
      <c r="B1" s="170"/>
      <c r="C1" s="170"/>
      <c r="D1" s="170"/>
      <c r="E1" s="170"/>
      <c r="F1" s="170"/>
      <c r="G1" s="170"/>
      <c r="H1" s="170"/>
      <c r="I1" s="170"/>
      <c r="J1" s="170"/>
      <c r="K1" s="171"/>
    </row>
    <row r="2" spans="1:12" ht="15.75" customHeight="1" x14ac:dyDescent="0.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175" t="s">
        <v>192</v>
      </c>
      <c r="K3" s="17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4" t="s">
        <v>13</v>
      </c>
      <c r="K4" s="125">
        <v>517</v>
      </c>
      <c r="L4" s="10"/>
    </row>
    <row r="5" spans="1:12" ht="15.75" customHeight="1" x14ac:dyDescent="0.2">
      <c r="A5" s="13">
        <v>44810</v>
      </c>
      <c r="B5" s="53">
        <v>1860</v>
      </c>
      <c r="C5" s="57" t="s">
        <v>37</v>
      </c>
      <c r="D5" s="13"/>
      <c r="E5" s="53">
        <v>20</v>
      </c>
      <c r="F5" s="57" t="s">
        <v>10</v>
      </c>
      <c r="G5" s="14"/>
      <c r="H5" s="97">
        <f>18246.724+500+1500+1.621</f>
        <v>20248.344999999998</v>
      </c>
      <c r="I5" s="123"/>
      <c r="J5" s="124" t="s">
        <v>14</v>
      </c>
      <c r="K5" s="125">
        <v>612</v>
      </c>
    </row>
    <row r="6" spans="1:12" ht="15.75" customHeight="1" x14ac:dyDescent="0.2">
      <c r="A6" s="13"/>
      <c r="B6" s="53">
        <v>60</v>
      </c>
      <c r="C6" s="57" t="s">
        <v>10</v>
      </c>
      <c r="D6" s="13"/>
      <c r="E6" s="53"/>
      <c r="F6" s="57"/>
      <c r="G6" s="14">
        <v>44810</v>
      </c>
      <c r="H6" s="97">
        <v>2598.5940000000001</v>
      </c>
      <c r="I6" s="123" t="s">
        <v>34</v>
      </c>
      <c r="J6" s="124" t="s">
        <v>116</v>
      </c>
      <c r="K6" s="125">
        <f>(K5-K4)*3+1600</f>
        <v>1885</v>
      </c>
    </row>
    <row r="7" spans="1:12" ht="15.75" customHeight="1" x14ac:dyDescent="0.2">
      <c r="A7" s="13"/>
      <c r="B7" s="53">
        <v>80</v>
      </c>
      <c r="C7" s="57" t="s">
        <v>85</v>
      </c>
      <c r="D7" s="13"/>
      <c r="E7" s="53"/>
      <c r="F7" s="57"/>
      <c r="G7" s="14">
        <v>44811</v>
      </c>
      <c r="H7" s="97">
        <v>50</v>
      </c>
      <c r="I7" s="123" t="s">
        <v>211</v>
      </c>
      <c r="J7" s="124"/>
      <c r="K7" s="125"/>
    </row>
    <row r="8" spans="1:12" ht="15.75" customHeight="1" x14ac:dyDescent="0.2">
      <c r="A8" s="13">
        <v>44813</v>
      </c>
      <c r="B8" s="53">
        <v>100</v>
      </c>
      <c r="C8" s="57" t="s">
        <v>10</v>
      </c>
      <c r="D8" s="13"/>
      <c r="E8" s="53"/>
      <c r="F8" s="57"/>
      <c r="G8" s="14">
        <v>44816</v>
      </c>
      <c r="H8" s="97">
        <v>300</v>
      </c>
      <c r="I8" s="123" t="s">
        <v>217</v>
      </c>
      <c r="J8" s="124"/>
      <c r="K8" s="125"/>
    </row>
    <row r="9" spans="1:12" ht="15.75" customHeight="1" x14ac:dyDescent="0.2">
      <c r="A9" s="13">
        <v>44816</v>
      </c>
      <c r="B9" s="53">
        <f>10+60+40</f>
        <v>110</v>
      </c>
      <c r="C9" s="57" t="s">
        <v>10</v>
      </c>
      <c r="D9" s="13"/>
      <c r="E9" s="53"/>
      <c r="F9" s="57"/>
      <c r="G9" s="14"/>
      <c r="H9" s="97"/>
      <c r="I9" s="123"/>
      <c r="J9" s="124"/>
      <c r="K9" s="124"/>
    </row>
    <row r="10" spans="1:12" ht="15.75" customHeight="1" x14ac:dyDescent="0.2">
      <c r="A10" s="13"/>
      <c r="B10" s="53">
        <v>440</v>
      </c>
      <c r="C10" s="57" t="s">
        <v>213</v>
      </c>
      <c r="D10" s="13"/>
      <c r="E10" s="53"/>
      <c r="F10" s="57"/>
      <c r="G10" s="14">
        <v>44819</v>
      </c>
      <c r="H10" s="97">
        <f>1000-82</f>
        <v>918</v>
      </c>
      <c r="I10" s="123" t="s">
        <v>41</v>
      </c>
      <c r="J10" s="124"/>
      <c r="K10" s="124"/>
    </row>
    <row r="11" spans="1:12" ht="15.75" customHeight="1" x14ac:dyDescent="0.2">
      <c r="A11" s="13">
        <v>44819</v>
      </c>
      <c r="B11" s="53">
        <v>16</v>
      </c>
      <c r="C11" s="57" t="s">
        <v>10</v>
      </c>
      <c r="D11" s="126"/>
      <c r="E11" s="53"/>
      <c r="F11" s="57"/>
      <c r="G11" s="14"/>
      <c r="H11" s="97">
        <v>-150</v>
      </c>
      <c r="I11" s="123" t="s">
        <v>219</v>
      </c>
      <c r="J11" s="124"/>
      <c r="K11" s="124"/>
    </row>
    <row r="12" spans="1:12" ht="15.75" customHeight="1" x14ac:dyDescent="0.2">
      <c r="A12" s="13"/>
      <c r="B12" s="53">
        <v>35</v>
      </c>
      <c r="C12" s="57" t="s">
        <v>220</v>
      </c>
      <c r="D12" s="126"/>
      <c r="E12" s="53"/>
      <c r="F12" s="57"/>
      <c r="G12" s="14">
        <v>44820</v>
      </c>
      <c r="H12" s="97">
        <v>182</v>
      </c>
      <c r="I12" s="123" t="s">
        <v>221</v>
      </c>
      <c r="J12" s="124"/>
      <c r="K12" s="124"/>
    </row>
    <row r="13" spans="1:12" ht="15.75" customHeight="1" x14ac:dyDescent="0.2">
      <c r="A13" s="13">
        <v>44823</v>
      </c>
      <c r="B13" s="53">
        <f>368+80+22</f>
        <v>470</v>
      </c>
      <c r="C13" s="57" t="s">
        <v>223</v>
      </c>
      <c r="D13" s="126"/>
      <c r="E13" s="53"/>
      <c r="F13" s="57"/>
      <c r="G13" s="14"/>
      <c r="H13" s="97">
        <v>50</v>
      </c>
      <c r="I13" s="123" t="s">
        <v>222</v>
      </c>
      <c r="J13" s="124"/>
      <c r="K13" s="124"/>
    </row>
    <row r="14" spans="1:12" x14ac:dyDescent="0.2">
      <c r="A14" s="13">
        <v>44826</v>
      </c>
      <c r="B14" s="53">
        <v>60</v>
      </c>
      <c r="C14" s="57" t="s">
        <v>10</v>
      </c>
      <c r="D14" s="126"/>
      <c r="E14" s="53"/>
      <c r="F14" s="57"/>
      <c r="G14" s="14"/>
      <c r="H14" s="97">
        <v>79.2</v>
      </c>
      <c r="I14" s="123" t="s">
        <v>225</v>
      </c>
      <c r="J14" s="124"/>
      <c r="K14" s="124"/>
    </row>
    <row r="15" spans="1:12" x14ac:dyDescent="0.2">
      <c r="A15" s="13">
        <v>44830</v>
      </c>
      <c r="B15" s="53">
        <f>110+9+21</f>
        <v>140</v>
      </c>
      <c r="C15" s="57" t="s">
        <v>32</v>
      </c>
      <c r="D15" s="126"/>
      <c r="E15" s="53"/>
      <c r="F15" s="57"/>
      <c r="G15" s="14"/>
      <c r="H15" s="97">
        <v>20</v>
      </c>
      <c r="I15" s="123" t="s">
        <v>10</v>
      </c>
      <c r="J15" s="124"/>
      <c r="K15" s="124"/>
    </row>
    <row r="16" spans="1:12" x14ac:dyDescent="0.2">
      <c r="A16" s="13"/>
      <c r="B16" s="53">
        <v>33</v>
      </c>
      <c r="C16" s="57" t="s">
        <v>10</v>
      </c>
      <c r="D16" s="126"/>
      <c r="E16" s="53"/>
      <c r="F16" s="57"/>
      <c r="G16" s="14"/>
      <c r="H16" s="97"/>
      <c r="I16" s="123"/>
      <c r="J16" s="124"/>
      <c r="K16" s="124"/>
    </row>
    <row r="17" spans="1:12" x14ac:dyDescent="0.2">
      <c r="A17" s="13">
        <v>44831</v>
      </c>
      <c r="B17" s="53">
        <v>40</v>
      </c>
      <c r="C17" s="57" t="s">
        <v>10</v>
      </c>
      <c r="D17" s="126"/>
      <c r="E17" s="53"/>
      <c r="F17" s="57"/>
      <c r="G17" s="14"/>
      <c r="H17" s="97"/>
      <c r="I17" s="123"/>
      <c r="J17" s="124"/>
      <c r="K17" s="124"/>
    </row>
    <row r="18" spans="1:12" x14ac:dyDescent="0.2">
      <c r="A18" s="13">
        <v>44832</v>
      </c>
      <c r="B18" s="53">
        <v>80</v>
      </c>
      <c r="C18" s="57" t="s">
        <v>10</v>
      </c>
      <c r="D18" s="126"/>
      <c r="E18" s="53"/>
      <c r="F18" s="57"/>
      <c r="G18" s="115"/>
      <c r="H18" s="97"/>
      <c r="I18" s="123"/>
      <c r="J18" s="122"/>
      <c r="K18" s="124"/>
      <c r="L18" s="101"/>
    </row>
    <row r="19" spans="1:12" ht="16.5" thickBot="1" x14ac:dyDescent="0.25">
      <c r="A19" s="16"/>
      <c r="B19" s="54">
        <v>34</v>
      </c>
      <c r="C19" s="58" t="s">
        <v>224</v>
      </c>
      <c r="D19" s="17"/>
      <c r="E19" s="54"/>
      <c r="F19" s="58"/>
      <c r="G19" s="121"/>
      <c r="H19" s="98"/>
      <c r="I19" s="18"/>
      <c r="J19" s="124"/>
      <c r="K19" s="124"/>
    </row>
    <row r="20" spans="1:12" ht="20.100000000000001" customHeight="1" x14ac:dyDescent="0.2">
      <c r="A20" s="148" t="s">
        <v>1</v>
      </c>
      <c r="B20" s="149"/>
      <c r="C20" s="149"/>
      <c r="D20" s="139">
        <f>3010-200-200+50+1000-82</f>
        <v>3578</v>
      </c>
      <c r="E20" s="139"/>
      <c r="F20" s="140"/>
      <c r="G20" s="19" t="s">
        <v>1</v>
      </c>
      <c r="H20" s="179">
        <f>101201.87-50000-15000</f>
        <v>36201.869999999995</v>
      </c>
      <c r="I20" s="180"/>
      <c r="J20" s="113"/>
      <c r="K20" s="124"/>
    </row>
    <row r="21" spans="1:12" ht="20.100000000000001" customHeight="1" x14ac:dyDescent="0.2">
      <c r="A21" s="150" t="s">
        <v>18</v>
      </c>
      <c r="B21" s="151"/>
      <c r="C21" s="151"/>
      <c r="D21" s="141">
        <f>SUM(B5:B19)+SUM(E5:E19)</f>
        <v>3578</v>
      </c>
      <c r="E21" s="141"/>
      <c r="F21" s="142"/>
      <c r="G21" s="20" t="s">
        <v>193</v>
      </c>
      <c r="H21" s="127">
        <f>H5</f>
        <v>20248.344999999998</v>
      </c>
      <c r="I21" s="114">
        <f>SUM(H6:H19)</f>
        <v>4047.7939999999999</v>
      </c>
      <c r="J21" s="113"/>
      <c r="K21" s="124"/>
    </row>
    <row r="22" spans="1:12" ht="36.75" customHeight="1" thickBot="1" x14ac:dyDescent="0.25">
      <c r="A22" s="152" t="s">
        <v>7</v>
      </c>
      <c r="B22" s="153"/>
      <c r="C22" s="153"/>
      <c r="D22" s="154">
        <f>D20-D21</f>
        <v>0</v>
      </c>
      <c r="E22" s="154"/>
      <c r="F22" s="155"/>
      <c r="G22" s="21" t="s">
        <v>7</v>
      </c>
      <c r="H22" s="177">
        <f>H20+H21-I21</f>
        <v>52402.420999999995</v>
      </c>
      <c r="I22" s="178"/>
      <c r="J22" s="113"/>
      <c r="K22" s="124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21-32D3-4B51-AF81-3788A1AD8DAC}">
  <dimension ref="A1:L22"/>
  <sheetViews>
    <sheetView tabSelected="1" topLeftCell="A4" workbookViewId="0">
      <selection activeCell="F15" sqref="F15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9" t="s">
        <v>215</v>
      </c>
      <c r="B1" s="170"/>
      <c r="C1" s="170"/>
      <c r="D1" s="170"/>
      <c r="E1" s="170"/>
      <c r="F1" s="170"/>
      <c r="G1" s="170"/>
      <c r="H1" s="170"/>
      <c r="I1" s="170"/>
      <c r="J1" s="170"/>
      <c r="K1" s="171"/>
    </row>
    <row r="2" spans="1:12" ht="15.75" customHeight="1" x14ac:dyDescent="0.2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175" t="s">
        <v>192</v>
      </c>
      <c r="K3" s="17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9" t="s">
        <v>13</v>
      </c>
      <c r="K4" s="130">
        <v>517</v>
      </c>
      <c r="L4" s="10"/>
    </row>
    <row r="5" spans="1:12" ht="15.75" customHeight="1" x14ac:dyDescent="0.2">
      <c r="A5" s="13">
        <v>44835</v>
      </c>
      <c r="B5" s="53">
        <v>1900</v>
      </c>
      <c r="C5" s="57"/>
      <c r="D5" s="13"/>
      <c r="E5" s="53"/>
      <c r="F5" s="57"/>
      <c r="G5" s="14"/>
      <c r="H5" s="97"/>
      <c r="I5" s="131"/>
      <c r="J5" s="129" t="s">
        <v>14</v>
      </c>
      <c r="K5" s="130">
        <v>612</v>
      </c>
    </row>
    <row r="6" spans="1:12" ht="15.75" customHeight="1" x14ac:dyDescent="0.2">
      <c r="A6" s="13">
        <v>44837</v>
      </c>
      <c r="B6" s="53">
        <f>40+50+36</f>
        <v>126</v>
      </c>
      <c r="C6" s="57"/>
      <c r="D6" s="13"/>
      <c r="E6" s="53"/>
      <c r="F6" s="57"/>
      <c r="G6" s="14">
        <v>44837</v>
      </c>
      <c r="H6" s="97">
        <v>3000</v>
      </c>
      <c r="I6" s="131" t="s">
        <v>34</v>
      </c>
      <c r="J6" s="129" t="s">
        <v>116</v>
      </c>
      <c r="K6" s="130">
        <f>(K5-K4)*3+1600</f>
        <v>1885</v>
      </c>
    </row>
    <row r="7" spans="1:12" ht="15.75" customHeight="1" x14ac:dyDescent="0.2">
      <c r="A7" s="13"/>
      <c r="B7" s="53"/>
      <c r="C7" s="57"/>
      <c r="D7" s="13"/>
      <c r="E7" s="53"/>
      <c r="F7" s="57"/>
      <c r="G7" s="14"/>
      <c r="H7" s="97"/>
      <c r="I7" s="131"/>
      <c r="J7" s="129"/>
      <c r="K7" s="130"/>
    </row>
    <row r="8" spans="1:12" ht="15.75" customHeight="1" x14ac:dyDescent="0.2">
      <c r="A8" s="13"/>
      <c r="B8" s="53"/>
      <c r="C8" s="57"/>
      <c r="D8" s="13"/>
      <c r="E8" s="53"/>
      <c r="F8" s="57"/>
      <c r="G8" s="14"/>
      <c r="H8" s="97"/>
      <c r="I8" s="131"/>
      <c r="J8" s="129"/>
      <c r="K8" s="130"/>
    </row>
    <row r="9" spans="1:12" ht="15.75" customHeight="1" x14ac:dyDescent="0.2">
      <c r="A9" s="13"/>
      <c r="B9" s="53"/>
      <c r="C9" s="57"/>
      <c r="D9" s="13"/>
      <c r="E9" s="53"/>
      <c r="F9" s="57"/>
      <c r="G9" s="14"/>
      <c r="H9" s="97"/>
      <c r="I9" s="131"/>
      <c r="J9" s="129"/>
      <c r="K9" s="129"/>
    </row>
    <row r="10" spans="1:12" ht="15.75" customHeight="1" x14ac:dyDescent="0.2">
      <c r="A10" s="13"/>
      <c r="B10" s="53"/>
      <c r="C10" s="57"/>
      <c r="D10" s="13"/>
      <c r="E10" s="53"/>
      <c r="F10" s="57"/>
      <c r="G10" s="14"/>
      <c r="H10" s="97"/>
      <c r="I10" s="131"/>
      <c r="J10" s="129"/>
      <c r="K10" s="129"/>
    </row>
    <row r="11" spans="1:12" ht="15.75" customHeight="1" x14ac:dyDescent="0.2">
      <c r="A11" s="13"/>
      <c r="B11" s="53"/>
      <c r="C11" s="57"/>
      <c r="D11" s="128"/>
      <c r="E11" s="53"/>
      <c r="F11" s="57"/>
      <c r="G11" s="14"/>
      <c r="H11" s="97"/>
      <c r="I11" s="131"/>
      <c r="J11" s="129"/>
      <c r="K11" s="129"/>
    </row>
    <row r="12" spans="1:12" ht="15.75" customHeight="1" x14ac:dyDescent="0.2">
      <c r="A12" s="13"/>
      <c r="B12" s="53"/>
      <c r="C12" s="57"/>
      <c r="D12" s="128"/>
      <c r="E12" s="53"/>
      <c r="F12" s="57"/>
      <c r="G12" s="14"/>
      <c r="H12" s="97"/>
      <c r="I12" s="131"/>
      <c r="J12" s="129"/>
      <c r="K12" s="129"/>
    </row>
    <row r="13" spans="1:12" ht="15.75" customHeight="1" x14ac:dyDescent="0.2">
      <c r="A13" s="13"/>
      <c r="B13" s="53"/>
      <c r="C13" s="57"/>
      <c r="D13" s="128"/>
      <c r="E13" s="53"/>
      <c r="F13" s="57"/>
      <c r="G13" s="14"/>
      <c r="H13" s="97"/>
      <c r="I13" s="131"/>
      <c r="J13" s="129"/>
      <c r="K13" s="129"/>
    </row>
    <row r="14" spans="1:12" x14ac:dyDescent="0.2">
      <c r="A14" s="13"/>
      <c r="B14" s="53"/>
      <c r="C14" s="57"/>
      <c r="D14" s="128"/>
      <c r="E14" s="53"/>
      <c r="F14" s="57"/>
      <c r="G14" s="14"/>
      <c r="H14" s="97"/>
      <c r="I14" s="131"/>
      <c r="J14" s="129"/>
      <c r="K14" s="129"/>
    </row>
    <row r="15" spans="1:12" x14ac:dyDescent="0.2">
      <c r="A15" s="13"/>
      <c r="B15" s="53"/>
      <c r="C15" s="57"/>
      <c r="D15" s="128"/>
      <c r="E15" s="53"/>
      <c r="F15" s="57"/>
      <c r="G15" s="14"/>
      <c r="H15" s="97"/>
      <c r="I15" s="131"/>
      <c r="J15" s="129"/>
      <c r="K15" s="129"/>
    </row>
    <row r="16" spans="1:12" x14ac:dyDescent="0.2">
      <c r="A16" s="13"/>
      <c r="B16" s="53"/>
      <c r="C16" s="57"/>
      <c r="D16" s="128"/>
      <c r="E16" s="53"/>
      <c r="F16" s="57"/>
      <c r="G16" s="14"/>
      <c r="H16" s="97"/>
      <c r="I16" s="131"/>
      <c r="J16" s="129"/>
      <c r="K16" s="129"/>
    </row>
    <row r="17" spans="1:12" x14ac:dyDescent="0.2">
      <c r="A17" s="13"/>
      <c r="B17" s="53"/>
      <c r="C17" s="57"/>
      <c r="D17" s="128"/>
      <c r="E17" s="53"/>
      <c r="F17" s="57"/>
      <c r="G17" s="14"/>
      <c r="H17" s="97"/>
      <c r="I17" s="131"/>
      <c r="J17" s="129"/>
      <c r="K17" s="129"/>
    </row>
    <row r="18" spans="1:12" x14ac:dyDescent="0.2">
      <c r="A18" s="13"/>
      <c r="B18" s="53"/>
      <c r="C18" s="57"/>
      <c r="D18" s="128"/>
      <c r="E18" s="53"/>
      <c r="F18" s="57"/>
      <c r="G18" s="115"/>
      <c r="H18" s="97"/>
      <c r="I18" s="131"/>
      <c r="J18" s="122"/>
      <c r="K18" s="129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/>
      <c r="I19" s="18"/>
      <c r="J19" s="129"/>
      <c r="K19" s="129"/>
    </row>
    <row r="20" spans="1:12" ht="20.100000000000001" customHeight="1" x14ac:dyDescent="0.2">
      <c r="A20" s="148" t="s">
        <v>1</v>
      </c>
      <c r="B20" s="149"/>
      <c r="C20" s="149"/>
      <c r="D20" s="139">
        <v>3000</v>
      </c>
      <c r="E20" s="139"/>
      <c r="F20" s="140"/>
      <c r="G20" s="19" t="s">
        <v>1</v>
      </c>
      <c r="H20" s="179">
        <v>52402.421000000002</v>
      </c>
      <c r="I20" s="180"/>
      <c r="J20" s="113"/>
      <c r="K20" s="129"/>
    </row>
    <row r="21" spans="1:12" ht="20.100000000000001" customHeight="1" x14ac:dyDescent="0.2">
      <c r="A21" s="150" t="s">
        <v>18</v>
      </c>
      <c r="B21" s="151"/>
      <c r="C21" s="151"/>
      <c r="D21" s="141">
        <f>SUM(B5:B19)+SUM(E5:E19)</f>
        <v>2026</v>
      </c>
      <c r="E21" s="141"/>
      <c r="F21" s="142"/>
      <c r="G21" s="20" t="s">
        <v>193</v>
      </c>
      <c r="H21" s="132">
        <f>H5</f>
        <v>0</v>
      </c>
      <c r="I21" s="114">
        <f>SUM(H6:H19)</f>
        <v>3000</v>
      </c>
      <c r="J21" s="113"/>
      <c r="K21" s="129"/>
    </row>
    <row r="22" spans="1:12" ht="36.75" customHeight="1" thickBot="1" x14ac:dyDescent="0.25">
      <c r="A22" s="152" t="s">
        <v>7</v>
      </c>
      <c r="B22" s="153"/>
      <c r="C22" s="153"/>
      <c r="D22" s="154">
        <f>D20-D21</f>
        <v>974</v>
      </c>
      <c r="E22" s="154"/>
      <c r="F22" s="155"/>
      <c r="G22" s="21" t="s">
        <v>7</v>
      </c>
      <c r="H22" s="177">
        <f>H20+H21-I21</f>
        <v>49402.421000000002</v>
      </c>
      <c r="I22" s="178"/>
      <c r="J22" s="113"/>
      <c r="K22" s="129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0"/>
  <sheetViews>
    <sheetView workbookViewId="0">
      <selection activeCell="B28" sqref="B28"/>
    </sheetView>
  </sheetViews>
  <sheetFormatPr defaultColWidth="12.625" defaultRowHeight="15" customHeight="1" x14ac:dyDescent="0.2"/>
  <cols>
    <col min="1" max="25" width="7.625" customWidth="1"/>
  </cols>
  <sheetData>
    <row r="1" spans="1:20" ht="14.25" customHeight="1" x14ac:dyDescent="0.2">
      <c r="A1" s="67" t="s">
        <v>115</v>
      </c>
      <c r="B1" s="67" t="s">
        <v>116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20" ht="14.25" customHeight="1" x14ac:dyDescent="0.2">
      <c r="A2" s="66">
        <v>4</v>
      </c>
      <c r="B2" s="66">
        <f>Tháng4!K1</f>
        <v>3090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0" ht="16.5" customHeight="1" x14ac:dyDescent="0.2">
      <c r="A3" s="66">
        <v>5</v>
      </c>
      <c r="B3" s="66">
        <v>3000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"/>
      <c r="S3" s="1"/>
      <c r="T3" s="1"/>
    </row>
    <row r="4" spans="1:20" ht="14.25" customHeight="1" x14ac:dyDescent="0.2">
      <c r="A4" s="66">
        <v>6</v>
      </c>
      <c r="B4" s="66">
        <v>3000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20" ht="14.25" customHeight="1" x14ac:dyDescent="0.2">
      <c r="A5" s="66">
        <v>7</v>
      </c>
      <c r="B5" s="66">
        <f>Tháng7!K1</f>
        <v>3395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"/>
      <c r="S5" s="1"/>
      <c r="T5" s="1"/>
    </row>
    <row r="6" spans="1:20" ht="15.75" customHeight="1" x14ac:dyDescent="0.2">
      <c r="A6" s="66">
        <v>8</v>
      </c>
      <c r="B6" s="66">
        <f>Tháng8!K1</f>
        <v>2641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0" ht="15.75" customHeight="1" x14ac:dyDescent="0.2">
      <c r="A7" s="66">
        <v>9</v>
      </c>
      <c r="B7" s="66">
        <f>Tháng9!K1</f>
        <v>3020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1"/>
      <c r="S7" s="1"/>
      <c r="T7" s="1"/>
    </row>
    <row r="8" spans="1:20" ht="14.25" customHeight="1" x14ac:dyDescent="0.2">
      <c r="A8" s="66">
        <v>10</v>
      </c>
      <c r="B8" s="66">
        <f>Tháng10!K1</f>
        <v>3526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20" ht="18.75" customHeight="1" x14ac:dyDescent="0.2">
      <c r="A9" s="66">
        <v>11</v>
      </c>
      <c r="B9" s="66">
        <f>Tháng11!K1</f>
        <v>2648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1"/>
      <c r="S9" s="1"/>
      <c r="T9" s="1"/>
    </row>
    <row r="10" spans="1:20" ht="14.25" customHeight="1" x14ac:dyDescent="0.2">
      <c r="A10" s="66">
        <v>12</v>
      </c>
      <c r="B10" s="66">
        <f>Tháng12!K1</f>
        <v>3525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20" ht="14.25" customHeight="1" x14ac:dyDescent="0.2">
      <c r="A11" s="66">
        <v>1</v>
      </c>
      <c r="B11" s="66">
        <f>Tháng1!K1</f>
        <v>2010.2999999999993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1"/>
      <c r="S11" s="1"/>
      <c r="T11" s="1"/>
    </row>
    <row r="12" spans="1:20" ht="14.25" customHeight="1" x14ac:dyDescent="0.2">
      <c r="A12" s="66">
        <v>2</v>
      </c>
      <c r="B12" s="66">
        <f>Tháng2!K1</f>
        <v>3825.5789999999997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20" ht="14.25" customHeight="1" x14ac:dyDescent="0.2">
      <c r="A13" s="66">
        <v>3</v>
      </c>
      <c r="B13" s="66">
        <f>Tháng3!K1</f>
        <v>3942.0679999999993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1"/>
      <c r="S13" s="1"/>
      <c r="T13" s="1"/>
    </row>
    <row r="14" spans="1:20" ht="14.25" customHeight="1" x14ac:dyDescent="0.2">
      <c r="A14" s="66">
        <v>4</v>
      </c>
      <c r="B14" s="66">
        <f>Tháng4_22!K1</f>
        <v>4160.6729999999998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20" ht="15.75" customHeight="1" x14ac:dyDescent="0.2">
      <c r="A15" s="66">
        <v>5</v>
      </c>
      <c r="B15" s="99">
        <f>Tháng5_22!K1</f>
        <v>3288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1"/>
      <c r="S15" s="1"/>
      <c r="T15" s="1"/>
    </row>
    <row r="16" spans="1:20" ht="14.25" customHeight="1" x14ac:dyDescent="0.2">
      <c r="A16" s="66">
        <v>6</v>
      </c>
      <c r="B16" s="99">
        <f>Tháng6_22!K1</f>
        <v>4480.9560000000001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1:20" ht="14.25" customHeight="1" x14ac:dyDescent="0.2">
      <c r="A17" s="66">
        <v>7</v>
      </c>
      <c r="B17" s="99">
        <f>Tháng_7_22!I21-3500</f>
        <v>5503.2199999999993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1"/>
      <c r="S17" s="1"/>
      <c r="T17" s="1"/>
    </row>
    <row r="18" spans="1:20" ht="14.25" customHeight="1" x14ac:dyDescent="0.2">
      <c r="A18" s="66">
        <v>8</v>
      </c>
      <c r="B18" s="99">
        <f>Tháng_8_22!I21</f>
        <v>5226.13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20" ht="14.25" customHeight="1" x14ac:dyDescent="0.2">
      <c r="A19" s="66">
        <v>9</v>
      </c>
      <c r="B19" s="99">
        <f>Tháng_9_22!I21</f>
        <v>4047.7939999999999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1"/>
      <c r="S19" s="1"/>
      <c r="T19" s="1"/>
    </row>
    <row r="20" spans="1:20" ht="14.25" customHeight="1" x14ac:dyDescent="0.2">
      <c r="A20" s="66">
        <v>10</v>
      </c>
      <c r="B20" s="73"/>
    </row>
    <row r="21" spans="1:20" ht="15.75" customHeight="1" x14ac:dyDescent="0.2">
      <c r="A21" s="66">
        <v>11</v>
      </c>
      <c r="B21" s="7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66">
        <v>12</v>
      </c>
      <c r="B22" s="73"/>
    </row>
    <row r="23" spans="1:20" ht="15.75" customHeight="1" x14ac:dyDescent="0.2">
      <c r="A23" s="74"/>
      <c r="B23" s="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73"/>
      <c r="B24" s="73"/>
    </row>
    <row r="25" spans="1:20" ht="15.75" customHeight="1" x14ac:dyDescent="0.2">
      <c r="A25" s="74"/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73"/>
      <c r="B26" s="73"/>
    </row>
    <row r="27" spans="1:20" ht="15.75" customHeight="1" x14ac:dyDescent="0.2">
      <c r="A27" s="1"/>
      <c r="B27" s="1">
        <f>AVERAGE(B2:B19)</f>
        <v>3573.8733333333334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27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D26-B7</f>
        <v>4173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22">
        <f>21+25</f>
        <v>46</v>
      </c>
      <c r="F5" s="22" t="s">
        <v>10</v>
      </c>
      <c r="G5" s="25"/>
      <c r="H5" s="25">
        <v>-0.127</v>
      </c>
      <c r="I5" s="25"/>
      <c r="J5" s="145"/>
      <c r="K5" s="145"/>
    </row>
    <row r="6" spans="1:12" x14ac:dyDescent="0.2">
      <c r="A6" s="5"/>
      <c r="B6" s="6">
        <v>30</v>
      </c>
      <c r="C6" s="6" t="s">
        <v>5</v>
      </c>
      <c r="D6" s="13">
        <v>44372</v>
      </c>
      <c r="E6" s="22">
        <v>-64</v>
      </c>
      <c r="F6" s="22"/>
      <c r="G6" s="14">
        <v>44314</v>
      </c>
      <c r="H6" s="25">
        <v>200</v>
      </c>
      <c r="I6" s="25" t="s">
        <v>6</v>
      </c>
      <c r="J6" s="145"/>
      <c r="K6" s="145"/>
    </row>
    <row r="7" spans="1:12" x14ac:dyDescent="0.2">
      <c r="A7" s="13">
        <v>44329</v>
      </c>
      <c r="B7" s="22">
        <f>290-50+87</f>
        <v>327</v>
      </c>
      <c r="C7" s="22" t="s">
        <v>42</v>
      </c>
      <c r="D7" s="13">
        <v>44375</v>
      </c>
      <c r="E7" s="22">
        <v>79</v>
      </c>
      <c r="F7" s="22"/>
      <c r="G7" s="14">
        <v>44321</v>
      </c>
      <c r="H7" s="25">
        <v>1500</v>
      </c>
      <c r="I7" s="25" t="s">
        <v>34</v>
      </c>
      <c r="J7" s="145"/>
      <c r="K7" s="145"/>
    </row>
    <row r="8" spans="1:12" x14ac:dyDescent="0.2">
      <c r="A8" s="13">
        <v>44332</v>
      </c>
      <c r="B8" s="22">
        <v>43</v>
      </c>
      <c r="C8" s="22" t="s">
        <v>10</v>
      </c>
      <c r="D8" s="13"/>
      <c r="E8" s="22"/>
      <c r="F8" s="22"/>
      <c r="G8" s="14">
        <v>44324</v>
      </c>
      <c r="H8" s="25">
        <v>100</v>
      </c>
      <c r="I8" s="25" t="s">
        <v>34</v>
      </c>
      <c r="J8" s="145"/>
      <c r="K8" s="145"/>
    </row>
    <row r="9" spans="1:12" x14ac:dyDescent="0.2">
      <c r="A9" s="13">
        <v>44333</v>
      </c>
      <c r="B9" s="22">
        <v>200</v>
      </c>
      <c r="C9" s="22" t="s">
        <v>9</v>
      </c>
      <c r="D9" s="13"/>
      <c r="E9" s="22"/>
      <c r="F9" s="22"/>
      <c r="G9" s="14">
        <v>44326</v>
      </c>
      <c r="H9" s="25">
        <v>-6937.5</v>
      </c>
      <c r="I9" s="25" t="s">
        <v>40</v>
      </c>
      <c r="J9" s="145"/>
      <c r="K9" s="145"/>
    </row>
    <row r="10" spans="1:12" x14ac:dyDescent="0.2">
      <c r="A10" s="13">
        <v>44352</v>
      </c>
      <c r="B10" s="22">
        <v>715</v>
      </c>
      <c r="C10" s="22" t="s">
        <v>44</v>
      </c>
      <c r="D10" s="22"/>
      <c r="E10" s="22"/>
      <c r="F10" s="22"/>
      <c r="G10" s="25"/>
      <c r="H10" s="25">
        <v>500</v>
      </c>
      <c r="I10" s="25" t="s">
        <v>41</v>
      </c>
      <c r="J10" s="145"/>
      <c r="K10" s="145"/>
    </row>
    <row r="11" spans="1:12" x14ac:dyDescent="0.2">
      <c r="A11" s="13">
        <v>44355</v>
      </c>
      <c r="B11" s="22">
        <f>42+18+17+39</f>
        <v>116</v>
      </c>
      <c r="C11" s="22" t="s">
        <v>10</v>
      </c>
      <c r="D11" s="13"/>
      <c r="E11" s="22"/>
      <c r="F11" s="22"/>
      <c r="G11" s="14">
        <v>44352</v>
      </c>
      <c r="H11" s="25">
        <f>110+4000+100+5839.702-0.279+170</f>
        <v>10219.423000000001</v>
      </c>
      <c r="I11" s="25" t="s">
        <v>43</v>
      </c>
      <c r="J11" s="145"/>
      <c r="K11" s="145"/>
    </row>
    <row r="12" spans="1:12" x14ac:dyDescent="0.2">
      <c r="A12" s="13"/>
      <c r="B12" s="22">
        <f>25+44</f>
        <v>69</v>
      </c>
      <c r="C12" s="22" t="s">
        <v>45</v>
      </c>
      <c r="D12" s="13"/>
      <c r="E12" s="22"/>
      <c r="F12" s="22"/>
      <c r="G12" s="14">
        <v>44357</v>
      </c>
      <c r="H12" s="26">
        <v>-6937.5</v>
      </c>
      <c r="I12" s="26" t="s">
        <v>40</v>
      </c>
      <c r="J12" s="145"/>
      <c r="K12" s="145"/>
    </row>
    <row r="13" spans="1:12" x14ac:dyDescent="0.2">
      <c r="A13" s="13">
        <v>44357</v>
      </c>
      <c r="B13" s="22">
        <f>15+38-4</f>
        <v>49</v>
      </c>
      <c r="C13" s="22" t="s">
        <v>10</v>
      </c>
      <c r="D13" s="22"/>
      <c r="E13" s="22"/>
      <c r="F13" s="22"/>
      <c r="G13" s="25"/>
      <c r="H13" s="25">
        <v>90</v>
      </c>
      <c r="I13" s="25" t="s">
        <v>46</v>
      </c>
      <c r="J13" s="145"/>
      <c r="K13" s="145"/>
    </row>
    <row r="14" spans="1:12" x14ac:dyDescent="0.2">
      <c r="A14" s="13">
        <v>44359</v>
      </c>
      <c r="B14" s="22">
        <v>1830</v>
      </c>
      <c r="C14" s="22" t="s">
        <v>48</v>
      </c>
      <c r="D14" s="22"/>
      <c r="E14" s="22"/>
      <c r="F14" s="22"/>
      <c r="G14" s="25"/>
      <c r="H14" s="25">
        <v>50</v>
      </c>
      <c r="I14" s="25" t="s">
        <v>47</v>
      </c>
      <c r="J14" s="145"/>
      <c r="K14" s="145"/>
    </row>
    <row r="15" spans="1:12" x14ac:dyDescent="0.2">
      <c r="A15" s="13"/>
      <c r="B15" s="22">
        <f>42+25</f>
        <v>67</v>
      </c>
      <c r="C15" s="22" t="s">
        <v>10</v>
      </c>
      <c r="D15" s="22"/>
      <c r="E15" s="22"/>
      <c r="F15" s="22"/>
      <c r="G15" s="14">
        <v>44361</v>
      </c>
      <c r="H15" s="25">
        <v>-400</v>
      </c>
      <c r="I15" s="25" t="s">
        <v>50</v>
      </c>
      <c r="J15" s="145"/>
      <c r="K15" s="145"/>
    </row>
    <row r="16" spans="1:12" x14ac:dyDescent="0.2">
      <c r="A16" s="13">
        <v>44360</v>
      </c>
      <c r="B16" s="22">
        <f>25+40+34+25</f>
        <v>124</v>
      </c>
      <c r="C16" s="22" t="s">
        <v>51</v>
      </c>
      <c r="D16" s="22"/>
      <c r="E16" s="22"/>
      <c r="F16" s="22"/>
      <c r="G16" s="14">
        <v>44364</v>
      </c>
      <c r="H16" s="25">
        <v>-58.396999999999998</v>
      </c>
      <c r="I16" s="25" t="s">
        <v>54</v>
      </c>
      <c r="J16" s="145"/>
      <c r="K16" s="145"/>
    </row>
    <row r="17" spans="1:12" x14ac:dyDescent="0.2">
      <c r="A17" s="13">
        <v>44361</v>
      </c>
      <c r="B17" s="22">
        <f>38+16</f>
        <v>54</v>
      </c>
      <c r="C17" s="22" t="s">
        <v>10</v>
      </c>
      <c r="D17" s="22"/>
      <c r="E17" s="22"/>
      <c r="F17" s="22"/>
      <c r="G17" s="14">
        <v>44371</v>
      </c>
      <c r="H17" s="25">
        <v>120</v>
      </c>
      <c r="I17" s="25" t="s">
        <v>56</v>
      </c>
      <c r="J17" s="145"/>
      <c r="K17" s="145"/>
    </row>
    <row r="18" spans="1:12" x14ac:dyDescent="0.2">
      <c r="A18" s="13">
        <v>44362</v>
      </c>
      <c r="B18" s="22">
        <v>20</v>
      </c>
      <c r="C18" s="22" t="s">
        <v>10</v>
      </c>
      <c r="D18" s="22"/>
      <c r="E18" s="22"/>
      <c r="F18" s="22"/>
      <c r="G18" s="14">
        <v>44372</v>
      </c>
      <c r="H18" s="25">
        <v>200</v>
      </c>
      <c r="I18" s="25" t="s">
        <v>10</v>
      </c>
      <c r="J18" s="145"/>
      <c r="K18" s="145"/>
    </row>
    <row r="19" spans="1:12" x14ac:dyDescent="0.2">
      <c r="A19" s="13">
        <v>44364</v>
      </c>
      <c r="B19" s="22">
        <v>109</v>
      </c>
      <c r="C19" s="22" t="s">
        <v>52</v>
      </c>
      <c r="D19" s="22"/>
      <c r="E19" s="22"/>
      <c r="F19" s="22"/>
      <c r="G19" s="14">
        <v>44375</v>
      </c>
      <c r="H19" s="25">
        <f>-0.158+3000</f>
        <v>2999.8420000000001</v>
      </c>
      <c r="I19" s="25" t="s">
        <v>22</v>
      </c>
      <c r="J19" s="23" t="s">
        <v>13</v>
      </c>
      <c r="K19" s="24">
        <v>8058</v>
      </c>
    </row>
    <row r="20" spans="1:12" x14ac:dyDescent="0.2">
      <c r="A20" s="13"/>
      <c r="B20" s="22">
        <v>42</v>
      </c>
      <c r="C20" s="22" t="s">
        <v>10</v>
      </c>
      <c r="D20" s="22"/>
      <c r="E20" s="22"/>
      <c r="F20" s="22"/>
      <c r="G20" s="25"/>
      <c r="H20" s="25"/>
      <c r="I20" s="25"/>
      <c r="J20" s="23" t="s">
        <v>14</v>
      </c>
      <c r="K20" s="24">
        <v>8140</v>
      </c>
    </row>
    <row r="21" spans="1:12" x14ac:dyDescent="0.2">
      <c r="A21" s="13">
        <v>44365</v>
      </c>
      <c r="B21" s="22">
        <v>108</v>
      </c>
      <c r="C21" s="22" t="s">
        <v>53</v>
      </c>
      <c r="D21" s="22"/>
      <c r="E21" s="22"/>
      <c r="F21" s="22"/>
      <c r="G21" s="25"/>
      <c r="H21" s="25"/>
      <c r="I21" s="25"/>
      <c r="J21" s="23" t="s">
        <v>15</v>
      </c>
      <c r="K21" s="24">
        <f>K20-K19</f>
        <v>82</v>
      </c>
    </row>
    <row r="22" spans="1:12" x14ac:dyDescent="0.2">
      <c r="A22" s="22"/>
      <c r="B22" s="22">
        <v>37</v>
      </c>
      <c r="C22" s="22" t="s">
        <v>10</v>
      </c>
      <c r="D22" s="22"/>
      <c r="E22" s="22"/>
      <c r="F22" s="22"/>
      <c r="G22" s="25"/>
      <c r="H22" s="25"/>
      <c r="I22" s="25"/>
      <c r="J22" s="23" t="s">
        <v>0</v>
      </c>
      <c r="K22" s="24">
        <f>K21*3.5</f>
        <v>287</v>
      </c>
    </row>
    <row r="23" spans="1:12" x14ac:dyDescent="0.2">
      <c r="A23" s="13">
        <v>44368</v>
      </c>
      <c r="B23" s="22">
        <f>50+55+20</f>
        <v>125</v>
      </c>
      <c r="C23" s="22" t="s">
        <v>55</v>
      </c>
      <c r="D23" s="22"/>
      <c r="E23" s="22"/>
      <c r="F23" s="22"/>
      <c r="G23" s="25"/>
      <c r="H23" s="25"/>
      <c r="I23" s="25"/>
      <c r="J23" s="23" t="s">
        <v>16</v>
      </c>
      <c r="K23" s="24">
        <f>1400+130</f>
        <v>1530</v>
      </c>
      <c r="L23" s="2" t="s">
        <v>49</v>
      </c>
    </row>
    <row r="24" spans="1:12" ht="16.5" thickBot="1" x14ac:dyDescent="0.25">
      <c r="A24" s="16">
        <v>44369</v>
      </c>
      <c r="B24" s="17">
        <f>40+34</f>
        <v>74</v>
      </c>
      <c r="C24" s="17" t="s">
        <v>10</v>
      </c>
      <c r="D24" s="17"/>
      <c r="E24" s="17"/>
      <c r="F24" s="17"/>
      <c r="G24" s="18"/>
      <c r="H24" s="18"/>
      <c r="I24" s="18"/>
      <c r="J24" s="23" t="s">
        <v>17</v>
      </c>
      <c r="K24" s="23">
        <f>K23+K22</f>
        <v>1817</v>
      </c>
    </row>
    <row r="25" spans="1:12" ht="20.100000000000001" customHeight="1" x14ac:dyDescent="0.2">
      <c r="A25" s="148" t="s">
        <v>1</v>
      </c>
      <c r="B25" s="149"/>
      <c r="C25" s="149"/>
      <c r="D25" s="139">
        <f>1600+2900+3000</f>
        <v>7500</v>
      </c>
      <c r="E25" s="139"/>
      <c r="F25" s="140"/>
      <c r="G25" s="19" t="s">
        <v>1</v>
      </c>
      <c r="H25" s="156">
        <v>7431.75</v>
      </c>
      <c r="I25" s="157"/>
      <c r="J25" s="135" t="s">
        <v>23</v>
      </c>
      <c r="K25" s="136"/>
    </row>
    <row r="26" spans="1:12" ht="20.100000000000001" customHeight="1" x14ac:dyDescent="0.2">
      <c r="A26" s="150" t="s">
        <v>18</v>
      </c>
      <c r="B26" s="151"/>
      <c r="C26" s="151"/>
      <c r="D26" s="141">
        <f>SUM(B5:B24)+SUM(E5:E24)</f>
        <v>4500</v>
      </c>
      <c r="E26" s="141"/>
      <c r="F26" s="142"/>
      <c r="G26" s="20" t="s">
        <v>22</v>
      </c>
      <c r="H26" s="158">
        <f>SUM(H5:H24)</f>
        <v>1645.7410000000004</v>
      </c>
      <c r="I26" s="159"/>
      <c r="J26" s="137">
        <f>D27+H27</f>
        <v>8786.009</v>
      </c>
      <c r="K26" s="138"/>
    </row>
    <row r="27" spans="1:12" ht="36.75" customHeight="1" thickBot="1" x14ac:dyDescent="0.25">
      <c r="A27" s="152" t="s">
        <v>7</v>
      </c>
      <c r="B27" s="153"/>
      <c r="C27" s="153"/>
      <c r="D27" s="154">
        <f>D25-D26-L24</f>
        <v>3000</v>
      </c>
      <c r="E27" s="154"/>
      <c r="F27" s="155"/>
      <c r="G27" s="21" t="s">
        <v>7</v>
      </c>
      <c r="H27" s="133">
        <f>H25-H26</f>
        <v>5786.009</v>
      </c>
      <c r="I27" s="134"/>
      <c r="J27" s="137"/>
      <c r="K27" s="138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7"/>
  <sheetViews>
    <sheetView workbookViewId="0">
      <selection activeCell="B8" sqref="B8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57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D26-B15-B8-B12-B16-B9-B11-E5</f>
        <v>3395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30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0" t="s">
        <v>26</v>
      </c>
      <c r="K4" s="29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31">
        <v>-300</v>
      </c>
      <c r="F5" s="31" t="s">
        <v>22</v>
      </c>
      <c r="G5" s="14">
        <v>44397</v>
      </c>
      <c r="H5" s="27">
        <v>84</v>
      </c>
      <c r="I5" s="27" t="s">
        <v>10</v>
      </c>
      <c r="J5" s="145"/>
      <c r="K5" s="145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31">
        <f>10+13+18+12</f>
        <v>53</v>
      </c>
      <c r="F6" s="31" t="s">
        <v>66</v>
      </c>
      <c r="G6" s="14">
        <v>44400</v>
      </c>
      <c r="H6" s="27">
        <v>500</v>
      </c>
      <c r="I6" s="27" t="s">
        <v>8</v>
      </c>
      <c r="J6" s="145"/>
      <c r="K6" s="145"/>
    </row>
    <row r="7" spans="1:12" x14ac:dyDescent="0.2">
      <c r="A7" s="13">
        <v>44381</v>
      </c>
      <c r="B7" s="31">
        <v>20</v>
      </c>
      <c r="C7" s="31" t="s">
        <v>10</v>
      </c>
      <c r="D7" s="13">
        <v>44395</v>
      </c>
      <c r="E7" s="31">
        <f>34</f>
        <v>34</v>
      </c>
      <c r="F7" s="31" t="s">
        <v>10</v>
      </c>
      <c r="G7" s="14"/>
      <c r="H7" s="27">
        <v>-200</v>
      </c>
      <c r="I7" s="27" t="s">
        <v>69</v>
      </c>
      <c r="J7" s="145"/>
      <c r="K7" s="145"/>
    </row>
    <row r="8" spans="1:12" x14ac:dyDescent="0.2">
      <c r="A8" s="13"/>
      <c r="B8" s="31">
        <v>-300</v>
      </c>
      <c r="C8" s="31" t="s">
        <v>6</v>
      </c>
      <c r="D8" s="13">
        <v>44396</v>
      </c>
      <c r="E8" s="31">
        <v>-28</v>
      </c>
      <c r="F8" s="31" t="s">
        <v>67</v>
      </c>
      <c r="G8" s="14"/>
      <c r="H8" s="27"/>
      <c r="I8" s="27"/>
      <c r="J8" s="145"/>
      <c r="K8" s="145"/>
    </row>
    <row r="9" spans="1:12" x14ac:dyDescent="0.2">
      <c r="A9" s="13"/>
      <c r="B9" s="31">
        <v>30</v>
      </c>
      <c r="C9" s="31" t="s">
        <v>59</v>
      </c>
      <c r="D9" s="13"/>
      <c r="E9" s="31">
        <v>45</v>
      </c>
      <c r="F9" s="31" t="s">
        <v>10</v>
      </c>
      <c r="G9" s="14"/>
      <c r="H9" s="27"/>
      <c r="I9" s="27"/>
      <c r="J9" s="145"/>
      <c r="K9" s="145"/>
    </row>
    <row r="10" spans="1:12" x14ac:dyDescent="0.2">
      <c r="A10" s="13"/>
      <c r="B10" s="31">
        <v>25</v>
      </c>
      <c r="C10" s="31" t="s">
        <v>10</v>
      </c>
      <c r="D10" s="13">
        <v>44400</v>
      </c>
      <c r="E10" s="31">
        <v>482</v>
      </c>
      <c r="F10" s="31" t="s">
        <v>58</v>
      </c>
      <c r="G10" s="27"/>
      <c r="H10" s="27"/>
      <c r="I10" s="27"/>
      <c r="J10" s="145"/>
      <c r="K10" s="145"/>
    </row>
    <row r="11" spans="1:12" x14ac:dyDescent="0.2">
      <c r="A11" s="13">
        <v>44382</v>
      </c>
      <c r="B11" s="31">
        <v>70</v>
      </c>
      <c r="C11" s="31" t="s">
        <v>61</v>
      </c>
      <c r="D11" s="13">
        <v>44401</v>
      </c>
      <c r="E11" s="31">
        <v>53</v>
      </c>
      <c r="F11" s="31" t="s">
        <v>68</v>
      </c>
      <c r="G11" s="14"/>
      <c r="H11" s="27"/>
      <c r="I11" s="27"/>
      <c r="J11" s="145"/>
      <c r="K11" s="145"/>
    </row>
    <row r="12" spans="1:12" x14ac:dyDescent="0.2">
      <c r="A12" s="13"/>
      <c r="B12" s="31">
        <v>-140</v>
      </c>
      <c r="C12" s="31" t="s">
        <v>60</v>
      </c>
      <c r="D12" s="13"/>
      <c r="E12" s="31">
        <f>35+20+12+8</f>
        <v>75</v>
      </c>
      <c r="F12" s="31" t="s">
        <v>10</v>
      </c>
      <c r="G12" s="14"/>
      <c r="H12" s="27"/>
      <c r="I12" s="27"/>
      <c r="J12" s="145"/>
      <c r="K12" s="145"/>
    </row>
    <row r="13" spans="1:12" x14ac:dyDescent="0.2">
      <c r="A13" s="13"/>
      <c r="B13" s="31">
        <v>2</v>
      </c>
      <c r="C13" s="31" t="s">
        <v>10</v>
      </c>
      <c r="D13" s="13">
        <v>44404</v>
      </c>
      <c r="E13" s="31">
        <v>10</v>
      </c>
      <c r="F13" s="31" t="s">
        <v>64</v>
      </c>
      <c r="G13" s="27"/>
      <c r="H13" s="27"/>
      <c r="I13" s="27"/>
      <c r="J13" s="145"/>
      <c r="K13" s="145"/>
    </row>
    <row r="14" spans="1:12" x14ac:dyDescent="0.2">
      <c r="A14" s="13">
        <v>44384</v>
      </c>
      <c r="B14" s="31">
        <v>12</v>
      </c>
      <c r="C14" s="31" t="s">
        <v>10</v>
      </c>
      <c r="D14" s="13">
        <v>44406</v>
      </c>
      <c r="E14" s="31">
        <v>135</v>
      </c>
      <c r="F14" s="31" t="s">
        <v>70</v>
      </c>
      <c r="G14" s="27"/>
      <c r="H14" s="27"/>
      <c r="I14" s="27"/>
      <c r="J14" s="145"/>
      <c r="K14" s="145"/>
    </row>
    <row r="15" spans="1:12" x14ac:dyDescent="0.2">
      <c r="A15" s="13"/>
      <c r="B15" s="31">
        <f>115+720</f>
        <v>835</v>
      </c>
      <c r="C15" s="31" t="s">
        <v>62</v>
      </c>
      <c r="D15" s="13">
        <v>44408</v>
      </c>
      <c r="E15" s="31">
        <v>20</v>
      </c>
      <c r="F15" s="31" t="s">
        <v>10</v>
      </c>
      <c r="G15" s="14"/>
      <c r="H15" s="27"/>
      <c r="I15" s="27"/>
      <c r="J15" s="145"/>
      <c r="K15" s="145"/>
    </row>
    <row r="16" spans="1:12" x14ac:dyDescent="0.2">
      <c r="A16" s="13">
        <v>44386</v>
      </c>
      <c r="B16" s="31">
        <v>-200</v>
      </c>
      <c r="C16" s="31" t="s">
        <v>63</v>
      </c>
      <c r="D16" s="31"/>
      <c r="E16" s="31"/>
      <c r="F16" s="31"/>
      <c r="G16" s="14"/>
      <c r="H16" s="27"/>
      <c r="I16" s="27"/>
      <c r="J16" s="145"/>
      <c r="K16" s="145"/>
    </row>
    <row r="17" spans="1:12" x14ac:dyDescent="0.2">
      <c r="A17" s="13"/>
      <c r="B17" s="31">
        <v>39</v>
      </c>
      <c r="C17" s="31" t="s">
        <v>30</v>
      </c>
      <c r="D17" s="31"/>
      <c r="E17" s="31"/>
      <c r="F17" s="31"/>
      <c r="G17" s="14"/>
      <c r="H17" s="27"/>
      <c r="I17" s="27"/>
      <c r="J17" s="145"/>
      <c r="K17" s="145"/>
    </row>
    <row r="18" spans="1:12" x14ac:dyDescent="0.2">
      <c r="A18" s="13"/>
      <c r="B18" s="31">
        <v>21</v>
      </c>
      <c r="C18" s="31" t="s">
        <v>64</v>
      </c>
      <c r="D18" s="31"/>
      <c r="E18" s="31"/>
      <c r="F18" s="31"/>
      <c r="G18" s="14"/>
      <c r="H18" s="27"/>
      <c r="I18" s="27"/>
      <c r="J18" s="145"/>
      <c r="K18" s="145"/>
    </row>
    <row r="19" spans="1:12" x14ac:dyDescent="0.2">
      <c r="A19" s="13"/>
      <c r="B19" s="31">
        <v>1798</v>
      </c>
      <c r="C19" s="31" t="s">
        <v>48</v>
      </c>
      <c r="D19" s="31"/>
      <c r="E19" s="31"/>
      <c r="F19" s="31"/>
      <c r="G19" s="14"/>
      <c r="H19" s="27"/>
      <c r="I19" s="27"/>
      <c r="J19" s="28" t="s">
        <v>13</v>
      </c>
      <c r="K19" s="30">
        <v>8135</v>
      </c>
    </row>
    <row r="20" spans="1:12" x14ac:dyDescent="0.2">
      <c r="A20" s="13"/>
      <c r="B20" s="31">
        <v>48</v>
      </c>
      <c r="C20" s="31" t="s">
        <v>10</v>
      </c>
      <c r="D20" s="31"/>
      <c r="E20" s="31"/>
      <c r="F20" s="31"/>
      <c r="G20" s="27"/>
      <c r="H20" s="27"/>
      <c r="I20" s="27"/>
      <c r="J20" s="28" t="s">
        <v>14</v>
      </c>
      <c r="K20" s="30">
        <v>8219</v>
      </c>
    </row>
    <row r="21" spans="1:12" x14ac:dyDescent="0.2">
      <c r="A21" s="13">
        <v>44388</v>
      </c>
      <c r="B21" s="31">
        <v>35</v>
      </c>
      <c r="C21" s="31" t="s">
        <v>10</v>
      </c>
      <c r="D21" s="31"/>
      <c r="E21" s="31"/>
      <c r="F21" s="31"/>
      <c r="G21" s="27"/>
      <c r="H21" s="27"/>
      <c r="I21" s="27"/>
      <c r="J21" s="28" t="s">
        <v>15</v>
      </c>
      <c r="K21" s="30">
        <f>K20-K19</f>
        <v>84</v>
      </c>
    </row>
    <row r="22" spans="1:12" x14ac:dyDescent="0.2">
      <c r="A22" s="13">
        <v>44389</v>
      </c>
      <c r="B22" s="31">
        <v>86</v>
      </c>
      <c r="C22" s="31" t="s">
        <v>10</v>
      </c>
      <c r="D22" s="31"/>
      <c r="E22" s="31"/>
      <c r="F22" s="31"/>
      <c r="G22" s="27"/>
      <c r="H22" s="27"/>
      <c r="I22" s="27"/>
      <c r="J22" s="28" t="s">
        <v>0</v>
      </c>
      <c r="K22" s="30">
        <f>K21*3.5</f>
        <v>294</v>
      </c>
    </row>
    <row r="23" spans="1:12" x14ac:dyDescent="0.2">
      <c r="A23" s="13">
        <v>44390</v>
      </c>
      <c r="B23" s="31">
        <v>15</v>
      </c>
      <c r="C23" s="31" t="s">
        <v>10</v>
      </c>
      <c r="D23" s="31"/>
      <c r="E23" s="31"/>
      <c r="F23" s="31"/>
      <c r="G23" s="27"/>
      <c r="H23" s="27"/>
      <c r="I23" s="27"/>
      <c r="J23" s="28" t="s">
        <v>16</v>
      </c>
      <c r="K23" s="30">
        <f>1300+80</f>
        <v>1380</v>
      </c>
      <c r="L23" s="2" t="s">
        <v>49</v>
      </c>
    </row>
    <row r="24" spans="1:12" ht="16.5" thickBot="1" x14ac:dyDescent="0.25">
      <c r="A24" s="16">
        <v>44392</v>
      </c>
      <c r="B24" s="17">
        <v>25</v>
      </c>
      <c r="C24" s="17" t="s">
        <v>65</v>
      </c>
      <c r="D24" s="17"/>
      <c r="E24" s="17"/>
      <c r="F24" s="17"/>
      <c r="G24" s="18"/>
      <c r="H24" s="18"/>
      <c r="I24" s="18"/>
      <c r="J24" s="28" t="s">
        <v>17</v>
      </c>
      <c r="K24" s="28">
        <f>K23+K22</f>
        <v>1674</v>
      </c>
    </row>
    <row r="25" spans="1:12" ht="20.100000000000001" customHeight="1" x14ac:dyDescent="0.2">
      <c r="A25" s="148" t="s">
        <v>1</v>
      </c>
      <c r="B25" s="149"/>
      <c r="C25" s="149"/>
      <c r="D25" s="139">
        <v>3500</v>
      </c>
      <c r="E25" s="139"/>
      <c r="F25" s="140"/>
      <c r="G25" s="19" t="s">
        <v>1</v>
      </c>
      <c r="H25" s="160">
        <v>12239.388999999999</v>
      </c>
      <c r="I25" s="161"/>
      <c r="J25" s="135" t="s">
        <v>23</v>
      </c>
      <c r="K25" s="136"/>
    </row>
    <row r="26" spans="1:12" ht="20.100000000000001" customHeight="1" x14ac:dyDescent="0.2">
      <c r="A26" s="150" t="s">
        <v>18</v>
      </c>
      <c r="B26" s="151"/>
      <c r="C26" s="151"/>
      <c r="D26" s="141">
        <f>SUM(B5:B24)+SUM(E5:E24)</f>
        <v>3390</v>
      </c>
      <c r="E26" s="141"/>
      <c r="F26" s="142"/>
      <c r="G26" s="20" t="s">
        <v>22</v>
      </c>
      <c r="H26" s="158">
        <f>SUM(H5:H24)</f>
        <v>384</v>
      </c>
      <c r="I26" s="159"/>
      <c r="J26" s="137">
        <f>D27+H27</f>
        <v>11965.388999999999</v>
      </c>
      <c r="K26" s="138"/>
    </row>
    <row r="27" spans="1:12" ht="36.75" customHeight="1" thickBot="1" x14ac:dyDescent="0.25">
      <c r="A27" s="152" t="s">
        <v>7</v>
      </c>
      <c r="B27" s="153"/>
      <c r="C27" s="153"/>
      <c r="D27" s="154">
        <f>D25-D26-L24</f>
        <v>110</v>
      </c>
      <c r="E27" s="154"/>
      <c r="F27" s="155"/>
      <c r="G27" s="21" t="s">
        <v>7</v>
      </c>
      <c r="H27" s="133">
        <f>H25-H26</f>
        <v>11855.388999999999</v>
      </c>
      <c r="I27" s="134"/>
      <c r="J27" s="137"/>
      <c r="K27" s="138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71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D26-B10</f>
        <v>2641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35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5" t="s">
        <v>26</v>
      </c>
      <c r="K4" s="34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36"/>
      <c r="F5" s="36"/>
      <c r="G5" s="14">
        <v>44397</v>
      </c>
      <c r="H5" s="32">
        <v>84</v>
      </c>
      <c r="I5" s="32" t="s">
        <v>10</v>
      </c>
      <c r="J5" s="145"/>
      <c r="K5" s="145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36"/>
      <c r="F6" s="36"/>
      <c r="G6" s="14">
        <v>44400</v>
      </c>
      <c r="H6" s="32">
        <v>500</v>
      </c>
      <c r="I6" s="32" t="s">
        <v>8</v>
      </c>
      <c r="J6" s="145"/>
      <c r="K6" s="145"/>
    </row>
    <row r="7" spans="1:12" x14ac:dyDescent="0.2">
      <c r="A7" s="13">
        <v>44416</v>
      </c>
      <c r="B7" s="36">
        <f>65+42+26</f>
        <v>133</v>
      </c>
      <c r="C7" s="36" t="s">
        <v>74</v>
      </c>
      <c r="D7" s="13"/>
      <c r="E7" s="36"/>
      <c r="F7" s="36"/>
      <c r="G7" s="14"/>
      <c r="H7" s="32">
        <v>-200.30199999999999</v>
      </c>
      <c r="I7" s="32" t="s">
        <v>69</v>
      </c>
      <c r="J7" s="145"/>
      <c r="K7" s="145"/>
    </row>
    <row r="8" spans="1:12" x14ac:dyDescent="0.2">
      <c r="A8" s="13">
        <v>44420</v>
      </c>
      <c r="B8" s="36">
        <v>1674</v>
      </c>
      <c r="C8" s="36" t="s">
        <v>48</v>
      </c>
      <c r="D8" s="13"/>
      <c r="E8" s="36"/>
      <c r="F8" s="36"/>
      <c r="G8" s="14"/>
      <c r="H8" s="32">
        <v>4000</v>
      </c>
      <c r="I8" s="32" t="s">
        <v>22</v>
      </c>
      <c r="J8" s="145"/>
      <c r="K8" s="145"/>
    </row>
    <row r="9" spans="1:12" x14ac:dyDescent="0.2">
      <c r="A9" s="13"/>
      <c r="B9" s="36">
        <f>16+10+47</f>
        <v>73</v>
      </c>
      <c r="C9" s="36" t="s">
        <v>76</v>
      </c>
      <c r="D9" s="13"/>
      <c r="E9" s="36"/>
      <c r="F9" s="36"/>
      <c r="G9" s="14">
        <v>44415</v>
      </c>
      <c r="H9" s="32">
        <v>275</v>
      </c>
      <c r="I9" s="32" t="s">
        <v>75</v>
      </c>
      <c r="J9" s="145"/>
      <c r="K9" s="145"/>
    </row>
    <row r="10" spans="1:12" x14ac:dyDescent="0.2">
      <c r="A10" s="13">
        <v>44423</v>
      </c>
      <c r="B10" s="36">
        <v>200</v>
      </c>
      <c r="C10" s="36" t="s">
        <v>77</v>
      </c>
      <c r="D10" s="13"/>
      <c r="E10" s="36"/>
      <c r="F10" s="36"/>
      <c r="G10" s="14">
        <v>44418</v>
      </c>
      <c r="H10" s="32">
        <v>-6937.5</v>
      </c>
      <c r="I10" s="32"/>
      <c r="J10" s="145"/>
      <c r="K10" s="145"/>
    </row>
    <row r="11" spans="1:12" x14ac:dyDescent="0.2">
      <c r="A11" s="13"/>
      <c r="B11" s="36">
        <f>60+60+186</f>
        <v>306</v>
      </c>
      <c r="C11" s="36" t="s">
        <v>10</v>
      </c>
      <c r="D11" s="13"/>
      <c r="E11" s="36"/>
      <c r="F11" s="36"/>
      <c r="G11" s="14"/>
      <c r="H11" s="32">
        <f>-53.341-0.291</f>
        <v>-53.631999999999998</v>
      </c>
      <c r="I11" s="32"/>
      <c r="J11" s="145"/>
      <c r="K11" s="145"/>
    </row>
    <row r="12" spans="1:12" x14ac:dyDescent="0.2">
      <c r="A12" s="13"/>
      <c r="B12" s="36">
        <v>76</v>
      </c>
      <c r="C12" s="36" t="s">
        <v>10</v>
      </c>
      <c r="D12" s="13"/>
      <c r="E12" s="36"/>
      <c r="F12" s="36"/>
      <c r="G12" s="14">
        <v>44442</v>
      </c>
      <c r="H12" s="32">
        <f>200+143+50</f>
        <v>393</v>
      </c>
      <c r="I12" s="32"/>
      <c r="J12" s="145"/>
      <c r="K12" s="145"/>
    </row>
    <row r="13" spans="1:12" x14ac:dyDescent="0.2">
      <c r="A13" s="13">
        <v>44426</v>
      </c>
      <c r="B13" s="36">
        <f>55+12+12+6</f>
        <v>85</v>
      </c>
      <c r="C13" s="36" t="s">
        <v>10</v>
      </c>
      <c r="D13" s="13"/>
      <c r="E13" s="36"/>
      <c r="F13" s="36"/>
      <c r="G13" s="32"/>
      <c r="H13" s="32"/>
      <c r="I13" s="32"/>
      <c r="J13" s="145"/>
      <c r="K13" s="145"/>
    </row>
    <row r="14" spans="1:12" x14ac:dyDescent="0.2">
      <c r="A14" s="13"/>
      <c r="B14" s="36">
        <v>4</v>
      </c>
      <c r="C14" s="36" t="s">
        <v>78</v>
      </c>
      <c r="D14" s="13"/>
      <c r="E14" s="36"/>
      <c r="F14" s="36"/>
      <c r="G14" s="32"/>
      <c r="H14" s="32"/>
      <c r="I14" s="32"/>
      <c r="J14" s="145"/>
      <c r="K14" s="145"/>
    </row>
    <row r="15" spans="1:12" x14ac:dyDescent="0.2">
      <c r="A15" s="13">
        <v>44428</v>
      </c>
      <c r="B15" s="36">
        <f>40+130</f>
        <v>170</v>
      </c>
      <c r="C15" s="36" t="s">
        <v>79</v>
      </c>
      <c r="D15" s="13"/>
      <c r="E15" s="36"/>
      <c r="F15" s="36"/>
      <c r="G15" s="14"/>
      <c r="H15" s="32"/>
      <c r="I15" s="32"/>
      <c r="J15" s="145"/>
      <c r="K15" s="145"/>
    </row>
    <row r="16" spans="1:12" x14ac:dyDescent="0.2">
      <c r="A16" s="13">
        <v>44433</v>
      </c>
      <c r="B16" s="36">
        <v>38</v>
      </c>
      <c r="C16" s="36" t="s">
        <v>10</v>
      </c>
      <c r="D16" s="36"/>
      <c r="E16" s="36"/>
      <c r="F16" s="36"/>
      <c r="G16" s="14"/>
      <c r="H16" s="32"/>
      <c r="I16" s="32"/>
      <c r="J16" s="145"/>
      <c r="K16" s="145"/>
    </row>
    <row r="17" spans="1:12" x14ac:dyDescent="0.2">
      <c r="A17" s="13">
        <v>44439</v>
      </c>
      <c r="B17" s="36">
        <v>19</v>
      </c>
      <c r="C17" s="36" t="s">
        <v>10</v>
      </c>
      <c r="D17" s="36"/>
      <c r="E17" s="36"/>
      <c r="F17" s="36"/>
      <c r="G17" s="14"/>
      <c r="H17" s="32"/>
      <c r="I17" s="32"/>
      <c r="J17" s="145"/>
      <c r="K17" s="145"/>
    </row>
    <row r="18" spans="1:12" x14ac:dyDescent="0.2">
      <c r="A18" s="13"/>
      <c r="B18" s="36"/>
      <c r="C18" s="36"/>
      <c r="D18" s="36"/>
      <c r="E18" s="36"/>
      <c r="F18" s="36"/>
      <c r="G18" s="14"/>
      <c r="H18" s="32"/>
      <c r="I18" s="32"/>
      <c r="J18" s="145"/>
      <c r="K18" s="145"/>
    </row>
    <row r="19" spans="1:12" x14ac:dyDescent="0.2">
      <c r="A19" s="13"/>
      <c r="B19" s="36"/>
      <c r="C19" s="36"/>
      <c r="D19" s="36"/>
      <c r="E19" s="36"/>
      <c r="F19" s="36"/>
      <c r="G19" s="14"/>
      <c r="H19" s="32"/>
      <c r="I19" s="32"/>
      <c r="J19" s="33" t="s">
        <v>13</v>
      </c>
      <c r="K19" s="35">
        <v>8219</v>
      </c>
    </row>
    <row r="20" spans="1:12" x14ac:dyDescent="0.2">
      <c r="A20" s="13"/>
      <c r="B20" s="36"/>
      <c r="C20" s="36"/>
      <c r="D20" s="36"/>
      <c r="E20" s="36"/>
      <c r="F20" s="36"/>
      <c r="G20" s="32"/>
      <c r="H20" s="32"/>
      <c r="I20" s="32"/>
      <c r="J20" s="33" t="s">
        <v>14</v>
      </c>
      <c r="K20" s="35">
        <f>8293+21</f>
        <v>8314</v>
      </c>
    </row>
    <row r="21" spans="1:12" x14ac:dyDescent="0.2">
      <c r="A21" s="13"/>
      <c r="B21" s="36"/>
      <c r="C21" s="36"/>
      <c r="D21" s="36"/>
      <c r="E21" s="36"/>
      <c r="F21" s="36"/>
      <c r="G21" s="32"/>
      <c r="H21" s="32"/>
      <c r="I21" s="32"/>
      <c r="J21" s="33" t="s">
        <v>15</v>
      </c>
      <c r="K21" s="35">
        <f>K20-K19</f>
        <v>95</v>
      </c>
    </row>
    <row r="22" spans="1:12" x14ac:dyDescent="0.2">
      <c r="A22" s="13"/>
      <c r="B22" s="36"/>
      <c r="C22" s="36"/>
      <c r="D22" s="36"/>
      <c r="E22" s="36"/>
      <c r="F22" s="36"/>
      <c r="G22" s="32"/>
      <c r="H22" s="32"/>
      <c r="I22" s="32"/>
      <c r="J22" s="33" t="s">
        <v>0</v>
      </c>
      <c r="K22" s="35">
        <f>K21*3.5</f>
        <v>332.5</v>
      </c>
    </row>
    <row r="23" spans="1:12" x14ac:dyDescent="0.2">
      <c r="A23" s="13"/>
      <c r="B23" s="36"/>
      <c r="C23" s="36"/>
      <c r="D23" s="36"/>
      <c r="E23" s="36"/>
      <c r="F23" s="36"/>
      <c r="G23" s="32"/>
      <c r="H23" s="32"/>
      <c r="I23" s="32"/>
      <c r="J23" s="33" t="s">
        <v>16</v>
      </c>
      <c r="K23" s="35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3" t="s">
        <v>17</v>
      </c>
      <c r="K24" s="33">
        <f>K23+K22</f>
        <v>1812.5</v>
      </c>
      <c r="L24" s="2" t="s">
        <v>49</v>
      </c>
    </row>
    <row r="25" spans="1:12" ht="20.100000000000001" customHeight="1" x14ac:dyDescent="0.2">
      <c r="A25" s="148" t="s">
        <v>1</v>
      </c>
      <c r="B25" s="149"/>
      <c r="C25" s="149"/>
      <c r="D25" s="139">
        <v>4110</v>
      </c>
      <c r="E25" s="139"/>
      <c r="F25" s="140"/>
      <c r="G25" s="19" t="s">
        <v>1</v>
      </c>
      <c r="H25" s="160">
        <v>12239.388999999999</v>
      </c>
      <c r="I25" s="161"/>
      <c r="J25" s="135" t="s">
        <v>23</v>
      </c>
      <c r="K25" s="136"/>
    </row>
    <row r="26" spans="1:12" ht="20.100000000000001" customHeight="1" x14ac:dyDescent="0.2">
      <c r="A26" s="150" t="s">
        <v>18</v>
      </c>
      <c r="B26" s="151"/>
      <c r="C26" s="151"/>
      <c r="D26" s="141">
        <f>SUM(B5:B24)+SUM(E5:E24)</f>
        <v>2841</v>
      </c>
      <c r="E26" s="141"/>
      <c r="F26" s="142"/>
      <c r="G26" s="20" t="s">
        <v>22</v>
      </c>
      <c r="H26" s="158">
        <f>SUM(H5:H24)</f>
        <v>-1939.4339999999997</v>
      </c>
      <c r="I26" s="159"/>
      <c r="J26" s="137">
        <f>D27+H27</f>
        <v>15447.822999999999</v>
      </c>
      <c r="K26" s="138"/>
    </row>
    <row r="27" spans="1:12" ht="36.75" customHeight="1" thickBot="1" x14ac:dyDescent="0.25">
      <c r="A27" s="152" t="s">
        <v>7</v>
      </c>
      <c r="B27" s="153"/>
      <c r="C27" s="153"/>
      <c r="D27" s="154">
        <f>D25-D26</f>
        <v>1269</v>
      </c>
      <c r="E27" s="154"/>
      <c r="F27" s="155"/>
      <c r="G27" s="21" t="s">
        <v>7</v>
      </c>
      <c r="H27" s="133">
        <f>H25-H26</f>
        <v>14178.822999999999</v>
      </c>
      <c r="I27" s="134"/>
      <c r="J27" s="137"/>
      <c r="K27" s="138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80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D26-B19</f>
        <v>3020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40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0" t="s">
        <v>26</v>
      </c>
      <c r="K4" s="39">
        <f>K1/K3</f>
        <v>100.66666666666667</v>
      </c>
      <c r="L4" s="10"/>
    </row>
    <row r="5" spans="1:12" x14ac:dyDescent="0.2">
      <c r="A5" s="13">
        <v>44440</v>
      </c>
      <c r="B5" s="41">
        <v>140</v>
      </c>
      <c r="C5" s="41" t="s">
        <v>81</v>
      </c>
      <c r="D5" s="13"/>
      <c r="E5" s="41"/>
      <c r="F5" s="41"/>
      <c r="G5" s="14">
        <v>44397</v>
      </c>
      <c r="H5" s="37">
        <v>84</v>
      </c>
      <c r="I5" s="37" t="s">
        <v>10</v>
      </c>
      <c r="J5" s="145"/>
      <c r="K5" s="145"/>
    </row>
    <row r="6" spans="1:12" x14ac:dyDescent="0.2">
      <c r="A6" s="13">
        <v>44441</v>
      </c>
      <c r="B6" s="41">
        <f>24+35</f>
        <v>59</v>
      </c>
      <c r="C6" s="41" t="s">
        <v>10</v>
      </c>
      <c r="D6" s="13"/>
      <c r="E6" s="41"/>
      <c r="F6" s="41"/>
      <c r="G6" s="14">
        <v>44400</v>
      </c>
      <c r="H6" s="37">
        <v>500</v>
      </c>
      <c r="I6" s="37" t="s">
        <v>8</v>
      </c>
      <c r="J6" s="145"/>
      <c r="K6" s="145"/>
    </row>
    <row r="7" spans="1:12" x14ac:dyDescent="0.2">
      <c r="A7" s="13">
        <v>44442</v>
      </c>
      <c r="B7" s="41">
        <v>40</v>
      </c>
      <c r="C7" s="41" t="s">
        <v>10</v>
      </c>
      <c r="D7" s="13"/>
      <c r="E7" s="41"/>
      <c r="F7" s="41"/>
      <c r="G7" s="14"/>
      <c r="H7" s="37">
        <v>-200.30199999999999</v>
      </c>
      <c r="I7" s="37" t="s">
        <v>69</v>
      </c>
      <c r="J7" s="145"/>
      <c r="K7" s="145"/>
    </row>
    <row r="8" spans="1:12" x14ac:dyDescent="0.2">
      <c r="A8" s="13">
        <v>44443</v>
      </c>
      <c r="B8" s="41">
        <v>366</v>
      </c>
      <c r="C8" s="41" t="s">
        <v>10</v>
      </c>
      <c r="D8" s="13"/>
      <c r="E8" s="41"/>
      <c r="F8" s="41"/>
      <c r="G8" s="14"/>
      <c r="H8" s="37">
        <v>4000</v>
      </c>
      <c r="I8" s="37" t="s">
        <v>22</v>
      </c>
      <c r="J8" s="145"/>
      <c r="K8" s="145"/>
    </row>
    <row r="9" spans="1:12" x14ac:dyDescent="0.2">
      <c r="A9" s="13">
        <v>44444</v>
      </c>
      <c r="B9" s="41">
        <f>50+17</f>
        <v>67</v>
      </c>
      <c r="C9" s="41" t="s">
        <v>10</v>
      </c>
      <c r="D9" s="13"/>
      <c r="E9" s="41"/>
      <c r="F9" s="41"/>
      <c r="G9" s="14">
        <v>44415</v>
      </c>
      <c r="H9" s="37">
        <v>275</v>
      </c>
      <c r="I9" s="37" t="s">
        <v>75</v>
      </c>
      <c r="J9" s="145"/>
      <c r="K9" s="145"/>
    </row>
    <row r="10" spans="1:12" x14ac:dyDescent="0.2">
      <c r="A10" s="13">
        <v>44445</v>
      </c>
      <c r="B10" s="41">
        <f>23+13</f>
        <v>36</v>
      </c>
      <c r="C10" s="41" t="s">
        <v>10</v>
      </c>
      <c r="D10" s="13"/>
      <c r="E10" s="41"/>
      <c r="F10" s="41"/>
      <c r="G10" s="14">
        <v>44418</v>
      </c>
      <c r="H10" s="37">
        <v>-6937.5</v>
      </c>
      <c r="I10" s="37" t="s">
        <v>82</v>
      </c>
      <c r="J10" s="145"/>
      <c r="K10" s="145"/>
    </row>
    <row r="11" spans="1:12" x14ac:dyDescent="0.2">
      <c r="A11" s="13">
        <v>44449</v>
      </c>
      <c r="B11" s="41">
        <f>27+25+12+14</f>
        <v>78</v>
      </c>
      <c r="C11" s="41" t="s">
        <v>10</v>
      </c>
      <c r="D11" s="13"/>
      <c r="E11" s="41"/>
      <c r="F11" s="41"/>
      <c r="G11" s="14"/>
      <c r="H11" s="37">
        <f>-53.341-0.291</f>
        <v>-53.631999999999998</v>
      </c>
      <c r="I11" s="37" t="s">
        <v>54</v>
      </c>
      <c r="J11" s="145"/>
      <c r="K11" s="145"/>
    </row>
    <row r="12" spans="1:12" x14ac:dyDescent="0.2">
      <c r="A12" s="13">
        <v>44450</v>
      </c>
      <c r="B12" s="41">
        <f>91+25</f>
        <v>116</v>
      </c>
      <c r="C12" s="41" t="s">
        <v>10</v>
      </c>
      <c r="D12" s="13"/>
      <c r="E12" s="41"/>
      <c r="F12" s="41"/>
      <c r="G12" s="14">
        <v>44442</v>
      </c>
      <c r="H12" s="37">
        <f>200+143+50</f>
        <v>393</v>
      </c>
      <c r="I12" s="37" t="s">
        <v>83</v>
      </c>
      <c r="J12" s="145"/>
      <c r="K12" s="145"/>
    </row>
    <row r="13" spans="1:12" x14ac:dyDescent="0.2">
      <c r="A13" s="13">
        <v>44452</v>
      </c>
      <c r="B13" s="41">
        <v>57</v>
      </c>
      <c r="C13" s="41" t="s">
        <v>10</v>
      </c>
      <c r="D13" s="13"/>
      <c r="E13" s="41"/>
      <c r="F13" s="41"/>
      <c r="G13" s="14">
        <v>44445</v>
      </c>
      <c r="H13" s="42">
        <v>-6937.5</v>
      </c>
      <c r="I13" s="37" t="s">
        <v>90</v>
      </c>
      <c r="J13" s="145"/>
      <c r="K13" s="145"/>
    </row>
    <row r="14" spans="1:12" x14ac:dyDescent="0.2">
      <c r="A14" s="13">
        <v>44454</v>
      </c>
      <c r="B14" s="41">
        <f>15+18</f>
        <v>33</v>
      </c>
      <c r="C14" s="41" t="s">
        <v>10</v>
      </c>
      <c r="D14" s="13"/>
      <c r="E14" s="41"/>
      <c r="F14" s="41"/>
      <c r="G14" s="37"/>
      <c r="H14" s="37">
        <v>28.1</v>
      </c>
      <c r="I14" s="37" t="s">
        <v>10</v>
      </c>
      <c r="J14" s="145"/>
      <c r="K14" s="145"/>
    </row>
    <row r="15" spans="1:12" x14ac:dyDescent="0.2">
      <c r="A15" s="13">
        <v>44459</v>
      </c>
      <c r="B15" s="41">
        <f>16+22+60</f>
        <v>98</v>
      </c>
      <c r="C15" s="41" t="s">
        <v>10</v>
      </c>
      <c r="D15" s="13"/>
      <c r="E15" s="41"/>
      <c r="F15" s="41"/>
      <c r="G15" s="14">
        <v>44459</v>
      </c>
      <c r="H15" s="37">
        <f>5000+2000+200+231-2050</f>
        <v>5381</v>
      </c>
      <c r="I15" s="37" t="s">
        <v>84</v>
      </c>
      <c r="J15" s="145"/>
      <c r="K15" s="145"/>
    </row>
    <row r="16" spans="1:12" x14ac:dyDescent="0.2">
      <c r="A16" s="13"/>
      <c r="B16" s="41">
        <f>1755</f>
        <v>1755</v>
      </c>
      <c r="C16" s="41" t="s">
        <v>48</v>
      </c>
      <c r="D16" s="41"/>
      <c r="E16" s="41"/>
      <c r="F16" s="41"/>
      <c r="G16" s="14">
        <v>44466</v>
      </c>
      <c r="H16" s="37">
        <f>400+2000-0.397+310.89</f>
        <v>2710.4929999999999</v>
      </c>
      <c r="I16" s="37" t="s">
        <v>89</v>
      </c>
      <c r="J16" s="145"/>
      <c r="K16" s="145"/>
    </row>
    <row r="17" spans="1:12" x14ac:dyDescent="0.2">
      <c r="A17" s="13">
        <v>44466</v>
      </c>
      <c r="B17" s="41">
        <f>20+22+23+40</f>
        <v>105</v>
      </c>
      <c r="C17" s="41" t="s">
        <v>86</v>
      </c>
      <c r="D17" s="41"/>
      <c r="E17" s="41"/>
      <c r="F17" s="41"/>
      <c r="G17" s="14"/>
      <c r="H17" s="37"/>
      <c r="I17" s="37"/>
      <c r="J17" s="145"/>
      <c r="K17" s="145"/>
    </row>
    <row r="18" spans="1:12" x14ac:dyDescent="0.2">
      <c r="A18" s="13"/>
      <c r="B18" s="41">
        <v>70</v>
      </c>
      <c r="C18" s="41" t="s">
        <v>85</v>
      </c>
      <c r="D18" s="41"/>
      <c r="E18" s="41"/>
      <c r="F18" s="41"/>
      <c r="G18" s="14"/>
      <c r="H18" s="37"/>
      <c r="I18" s="37"/>
      <c r="J18" s="145"/>
      <c r="K18" s="145"/>
    </row>
    <row r="19" spans="1:12" x14ac:dyDescent="0.2">
      <c r="A19" s="13"/>
      <c r="B19" s="41">
        <v>350</v>
      </c>
      <c r="C19" s="41" t="s">
        <v>87</v>
      </c>
      <c r="D19" s="41"/>
      <c r="E19" s="41"/>
      <c r="F19" s="41"/>
      <c r="G19" s="14"/>
      <c r="H19" s="37"/>
      <c r="I19" s="37"/>
      <c r="J19" s="38" t="s">
        <v>13</v>
      </c>
      <c r="K19" s="40">
        <v>8219</v>
      </c>
    </row>
    <row r="20" spans="1:12" x14ac:dyDescent="0.2">
      <c r="A20" s="13"/>
      <c r="B20" s="41"/>
      <c r="C20" s="41"/>
      <c r="D20" s="41"/>
      <c r="E20" s="41"/>
      <c r="F20" s="41"/>
      <c r="G20" s="37"/>
      <c r="H20" s="37"/>
      <c r="I20" s="37"/>
      <c r="J20" s="38" t="s">
        <v>14</v>
      </c>
      <c r="K20" s="40">
        <v>8326</v>
      </c>
    </row>
    <row r="21" spans="1:12" x14ac:dyDescent="0.2">
      <c r="A21" s="13"/>
      <c r="B21" s="41"/>
      <c r="C21" s="41"/>
      <c r="D21" s="41"/>
      <c r="E21" s="41"/>
      <c r="F21" s="41"/>
      <c r="G21" s="37"/>
      <c r="H21" s="37"/>
      <c r="I21" s="37"/>
      <c r="J21" s="38" t="s">
        <v>15</v>
      </c>
      <c r="K21" s="40">
        <f>K20-K19</f>
        <v>107</v>
      </c>
    </row>
    <row r="22" spans="1:12" x14ac:dyDescent="0.2">
      <c r="A22" s="13"/>
      <c r="B22" s="41"/>
      <c r="C22" s="41"/>
      <c r="D22" s="41"/>
      <c r="E22" s="41"/>
      <c r="F22" s="41"/>
      <c r="G22" s="37"/>
      <c r="H22" s="37"/>
      <c r="I22" s="37"/>
      <c r="J22" s="38" t="s">
        <v>0</v>
      </c>
      <c r="K22" s="40">
        <f>K21*3.5</f>
        <v>374.5</v>
      </c>
    </row>
    <row r="23" spans="1:12" x14ac:dyDescent="0.2">
      <c r="A23" s="13"/>
      <c r="B23" s="41"/>
      <c r="C23" s="41"/>
      <c r="D23" s="41"/>
      <c r="E23" s="41"/>
      <c r="F23" s="41"/>
      <c r="G23" s="37"/>
      <c r="H23" s="37"/>
      <c r="I23" s="37"/>
      <c r="J23" s="38" t="s">
        <v>16</v>
      </c>
      <c r="K23" s="40">
        <f>1300+80</f>
        <v>1380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8" t="s">
        <v>17</v>
      </c>
      <c r="K24" s="38">
        <f>K23+K22</f>
        <v>1754.5</v>
      </c>
      <c r="L24" s="2" t="s">
        <v>49</v>
      </c>
    </row>
    <row r="25" spans="1:12" ht="20.100000000000001" customHeight="1" x14ac:dyDescent="0.2">
      <c r="A25" s="148" t="s">
        <v>1</v>
      </c>
      <c r="B25" s="149"/>
      <c r="C25" s="149"/>
      <c r="D25" s="139">
        <f>1269+5000+300</f>
        <v>6569</v>
      </c>
      <c r="E25" s="139"/>
      <c r="F25" s="140"/>
      <c r="G25" s="19" t="s">
        <v>1</v>
      </c>
      <c r="H25" s="160">
        <v>12239.388999999999</v>
      </c>
      <c r="I25" s="161"/>
      <c r="J25" s="135" t="s">
        <v>23</v>
      </c>
      <c r="K25" s="136"/>
    </row>
    <row r="26" spans="1:12" ht="20.100000000000001" customHeight="1" x14ac:dyDescent="0.2">
      <c r="A26" s="150" t="s">
        <v>18</v>
      </c>
      <c r="B26" s="151"/>
      <c r="C26" s="151"/>
      <c r="D26" s="141">
        <f>SUM(B5:B24)+SUM(E5:E24)</f>
        <v>3370</v>
      </c>
      <c r="E26" s="141"/>
      <c r="F26" s="142"/>
      <c r="G26" s="20" t="s">
        <v>22</v>
      </c>
      <c r="H26" s="158">
        <f>SUM(H5:H24)</f>
        <v>-757.34099999999899</v>
      </c>
      <c r="I26" s="159"/>
      <c r="J26" s="137">
        <f>D27+H27</f>
        <v>16195.729999999998</v>
      </c>
      <c r="K26" s="138"/>
    </row>
    <row r="27" spans="1:12" ht="36.75" customHeight="1" thickBot="1" x14ac:dyDescent="0.25">
      <c r="A27" s="152" t="s">
        <v>7</v>
      </c>
      <c r="B27" s="153"/>
      <c r="C27" s="153"/>
      <c r="D27" s="154">
        <f>D25-D26</f>
        <v>3199</v>
      </c>
      <c r="E27" s="154"/>
      <c r="F27" s="155"/>
      <c r="G27" s="21" t="s">
        <v>7</v>
      </c>
      <c r="H27" s="133">
        <f>H25-H26</f>
        <v>12996.729999999998</v>
      </c>
      <c r="I27" s="134"/>
      <c r="J27" s="137"/>
      <c r="K27" s="138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88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D26-B13</f>
        <v>3526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46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6" t="s">
        <v>26</v>
      </c>
      <c r="K4" s="45">
        <f>K1/K3</f>
        <v>113.74193548387096</v>
      </c>
      <c r="L4" s="10"/>
    </row>
    <row r="5" spans="1:12" x14ac:dyDescent="0.2">
      <c r="A5" s="13">
        <v>44470</v>
      </c>
      <c r="B5" s="43">
        <f>106</f>
        <v>106</v>
      </c>
      <c r="C5" s="43" t="s">
        <v>36</v>
      </c>
      <c r="D5" s="13"/>
      <c r="E5" s="43"/>
      <c r="F5" s="43"/>
      <c r="G5" s="14">
        <v>44470</v>
      </c>
      <c r="H5" s="47">
        <v>124</v>
      </c>
      <c r="I5" s="47" t="s">
        <v>32</v>
      </c>
      <c r="J5" s="145"/>
      <c r="K5" s="145"/>
    </row>
    <row r="6" spans="1:12" x14ac:dyDescent="0.2">
      <c r="A6" s="13">
        <v>44471</v>
      </c>
      <c r="B6" s="43">
        <f>371+55+13+20+10+514+8</f>
        <v>991</v>
      </c>
      <c r="C6" s="43" t="s">
        <v>92</v>
      </c>
      <c r="D6" s="13"/>
      <c r="E6" s="43"/>
      <c r="F6" s="43"/>
      <c r="G6" s="14">
        <v>44471</v>
      </c>
      <c r="H6" s="47">
        <f>79.2+3000+90</f>
        <v>3169.2</v>
      </c>
      <c r="I6" s="47" t="s">
        <v>91</v>
      </c>
      <c r="J6" s="145"/>
      <c r="K6" s="145"/>
    </row>
    <row r="7" spans="1:12" x14ac:dyDescent="0.2">
      <c r="A7" s="13">
        <v>44474</v>
      </c>
      <c r="B7" s="43">
        <v>1772</v>
      </c>
      <c r="C7" s="43" t="s">
        <v>48</v>
      </c>
      <c r="D7" s="13"/>
      <c r="E7" s="43"/>
      <c r="F7" s="43"/>
      <c r="G7" s="14"/>
      <c r="H7" s="47">
        <f>-6937.5-400+30</f>
        <v>-7307.5</v>
      </c>
      <c r="I7" s="47"/>
      <c r="J7" s="145"/>
      <c r="K7" s="145"/>
    </row>
    <row r="8" spans="1:12" x14ac:dyDescent="0.2">
      <c r="A8" s="13">
        <v>44477</v>
      </c>
      <c r="B8" s="43">
        <v>194</v>
      </c>
      <c r="C8" s="43" t="s">
        <v>8</v>
      </c>
      <c r="D8" s="13"/>
      <c r="E8" s="43"/>
      <c r="F8" s="43"/>
      <c r="G8" s="14"/>
      <c r="H8" s="47">
        <f>-1800-2000+120</f>
        <v>-3680</v>
      </c>
      <c r="I8" s="47"/>
      <c r="J8" s="145"/>
      <c r="K8" s="145"/>
    </row>
    <row r="9" spans="1:12" x14ac:dyDescent="0.2">
      <c r="A9" s="13">
        <v>44479</v>
      </c>
      <c r="B9" s="43">
        <f>17+27</f>
        <v>44</v>
      </c>
      <c r="C9" s="43" t="s">
        <v>74</v>
      </c>
      <c r="D9" s="13"/>
      <c r="E9" s="43"/>
      <c r="F9" s="43"/>
      <c r="G9" s="14">
        <v>44496</v>
      </c>
      <c r="H9" s="47">
        <v>2000</v>
      </c>
      <c r="I9" s="47" t="s">
        <v>98</v>
      </c>
      <c r="J9" s="145"/>
      <c r="K9" s="145"/>
    </row>
    <row r="10" spans="1:12" x14ac:dyDescent="0.2">
      <c r="A10" s="13"/>
      <c r="B10" s="43">
        <v>30</v>
      </c>
      <c r="C10" s="43" t="s">
        <v>45</v>
      </c>
      <c r="D10" s="13"/>
      <c r="E10" s="43"/>
      <c r="F10" s="43"/>
      <c r="G10" s="14">
        <v>11628</v>
      </c>
      <c r="H10" s="47">
        <f>105-0.464</f>
        <v>104.536</v>
      </c>
      <c r="I10" s="47" t="s">
        <v>10</v>
      </c>
      <c r="J10" s="145"/>
      <c r="K10" s="145"/>
    </row>
    <row r="11" spans="1:12" x14ac:dyDescent="0.2">
      <c r="A11" s="13">
        <v>44488</v>
      </c>
      <c r="B11" s="43">
        <v>30</v>
      </c>
      <c r="C11" s="43" t="s">
        <v>93</v>
      </c>
      <c r="D11" s="13"/>
      <c r="E11" s="43"/>
      <c r="F11" s="43"/>
      <c r="G11" s="14"/>
      <c r="H11" s="14"/>
      <c r="I11" s="47"/>
      <c r="J11" s="145"/>
      <c r="K11" s="145"/>
    </row>
    <row r="12" spans="1:12" x14ac:dyDescent="0.2">
      <c r="A12" s="13"/>
      <c r="B12" s="43">
        <v>132</v>
      </c>
      <c r="C12" s="43" t="s">
        <v>94</v>
      </c>
      <c r="D12" s="13"/>
      <c r="E12" s="43"/>
      <c r="F12" s="43"/>
      <c r="G12" s="14"/>
      <c r="H12" s="47"/>
      <c r="I12" s="47"/>
      <c r="J12" s="145"/>
      <c r="K12" s="145"/>
    </row>
    <row r="13" spans="1:12" x14ac:dyDescent="0.2">
      <c r="A13" s="13">
        <v>44490</v>
      </c>
      <c r="B13" s="43">
        <v>150</v>
      </c>
      <c r="C13" s="43" t="s">
        <v>95</v>
      </c>
      <c r="D13" s="13"/>
      <c r="E13" s="43"/>
      <c r="F13" s="43"/>
      <c r="G13" s="14"/>
      <c r="H13" s="47"/>
      <c r="I13" s="47"/>
      <c r="J13" s="145"/>
      <c r="K13" s="145"/>
    </row>
    <row r="14" spans="1:12" x14ac:dyDescent="0.2">
      <c r="A14" s="13">
        <v>44494</v>
      </c>
      <c r="B14" s="43">
        <v>45</v>
      </c>
      <c r="C14" s="43" t="s">
        <v>45</v>
      </c>
      <c r="D14" s="13"/>
      <c r="E14" s="43"/>
      <c r="F14" s="43"/>
      <c r="G14" s="47"/>
      <c r="H14" s="47"/>
      <c r="I14" s="47"/>
      <c r="J14" s="145"/>
      <c r="K14" s="145"/>
    </row>
    <row r="15" spans="1:12" x14ac:dyDescent="0.2">
      <c r="A15" s="13">
        <v>44497</v>
      </c>
      <c r="B15" s="43">
        <v>22</v>
      </c>
      <c r="C15" s="43" t="s">
        <v>10</v>
      </c>
      <c r="D15" s="13"/>
      <c r="E15" s="43"/>
      <c r="F15" s="43"/>
      <c r="G15" s="14"/>
      <c r="H15" s="47"/>
      <c r="I15" s="47"/>
      <c r="J15" s="145"/>
      <c r="K15" s="145"/>
    </row>
    <row r="16" spans="1:12" x14ac:dyDescent="0.2">
      <c r="A16" s="13">
        <v>44498</v>
      </c>
      <c r="B16" s="43">
        <f>5+27</f>
        <v>32</v>
      </c>
      <c r="C16" s="43" t="s">
        <v>96</v>
      </c>
      <c r="D16" s="43"/>
      <c r="E16" s="43"/>
      <c r="F16" s="43"/>
      <c r="G16" s="14"/>
      <c r="H16" s="47"/>
      <c r="I16" s="47"/>
      <c r="J16" s="145"/>
      <c r="K16" s="145"/>
    </row>
    <row r="17" spans="1:12" x14ac:dyDescent="0.2">
      <c r="A17" s="13">
        <v>44500</v>
      </c>
      <c r="B17" s="43">
        <f>65+43+20</f>
        <v>128</v>
      </c>
      <c r="C17" s="43" t="s">
        <v>97</v>
      </c>
      <c r="D17" s="43"/>
      <c r="E17" s="43"/>
      <c r="F17" s="43"/>
      <c r="G17" s="14"/>
      <c r="H17" s="47"/>
      <c r="I17" s="47"/>
      <c r="J17" s="145"/>
      <c r="K17" s="145"/>
    </row>
    <row r="18" spans="1:12" x14ac:dyDescent="0.2">
      <c r="A18" s="13"/>
      <c r="B18" s="43"/>
      <c r="C18" s="43"/>
      <c r="D18" s="43"/>
      <c r="E18" s="43"/>
      <c r="F18" s="43"/>
      <c r="G18" s="14"/>
      <c r="H18" s="47"/>
      <c r="I18" s="47"/>
      <c r="J18" s="145"/>
      <c r="K18" s="145"/>
    </row>
    <row r="19" spans="1:12" x14ac:dyDescent="0.2">
      <c r="A19" s="13"/>
      <c r="B19" s="43"/>
      <c r="C19" s="43"/>
      <c r="D19" s="43"/>
      <c r="E19" s="43"/>
      <c r="F19" s="43"/>
      <c r="G19" s="14"/>
      <c r="H19" s="47"/>
      <c r="I19" s="47"/>
      <c r="J19" s="44" t="s">
        <v>13</v>
      </c>
      <c r="K19" s="46">
        <v>8410</v>
      </c>
    </row>
    <row r="20" spans="1:12" x14ac:dyDescent="0.2">
      <c r="A20" s="13"/>
      <c r="B20" s="43"/>
      <c r="C20" s="43"/>
      <c r="D20" s="43"/>
      <c r="E20" s="43"/>
      <c r="F20" s="43"/>
      <c r="G20" s="47"/>
      <c r="H20" s="47"/>
      <c r="I20" s="47"/>
      <c r="J20" s="44" t="s">
        <v>14</v>
      </c>
      <c r="K20" s="46">
        <v>8482</v>
      </c>
    </row>
    <row r="21" spans="1:12" x14ac:dyDescent="0.2">
      <c r="A21" s="13"/>
      <c r="B21" s="43"/>
      <c r="C21" s="43"/>
      <c r="D21" s="43"/>
      <c r="E21" s="43"/>
      <c r="F21" s="43"/>
      <c r="G21" s="47"/>
      <c r="H21" s="47"/>
      <c r="I21" s="47"/>
      <c r="J21" s="44" t="s">
        <v>15</v>
      </c>
      <c r="K21" s="46">
        <f>K20-K19</f>
        <v>72</v>
      </c>
    </row>
    <row r="22" spans="1:12" x14ac:dyDescent="0.2">
      <c r="A22" s="13"/>
      <c r="B22" s="43"/>
      <c r="C22" s="43"/>
      <c r="D22" s="43"/>
      <c r="E22" s="43"/>
      <c r="F22" s="43"/>
      <c r="G22" s="47"/>
      <c r="H22" s="47"/>
      <c r="I22" s="47"/>
      <c r="J22" s="44" t="s">
        <v>0</v>
      </c>
      <c r="K22" s="46">
        <f>K21*3.5</f>
        <v>252</v>
      </c>
    </row>
    <row r="23" spans="1:12" x14ac:dyDescent="0.2">
      <c r="A23" s="13"/>
      <c r="B23" s="43"/>
      <c r="C23" s="43"/>
      <c r="D23" s="43"/>
      <c r="E23" s="43"/>
      <c r="F23" s="43"/>
      <c r="G23" s="47"/>
      <c r="H23" s="47"/>
      <c r="I23" s="47"/>
      <c r="J23" s="44" t="s">
        <v>16</v>
      </c>
      <c r="K23" s="46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44" t="s">
        <v>17</v>
      </c>
      <c r="K24" s="44">
        <f>K23+K22</f>
        <v>1732</v>
      </c>
      <c r="L24" s="2" t="s">
        <v>49</v>
      </c>
    </row>
    <row r="25" spans="1:12" ht="20.100000000000001" customHeight="1" x14ac:dyDescent="0.2">
      <c r="A25" s="148" t="s">
        <v>1</v>
      </c>
      <c r="B25" s="149"/>
      <c r="C25" s="149"/>
      <c r="D25" s="139">
        <f>3199+3000+1000</f>
        <v>7199</v>
      </c>
      <c r="E25" s="139"/>
      <c r="F25" s="140"/>
      <c r="G25" s="19" t="s">
        <v>1</v>
      </c>
      <c r="H25" s="160">
        <v>12996.73</v>
      </c>
      <c r="I25" s="161"/>
      <c r="J25" s="135" t="s">
        <v>23</v>
      </c>
      <c r="K25" s="136"/>
    </row>
    <row r="26" spans="1:12" ht="20.100000000000001" customHeight="1" x14ac:dyDescent="0.2">
      <c r="A26" s="150" t="s">
        <v>18</v>
      </c>
      <c r="B26" s="151"/>
      <c r="C26" s="151"/>
      <c r="D26" s="141">
        <f>SUM(B5:B24)+SUM(E5:E24)</f>
        <v>3676</v>
      </c>
      <c r="E26" s="141"/>
      <c r="F26" s="142"/>
      <c r="G26" s="20" t="s">
        <v>22</v>
      </c>
      <c r="H26" s="158">
        <f>SUM(H5:H24)</f>
        <v>-5589.7640000000001</v>
      </c>
      <c r="I26" s="159"/>
      <c r="J26" s="137">
        <f>D27+H27</f>
        <v>22109.493999999999</v>
      </c>
      <c r="K26" s="138"/>
    </row>
    <row r="27" spans="1:12" ht="36.75" customHeight="1" thickBot="1" x14ac:dyDescent="0.25">
      <c r="A27" s="152" t="s">
        <v>7</v>
      </c>
      <c r="B27" s="153"/>
      <c r="C27" s="153"/>
      <c r="D27" s="154">
        <f>D25-D26</f>
        <v>3523</v>
      </c>
      <c r="E27" s="154"/>
      <c r="F27" s="155"/>
      <c r="G27" s="21" t="s">
        <v>7</v>
      </c>
      <c r="H27" s="133">
        <f>H25-H26</f>
        <v>18586.493999999999</v>
      </c>
      <c r="I27" s="134"/>
      <c r="J27" s="137"/>
      <c r="K27" s="138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88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D26-B12</f>
        <v>2648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5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51" t="s">
        <v>26</v>
      </c>
      <c r="K4" s="50">
        <f>K1/K3</f>
        <v>88.266666666666666</v>
      </c>
      <c r="L4" s="10"/>
    </row>
    <row r="5" spans="1:12" x14ac:dyDescent="0.2">
      <c r="A5" s="13">
        <v>44501</v>
      </c>
      <c r="B5" s="53">
        <f>31+30+10</f>
        <v>71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2" t="s">
        <v>32</v>
      </c>
      <c r="J5" s="162">
        <f>SUM(H5:H24)</f>
        <v>-2007.1869999999999</v>
      </c>
      <c r="K5" s="145"/>
    </row>
    <row r="6" spans="1:12" x14ac:dyDescent="0.2">
      <c r="A6" s="13">
        <v>44504</v>
      </c>
      <c r="B6" s="53">
        <f>50+(544-180)-100-10</f>
        <v>304</v>
      </c>
      <c r="C6" s="57" t="s">
        <v>100</v>
      </c>
      <c r="D6" s="13"/>
      <c r="E6" s="53"/>
      <c r="F6" s="57"/>
      <c r="G6" s="14">
        <v>44471</v>
      </c>
      <c r="H6" s="55">
        <f>79.2+3000+90</f>
        <v>3169.2</v>
      </c>
      <c r="I6" s="52" t="s">
        <v>91</v>
      </c>
      <c r="J6" s="145"/>
      <c r="K6" s="145"/>
    </row>
    <row r="7" spans="1:12" x14ac:dyDescent="0.2">
      <c r="A7" s="13">
        <v>44508</v>
      </c>
      <c r="B7" s="53">
        <f>20+10+27</f>
        <v>57</v>
      </c>
      <c r="C7" s="57" t="s">
        <v>10</v>
      </c>
      <c r="D7" s="13"/>
      <c r="E7" s="53"/>
      <c r="F7" s="57"/>
      <c r="G7" s="14"/>
      <c r="H7" s="55">
        <f>-6937.5-400+30</f>
        <v>-7307.5</v>
      </c>
      <c r="I7" s="52"/>
      <c r="J7" s="145"/>
      <c r="K7" s="145"/>
    </row>
    <row r="8" spans="1:12" x14ac:dyDescent="0.2">
      <c r="A8" s="13">
        <v>44510</v>
      </c>
      <c r="B8" s="53">
        <f>65+7</f>
        <v>72</v>
      </c>
      <c r="C8" s="57" t="s">
        <v>102</v>
      </c>
      <c r="D8" s="13"/>
      <c r="E8" s="53"/>
      <c r="F8" s="57"/>
      <c r="G8" s="14"/>
      <c r="H8" s="55">
        <f>-1800-2000+120</f>
        <v>-3680</v>
      </c>
      <c r="I8" s="52"/>
      <c r="J8" s="145"/>
      <c r="K8" s="145"/>
    </row>
    <row r="9" spans="1:12" x14ac:dyDescent="0.2">
      <c r="A9" s="13">
        <v>44511</v>
      </c>
      <c r="B9" s="53">
        <f>20+35</f>
        <v>55</v>
      </c>
      <c r="C9" s="57" t="s">
        <v>10</v>
      </c>
      <c r="D9" s="13"/>
      <c r="E9" s="53"/>
      <c r="F9" s="57"/>
      <c r="G9" s="14">
        <v>44496</v>
      </c>
      <c r="H9" s="55">
        <v>2000</v>
      </c>
      <c r="I9" s="52" t="s">
        <v>98</v>
      </c>
      <c r="J9" s="145"/>
      <c r="K9" s="145"/>
    </row>
    <row r="10" spans="1:12" x14ac:dyDescent="0.2">
      <c r="A10" s="13"/>
      <c r="B10" s="53">
        <v>97</v>
      </c>
      <c r="C10" s="57" t="s">
        <v>103</v>
      </c>
      <c r="D10" s="13"/>
      <c r="E10" s="53"/>
      <c r="F10" s="57"/>
      <c r="G10" s="14">
        <v>11628</v>
      </c>
      <c r="H10" s="55">
        <f>105-0.464</f>
        <v>104.536</v>
      </c>
      <c r="I10" s="52" t="s">
        <v>10</v>
      </c>
      <c r="J10" s="145"/>
      <c r="K10" s="145"/>
    </row>
    <row r="11" spans="1:12" x14ac:dyDescent="0.2">
      <c r="A11" s="13">
        <v>44518</v>
      </c>
      <c r="B11" s="53">
        <f>50+10+107</f>
        <v>167</v>
      </c>
      <c r="C11" s="57" t="s">
        <v>105</v>
      </c>
      <c r="D11" s="13"/>
      <c r="E11" s="53"/>
      <c r="F11" s="57"/>
      <c r="G11" s="14">
        <v>44504</v>
      </c>
      <c r="H11" s="55">
        <v>-180</v>
      </c>
      <c r="I11" s="52" t="s">
        <v>99</v>
      </c>
      <c r="J11" s="145"/>
      <c r="K11" s="145"/>
    </row>
    <row r="12" spans="1:12" x14ac:dyDescent="0.2">
      <c r="A12" s="13"/>
      <c r="B12" s="53">
        <v>350</v>
      </c>
      <c r="C12" s="57" t="s">
        <v>106</v>
      </c>
      <c r="D12" s="13"/>
      <c r="E12" s="53"/>
      <c r="F12" s="57"/>
      <c r="G12" s="14"/>
      <c r="H12" s="55">
        <v>500</v>
      </c>
      <c r="I12" s="52" t="s">
        <v>101</v>
      </c>
      <c r="J12" s="145"/>
      <c r="K12" s="145"/>
    </row>
    <row r="13" spans="1:12" x14ac:dyDescent="0.2">
      <c r="A13" s="13">
        <v>44521</v>
      </c>
      <c r="B13" s="53">
        <v>1610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2" t="s">
        <v>40</v>
      </c>
      <c r="J13" s="145"/>
      <c r="K13" s="145"/>
    </row>
    <row r="14" spans="1:12" x14ac:dyDescent="0.2">
      <c r="A14" s="13"/>
      <c r="B14" s="53">
        <f>13+40+10+10</f>
        <v>73</v>
      </c>
      <c r="C14" s="57" t="s">
        <v>107</v>
      </c>
      <c r="D14" s="13"/>
      <c r="E14" s="53"/>
      <c r="F14" s="57"/>
      <c r="G14" s="52"/>
      <c r="H14" s="55">
        <v>-2000</v>
      </c>
      <c r="I14" s="52" t="s">
        <v>104</v>
      </c>
      <c r="J14" s="145"/>
      <c r="K14" s="145"/>
    </row>
    <row r="15" spans="1:12" x14ac:dyDescent="0.2">
      <c r="A15" s="13">
        <v>44523</v>
      </c>
      <c r="B15" s="53">
        <v>60</v>
      </c>
      <c r="C15" s="57" t="s">
        <v>109</v>
      </c>
      <c r="D15" s="13"/>
      <c r="E15" s="53"/>
      <c r="F15" s="57"/>
      <c r="G15" s="14">
        <v>44519</v>
      </c>
      <c r="H15" s="55">
        <f>90+47</f>
        <v>137</v>
      </c>
      <c r="I15" s="52" t="s">
        <v>10</v>
      </c>
      <c r="J15" s="145"/>
      <c r="K15" s="145"/>
    </row>
    <row r="16" spans="1:12" x14ac:dyDescent="0.2">
      <c r="A16" s="13">
        <v>44524</v>
      </c>
      <c r="B16" s="53">
        <v>50</v>
      </c>
      <c r="C16" s="57" t="s">
        <v>110</v>
      </c>
      <c r="D16" s="48"/>
      <c r="E16" s="53"/>
      <c r="F16" s="57"/>
      <c r="G16" s="14">
        <v>44523</v>
      </c>
      <c r="H16" s="55">
        <v>-360</v>
      </c>
      <c r="I16" s="52" t="s">
        <v>108</v>
      </c>
      <c r="J16" s="145"/>
      <c r="K16" s="145"/>
    </row>
    <row r="17" spans="1:11" x14ac:dyDescent="0.2">
      <c r="A17" s="13">
        <v>44526</v>
      </c>
      <c r="B17" s="53">
        <f>20+12</f>
        <v>32</v>
      </c>
      <c r="C17" s="57" t="s">
        <v>38</v>
      </c>
      <c r="D17" s="48"/>
      <c r="E17" s="53"/>
      <c r="F17" s="57"/>
      <c r="G17" s="14">
        <v>44525</v>
      </c>
      <c r="H17" s="55">
        <v>10000</v>
      </c>
      <c r="I17" s="52" t="s">
        <v>111</v>
      </c>
      <c r="J17" s="145"/>
      <c r="K17" s="145"/>
    </row>
    <row r="18" spans="1:11" x14ac:dyDescent="0.2">
      <c r="A18" s="13"/>
      <c r="B18" s="53"/>
      <c r="C18" s="57"/>
      <c r="D18" s="48"/>
      <c r="E18" s="53"/>
      <c r="F18" s="57"/>
      <c r="G18" s="14">
        <v>44526</v>
      </c>
      <c r="H18" s="55">
        <v>2500</v>
      </c>
      <c r="I18" s="52" t="s">
        <v>22</v>
      </c>
      <c r="J18" s="145"/>
      <c r="K18" s="145"/>
    </row>
    <row r="19" spans="1:11" x14ac:dyDescent="0.2">
      <c r="A19" s="13"/>
      <c r="B19" s="53"/>
      <c r="C19" s="57"/>
      <c r="D19" s="48"/>
      <c r="E19" s="53"/>
      <c r="F19" s="57"/>
      <c r="G19" s="14"/>
      <c r="H19" s="55">
        <v>500</v>
      </c>
      <c r="I19" s="52" t="s">
        <v>112</v>
      </c>
      <c r="J19" s="49" t="s">
        <v>13</v>
      </c>
      <c r="K19" s="51">
        <v>8410</v>
      </c>
    </row>
    <row r="20" spans="1:11" x14ac:dyDescent="0.2">
      <c r="A20" s="13"/>
      <c r="B20" s="53"/>
      <c r="C20" s="57"/>
      <c r="D20" s="48"/>
      <c r="E20" s="53"/>
      <c r="F20" s="57"/>
      <c r="G20" s="52"/>
      <c r="H20" s="55"/>
      <c r="I20" s="52"/>
      <c r="J20" s="49" t="s">
        <v>14</v>
      </c>
      <c r="K20" s="51">
        <v>8476</v>
      </c>
    </row>
    <row r="21" spans="1:11" x14ac:dyDescent="0.2">
      <c r="A21" s="13"/>
      <c r="B21" s="53"/>
      <c r="C21" s="57"/>
      <c r="D21" s="48"/>
      <c r="E21" s="53"/>
      <c r="F21" s="57"/>
      <c r="G21" s="52"/>
      <c r="H21" s="55"/>
      <c r="I21" s="52"/>
      <c r="J21" s="49" t="s">
        <v>15</v>
      </c>
      <c r="K21" s="51">
        <f>K20-K19</f>
        <v>66</v>
      </c>
    </row>
    <row r="22" spans="1:11" x14ac:dyDescent="0.2">
      <c r="A22" s="13"/>
      <c r="B22" s="53"/>
      <c r="C22" s="57"/>
      <c r="D22" s="48"/>
      <c r="E22" s="53"/>
      <c r="F22" s="57"/>
      <c r="G22" s="52"/>
      <c r="H22" s="55"/>
      <c r="I22" s="52"/>
      <c r="J22" s="49" t="s">
        <v>0</v>
      </c>
      <c r="K22" s="51">
        <f>K21*3.5</f>
        <v>231</v>
      </c>
    </row>
    <row r="23" spans="1:11" x14ac:dyDescent="0.2">
      <c r="A23" s="13"/>
      <c r="B23" s="53"/>
      <c r="C23" s="57"/>
      <c r="D23" s="48"/>
      <c r="E23" s="53"/>
      <c r="F23" s="57"/>
      <c r="G23" s="52"/>
      <c r="H23" s="55"/>
      <c r="I23" s="52"/>
      <c r="J23" s="49" t="s">
        <v>16</v>
      </c>
      <c r="K23" s="51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/>
      <c r="I24" s="18"/>
      <c r="J24" s="49" t="s">
        <v>17</v>
      </c>
      <c r="K24" s="49">
        <f>K23+K22</f>
        <v>1611</v>
      </c>
    </row>
    <row r="25" spans="1:11" ht="20.100000000000001" customHeight="1" x14ac:dyDescent="0.2">
      <c r="A25" s="148" t="s">
        <v>1</v>
      </c>
      <c r="B25" s="149"/>
      <c r="C25" s="149"/>
      <c r="D25" s="139">
        <f>3523</f>
        <v>3523</v>
      </c>
      <c r="E25" s="139"/>
      <c r="F25" s="140"/>
      <c r="G25" s="19" t="s">
        <v>1</v>
      </c>
      <c r="H25" s="160">
        <v>12996.73</v>
      </c>
      <c r="I25" s="161"/>
      <c r="J25" s="135" t="s">
        <v>23</v>
      </c>
      <c r="K25" s="136"/>
    </row>
    <row r="26" spans="1:11" ht="20.100000000000001" customHeight="1" x14ac:dyDescent="0.2">
      <c r="A26" s="150" t="s">
        <v>18</v>
      </c>
      <c r="B26" s="151"/>
      <c r="C26" s="151"/>
      <c r="D26" s="141">
        <f>SUM(B5:B24)+SUM(E5:E24)</f>
        <v>2998</v>
      </c>
      <c r="E26" s="141"/>
      <c r="F26" s="142"/>
      <c r="G26" s="20" t="s">
        <v>22</v>
      </c>
      <c r="H26" s="158">
        <f>SUM(H5:H24)</f>
        <v>-2007.1869999999999</v>
      </c>
      <c r="I26" s="159"/>
      <c r="J26" s="137">
        <f>D27+H27</f>
        <v>15528.916999999999</v>
      </c>
      <c r="K26" s="138"/>
    </row>
    <row r="27" spans="1:11" ht="36.75" customHeight="1" thickBot="1" x14ac:dyDescent="0.25">
      <c r="A27" s="152" t="s">
        <v>7</v>
      </c>
      <c r="B27" s="153"/>
      <c r="C27" s="153"/>
      <c r="D27" s="154">
        <f>D25-D26</f>
        <v>525</v>
      </c>
      <c r="E27" s="154"/>
      <c r="F27" s="155"/>
      <c r="G27" s="21" t="s">
        <v>7</v>
      </c>
      <c r="H27" s="133">
        <f>H25-H26</f>
        <v>15003.916999999999</v>
      </c>
      <c r="I27" s="134"/>
      <c r="J27" s="137"/>
      <c r="K27" s="138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88</v>
      </c>
      <c r="B1" s="147"/>
      <c r="C1" s="147"/>
      <c r="D1" s="147"/>
      <c r="E1" s="147"/>
      <c r="F1" s="147"/>
      <c r="G1" s="147"/>
      <c r="H1" s="147"/>
      <c r="I1" s="147"/>
      <c r="J1" s="145" t="s">
        <v>24</v>
      </c>
      <c r="K1" s="144">
        <f>D26-B14</f>
        <v>3525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45"/>
      <c r="K2" s="144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62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62" t="s">
        <v>26</v>
      </c>
      <c r="K4" s="61">
        <f>K1/K3</f>
        <v>117.5</v>
      </c>
      <c r="L4" s="10"/>
    </row>
    <row r="5" spans="1:12" x14ac:dyDescent="0.2">
      <c r="A5" s="13">
        <v>44531</v>
      </c>
      <c r="B5" s="53">
        <f>63</f>
        <v>63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9" t="s">
        <v>32</v>
      </c>
      <c r="J5" s="145"/>
      <c r="K5" s="145"/>
    </row>
    <row r="6" spans="1:12" x14ac:dyDescent="0.2">
      <c r="A6" s="13"/>
      <c r="B6" s="53">
        <v>12</v>
      </c>
      <c r="C6" s="57" t="s">
        <v>113</v>
      </c>
      <c r="D6" s="13"/>
      <c r="E6" s="53"/>
      <c r="F6" s="57"/>
      <c r="G6" s="14">
        <v>44471</v>
      </c>
      <c r="H6" s="55">
        <f>79.2+3000+90</f>
        <v>3169.2</v>
      </c>
      <c r="I6" s="59" t="s">
        <v>91</v>
      </c>
      <c r="J6" s="145"/>
      <c r="K6" s="145"/>
    </row>
    <row r="7" spans="1:12" x14ac:dyDescent="0.2">
      <c r="A7" s="13"/>
      <c r="B7" s="53">
        <v>269</v>
      </c>
      <c r="C7" s="57" t="s">
        <v>58</v>
      </c>
      <c r="D7" s="13"/>
      <c r="E7" s="53"/>
      <c r="F7" s="57"/>
      <c r="G7" s="14"/>
      <c r="H7" s="55">
        <f>-6937.5-400+30</f>
        <v>-7307.5</v>
      </c>
      <c r="I7" s="59"/>
      <c r="J7" s="145"/>
      <c r="K7" s="145"/>
    </row>
    <row r="8" spans="1:12" x14ac:dyDescent="0.2">
      <c r="A8" s="13">
        <v>44531</v>
      </c>
      <c r="B8" s="53">
        <v>145</v>
      </c>
      <c r="C8" s="57" t="s">
        <v>114</v>
      </c>
      <c r="D8" s="13"/>
      <c r="E8" s="53"/>
      <c r="F8" s="57"/>
      <c r="G8" s="14"/>
      <c r="H8" s="55">
        <f>-1800-2000+120</f>
        <v>-3680</v>
      </c>
      <c r="I8" s="59"/>
      <c r="J8" s="145"/>
      <c r="K8" s="145"/>
    </row>
    <row r="9" spans="1:12" x14ac:dyDescent="0.2">
      <c r="A9" s="13">
        <v>44536</v>
      </c>
      <c r="B9" s="53">
        <f>70+569+85+62+15+15-400</f>
        <v>416</v>
      </c>
      <c r="C9" s="57" t="s">
        <v>117</v>
      </c>
      <c r="D9" s="13"/>
      <c r="E9" s="53"/>
      <c r="F9" s="57"/>
      <c r="G9" s="14">
        <v>44496</v>
      </c>
      <c r="H9" s="55">
        <v>2000</v>
      </c>
      <c r="I9" s="59" t="s">
        <v>98</v>
      </c>
      <c r="J9" s="145"/>
      <c r="K9" s="145"/>
    </row>
    <row r="10" spans="1:12" x14ac:dyDescent="0.2">
      <c r="A10" s="13">
        <v>44537</v>
      </c>
      <c r="B10" s="53">
        <v>20</v>
      </c>
      <c r="C10" s="57" t="s">
        <v>10</v>
      </c>
      <c r="D10" s="13"/>
      <c r="E10" s="53"/>
      <c r="F10" s="57"/>
      <c r="G10" s="14">
        <v>11628</v>
      </c>
      <c r="H10" s="55">
        <f>105-0.464</f>
        <v>104.536</v>
      </c>
      <c r="I10" s="59" t="s">
        <v>10</v>
      </c>
      <c r="J10" s="145"/>
      <c r="K10" s="145"/>
    </row>
    <row r="11" spans="1:12" x14ac:dyDescent="0.2">
      <c r="A11" s="13">
        <v>44543</v>
      </c>
      <c r="B11" s="53">
        <f>80+50+40</f>
        <v>170</v>
      </c>
      <c r="C11" s="57" t="s">
        <v>119</v>
      </c>
      <c r="D11" s="13"/>
      <c r="E11" s="53"/>
      <c r="F11" s="57"/>
      <c r="G11" s="14">
        <v>44504</v>
      </c>
      <c r="H11" s="55">
        <v>-180</v>
      </c>
      <c r="I11" s="59" t="s">
        <v>99</v>
      </c>
      <c r="J11" s="145"/>
      <c r="K11" s="145"/>
    </row>
    <row r="12" spans="1:12" x14ac:dyDescent="0.2">
      <c r="A12" s="13">
        <v>44550</v>
      </c>
      <c r="B12" s="53">
        <f>430+80</f>
        <v>510</v>
      </c>
      <c r="C12" s="57" t="s">
        <v>121</v>
      </c>
      <c r="D12" s="13"/>
      <c r="E12" s="53"/>
      <c r="F12" s="57"/>
      <c r="G12" s="14"/>
      <c r="H12" s="55">
        <v>500</v>
      </c>
      <c r="I12" s="59" t="s">
        <v>101</v>
      </c>
      <c r="J12" s="145"/>
      <c r="K12" s="145"/>
    </row>
    <row r="13" spans="1:12" x14ac:dyDescent="0.2">
      <c r="A13" s="13"/>
      <c r="B13" s="53">
        <v>1700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9" t="s">
        <v>40</v>
      </c>
      <c r="J13" s="145"/>
      <c r="K13" s="145"/>
    </row>
    <row r="14" spans="1:12" x14ac:dyDescent="0.2">
      <c r="A14" s="13"/>
      <c r="B14" s="53">
        <v>500</v>
      </c>
      <c r="C14" s="57" t="s">
        <v>122</v>
      </c>
      <c r="D14" s="13"/>
      <c r="E14" s="53"/>
      <c r="F14" s="57"/>
      <c r="G14" s="59"/>
      <c r="H14" s="55">
        <v>-2000</v>
      </c>
      <c r="I14" s="59" t="s">
        <v>104</v>
      </c>
      <c r="J14" s="145"/>
      <c r="K14" s="145"/>
    </row>
    <row r="15" spans="1:12" x14ac:dyDescent="0.2">
      <c r="A15" s="13"/>
      <c r="B15" s="53">
        <v>10</v>
      </c>
      <c r="C15" s="57" t="s">
        <v>10</v>
      </c>
      <c r="D15" s="13"/>
      <c r="E15" s="53"/>
      <c r="F15" s="57"/>
      <c r="G15" s="14">
        <v>44519</v>
      </c>
      <c r="H15" s="55">
        <f>90+47</f>
        <v>137</v>
      </c>
      <c r="I15" s="59" t="s">
        <v>10</v>
      </c>
      <c r="J15" s="145"/>
      <c r="K15" s="145"/>
    </row>
    <row r="16" spans="1:12" x14ac:dyDescent="0.2">
      <c r="A16" s="13">
        <v>44552</v>
      </c>
      <c r="B16" s="53">
        <v>12</v>
      </c>
      <c r="C16" s="57" t="s">
        <v>10</v>
      </c>
      <c r="D16" s="63"/>
      <c r="E16" s="53"/>
      <c r="F16" s="57"/>
      <c r="G16" s="14">
        <v>44523</v>
      </c>
      <c r="H16" s="55">
        <v>-360</v>
      </c>
      <c r="I16" s="59" t="s">
        <v>108</v>
      </c>
      <c r="J16" s="145"/>
      <c r="K16" s="145"/>
    </row>
    <row r="17" spans="1:11" x14ac:dyDescent="0.2">
      <c r="A17" s="13"/>
      <c r="B17" s="53">
        <v>48</v>
      </c>
      <c r="C17" s="57" t="s">
        <v>10</v>
      </c>
      <c r="D17" s="63"/>
      <c r="E17" s="53"/>
      <c r="F17" s="57"/>
      <c r="G17" s="14">
        <v>44525</v>
      </c>
      <c r="H17" s="55">
        <v>10000</v>
      </c>
      <c r="I17" s="59" t="s">
        <v>111</v>
      </c>
      <c r="J17" s="145"/>
      <c r="K17" s="145"/>
    </row>
    <row r="18" spans="1:11" x14ac:dyDescent="0.2">
      <c r="A18" s="13">
        <v>44557</v>
      </c>
      <c r="B18" s="53">
        <v>150</v>
      </c>
      <c r="C18" s="57" t="s">
        <v>123</v>
      </c>
      <c r="D18" s="63"/>
      <c r="E18" s="53"/>
      <c r="F18" s="57"/>
      <c r="G18" s="14">
        <v>44526</v>
      </c>
      <c r="H18" s="55">
        <v>2500</v>
      </c>
      <c r="I18" s="59" t="s">
        <v>22</v>
      </c>
      <c r="J18" s="145"/>
      <c r="K18" s="145"/>
    </row>
    <row r="19" spans="1:11" x14ac:dyDescent="0.2">
      <c r="A19" s="13"/>
      <c r="B19" s="53"/>
      <c r="C19" s="57"/>
      <c r="D19" s="63"/>
      <c r="E19" s="53"/>
      <c r="F19" s="57"/>
      <c r="G19" s="14"/>
      <c r="H19" s="55">
        <f>500-0.507</f>
        <v>499.49299999999999</v>
      </c>
      <c r="I19" s="59" t="s">
        <v>112</v>
      </c>
      <c r="J19" s="60" t="s">
        <v>13</v>
      </c>
      <c r="K19" s="62">
        <v>8476</v>
      </c>
    </row>
    <row r="20" spans="1:11" x14ac:dyDescent="0.2">
      <c r="A20" s="13"/>
      <c r="B20" s="53"/>
      <c r="C20" s="57"/>
      <c r="D20" s="63"/>
      <c r="E20" s="53"/>
      <c r="F20" s="57"/>
      <c r="G20" s="59"/>
      <c r="H20" s="55">
        <f>-6937.5-500</f>
        <v>-7437.5</v>
      </c>
      <c r="I20" s="59" t="s">
        <v>118</v>
      </c>
      <c r="J20" s="60" t="s">
        <v>14</v>
      </c>
      <c r="K20" s="62">
        <v>8533</v>
      </c>
    </row>
    <row r="21" spans="1:11" x14ac:dyDescent="0.2">
      <c r="A21" s="13"/>
      <c r="B21" s="53"/>
      <c r="C21" s="57"/>
      <c r="D21" s="63"/>
      <c r="E21" s="53"/>
      <c r="F21" s="57"/>
      <c r="G21" s="59"/>
      <c r="H21" s="55">
        <f>420+1000+500</f>
        <v>1920</v>
      </c>
      <c r="I21" s="59" t="s">
        <v>120</v>
      </c>
      <c r="J21" s="60" t="s">
        <v>15</v>
      </c>
      <c r="K21" s="62">
        <f>K20-K19</f>
        <v>57</v>
      </c>
    </row>
    <row r="22" spans="1:11" x14ac:dyDescent="0.2">
      <c r="A22" s="13"/>
      <c r="B22" s="53"/>
      <c r="C22" s="57"/>
      <c r="D22" s="63"/>
      <c r="E22" s="53"/>
      <c r="F22" s="57"/>
      <c r="G22" s="59"/>
      <c r="H22" s="55">
        <f>180-0.427</f>
        <v>179.57300000000001</v>
      </c>
      <c r="I22" s="59" t="s">
        <v>5</v>
      </c>
      <c r="J22" s="60" t="s">
        <v>0</v>
      </c>
      <c r="K22" s="62">
        <f>K21*3.5</f>
        <v>199.5</v>
      </c>
    </row>
    <row r="23" spans="1:11" x14ac:dyDescent="0.2">
      <c r="A23" s="13"/>
      <c r="B23" s="53"/>
      <c r="C23" s="57"/>
      <c r="D23" s="63"/>
      <c r="E23" s="53"/>
      <c r="F23" s="57"/>
      <c r="G23" s="59"/>
      <c r="H23" s="55">
        <v>185</v>
      </c>
      <c r="I23" s="59" t="s">
        <v>10</v>
      </c>
      <c r="J23" s="60" t="s">
        <v>16</v>
      </c>
      <c r="K23" s="62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>
        <f>3000+17.351</f>
        <v>3017.3510000000001</v>
      </c>
      <c r="I24" s="18" t="s">
        <v>10</v>
      </c>
      <c r="J24" s="60" t="s">
        <v>17</v>
      </c>
      <c r="K24" s="60">
        <f>K23+K22</f>
        <v>1579.5</v>
      </c>
    </row>
    <row r="25" spans="1:11" ht="20.100000000000001" customHeight="1" x14ac:dyDescent="0.2">
      <c r="A25" s="148" t="s">
        <v>1</v>
      </c>
      <c r="B25" s="149"/>
      <c r="C25" s="149"/>
      <c r="D25" s="139">
        <f>525+2500+1000</f>
        <v>4025</v>
      </c>
      <c r="E25" s="139"/>
      <c r="F25" s="140"/>
      <c r="G25" s="19" t="s">
        <v>1</v>
      </c>
      <c r="H25" s="160">
        <v>12996.73</v>
      </c>
      <c r="I25" s="161"/>
      <c r="J25" s="135" t="s">
        <v>23</v>
      </c>
      <c r="K25" s="136"/>
    </row>
    <row r="26" spans="1:11" ht="20.100000000000001" customHeight="1" x14ac:dyDescent="0.2">
      <c r="A26" s="150" t="s">
        <v>18</v>
      </c>
      <c r="B26" s="151"/>
      <c r="C26" s="151"/>
      <c r="D26" s="141">
        <f>SUM(B5:B24)+SUM(E5:E24)</f>
        <v>4025</v>
      </c>
      <c r="E26" s="141"/>
      <c r="F26" s="142"/>
      <c r="G26" s="20" t="s">
        <v>22</v>
      </c>
      <c r="H26" s="158">
        <f>SUM(H5:H24)</f>
        <v>-4143.2699999999986</v>
      </c>
      <c r="I26" s="159"/>
      <c r="J26" s="137">
        <f>D27+H27</f>
        <v>17140</v>
      </c>
      <c r="K26" s="138"/>
    </row>
    <row r="27" spans="1:11" ht="36.75" customHeight="1" thickBot="1" x14ac:dyDescent="0.25">
      <c r="A27" s="152" t="s">
        <v>7</v>
      </c>
      <c r="B27" s="153"/>
      <c r="C27" s="153"/>
      <c r="D27" s="154">
        <f>D25-D26</f>
        <v>0</v>
      </c>
      <c r="E27" s="154"/>
      <c r="F27" s="155"/>
      <c r="G27" s="21" t="s">
        <v>7</v>
      </c>
      <c r="H27" s="133">
        <f>H25-H26</f>
        <v>17140</v>
      </c>
      <c r="I27" s="134"/>
      <c r="J27" s="137"/>
      <c r="K27" s="138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7" t="s">
        <v>124</v>
      </c>
      <c r="B1" s="147"/>
      <c r="C1" s="147"/>
      <c r="D1" s="147"/>
      <c r="E1" s="147"/>
      <c r="F1" s="147"/>
      <c r="G1" s="147"/>
      <c r="H1" s="147"/>
      <c r="I1" s="147"/>
      <c r="J1" s="165" t="s">
        <v>24</v>
      </c>
      <c r="K1" s="166">
        <f>SUM(H5:H19)-H6-H9-H16-H17-H8</f>
        <v>2010.2999999999993</v>
      </c>
    </row>
    <row r="2" spans="1:12" x14ac:dyDescent="0.2">
      <c r="A2" s="147"/>
      <c r="B2" s="147"/>
      <c r="C2" s="147"/>
      <c r="D2" s="147"/>
      <c r="E2" s="147"/>
      <c r="F2" s="147"/>
      <c r="G2" s="147"/>
      <c r="H2" s="147"/>
      <c r="I2" s="147"/>
      <c r="J2" s="165"/>
      <c r="K2" s="166"/>
    </row>
    <row r="3" spans="1:12" ht="20.25" x14ac:dyDescent="0.2">
      <c r="A3" s="146" t="s">
        <v>20</v>
      </c>
      <c r="B3" s="146"/>
      <c r="C3" s="146"/>
      <c r="D3" s="146"/>
      <c r="E3" s="146"/>
      <c r="F3" s="146"/>
      <c r="G3" s="146" t="s">
        <v>21</v>
      </c>
      <c r="H3" s="146"/>
      <c r="I3" s="146"/>
      <c r="J3" s="7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1" t="s">
        <v>26</v>
      </c>
      <c r="K4" s="70">
        <f>K1/K3</f>
        <v>67.009999999999977</v>
      </c>
      <c r="L4" s="10"/>
    </row>
    <row r="5" spans="1:12" x14ac:dyDescent="0.2">
      <c r="A5" s="13">
        <v>44562</v>
      </c>
      <c r="B5" s="53">
        <v>1667</v>
      </c>
      <c r="C5" s="57" t="s">
        <v>48</v>
      </c>
      <c r="D5" s="13">
        <v>44575</v>
      </c>
      <c r="E5" s="53">
        <v>10</v>
      </c>
      <c r="F5" s="57" t="s">
        <v>10</v>
      </c>
      <c r="G5" s="14"/>
      <c r="H5" s="97">
        <v>-200</v>
      </c>
      <c r="I5" s="68"/>
      <c r="J5" s="163">
        <f>-SUM(H5:H19)</f>
        <v>13360.071</v>
      </c>
      <c r="K5" s="164"/>
    </row>
    <row r="6" spans="1:12" x14ac:dyDescent="0.2">
      <c r="A6" s="13"/>
      <c r="B6" s="53">
        <v>60</v>
      </c>
      <c r="C6" s="57" t="s">
        <v>125</v>
      </c>
      <c r="D6" s="13">
        <v>44577</v>
      </c>
      <c r="E6" s="53">
        <v>30</v>
      </c>
      <c r="F6" s="57" t="s">
        <v>36</v>
      </c>
      <c r="G6" s="14"/>
      <c r="H6" s="97">
        <v>1000</v>
      </c>
      <c r="I6" s="68" t="s">
        <v>112</v>
      </c>
      <c r="J6" s="164"/>
      <c r="K6" s="164"/>
    </row>
    <row r="7" spans="1:12" x14ac:dyDescent="0.2">
      <c r="A7" s="13"/>
      <c r="B7" s="53">
        <v>40</v>
      </c>
      <c r="C7" s="57" t="s">
        <v>10</v>
      </c>
      <c r="D7" s="13">
        <v>44578</v>
      </c>
      <c r="E7" s="53">
        <v>15</v>
      </c>
      <c r="F7" s="57" t="s">
        <v>10</v>
      </c>
      <c r="G7" s="14"/>
      <c r="H7" s="97">
        <v>-100.15</v>
      </c>
      <c r="I7" s="68"/>
      <c r="J7" s="164"/>
      <c r="K7" s="164"/>
    </row>
    <row r="8" spans="1:12" x14ac:dyDescent="0.2">
      <c r="A8" s="13"/>
      <c r="B8" s="53">
        <v>50</v>
      </c>
      <c r="C8" s="57" t="s">
        <v>126</v>
      </c>
      <c r="D8" s="13">
        <v>44580</v>
      </c>
      <c r="E8" s="53">
        <v>12</v>
      </c>
      <c r="F8" s="57" t="s">
        <v>10</v>
      </c>
      <c r="G8" s="14"/>
      <c r="H8" s="97">
        <v>9698</v>
      </c>
      <c r="I8" s="68" t="s">
        <v>128</v>
      </c>
      <c r="J8" s="164"/>
      <c r="K8" s="164"/>
    </row>
    <row r="9" spans="1:12" x14ac:dyDescent="0.2">
      <c r="A9" s="13"/>
      <c r="B9" s="53">
        <v>130</v>
      </c>
      <c r="C9" s="57" t="s">
        <v>58</v>
      </c>
      <c r="D9" s="13">
        <v>44580</v>
      </c>
      <c r="E9" s="53">
        <v>70</v>
      </c>
      <c r="F9" s="57" t="s">
        <v>135</v>
      </c>
      <c r="G9" s="14"/>
      <c r="H9" s="97">
        <f>130-1000-6937.778-4850-20</f>
        <v>-12677.778</v>
      </c>
      <c r="I9" s="68" t="s">
        <v>133</v>
      </c>
      <c r="J9" s="164"/>
      <c r="K9" s="164"/>
    </row>
    <row r="10" spans="1:12" x14ac:dyDescent="0.2">
      <c r="A10" s="13">
        <v>44563</v>
      </c>
      <c r="B10" s="53">
        <v>30</v>
      </c>
      <c r="C10" s="57" t="s">
        <v>127</v>
      </c>
      <c r="D10" s="13">
        <v>44582</v>
      </c>
      <c r="E10" s="53">
        <v>30</v>
      </c>
      <c r="F10" s="57" t="s">
        <v>10</v>
      </c>
      <c r="G10" s="14"/>
      <c r="H10" s="97">
        <v>500</v>
      </c>
      <c r="I10" s="68" t="s">
        <v>22</v>
      </c>
      <c r="J10" s="164"/>
      <c r="K10" s="164"/>
    </row>
    <row r="11" spans="1:12" x14ac:dyDescent="0.2">
      <c r="A11" s="13"/>
      <c r="B11" s="53">
        <v>80</v>
      </c>
      <c r="C11" s="57" t="s">
        <v>10</v>
      </c>
      <c r="D11" s="13">
        <v>44583</v>
      </c>
      <c r="E11" s="53">
        <v>25</v>
      </c>
      <c r="F11" s="57" t="s">
        <v>10</v>
      </c>
      <c r="G11" s="14"/>
      <c r="H11" s="97">
        <f>1000</f>
        <v>1000</v>
      </c>
      <c r="I11" s="68" t="s">
        <v>22</v>
      </c>
      <c r="J11" s="164"/>
      <c r="K11" s="164"/>
    </row>
    <row r="12" spans="1:12" x14ac:dyDescent="0.2">
      <c r="A12" s="13"/>
      <c r="B12" s="53">
        <v>200</v>
      </c>
      <c r="C12" s="57" t="s">
        <v>129</v>
      </c>
      <c r="D12" s="13"/>
      <c r="E12" s="53">
        <f>105+267</f>
        <v>372</v>
      </c>
      <c r="F12" s="57" t="s">
        <v>137</v>
      </c>
      <c r="G12" s="14">
        <v>44582</v>
      </c>
      <c r="H12" s="97">
        <v>459.928</v>
      </c>
      <c r="I12" s="68" t="s">
        <v>136</v>
      </c>
      <c r="J12" s="164"/>
      <c r="K12" s="164"/>
    </row>
    <row r="13" spans="1:12" x14ac:dyDescent="0.2">
      <c r="A13" s="13"/>
      <c r="B13" s="53">
        <v>70</v>
      </c>
      <c r="C13" s="57" t="s">
        <v>85</v>
      </c>
      <c r="D13" s="13">
        <v>44586</v>
      </c>
      <c r="E13" s="53">
        <v>22</v>
      </c>
      <c r="F13" s="57" t="s">
        <v>10</v>
      </c>
      <c r="G13" s="14"/>
      <c r="H13" s="97">
        <v>214</v>
      </c>
      <c r="I13" s="68" t="s">
        <v>58</v>
      </c>
      <c r="J13" s="164"/>
      <c r="K13" s="164"/>
    </row>
    <row r="14" spans="1:12" x14ac:dyDescent="0.2">
      <c r="A14" s="13">
        <v>44572</v>
      </c>
      <c r="B14" s="53">
        <v>50</v>
      </c>
      <c r="C14" s="57" t="s">
        <v>30</v>
      </c>
      <c r="D14" s="13"/>
      <c r="E14" s="53">
        <v>65</v>
      </c>
      <c r="F14" s="57" t="s">
        <v>85</v>
      </c>
      <c r="G14" s="14"/>
      <c r="H14" s="97">
        <v>166</v>
      </c>
      <c r="I14" s="68" t="s">
        <v>114</v>
      </c>
      <c r="J14" s="69" t="s">
        <v>13</v>
      </c>
      <c r="K14" s="71">
        <v>8533</v>
      </c>
    </row>
    <row r="15" spans="1:12" x14ac:dyDescent="0.2">
      <c r="A15" s="13"/>
      <c r="B15" s="53">
        <v>50</v>
      </c>
      <c r="C15" s="57" t="s">
        <v>130</v>
      </c>
      <c r="D15" s="13"/>
      <c r="E15" s="53">
        <f>22</f>
        <v>22</v>
      </c>
      <c r="F15" s="57" t="s">
        <v>10</v>
      </c>
      <c r="G15" s="14"/>
      <c r="H15" s="97">
        <v>100</v>
      </c>
      <c r="I15" s="68" t="s">
        <v>138</v>
      </c>
      <c r="J15" s="69" t="s">
        <v>14</v>
      </c>
      <c r="K15" s="71">
        <v>8598</v>
      </c>
    </row>
    <row r="16" spans="1:12" x14ac:dyDescent="0.2">
      <c r="A16" s="13"/>
      <c r="B16" s="53">
        <v>60</v>
      </c>
      <c r="C16" s="57" t="s">
        <v>131</v>
      </c>
      <c r="D16" s="13"/>
      <c r="E16" s="53">
        <v>100</v>
      </c>
      <c r="F16" s="57" t="s">
        <v>141</v>
      </c>
      <c r="G16" s="14">
        <v>44586</v>
      </c>
      <c r="H16" s="97">
        <f>-1900-7000-4750-4240</f>
        <v>-17890</v>
      </c>
      <c r="I16" s="68" t="s">
        <v>139</v>
      </c>
      <c r="J16" s="69" t="s">
        <v>15</v>
      </c>
      <c r="K16" s="71">
        <f>K15-K14</f>
        <v>65</v>
      </c>
    </row>
    <row r="17" spans="1:11" x14ac:dyDescent="0.2">
      <c r="A17" s="13"/>
      <c r="B17" s="53">
        <v>120</v>
      </c>
      <c r="C17" s="57" t="s">
        <v>10</v>
      </c>
      <c r="D17" s="72"/>
      <c r="E17" s="53">
        <v>205</v>
      </c>
      <c r="F17" s="57" t="s">
        <v>143</v>
      </c>
      <c r="G17" s="14">
        <v>44592</v>
      </c>
      <c r="H17" s="97">
        <f>4500-0.593</f>
        <v>4499.4070000000002</v>
      </c>
      <c r="I17" s="68" t="s">
        <v>140</v>
      </c>
      <c r="J17" s="69" t="s">
        <v>0</v>
      </c>
      <c r="K17" s="71">
        <f>K16*3.5</f>
        <v>227.5</v>
      </c>
    </row>
    <row r="18" spans="1:11" x14ac:dyDescent="0.2">
      <c r="A18" s="13"/>
      <c r="B18" s="53">
        <v>36</v>
      </c>
      <c r="C18" s="57" t="s">
        <v>10</v>
      </c>
      <c r="D18" s="72"/>
      <c r="E18" s="53">
        <f>25+30</f>
        <v>55</v>
      </c>
      <c r="F18" s="57" t="s">
        <v>144</v>
      </c>
      <c r="G18" s="68"/>
      <c r="H18" s="97">
        <f>-200+70.522</f>
        <v>-129.47800000000001</v>
      </c>
      <c r="I18" s="68"/>
      <c r="J18" s="69" t="s">
        <v>16</v>
      </c>
      <c r="K18" s="71">
        <f>1300+80+60</f>
        <v>1440</v>
      </c>
    </row>
    <row r="19" spans="1:11" ht="16.5" thickBot="1" x14ac:dyDescent="0.25">
      <c r="A19" s="16"/>
      <c r="B19" s="54">
        <v>24</v>
      </c>
      <c r="C19" s="58" t="s">
        <v>132</v>
      </c>
      <c r="D19" s="17"/>
      <c r="E19" s="54">
        <f>250+149</f>
        <v>399</v>
      </c>
      <c r="F19" s="58" t="s">
        <v>142</v>
      </c>
      <c r="G19" s="18"/>
      <c r="H19" s="98"/>
      <c r="I19" s="18"/>
      <c r="J19" s="69" t="s">
        <v>17</v>
      </c>
      <c r="K19" s="69">
        <f>K18+K17</f>
        <v>1667.5</v>
      </c>
    </row>
    <row r="20" spans="1:11" ht="20.100000000000001" customHeight="1" x14ac:dyDescent="0.2">
      <c r="A20" s="148" t="s">
        <v>1</v>
      </c>
      <c r="B20" s="149"/>
      <c r="C20" s="149"/>
      <c r="D20" s="139">
        <f>3000+1000+550</f>
        <v>4550</v>
      </c>
      <c r="E20" s="139"/>
      <c r="F20" s="140"/>
      <c r="G20" s="19" t="s">
        <v>1</v>
      </c>
      <c r="H20" s="160">
        <v>17140</v>
      </c>
      <c r="I20" s="161"/>
      <c r="J20" s="135" t="s">
        <v>23</v>
      </c>
      <c r="K20" s="136"/>
    </row>
    <row r="21" spans="1:11" ht="20.100000000000001" customHeight="1" x14ac:dyDescent="0.2">
      <c r="A21" s="150" t="s">
        <v>18</v>
      </c>
      <c r="B21" s="151"/>
      <c r="C21" s="151"/>
      <c r="D21" s="141">
        <f>SUM(B5:B19)+SUM(E5:E19)</f>
        <v>4099</v>
      </c>
      <c r="E21" s="141"/>
      <c r="F21" s="142"/>
      <c r="G21" s="20" t="s">
        <v>22</v>
      </c>
      <c r="H21" s="158">
        <f>SUM(H5:H19)</f>
        <v>-13360.071</v>
      </c>
      <c r="I21" s="159"/>
      <c r="J21" s="137">
        <f>D22+H22</f>
        <v>30951.071</v>
      </c>
      <c r="K21" s="138"/>
    </row>
    <row r="22" spans="1:11" ht="36.75" customHeight="1" thickBot="1" x14ac:dyDescent="0.25">
      <c r="A22" s="152" t="s">
        <v>7</v>
      </c>
      <c r="B22" s="153"/>
      <c r="C22" s="153"/>
      <c r="D22" s="154">
        <f>D20-D21</f>
        <v>451</v>
      </c>
      <c r="E22" s="154"/>
      <c r="F22" s="155"/>
      <c r="G22" s="21" t="s">
        <v>7</v>
      </c>
      <c r="H22" s="133">
        <f>H20-H21</f>
        <v>30500.071</v>
      </c>
      <c r="I22" s="134"/>
      <c r="J22" s="137"/>
      <c r="K22" s="138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Tháng_10_22</vt:lpstr>
      <vt:lpstr>Phân tích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2022-10-03T08:57:02Z</dcterms:modified>
</cp:coreProperties>
</file>