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7780" yWindow="800" windowWidth="38400" windowHeight="20080" activeTab="1"/>
  </bookViews>
  <sheets>
    <sheet name="积分计算" sheetId="1" r:id="rId1"/>
    <sheet name="奖励" sheetId="2" r:id="rId2"/>
    <sheet name="输出" sheetId="3" r:id="rId3"/>
    <sheet name="价值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U3" i="2" l="1"/>
  <c r="AV3" i="2"/>
  <c r="AU4" i="2"/>
  <c r="AV4" i="2"/>
  <c r="AU5" i="2"/>
  <c r="AV5" i="2"/>
  <c r="AU6" i="2"/>
  <c r="AV6" i="2"/>
  <c r="AU7" i="2"/>
  <c r="AV7" i="2"/>
  <c r="AU8" i="2"/>
  <c r="AV8" i="2"/>
  <c r="AU9" i="2"/>
  <c r="AV9" i="2"/>
  <c r="AU10" i="2"/>
  <c r="AV10" i="2"/>
  <c r="AU11" i="2"/>
  <c r="AV11" i="2"/>
  <c r="AU12" i="2"/>
  <c r="AV12" i="2"/>
  <c r="AU13" i="2"/>
  <c r="AV13" i="2"/>
  <c r="AU14" i="2"/>
  <c r="AV14" i="2"/>
  <c r="AU15" i="2"/>
  <c r="AV15" i="2"/>
  <c r="AU16" i="2"/>
  <c r="AV16" i="2"/>
  <c r="AV2" i="2"/>
  <c r="AU2" i="2"/>
  <c r="AS3" i="2"/>
  <c r="AT3" i="2"/>
  <c r="AS4" i="2"/>
  <c r="AT4" i="2"/>
  <c r="AS5" i="2"/>
  <c r="AT5" i="2"/>
  <c r="AS6" i="2"/>
  <c r="AT6" i="2"/>
  <c r="AS7" i="2"/>
  <c r="AT7" i="2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T2" i="2"/>
  <c r="AS2" i="2"/>
  <c r="AQ3" i="2"/>
  <c r="AR3" i="2"/>
  <c r="AQ4" i="2"/>
  <c r="AR4" i="2"/>
  <c r="AQ5" i="2"/>
  <c r="AR5" i="2"/>
  <c r="AQ6" i="2"/>
  <c r="AR6" i="2"/>
  <c r="AQ7" i="2"/>
  <c r="AR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Q15" i="2"/>
  <c r="AR15" i="2"/>
  <c r="AQ16" i="2"/>
  <c r="AR16" i="2"/>
  <c r="AR2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2" i="2"/>
  <c r="AO2" i="2"/>
  <c r="AJ3" i="2"/>
  <c r="AM3" i="2"/>
  <c r="AN3" i="2"/>
  <c r="AM4" i="2"/>
  <c r="AJ4" i="2"/>
  <c r="AN4" i="2"/>
  <c r="AJ5" i="2"/>
  <c r="AN5" i="2"/>
  <c r="AG6" i="2"/>
  <c r="AJ6" i="2"/>
  <c r="AN6" i="2"/>
  <c r="AJ7" i="2"/>
  <c r="AN7" i="2"/>
  <c r="AJ8" i="2"/>
  <c r="AN8" i="2"/>
  <c r="AJ9" i="2"/>
  <c r="AN9" i="2"/>
  <c r="AJ10" i="2"/>
  <c r="AG10" i="2"/>
  <c r="AN10" i="2"/>
  <c r="AD11" i="2"/>
  <c r="AJ11" i="2"/>
  <c r="AG11" i="2"/>
  <c r="AN11" i="2"/>
  <c r="AD12" i="2"/>
  <c r="AG12" i="2"/>
  <c r="AJ12" i="2"/>
  <c r="AN12" i="2"/>
  <c r="AJ13" i="2"/>
  <c r="AN13" i="2"/>
  <c r="AD14" i="2"/>
  <c r="AG14" i="2"/>
  <c r="AJ14" i="2"/>
  <c r="AN14" i="2"/>
  <c r="AJ15" i="2"/>
  <c r="AN15" i="2"/>
  <c r="AD16" i="2"/>
  <c r="AG16" i="2"/>
  <c r="AJ16" i="2"/>
  <c r="AN16" i="2"/>
  <c r="AM16" i="2"/>
  <c r="AM15" i="2"/>
  <c r="AM14" i="2"/>
  <c r="AM13" i="2"/>
  <c r="AM12" i="2"/>
  <c r="AM11" i="2"/>
  <c r="AM10" i="2"/>
  <c r="AM9" i="2"/>
  <c r="AM8" i="2"/>
  <c r="AM7" i="2"/>
  <c r="AM6" i="2"/>
  <c r="AM5" i="2"/>
  <c r="AM2" i="2"/>
  <c r="AJ2" i="2"/>
  <c r="AG3" i="2"/>
  <c r="AG4" i="2"/>
  <c r="AG5" i="2"/>
  <c r="AG7" i="2"/>
  <c r="AG8" i="2"/>
  <c r="AG9" i="2"/>
  <c r="AG13" i="2"/>
  <c r="AG15" i="2"/>
  <c r="AD15" i="2"/>
  <c r="AD3" i="2"/>
  <c r="AD4" i="2"/>
  <c r="AD5" i="2"/>
  <c r="AD6" i="2"/>
  <c r="AD7" i="2"/>
  <c r="AD8" i="2"/>
  <c r="AD9" i="2"/>
  <c r="AD10" i="2"/>
  <c r="AD13" i="2"/>
  <c r="AD2" i="2"/>
  <c r="AG2" i="2"/>
  <c r="AN2" i="2"/>
  <c r="AN17" i="2"/>
  <c r="Y40" i="2"/>
  <c r="Z40" i="2"/>
  <c r="AB40" i="2"/>
  <c r="AC40" i="2"/>
  <c r="AD40" i="2"/>
  <c r="AF40" i="2"/>
  <c r="AH40" i="2"/>
  <c r="Y41" i="2"/>
  <c r="Z41" i="2"/>
  <c r="AB41" i="2"/>
  <c r="AC41" i="2"/>
  <c r="AD41" i="2"/>
  <c r="AF41" i="2"/>
  <c r="AH41" i="2"/>
  <c r="Y42" i="2"/>
  <c r="Z42" i="2"/>
  <c r="AB42" i="2"/>
  <c r="AC42" i="2"/>
  <c r="AD42" i="2"/>
  <c r="AF42" i="2"/>
  <c r="AH42" i="2"/>
  <c r="Y43" i="2"/>
  <c r="Z43" i="2"/>
  <c r="AB43" i="2"/>
  <c r="AC43" i="2"/>
  <c r="AD43" i="2"/>
  <c r="AF43" i="2"/>
  <c r="AH43" i="2"/>
  <c r="Y44" i="2"/>
  <c r="Z44" i="2"/>
  <c r="AB44" i="2"/>
  <c r="AC44" i="2"/>
  <c r="AD44" i="2"/>
  <c r="AF44" i="2"/>
  <c r="AH44" i="2"/>
  <c r="Y39" i="2"/>
  <c r="Z39" i="2"/>
  <c r="AA39" i="2"/>
  <c r="AB39" i="2"/>
  <c r="AC39" i="2"/>
  <c r="AD39" i="2"/>
  <c r="AF39" i="2"/>
  <c r="AH39" i="2"/>
  <c r="AA40" i="2"/>
  <c r="AE40" i="2"/>
  <c r="AG40" i="2"/>
  <c r="AA41" i="2"/>
  <c r="AE41" i="2"/>
  <c r="AG41" i="2"/>
  <c r="AA42" i="2"/>
  <c r="AE42" i="2"/>
  <c r="AG42" i="2"/>
  <c r="AA43" i="2"/>
  <c r="AE43" i="2"/>
  <c r="AG43" i="2"/>
  <c r="AA44" i="2"/>
  <c r="AE44" i="2"/>
  <c r="AG44" i="2"/>
  <c r="AE39" i="2"/>
  <c r="AG39" i="2"/>
  <c r="T40" i="2"/>
  <c r="W40" i="2"/>
  <c r="N40" i="2"/>
  <c r="X40" i="2"/>
  <c r="T41" i="2"/>
  <c r="W41" i="2"/>
  <c r="N41" i="2"/>
  <c r="X41" i="2"/>
  <c r="T42" i="2"/>
  <c r="W42" i="2"/>
  <c r="N42" i="2"/>
  <c r="X42" i="2"/>
  <c r="T43" i="2"/>
  <c r="N43" i="2"/>
  <c r="X43" i="2"/>
  <c r="T44" i="2"/>
  <c r="N44" i="2"/>
  <c r="X44" i="2"/>
  <c r="T39" i="2"/>
  <c r="W39" i="2"/>
  <c r="N39" i="2"/>
  <c r="Q39" i="2"/>
  <c r="X39" i="2"/>
  <c r="D6" i="2"/>
  <c r="D7" i="2"/>
  <c r="D3" i="2"/>
  <c r="C3" i="2"/>
  <c r="C6" i="2"/>
  <c r="C7" i="2"/>
  <c r="C5" i="2"/>
  <c r="AJ41" i="2"/>
  <c r="J41" i="2"/>
  <c r="J42" i="2"/>
  <c r="J43" i="2"/>
  <c r="J44" i="2"/>
  <c r="J40" i="2"/>
  <c r="B1" i="4"/>
  <c r="B2" i="4"/>
  <c r="B3" i="4"/>
  <c r="B4" i="4"/>
  <c r="C1" i="4"/>
  <c r="D1" i="4"/>
  <c r="E1" i="4"/>
  <c r="F1" i="4"/>
  <c r="G1" i="4"/>
  <c r="C2" i="4"/>
  <c r="D2" i="4"/>
  <c r="E2" i="4"/>
  <c r="G2" i="4"/>
  <c r="C3" i="4"/>
  <c r="D3" i="4"/>
  <c r="E3" i="4"/>
  <c r="G3" i="4"/>
  <c r="C4" i="4"/>
  <c r="D4" i="4"/>
  <c r="E4" i="4"/>
  <c r="G4" i="4"/>
  <c r="B5" i="4"/>
  <c r="C5" i="4"/>
  <c r="D5" i="4"/>
  <c r="E5" i="4"/>
  <c r="G5" i="4"/>
  <c r="B6" i="4"/>
  <c r="C6" i="4"/>
  <c r="D6" i="4"/>
  <c r="E6" i="4"/>
  <c r="G6" i="4"/>
  <c r="B7" i="4"/>
  <c r="C7" i="4"/>
  <c r="D7" i="4"/>
  <c r="E7" i="4"/>
  <c r="G7" i="4"/>
  <c r="B8" i="4"/>
  <c r="C8" i="4"/>
  <c r="D8" i="4"/>
  <c r="E8" i="4"/>
  <c r="G8" i="4"/>
  <c r="B9" i="4"/>
  <c r="C9" i="4"/>
  <c r="D9" i="4"/>
  <c r="E9" i="4"/>
  <c r="G9" i="4"/>
  <c r="B10" i="4"/>
  <c r="C10" i="4"/>
  <c r="D10" i="4"/>
  <c r="E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C258" i="4"/>
  <c r="F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AM20" i="2"/>
  <c r="AO20" i="2"/>
  <c r="AQ20" i="2"/>
  <c r="AS20" i="2"/>
  <c r="AT20" i="2"/>
  <c r="AM21" i="2"/>
  <c r="AO21" i="2"/>
  <c r="AQ21" i="2"/>
  <c r="AS21" i="2"/>
  <c r="AT21" i="2"/>
  <c r="AM22" i="2"/>
  <c r="AO22" i="2"/>
  <c r="AQ22" i="2"/>
  <c r="AS22" i="2"/>
  <c r="AT22" i="2"/>
  <c r="AM23" i="2"/>
  <c r="AO23" i="2"/>
  <c r="AQ23" i="2"/>
  <c r="AS23" i="2"/>
  <c r="AT23" i="2"/>
  <c r="AM24" i="2"/>
  <c r="AO24" i="2"/>
  <c r="AQ24" i="2"/>
  <c r="AS24" i="2"/>
  <c r="AT24" i="2"/>
  <c r="AM25" i="2"/>
  <c r="AO25" i="2"/>
  <c r="AQ25" i="2"/>
  <c r="AS25" i="2"/>
  <c r="AT25" i="2"/>
  <c r="AM26" i="2"/>
  <c r="AO26" i="2"/>
  <c r="AQ26" i="2"/>
  <c r="AS26" i="2"/>
  <c r="AT26" i="2"/>
  <c r="AM27" i="2"/>
  <c r="AO27" i="2"/>
  <c r="AQ27" i="2"/>
  <c r="AS27" i="2"/>
  <c r="AT27" i="2"/>
  <c r="AM28" i="2"/>
  <c r="AO28" i="2"/>
  <c r="AQ28" i="2"/>
  <c r="AS28" i="2"/>
  <c r="AT28" i="2"/>
  <c r="AM29" i="2"/>
  <c r="AO29" i="2"/>
  <c r="AQ29" i="2"/>
  <c r="AS29" i="2"/>
  <c r="AT29" i="2"/>
  <c r="AM30" i="2"/>
  <c r="AO30" i="2"/>
  <c r="AQ30" i="2"/>
  <c r="AS30" i="2"/>
  <c r="AT30" i="2"/>
  <c r="AM31" i="2"/>
  <c r="AO31" i="2"/>
  <c r="AQ31" i="2"/>
  <c r="AS31" i="2"/>
  <c r="AT31" i="2"/>
  <c r="AM32" i="2"/>
  <c r="AO32" i="2"/>
  <c r="AQ32" i="2"/>
  <c r="AS32" i="2"/>
  <c r="AT32" i="2"/>
  <c r="A10" i="1"/>
  <c r="B10" i="1"/>
  <c r="AR21" i="2"/>
  <c r="AR22" i="2"/>
  <c r="AR23" i="2"/>
  <c r="AR24" i="2"/>
  <c r="AR25" i="2"/>
  <c r="AR26" i="2"/>
  <c r="AR27" i="2"/>
  <c r="AR28" i="2"/>
  <c r="AR29" i="2"/>
  <c r="AR30" i="2"/>
  <c r="AR31" i="2"/>
  <c r="AR32" i="2"/>
  <c r="AR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20" i="2"/>
  <c r="S19" i="2"/>
  <c r="T19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  <c r="S18" i="2"/>
  <c r="T18" i="2"/>
  <c r="U18" i="2"/>
  <c r="V18" i="2"/>
  <c r="X18" i="2"/>
  <c r="W18" i="2"/>
  <c r="T4" i="2"/>
  <c r="U4" i="2"/>
  <c r="V4" i="2"/>
  <c r="X4" i="2"/>
  <c r="T5" i="2"/>
  <c r="U5" i="2"/>
  <c r="V5" i="2"/>
  <c r="X5" i="2"/>
  <c r="T6" i="2"/>
  <c r="U6" i="2"/>
  <c r="V6" i="2"/>
  <c r="X6" i="2"/>
  <c r="T7" i="2"/>
  <c r="U7" i="2"/>
  <c r="V7" i="2"/>
  <c r="X7" i="2"/>
  <c r="T8" i="2"/>
  <c r="U8" i="2"/>
  <c r="V8" i="2"/>
  <c r="X8" i="2"/>
  <c r="T9" i="2"/>
  <c r="U9" i="2"/>
  <c r="V9" i="2"/>
  <c r="X9" i="2"/>
  <c r="T10" i="2"/>
  <c r="U10" i="2"/>
  <c r="V10" i="2"/>
  <c r="X10" i="2"/>
  <c r="T11" i="2"/>
  <c r="U11" i="2"/>
  <c r="V11" i="2"/>
  <c r="X11" i="2"/>
  <c r="T12" i="2"/>
  <c r="U12" i="2"/>
  <c r="V12" i="2"/>
  <c r="X12" i="2"/>
  <c r="T13" i="2"/>
  <c r="U13" i="2"/>
  <c r="V13" i="2"/>
  <c r="X13" i="2"/>
  <c r="S4" i="2"/>
  <c r="W4" i="2"/>
  <c r="S5" i="2"/>
  <c r="W5" i="2"/>
  <c r="S6" i="2"/>
  <c r="W6" i="2"/>
  <c r="S7" i="2"/>
  <c r="W7" i="2"/>
  <c r="S8" i="2"/>
  <c r="W8" i="2"/>
  <c r="S9" i="2"/>
  <c r="W9" i="2"/>
  <c r="S10" i="2"/>
  <c r="W10" i="2"/>
  <c r="S11" i="2"/>
  <c r="W11" i="2"/>
  <c r="S12" i="2"/>
  <c r="W12" i="2"/>
  <c r="S13" i="2"/>
  <c r="W13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Q19" i="2"/>
  <c r="R19" i="2"/>
  <c r="Q20" i="2"/>
  <c r="R20" i="2"/>
  <c r="Q21" i="2"/>
  <c r="R21" i="2"/>
  <c r="Q18" i="2"/>
  <c r="R18" i="2"/>
  <c r="N19" i="2"/>
  <c r="N20" i="2"/>
  <c r="N21" i="2"/>
  <c r="N18" i="2"/>
  <c r="J21" i="2"/>
  <c r="J20" i="2"/>
  <c r="J19" i="2"/>
  <c r="J18" i="2"/>
  <c r="B20" i="2"/>
  <c r="AG21" i="2"/>
  <c r="AJ21" i="2"/>
  <c r="AD21" i="2"/>
  <c r="AK21" i="2"/>
  <c r="AG22" i="2"/>
  <c r="AJ22" i="2"/>
  <c r="AD22" i="2"/>
  <c r="AK22" i="2"/>
  <c r="AG23" i="2"/>
  <c r="AJ23" i="2"/>
  <c r="AD23" i="2"/>
  <c r="AK23" i="2"/>
  <c r="AD24" i="2"/>
  <c r="AG24" i="2"/>
  <c r="AJ24" i="2"/>
  <c r="AK24" i="2"/>
  <c r="AG25" i="2"/>
  <c r="AJ25" i="2"/>
  <c r="AD25" i="2"/>
  <c r="AK25" i="2"/>
  <c r="AG26" i="2"/>
  <c r="AJ26" i="2"/>
  <c r="AD26" i="2"/>
  <c r="AK26" i="2"/>
  <c r="AG27" i="2"/>
  <c r="AJ27" i="2"/>
  <c r="AD27" i="2"/>
  <c r="AK27" i="2"/>
  <c r="AD28" i="2"/>
  <c r="AG28" i="2"/>
  <c r="AJ28" i="2"/>
  <c r="AK28" i="2"/>
  <c r="AD29" i="2"/>
  <c r="AG29" i="2"/>
  <c r="AJ29" i="2"/>
  <c r="AK29" i="2"/>
  <c r="AD30" i="2"/>
  <c r="AG30" i="2"/>
  <c r="AJ30" i="2"/>
  <c r="AK30" i="2"/>
  <c r="AD31" i="2"/>
  <c r="AG31" i="2"/>
  <c r="AJ31" i="2"/>
  <c r="AK31" i="2"/>
  <c r="AD32" i="2"/>
  <c r="AG32" i="2"/>
  <c r="AJ32" i="2"/>
  <c r="AK32" i="2"/>
  <c r="AJ20" i="2"/>
  <c r="AD20" i="2"/>
  <c r="AG20" i="2"/>
  <c r="AK20" i="2"/>
  <c r="AL32" i="2"/>
  <c r="AL20" i="2"/>
  <c r="B18" i="2"/>
  <c r="B21" i="2"/>
  <c r="B24" i="2"/>
  <c r="Q4" i="2"/>
  <c r="Q5" i="2"/>
  <c r="Q6" i="2"/>
  <c r="Q7" i="2"/>
  <c r="Q8" i="2"/>
  <c r="Q9" i="2"/>
  <c r="Q10" i="2"/>
  <c r="Q11" i="2"/>
  <c r="Q12" i="2"/>
  <c r="Q13" i="2"/>
  <c r="N4" i="2"/>
  <c r="R4" i="2"/>
  <c r="N5" i="2"/>
  <c r="R5" i="2"/>
  <c r="N6" i="2"/>
  <c r="R6" i="2"/>
  <c r="N7" i="2"/>
  <c r="R7" i="2"/>
  <c r="N8" i="2"/>
  <c r="R8" i="2"/>
  <c r="N9" i="2"/>
  <c r="R9" i="2"/>
  <c r="N10" i="2"/>
  <c r="R10" i="2"/>
  <c r="N11" i="2"/>
  <c r="R11" i="2"/>
  <c r="N12" i="2"/>
  <c r="R12" i="2"/>
  <c r="N13" i="2"/>
  <c r="R13" i="2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B7" i="2"/>
  <c r="B3" i="2"/>
  <c r="B6" i="2"/>
  <c r="B5" i="2"/>
  <c r="K12" i="1"/>
  <c r="C3" i="1"/>
  <c r="C4" i="1"/>
  <c r="D4" i="1"/>
  <c r="C5" i="1"/>
  <c r="D5" i="1"/>
  <c r="C6" i="1"/>
  <c r="D6" i="1"/>
  <c r="C7" i="1"/>
  <c r="D7" i="1"/>
  <c r="C8" i="1"/>
  <c r="D8" i="1"/>
  <c r="D3" i="1"/>
  <c r="K3" i="1"/>
  <c r="K4" i="1"/>
  <c r="K8" i="1"/>
  <c r="AY15" i="2"/>
  <c r="AY16" i="2"/>
  <c r="AJ44" i="2"/>
  <c r="AJ39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<sst xmlns="http://schemas.openxmlformats.org/spreadsheetml/2006/main" count="312" uniqueCount="122">
  <si>
    <t>积分比例</t>
    <phoneticPr fontId="1" type="noConversion"/>
  </si>
  <si>
    <t>积分</t>
    <phoneticPr fontId="1" type="noConversion"/>
  </si>
  <si>
    <t>伤害</t>
    <phoneticPr fontId="1" type="noConversion"/>
  </si>
  <si>
    <t>伤害分段</t>
    <phoneticPr fontId="1" type="noConversion"/>
  </si>
  <si>
    <t>Event</t>
    <phoneticPr fontId="1" type="noConversion"/>
  </si>
  <si>
    <t>EventWorldBoss</t>
    <phoneticPr fontId="1" type="noConversion"/>
  </si>
  <si>
    <t>EventPointRank</t>
    <phoneticPr fontId="1" type="noConversion"/>
  </si>
  <si>
    <t>EventDamageRank</t>
    <phoneticPr fontId="1" type="noConversion"/>
  </si>
  <si>
    <t>Id</t>
    <phoneticPr fontId="1" type="noConversion"/>
  </si>
  <si>
    <t>Min</t>
    <phoneticPr fontId="1" type="noConversion"/>
  </si>
  <si>
    <t>Max</t>
    <phoneticPr fontId="1" type="noConversion"/>
  </si>
  <si>
    <t>RewardPreview</t>
    <phoneticPr fontId="1" type="noConversion"/>
  </si>
  <si>
    <t>Reward</t>
    <phoneticPr fontId="1" type="noConversion"/>
  </si>
  <si>
    <t>EventPointReward</t>
    <phoneticPr fontId="1" type="noConversion"/>
  </si>
  <si>
    <t>GroupId</t>
    <phoneticPr fontId="1" type="noConversion"/>
  </si>
  <si>
    <t>Point</t>
    <phoneticPr fontId="1" type="noConversion"/>
  </si>
  <si>
    <t>Configs</t>
    <phoneticPr fontId="1" type="noConversion"/>
  </si>
  <si>
    <t>WorldBossTicketsLimit</t>
    <phoneticPr fontId="1" type="noConversion"/>
  </si>
  <si>
    <t>WorldBossTicketsTime</t>
    <phoneticPr fontId="1" type="noConversion"/>
  </si>
  <si>
    <t>WorldBossTicketsPrice</t>
    <phoneticPr fontId="1" type="noConversion"/>
  </si>
  <si>
    <t>积分排名奖励</t>
    <phoneticPr fontId="1" type="noConversion"/>
  </si>
  <si>
    <t>伤害排名奖励</t>
    <phoneticPr fontId="1" type="noConversion"/>
  </si>
  <si>
    <t>积分分段奖励</t>
    <phoneticPr fontId="1" type="noConversion"/>
  </si>
  <si>
    <t>伤害排名</t>
    <phoneticPr fontId="1" type="noConversion"/>
  </si>
  <si>
    <t>低</t>
    <phoneticPr fontId="1" type="noConversion"/>
  </si>
  <si>
    <t>高</t>
    <phoneticPr fontId="1" type="noConversion"/>
  </si>
  <si>
    <t>奖励类型</t>
    <phoneticPr fontId="1" type="noConversion"/>
  </si>
  <si>
    <t>数量</t>
    <phoneticPr fontId="1" type="noConversion"/>
  </si>
  <si>
    <t>价值</t>
    <phoneticPr fontId="1" type="noConversion"/>
  </si>
  <si>
    <t>描述</t>
    <phoneticPr fontId="1" type="noConversion"/>
  </si>
  <si>
    <t>预览</t>
    <phoneticPr fontId="1" type="noConversion"/>
  </si>
  <si>
    <t>积分排名</t>
    <phoneticPr fontId="1" type="noConversion"/>
  </si>
  <si>
    <t>积分段奖励</t>
    <phoneticPr fontId="1" type="noConversion"/>
  </si>
  <si>
    <t>免费次数/天</t>
    <phoneticPr fontId="1" type="noConversion"/>
  </si>
  <si>
    <t>每次伤害</t>
    <phoneticPr fontId="1" type="noConversion"/>
  </si>
  <si>
    <t>每次积分</t>
    <phoneticPr fontId="1" type="noConversion"/>
  </si>
  <si>
    <t>每天积分</t>
    <phoneticPr fontId="1" type="noConversion"/>
  </si>
  <si>
    <t>活动时长/天</t>
    <phoneticPr fontId="1" type="noConversion"/>
  </si>
  <si>
    <t>总积分/免费</t>
    <phoneticPr fontId="1" type="noConversion"/>
  </si>
  <si>
    <t>最高积分奖励</t>
    <phoneticPr fontId="1" type="noConversion"/>
  </si>
  <si>
    <t>总价值</t>
    <phoneticPr fontId="1" type="noConversion"/>
  </si>
  <si>
    <t>最高端</t>
    <phoneticPr fontId="1" type="noConversion"/>
  </si>
  <si>
    <t>中端</t>
    <phoneticPr fontId="1" type="noConversion"/>
  </si>
  <si>
    <t>低端</t>
    <phoneticPr fontId="1" type="noConversion"/>
  </si>
  <si>
    <t>活动副本额外价值</t>
    <phoneticPr fontId="1" type="noConversion"/>
  </si>
  <si>
    <t>Boss击杀奖励</t>
    <phoneticPr fontId="1" type="noConversion"/>
  </si>
  <si>
    <t>锚点</t>
    <phoneticPr fontId="1" type="noConversion"/>
  </si>
  <si>
    <t>甜心假面</t>
    <phoneticPr fontId="1" type="noConversion"/>
  </si>
  <si>
    <t>童帝</t>
    <phoneticPr fontId="1" type="noConversion"/>
  </si>
  <si>
    <t>加成</t>
    <phoneticPr fontId="1" type="noConversion"/>
  </si>
  <si>
    <t>莉莉</t>
    <phoneticPr fontId="1" type="noConversion"/>
  </si>
  <si>
    <t>需要天数</t>
    <phoneticPr fontId="1" type="noConversion"/>
  </si>
  <si>
    <t>需要计算伤害不足的玩家，要买多少次数才能完成</t>
    <phoneticPr fontId="1" type="noConversion"/>
  </si>
  <si>
    <t>Boss每次奖励总值</t>
    <phoneticPr fontId="1" type="noConversion"/>
  </si>
  <si>
    <t>随机副本体力</t>
    <phoneticPr fontId="1" type="noConversion"/>
  </si>
  <si>
    <t>产出价值</t>
    <phoneticPr fontId="1" type="noConversion"/>
  </si>
  <si>
    <t>Boss产出价值</t>
    <phoneticPr fontId="1" type="noConversion"/>
  </si>
  <si>
    <t>积分排名/%</t>
    <phoneticPr fontId="1" type="noConversion"/>
  </si>
  <si>
    <t>伤害排名/名</t>
    <phoneticPr fontId="1" type="noConversion"/>
  </si>
  <si>
    <t>每次Boss奖励</t>
    <phoneticPr fontId="1" type="noConversion"/>
  </si>
  <si>
    <t>奖励1类型</t>
    <phoneticPr fontId="1" type="noConversion"/>
  </si>
  <si>
    <t>数量1</t>
    <phoneticPr fontId="1" type="noConversion"/>
  </si>
  <si>
    <t>价值1</t>
    <phoneticPr fontId="1" type="noConversion"/>
  </si>
  <si>
    <t>奖励2类型</t>
    <phoneticPr fontId="1" type="noConversion"/>
  </si>
  <si>
    <t>数量2</t>
    <phoneticPr fontId="1" type="noConversion"/>
  </si>
  <si>
    <t>价值2</t>
    <phoneticPr fontId="1" type="noConversion"/>
  </si>
  <si>
    <t>高级招募令</t>
    <phoneticPr fontId="1" type="noConversion"/>
  </si>
  <si>
    <t>随机4星饰品</t>
    <phoneticPr fontId="1" type="noConversion"/>
  </si>
  <si>
    <t>随机3星饰品</t>
  </si>
  <si>
    <t>随机3星饰品</t>
    <phoneticPr fontId="1" type="noConversion"/>
  </si>
  <si>
    <t>现金</t>
    <phoneticPr fontId="1" type="noConversion"/>
  </si>
  <si>
    <t>价值降低</t>
    <phoneticPr fontId="1" type="noConversion"/>
  </si>
  <si>
    <t>实际价格</t>
    <phoneticPr fontId="1" type="noConversion"/>
  </si>
  <si>
    <t>高等攻击天赋书</t>
    <phoneticPr fontId="1" type="noConversion"/>
  </si>
  <si>
    <t>高等生存天赋书</t>
    <phoneticPr fontId="1" type="noConversion"/>
  </si>
  <si>
    <t>随机2星饰品</t>
  </si>
  <si>
    <t>随机2星饰品</t>
    <phoneticPr fontId="1" type="noConversion"/>
  </si>
  <si>
    <t>钻石消耗</t>
    <rPh sb="0" eb="1">
      <t>zuan'shi</t>
    </rPh>
    <rPh sb="2" eb="3">
      <t>xiao'hao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</si>
  <si>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</si>
  <si>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</si>
  <si>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总值</t>
    <rPh sb="0" eb="1">
      <t>zong'zhi</t>
    </rPh>
    <phoneticPr fontId="1" type="noConversion"/>
  </si>
  <si>
    <t>钻石</t>
    <rPh sb="0" eb="1">
      <t>zuan'shi</t>
    </rPh>
    <phoneticPr fontId="1" type="noConversion"/>
  </si>
  <si>
    <t>类型</t>
    <rPh sb="0" eb="1">
      <t>lei'xing</t>
    </rPh>
    <phoneticPr fontId="1" type="noConversion"/>
  </si>
  <si>
    <t>数量</t>
    <rPh sb="0" eb="1">
      <t>shu'liagn</t>
    </rPh>
    <phoneticPr fontId="1" type="noConversion"/>
  </si>
  <si>
    <t>价值</t>
    <rPh sb="0" eb="1">
      <t>jia'zhi</t>
    </rPh>
    <phoneticPr fontId="1" type="noConversion"/>
  </si>
  <si>
    <t>击杀奖励</t>
    <rPh sb="0" eb="1">
      <t>ji'sha</t>
    </rPh>
    <rPh sb="2" eb="3">
      <t>jiang'li</t>
    </rPh>
    <phoneticPr fontId="1" type="noConversion"/>
  </si>
  <si>
    <t>数量</t>
    <rPh sb="0" eb="1">
      <t>shu'liang</t>
    </rPh>
    <phoneticPr fontId="1" type="noConversion"/>
  </si>
  <si>
    <t>经验鸡块</t>
    <rPh sb="0" eb="1">
      <t>jing'yan</t>
    </rPh>
    <rPh sb="2" eb="3">
      <t>ji'kuai</t>
    </rPh>
    <phoneticPr fontId="1" type="noConversion"/>
  </si>
  <si>
    <t>经验鱼籽丼</t>
  </si>
  <si>
    <t>现金</t>
    <rPh sb="0" eb="1">
      <t>xian'jin</t>
    </rPh>
    <phoneticPr fontId="1" type="noConversion"/>
  </si>
  <si>
    <t>总价值</t>
    <rPh sb="0" eb="1">
      <t>zong'jia'zhi</t>
    </rPh>
    <phoneticPr fontId="1" type="noConversion"/>
  </si>
  <si>
    <t>预览汇总</t>
    <rPh sb="0" eb="1">
      <t>yu'lan</t>
    </rPh>
    <rPh sb="2" eb="3">
      <t>hui'zong</t>
    </rPh>
    <phoneticPr fontId="1" type="noConversion"/>
  </si>
  <si>
    <t>奖励汇总</t>
    <rPh sb="0" eb="1">
      <t>jiang'li</t>
    </rPh>
    <rPh sb="2" eb="3">
      <t>hui'zong</t>
    </rPh>
    <phoneticPr fontId="1" type="noConversion"/>
  </si>
  <si>
    <t xml:space="preserve"> </t>
    <phoneticPr fontId="1" type="noConversion"/>
  </si>
  <si>
    <t>EventWorldBoss</t>
    <phoneticPr fontId="1" type="noConversion"/>
  </si>
  <si>
    <t>EventDamageRank</t>
    <phoneticPr fontId="1" type="noConversion"/>
  </si>
  <si>
    <t>EventPointRank</t>
    <phoneticPr fontId="1" type="noConversion"/>
  </si>
  <si>
    <t>头像框</t>
    <rPh sb="0" eb="1">
      <t>tou'xiang</t>
    </rPh>
    <rPh sb="2" eb="3">
      <t>kuang</t>
    </rPh>
    <phoneticPr fontId="1" type="noConversion"/>
  </si>
  <si>
    <t>frame,22</t>
    <phoneticPr fontId="1" type="noConversion"/>
  </si>
  <si>
    <t>英雄招募令</t>
    <rPh sb="0" eb="1">
      <t>ying'xiong</t>
    </rPh>
    <rPh sb="2" eb="3">
      <t>zhao'mu'ling</t>
    </rPh>
    <phoneticPr fontId="1" type="noConversion"/>
  </si>
  <si>
    <t>额外奖励</t>
    <rPh sb="0" eb="1">
      <t>e'wai</t>
    </rPh>
    <rPh sb="2" eb="3">
      <t>jiang'li</t>
    </rPh>
    <phoneticPr fontId="1" type="noConversion"/>
  </si>
  <si>
    <t>frame,21</t>
    <phoneticPr fontId="1" type="noConversion"/>
  </si>
  <si>
    <t>警犬侠招募令</t>
    <rPh sb="0" eb="1">
      <t>jing'quan'xia</t>
    </rPh>
    <rPh sb="3" eb="4">
      <t>zhao'mu'ling</t>
    </rPh>
    <phoneticPr fontId="1" type="noConversion"/>
  </si>
  <si>
    <t>prop,707</t>
    <phoneticPr fontId="1" type="noConversion"/>
  </si>
  <si>
    <t>警犬侠招募令</t>
    <rPh sb="0" eb="1">
      <t>jign'quan'xia</t>
    </rPh>
    <rPh sb="3" eb="4">
      <t>zhao'mu'ling</t>
    </rPh>
    <phoneticPr fontId="1" type="noConversion"/>
  </si>
  <si>
    <t>特级实力徽章</t>
    <rPh sb="0" eb="1">
      <t>te'ji</t>
    </rPh>
    <rPh sb="2" eb="3">
      <t>shi'li</t>
    </rPh>
    <rPh sb="4" eb="5">
      <t>hui'zhang</t>
    </rPh>
    <phoneticPr fontId="1" type="noConversion"/>
  </si>
  <si>
    <t>高级实力徽章</t>
    <rPh sb="0" eb="1">
      <t>gao'ji</t>
    </rPh>
    <rPh sb="2" eb="3">
      <t>shi'li</t>
    </rPh>
    <rPh sb="4" eb="5">
      <t>hui'zhang</t>
    </rPh>
    <phoneticPr fontId="1" type="noConversion"/>
  </si>
  <si>
    <t>中级实力徽章</t>
    <rPh sb="0" eb="1">
      <t>zhong'ji</t>
    </rPh>
    <rPh sb="2" eb="3">
      <t>shi'li</t>
    </rPh>
    <rPh sb="4" eb="5">
      <t>hui'zhang</t>
    </rPh>
    <phoneticPr fontId="1" type="noConversion"/>
  </si>
  <si>
    <t>初级实力徽章</t>
    <rPh sb="0" eb="1">
      <t>chu'ji</t>
    </rPh>
    <rPh sb="2" eb="3">
      <t>shi'li</t>
    </rPh>
    <rPh sb="4" eb="5">
      <t>hui'zhang</t>
    </rPh>
    <phoneticPr fontId="1" type="noConversion"/>
  </si>
  <si>
    <t>高等格斗力认证</t>
    <rPh sb="0" eb="1">
      <t>gao'deng</t>
    </rPh>
    <rPh sb="2" eb="3">
      <t>ge'dou'li</t>
    </rPh>
    <rPh sb="5" eb="6">
      <t>ren'zheng</t>
    </rPh>
    <phoneticPr fontId="1" type="noConversion"/>
  </si>
  <si>
    <t>格斗力认证</t>
    <rPh sb="0" eb="1">
      <t>ge'dou'li</t>
    </rPh>
    <rPh sb="3" eb="4">
      <t>ren'zheng</t>
    </rPh>
    <phoneticPr fontId="1" type="noConversion"/>
  </si>
  <si>
    <t>超级实力徽章</t>
    <rPh sb="0" eb="1">
      <t>chao'ji</t>
    </rPh>
    <rPh sb="2" eb="3">
      <t>shi'li</t>
    </rPh>
    <rPh sb="4" eb="5">
      <t>hui'zhang</t>
    </rPh>
    <phoneticPr fontId="1" type="noConversion"/>
  </si>
  <si>
    <t>中等攻击天赋书</t>
    <rPh sb="0" eb="1">
      <t>zhong'deng</t>
    </rPh>
    <rPh sb="2" eb="3">
      <t>gong'ji</t>
    </rPh>
    <rPh sb="4" eb="5">
      <t>tian'fu'shu</t>
    </rPh>
    <phoneticPr fontId="1" type="noConversion"/>
  </si>
  <si>
    <t>中等生存天赋书</t>
    <rPh sb="0" eb="1">
      <t>zhong'deng</t>
    </rPh>
    <rPh sb="2" eb="3">
      <t>sheng'cun</t>
    </rPh>
    <rPh sb="4" eb="5">
      <t>tian'fu'shu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</si>
  <si>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</si>
  <si>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觉醒胶囊</t>
    <rPh sb="0" eb="1">
      <t>jue'xing</t>
    </rPh>
    <rPh sb="2" eb="3">
      <t>jiao'nang</t>
    </rPh>
    <phoneticPr fontId="1" type="noConversion"/>
  </si>
  <si>
    <t>“Super-X”</t>
    <phoneticPr fontId="1" type="noConversion"/>
  </si>
  <si>
    <t>元气牛肉</t>
    <phoneticPr fontId="1" type="noConversion"/>
  </si>
  <si>
    <t>肌力药剂</t>
    <phoneticPr fontId="1" type="noConversion"/>
  </si>
  <si>
    <t>随机3星饰品</t>
    <rPh sb="0" eb="1">
      <t>sui'ji</t>
    </rPh>
    <rPh sb="3" eb="4">
      <t>xing</t>
    </rPh>
    <rPh sb="4" eb="5">
      <t>shi'pin</t>
    </rPh>
    <phoneticPr fontId="1" type="noConversion"/>
  </si>
  <si>
    <t>描述</t>
    <rPh sb="0" eb="1">
      <t>miao'shu</t>
    </rPh>
    <phoneticPr fontId="1" type="noConversion"/>
  </si>
  <si>
    <t>预览</t>
    <rPh sb="0" eb="1">
      <t>yu'lan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</si>
</sst>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3" applyFont="1" applyAlignment="1">
      <alignment horizontal="center"/>
    </xf>
    <xf numFmtId="0" fontId="9" fillId="0" borderId="0" xfId="3" applyFont="1"/>
    <xf numFmtId="0" fontId="4" fillId="0" borderId="0" xfId="0" applyFont="1"/>
  </cellXfs>
  <cellStyles count="6">
    <cellStyle name="常规" xfId="0" builtinId="0"/>
    <cellStyle name="超链接" xfId="1" builtinId="8" hidden="1"/>
    <cellStyle name="超链接" xfId="4" builtinId="8" hidden="1"/>
    <cellStyle name="解释性文本" xfId="3" builtinId="53"/>
    <cellStyle name="已访问的超链接" xfId="2" builtinId="9" hidden="1"/>
    <cellStyle name="已访问的超链接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  <row r="246">
          <cell r="B246" t="str">
            <v>战栗的龙卷普通技能卡</v>
          </cell>
          <cell r="D246" t="str">
            <v>skill,1</v>
          </cell>
          <cell r="E246">
            <v>500</v>
          </cell>
        </row>
        <row r="247">
          <cell r="B247" t="str">
            <v>战栗的龙卷主动技能卡-1</v>
          </cell>
          <cell r="D247" t="str">
            <v>skill,2</v>
          </cell>
          <cell r="E247">
            <v>1000</v>
          </cell>
        </row>
        <row r="248">
          <cell r="B248" t="str">
            <v>战栗的龙卷主动技能卡-2</v>
          </cell>
          <cell r="D248" t="str">
            <v>skill,3</v>
          </cell>
          <cell r="E248">
            <v>1000</v>
          </cell>
        </row>
        <row r="249">
          <cell r="B249" t="str">
            <v>战栗的龙卷特质1技能卡</v>
          </cell>
          <cell r="D249" t="str">
            <v>skill,4</v>
          </cell>
          <cell r="E249">
            <v>500</v>
          </cell>
        </row>
        <row r="250">
          <cell r="B250" t="str">
            <v>战栗的龙卷特质2技能卡</v>
          </cell>
          <cell r="D250" t="str">
            <v>skill,5</v>
          </cell>
          <cell r="E250">
            <v>500</v>
          </cell>
        </row>
        <row r="251">
          <cell r="B251" t="str">
            <v>战栗的龙卷特质3技能卡-1</v>
          </cell>
          <cell r="D251" t="str">
            <v>skill,6</v>
          </cell>
          <cell r="E251">
            <v>500</v>
          </cell>
        </row>
        <row r="252">
          <cell r="B252" t="str">
            <v>战栗的龙卷特质3技能卡-2</v>
          </cell>
          <cell r="D252" t="str">
            <v>skill,7</v>
          </cell>
          <cell r="E252">
            <v>500</v>
          </cell>
        </row>
        <row r="253">
          <cell r="B253" t="str">
            <v>战栗的龙卷特质4技能卡</v>
          </cell>
          <cell r="D253" t="str">
            <v>skill,8</v>
          </cell>
          <cell r="E253">
            <v>500</v>
          </cell>
        </row>
        <row r="254">
          <cell r="B254" t="str">
            <v>地狱的吹雪普通技能卡</v>
          </cell>
          <cell r="D254" t="str">
            <v>skill,9</v>
          </cell>
          <cell r="E254">
            <v>300</v>
          </cell>
        </row>
        <row r="255">
          <cell r="B255" t="str">
            <v>地狱的吹雪主动技能卡</v>
          </cell>
          <cell r="D255" t="str">
            <v>skill,10</v>
          </cell>
          <cell r="E255">
            <v>600</v>
          </cell>
        </row>
        <row r="256">
          <cell r="B256" t="str">
            <v>地狱的吹雪特质3技能卡</v>
          </cell>
          <cell r="D256" t="str">
            <v>skill,11</v>
          </cell>
          <cell r="E256">
            <v>300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30" zoomScaleNormal="130" zoomScalePageLayoutView="130" workbookViewId="0">
      <selection activeCell="A10" sqref="A10"/>
    </sheetView>
  </sheetViews>
  <sheetFormatPr baseColWidth="10" defaultColWidth="8.83203125" defaultRowHeight="13" x14ac:dyDescent="0.15"/>
  <cols>
    <col min="1" max="5" width="8.83203125" style="3"/>
    <col min="6" max="7" width="8.83203125" style="1"/>
    <col min="8" max="9" width="8.83203125" style="3"/>
    <col min="10" max="10" width="10.1640625" style="3" bestFit="1" customWidth="1"/>
    <col min="11" max="11" width="8.83203125" style="1"/>
    <col min="12" max="16384" width="8.83203125" style="3"/>
  </cols>
  <sheetData>
    <row r="1" spans="1:13" x14ac:dyDescent="0.15">
      <c r="F1" s="1" t="s">
        <v>2</v>
      </c>
      <c r="G1" s="1" t="s">
        <v>1</v>
      </c>
      <c r="J1" s="3" t="s">
        <v>33</v>
      </c>
      <c r="K1" s="1">
        <v>5</v>
      </c>
      <c r="M1" s="3" t="s">
        <v>52</v>
      </c>
    </row>
    <row r="2" spans="1:13" x14ac:dyDescent="0.15">
      <c r="A2" s="1"/>
      <c r="B2" s="1"/>
      <c r="C2" s="1" t="s">
        <v>2</v>
      </c>
      <c r="D2" s="1" t="s">
        <v>1</v>
      </c>
      <c r="F2" s="1">
        <v>50000</v>
      </c>
      <c r="G2" s="1">
        <f>IF(F2&lt;=$A$4,F2*$B$4,$A$4*$B$4+IF(F2&lt;=$A$5,(F2-$A$4)*$B$5,($A$5-$A$4)*$B$5+IF(F2&lt;=$A$6,(F2-$A$5)*$B$6,($A$6-$A$5)*$B$6+IF(F2&lt;=$A$7,(F2-$A$6)*$B$7,($A$7-$A$6)*$B$7+IF(F2&lt;=$A$8,(F2-$A$7)*$B$8,($A$8-$A$7)*$B$8)))))</f>
        <v>500</v>
      </c>
      <c r="J2" s="3" t="s">
        <v>34</v>
      </c>
      <c r="K2" s="1">
        <v>900000</v>
      </c>
    </row>
    <row r="3" spans="1:13" x14ac:dyDescent="0.15">
      <c r="A3" s="1" t="s">
        <v>3</v>
      </c>
      <c r="B3" s="1" t="s">
        <v>0</v>
      </c>
      <c r="C3" s="1">
        <f>K2</f>
        <v>900000</v>
      </c>
      <c r="D3" s="1">
        <f>SUM(D4:D8)</f>
        <v>2250</v>
      </c>
      <c r="F3" s="1">
        <v>100000</v>
      </c>
      <c r="G3" s="1">
        <f t="shared" ref="G3:G53" si="0">IF(F3&lt;=$A$4,F3*$B$4,$A$4*$B$4+IF(F3&lt;=$A$5,(F3-$A$4)*$B$5,($A$5-$A$4)*$B$5+IF(F3&lt;=$A$6,(F3-$A$5)*$B$6,($A$6-$A$5)*$B$6+IF(F3&lt;=$A$7,(F3-$A$6)*$B$7,($A$7-$A$6)*$B$7+IF(F3&lt;=$A$8,(F3-$A$7)*$B$8,($A$8-$A$7)*$B$8)))))</f>
        <v>750</v>
      </c>
      <c r="J3" s="3" t="s">
        <v>35</v>
      </c>
      <c r="K3" s="1">
        <f>D3*(1+MAX(K17:K19))</f>
        <v>2362.5</v>
      </c>
    </row>
    <row r="4" spans="1:13" x14ac:dyDescent="0.15">
      <c r="A4" s="1">
        <v>50000</v>
      </c>
      <c r="B4" s="1">
        <v>0.01</v>
      </c>
      <c r="C4" s="1">
        <f>MAX(IF(C3&gt;A4,A4,C3),0)</f>
        <v>50000</v>
      </c>
      <c r="D4" s="1">
        <f>B4*C4</f>
        <v>500</v>
      </c>
      <c r="F4" s="1">
        <v>150000</v>
      </c>
      <c r="G4" s="1">
        <f t="shared" si="0"/>
        <v>1000</v>
      </c>
      <c r="J4" s="3" t="s">
        <v>36</v>
      </c>
      <c r="K4" s="1">
        <f>K3*K1</f>
        <v>11812.5</v>
      </c>
    </row>
    <row r="5" spans="1:13" x14ac:dyDescent="0.15">
      <c r="A5" s="1">
        <v>200000</v>
      </c>
      <c r="B5" s="1">
        <v>5.0000000000000001E-3</v>
      </c>
      <c r="C5" s="1">
        <f>MAX(IF($C$3&gt;A5,A5-A4,$C$3-A4),0)</f>
        <v>150000</v>
      </c>
      <c r="D5" s="1">
        <f t="shared" ref="D5:D8" si="1">B5*C5</f>
        <v>750</v>
      </c>
      <c r="F5" s="1">
        <v>200000</v>
      </c>
      <c r="G5" s="1">
        <f t="shared" si="0"/>
        <v>1250</v>
      </c>
    </row>
    <row r="6" spans="1:13" x14ac:dyDescent="0.15">
      <c r="A6" s="1">
        <v>500000</v>
      </c>
      <c r="B6" s="1">
        <v>2E-3</v>
      </c>
      <c r="C6" s="1">
        <f t="shared" ref="C6:C8" si="2">MAX(IF($C$3&gt;A6,A6-A5,$C$3-A5),0)</f>
        <v>300000</v>
      </c>
      <c r="D6" s="1">
        <f t="shared" si="1"/>
        <v>600</v>
      </c>
      <c r="F6" s="1">
        <v>250000</v>
      </c>
      <c r="G6" s="1">
        <f t="shared" si="0"/>
        <v>1350</v>
      </c>
    </row>
    <row r="7" spans="1:13" x14ac:dyDescent="0.15">
      <c r="A7" s="1">
        <v>1000000</v>
      </c>
      <c r="B7" s="1">
        <v>1E-3</v>
      </c>
      <c r="C7" s="1">
        <f t="shared" si="2"/>
        <v>400000</v>
      </c>
      <c r="D7" s="1">
        <f t="shared" si="1"/>
        <v>400</v>
      </c>
      <c r="F7" s="1">
        <v>300000</v>
      </c>
      <c r="G7" s="1">
        <f t="shared" si="0"/>
        <v>1450</v>
      </c>
      <c r="J7" s="3" t="s">
        <v>37</v>
      </c>
      <c r="K7" s="1">
        <v>14</v>
      </c>
    </row>
    <row r="8" spans="1:13" x14ac:dyDescent="0.15">
      <c r="A8" s="1">
        <v>9999999</v>
      </c>
      <c r="B8" s="1">
        <v>5.0000000000000001E-4</v>
      </c>
      <c r="C8" s="1">
        <f t="shared" si="2"/>
        <v>0</v>
      </c>
      <c r="D8" s="1">
        <f t="shared" si="1"/>
        <v>0</v>
      </c>
      <c r="F8" s="1">
        <v>350000</v>
      </c>
      <c r="G8" s="1">
        <f t="shared" si="0"/>
        <v>1550</v>
      </c>
      <c r="J8" s="3" t="s">
        <v>38</v>
      </c>
      <c r="K8" s="1">
        <f>K7*K4</f>
        <v>165375</v>
      </c>
    </row>
    <row r="9" spans="1:13" x14ac:dyDescent="0.15">
      <c r="F9" s="1">
        <v>400000</v>
      </c>
      <c r="G9" s="1">
        <f t="shared" si="0"/>
        <v>1650</v>
      </c>
    </row>
    <row r="10" spans="1:13" x14ac:dyDescent="0.15">
      <c r="A10" s="3" t="str">
        <f>A4&amp;","&amp;A5&amp;","&amp;A6&amp;","&amp;A7&amp;","&amp;A8</f>
        <v>50000,200000,500000,1000000,9999999</v>
      </c>
      <c r="B10" s="3" t="str">
        <f>B4&amp;","&amp;B5&amp;","&amp;B6&amp;","&amp;B7&amp;","&amp;B8</f>
        <v>0.01,0.005,0.002,0.001,0.0005</v>
      </c>
      <c r="F10" s="1">
        <v>450000</v>
      </c>
      <c r="G10" s="1">
        <f t="shared" si="0"/>
        <v>1750</v>
      </c>
    </row>
    <row r="11" spans="1:13" x14ac:dyDescent="0.15">
      <c r="F11" s="1">
        <v>500000</v>
      </c>
      <c r="G11" s="1">
        <f t="shared" si="0"/>
        <v>1850</v>
      </c>
      <c r="J11" s="3" t="s">
        <v>39</v>
      </c>
      <c r="K11" s="1">
        <v>150000</v>
      </c>
    </row>
    <row r="12" spans="1:13" x14ac:dyDescent="0.15">
      <c r="F12" s="1">
        <v>550000</v>
      </c>
      <c r="G12" s="1">
        <f t="shared" si="0"/>
        <v>1900</v>
      </c>
      <c r="J12" s="3" t="s">
        <v>51</v>
      </c>
      <c r="K12" s="1">
        <f>K11/K1/K3</f>
        <v>12.698412698412698</v>
      </c>
    </row>
    <row r="13" spans="1:13" x14ac:dyDescent="0.15">
      <c r="F13" s="1">
        <v>600000</v>
      </c>
      <c r="G13" s="1">
        <f t="shared" si="0"/>
        <v>1950</v>
      </c>
    </row>
    <row r="14" spans="1:13" x14ac:dyDescent="0.15">
      <c r="F14" s="1">
        <v>650000</v>
      </c>
      <c r="G14" s="1">
        <f t="shared" si="0"/>
        <v>2000</v>
      </c>
    </row>
    <row r="15" spans="1:13" x14ac:dyDescent="0.15">
      <c r="F15" s="1">
        <v>700000</v>
      </c>
      <c r="G15" s="1">
        <f t="shared" si="0"/>
        <v>2050</v>
      </c>
    </row>
    <row r="16" spans="1:13" x14ac:dyDescent="0.15">
      <c r="F16" s="1">
        <v>750000</v>
      </c>
      <c r="G16" s="1">
        <f t="shared" si="0"/>
        <v>2100</v>
      </c>
      <c r="J16" s="3" t="s">
        <v>49</v>
      </c>
    </row>
    <row r="17" spans="6:11" x14ac:dyDescent="0.15">
      <c r="F17" s="1">
        <v>800000</v>
      </c>
      <c r="G17" s="1">
        <f t="shared" si="0"/>
        <v>2150</v>
      </c>
      <c r="J17" s="3" t="s">
        <v>48</v>
      </c>
      <c r="K17" s="8">
        <v>0.05</v>
      </c>
    </row>
    <row r="18" spans="6:11" x14ac:dyDescent="0.15">
      <c r="F18" s="1">
        <v>850000</v>
      </c>
      <c r="G18" s="1">
        <f t="shared" si="0"/>
        <v>2200</v>
      </c>
      <c r="J18" s="3" t="s">
        <v>47</v>
      </c>
      <c r="K18" s="8">
        <v>0.03</v>
      </c>
    </row>
    <row r="19" spans="6:11" x14ac:dyDescent="0.15">
      <c r="F19" s="1">
        <v>900000</v>
      </c>
      <c r="G19" s="1">
        <f t="shared" si="0"/>
        <v>2250</v>
      </c>
      <c r="J19" s="3" t="s">
        <v>50</v>
      </c>
      <c r="K19" s="8">
        <v>0.02</v>
      </c>
    </row>
    <row r="20" spans="6:11" x14ac:dyDescent="0.15">
      <c r="F20" s="1">
        <v>950000</v>
      </c>
      <c r="G20" s="1">
        <f t="shared" si="0"/>
        <v>2300</v>
      </c>
    </row>
    <row r="21" spans="6:11" x14ac:dyDescent="0.15">
      <c r="F21" s="1">
        <v>1000000</v>
      </c>
      <c r="G21" s="1">
        <f t="shared" si="0"/>
        <v>2350</v>
      </c>
    </row>
    <row r="22" spans="6:11" x14ac:dyDescent="0.15">
      <c r="F22" s="1">
        <v>1050000</v>
      </c>
      <c r="G22" s="1">
        <f t="shared" si="0"/>
        <v>2375</v>
      </c>
    </row>
    <row r="23" spans="6:11" x14ac:dyDescent="0.15">
      <c r="F23" s="1">
        <v>1100000</v>
      </c>
      <c r="G23" s="1">
        <f t="shared" si="0"/>
        <v>2400</v>
      </c>
    </row>
    <row r="24" spans="6:11" x14ac:dyDescent="0.15">
      <c r="F24" s="1">
        <v>1150000</v>
      </c>
      <c r="G24" s="1">
        <f t="shared" si="0"/>
        <v>2425</v>
      </c>
    </row>
    <row r="25" spans="6:11" x14ac:dyDescent="0.15">
      <c r="F25" s="1">
        <v>1200000</v>
      </c>
      <c r="G25" s="1">
        <f t="shared" si="0"/>
        <v>2450</v>
      </c>
    </row>
    <row r="26" spans="6:11" x14ac:dyDescent="0.15">
      <c r="F26" s="1">
        <v>1250000</v>
      </c>
      <c r="G26" s="1">
        <f t="shared" si="0"/>
        <v>2475</v>
      </c>
    </row>
    <row r="27" spans="6:11" x14ac:dyDescent="0.15">
      <c r="F27" s="1">
        <v>1300000</v>
      </c>
      <c r="G27" s="1">
        <f t="shared" si="0"/>
        <v>2500</v>
      </c>
    </row>
    <row r="28" spans="6:11" x14ac:dyDescent="0.15">
      <c r="F28" s="1">
        <v>1350000</v>
      </c>
      <c r="G28" s="1">
        <f t="shared" si="0"/>
        <v>2525</v>
      </c>
    </row>
    <row r="29" spans="6:11" x14ac:dyDescent="0.15">
      <c r="F29" s="1">
        <v>1400000</v>
      </c>
      <c r="G29" s="1">
        <f t="shared" si="0"/>
        <v>2550</v>
      </c>
    </row>
    <row r="30" spans="6:11" x14ac:dyDescent="0.15">
      <c r="F30" s="1">
        <v>1450000</v>
      </c>
      <c r="G30" s="1">
        <f t="shared" si="0"/>
        <v>2575</v>
      </c>
    </row>
    <row r="31" spans="6:11" x14ac:dyDescent="0.15">
      <c r="F31" s="1">
        <v>1500000</v>
      </c>
      <c r="G31" s="1">
        <f t="shared" si="0"/>
        <v>2600</v>
      </c>
    </row>
    <row r="32" spans="6:11" x14ac:dyDescent="0.15">
      <c r="F32" s="1">
        <v>1550000</v>
      </c>
      <c r="G32" s="1">
        <f t="shared" si="0"/>
        <v>2625</v>
      </c>
    </row>
    <row r="33" spans="6:7" x14ac:dyDescent="0.15">
      <c r="F33" s="1">
        <v>1600000</v>
      </c>
      <c r="G33" s="1">
        <f t="shared" si="0"/>
        <v>2650</v>
      </c>
    </row>
    <row r="34" spans="6:7" x14ac:dyDescent="0.15">
      <c r="F34" s="1">
        <v>1650000</v>
      </c>
      <c r="G34" s="1">
        <f t="shared" si="0"/>
        <v>2675</v>
      </c>
    </row>
    <row r="35" spans="6:7" x14ac:dyDescent="0.15">
      <c r="F35" s="1">
        <v>1700000</v>
      </c>
      <c r="G35" s="1">
        <f t="shared" si="0"/>
        <v>2700</v>
      </c>
    </row>
    <row r="36" spans="6:7" x14ac:dyDescent="0.15">
      <c r="F36" s="1">
        <v>1750000</v>
      </c>
      <c r="G36" s="1">
        <f t="shared" si="0"/>
        <v>2725</v>
      </c>
    </row>
    <row r="37" spans="6:7" x14ac:dyDescent="0.15">
      <c r="F37" s="1">
        <v>1800000</v>
      </c>
      <c r="G37" s="1">
        <f t="shared" si="0"/>
        <v>2750</v>
      </c>
    </row>
    <row r="38" spans="6:7" x14ac:dyDescent="0.15">
      <c r="F38" s="1">
        <v>1850000</v>
      </c>
      <c r="G38" s="1">
        <f t="shared" si="0"/>
        <v>2775</v>
      </c>
    </row>
    <row r="39" spans="6:7" x14ac:dyDescent="0.15">
      <c r="F39" s="1">
        <v>1900000</v>
      </c>
      <c r="G39" s="1">
        <f t="shared" si="0"/>
        <v>2800</v>
      </c>
    </row>
    <row r="40" spans="6:7" x14ac:dyDescent="0.15">
      <c r="F40" s="1">
        <v>1950000</v>
      </c>
      <c r="G40" s="1">
        <f t="shared" si="0"/>
        <v>2825</v>
      </c>
    </row>
    <row r="41" spans="6:7" x14ac:dyDescent="0.15">
      <c r="F41" s="1">
        <v>2000000</v>
      </c>
      <c r="G41" s="1">
        <f t="shared" si="0"/>
        <v>2850</v>
      </c>
    </row>
    <row r="42" spans="6:7" x14ac:dyDescent="0.15">
      <c r="F42" s="1">
        <v>2050000</v>
      </c>
      <c r="G42" s="1">
        <f t="shared" si="0"/>
        <v>2875</v>
      </c>
    </row>
    <row r="43" spans="6:7" x14ac:dyDescent="0.15">
      <c r="F43" s="1">
        <v>2100000</v>
      </c>
      <c r="G43" s="1">
        <f t="shared" si="0"/>
        <v>2900</v>
      </c>
    </row>
    <row r="44" spans="6:7" x14ac:dyDescent="0.15">
      <c r="F44" s="1">
        <v>2150000</v>
      </c>
      <c r="G44" s="1">
        <f t="shared" si="0"/>
        <v>2925</v>
      </c>
    </row>
    <row r="45" spans="6:7" x14ac:dyDescent="0.15">
      <c r="F45" s="1">
        <v>2200000</v>
      </c>
      <c r="G45" s="1">
        <f t="shared" si="0"/>
        <v>2950</v>
      </c>
    </row>
    <row r="46" spans="6:7" x14ac:dyDescent="0.15">
      <c r="F46" s="1">
        <v>2250000</v>
      </c>
      <c r="G46" s="1">
        <f t="shared" si="0"/>
        <v>2975</v>
      </c>
    </row>
    <row r="47" spans="6:7" x14ac:dyDescent="0.15">
      <c r="F47" s="1">
        <v>2300000</v>
      </c>
      <c r="G47" s="1">
        <f t="shared" si="0"/>
        <v>3000</v>
      </c>
    </row>
    <row r="48" spans="6:7" x14ac:dyDescent="0.15">
      <c r="F48" s="1">
        <v>2350000</v>
      </c>
      <c r="G48" s="1">
        <f t="shared" si="0"/>
        <v>3025</v>
      </c>
    </row>
    <row r="49" spans="6:7" x14ac:dyDescent="0.15">
      <c r="F49" s="1">
        <v>2400000</v>
      </c>
      <c r="G49" s="1">
        <f t="shared" si="0"/>
        <v>3050</v>
      </c>
    </row>
    <row r="50" spans="6:7" x14ac:dyDescent="0.15">
      <c r="F50" s="1">
        <v>2450000</v>
      </c>
      <c r="G50" s="1">
        <f t="shared" si="0"/>
        <v>3075</v>
      </c>
    </row>
    <row r="51" spans="6:7" x14ac:dyDescent="0.15">
      <c r="F51" s="1">
        <v>2500000</v>
      </c>
      <c r="G51" s="1">
        <f t="shared" si="0"/>
        <v>3100</v>
      </c>
    </row>
    <row r="52" spans="6:7" x14ac:dyDescent="0.15">
      <c r="F52" s="1">
        <v>2550000</v>
      </c>
      <c r="G52" s="1">
        <f t="shared" si="0"/>
        <v>3125</v>
      </c>
    </row>
    <row r="53" spans="6:7" x14ac:dyDescent="0.15">
      <c r="F53" s="1">
        <v>2600000</v>
      </c>
      <c r="G53" s="1">
        <f t="shared" si="0"/>
        <v>3150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abSelected="1" topLeftCell="AA1" zoomScale="120" zoomScaleNormal="120" zoomScalePageLayoutView="120" workbookViewId="0">
      <selection activeCell="AS13" sqref="AS13"/>
    </sheetView>
  </sheetViews>
  <sheetFormatPr baseColWidth="10" defaultColWidth="8.83203125" defaultRowHeight="13" x14ac:dyDescent="0.15"/>
  <cols>
    <col min="1" max="1" width="14.83203125" style="2" customWidth="1"/>
    <col min="2" max="8" width="6.6640625" style="2" customWidth="1"/>
    <col min="9" max="9" width="5.83203125" style="2" customWidth="1"/>
    <col min="10" max="11" width="8.1640625" style="1" customWidth="1"/>
    <col min="12" max="12" width="10.5" style="2" bestFit="1" customWidth="1"/>
    <col min="13" max="14" width="6.6640625" style="2" customWidth="1"/>
    <col min="15" max="15" width="10.5" style="2" bestFit="1" customWidth="1"/>
    <col min="16" max="18" width="6.1640625" style="2" customWidth="1"/>
    <col min="19" max="24" width="8.83203125" style="2"/>
    <col min="25" max="25" width="8.83203125" style="4"/>
    <col min="26" max="26" width="8.83203125" style="2"/>
    <col min="27" max="27" width="11.1640625" style="2" bestFit="1" customWidth="1"/>
    <col min="28" max="28" width="13.1640625" style="2" bestFit="1" customWidth="1"/>
    <col min="29" max="32" width="8.83203125" style="2"/>
    <col min="33" max="33" width="8.83203125" style="4"/>
    <col min="34" max="34" width="13" style="2" customWidth="1"/>
    <col min="35" max="16384" width="8.83203125" style="2"/>
  </cols>
  <sheetData>
    <row r="1" spans="1:51" ht="15" x14ac:dyDescent="0.2">
      <c r="B1" s="4" t="s">
        <v>41</v>
      </c>
      <c r="C1" s="4" t="s">
        <v>42</v>
      </c>
      <c r="D1" s="4" t="s">
        <v>43</v>
      </c>
      <c r="E1" s="4"/>
      <c r="F1" s="4"/>
      <c r="G1" s="4"/>
      <c r="H1" s="4"/>
      <c r="J1" s="1" t="s">
        <v>58</v>
      </c>
      <c r="K1" s="9" t="s">
        <v>95</v>
      </c>
      <c r="AA1" s="4" t="s">
        <v>32</v>
      </c>
      <c r="AB1" s="4" t="s">
        <v>26</v>
      </c>
      <c r="AC1" s="4" t="s">
        <v>27</v>
      </c>
      <c r="AD1" s="4" t="s">
        <v>28</v>
      </c>
      <c r="AE1" s="4" t="s">
        <v>26</v>
      </c>
      <c r="AF1" s="4" t="s">
        <v>27</v>
      </c>
      <c r="AG1" s="4" t="s">
        <v>28</v>
      </c>
      <c r="AH1" s="4" t="s">
        <v>26</v>
      </c>
      <c r="AI1" s="4" t="s">
        <v>27</v>
      </c>
      <c r="AJ1" s="4" t="s">
        <v>28</v>
      </c>
      <c r="AK1" s="4" t="s">
        <v>26</v>
      </c>
      <c r="AL1" s="4" t="s">
        <v>27</v>
      </c>
      <c r="AM1" s="4" t="s">
        <v>28</v>
      </c>
      <c r="AN1" s="3" t="s">
        <v>80</v>
      </c>
      <c r="AO1" s="4" t="s">
        <v>29</v>
      </c>
      <c r="AP1" s="4" t="s">
        <v>30</v>
      </c>
      <c r="AS1"/>
      <c r="AU1" s="3" t="s">
        <v>120</v>
      </c>
      <c r="AV1" s="3" t="s">
        <v>121</v>
      </c>
      <c r="AY1" s="4" t="s">
        <v>46</v>
      </c>
    </row>
    <row r="2" spans="1:51" x14ac:dyDescent="0.15">
      <c r="A2" s="2" t="s">
        <v>40</v>
      </c>
      <c r="B2" s="5">
        <v>30000</v>
      </c>
      <c r="C2" s="5">
        <v>25000</v>
      </c>
      <c r="D2" s="5">
        <v>20000</v>
      </c>
      <c r="E2" s="5"/>
      <c r="F2" s="5"/>
      <c r="G2" s="5"/>
      <c r="H2" s="5"/>
      <c r="J2" s="1" t="s">
        <v>24</v>
      </c>
      <c r="K2" s="1" t="s">
        <v>25</v>
      </c>
      <c r="L2" s="2" t="s">
        <v>26</v>
      </c>
      <c r="W2" s="3" t="s">
        <v>92</v>
      </c>
      <c r="X2" s="3" t="s">
        <v>91</v>
      </c>
      <c r="Y2" s="4" t="s">
        <v>46</v>
      </c>
      <c r="AA2" s="4">
        <v>5000</v>
      </c>
      <c r="AB2" s="1" t="s">
        <v>104</v>
      </c>
      <c r="AC2" s="1">
        <v>2</v>
      </c>
      <c r="AD2" s="1">
        <f>VLOOKUP(AB2,价值!$B:$G,6,0)*AC2</f>
        <v>500</v>
      </c>
      <c r="AE2" s="1" t="s">
        <v>87</v>
      </c>
      <c r="AF2" s="1">
        <v>3</v>
      </c>
      <c r="AG2" s="1">
        <f>VLOOKUP(AE2,价值!$B:$G,6,0)*AF2</f>
        <v>54</v>
      </c>
      <c r="AH2" s="1" t="s">
        <v>108</v>
      </c>
      <c r="AI2" s="1">
        <v>10</v>
      </c>
      <c r="AJ2" s="1">
        <f>VLOOKUP(AH2,价值!$B:$G,6,0)*AI2</f>
        <v>60</v>
      </c>
      <c r="AK2" s="1"/>
      <c r="AL2" s="1"/>
      <c r="AM2" s="1">
        <f>VLOOKUP(AK2,价值!$B:$G,6,0)*AL2</f>
        <v>0</v>
      </c>
      <c r="AN2" s="2">
        <f>AD2+AG2+AJ2+AM2</f>
        <v>614</v>
      </c>
      <c r="AO2" s="4" t="str">
        <f>VLOOKUP(AB2,价值!$B:$G,3,0)&amp;","&amp;AC2</f>
        <v>prop,707,2</v>
      </c>
      <c r="AP2" s="3" t="str">
        <f>IF(VLOOKUP(AB2,价值!$B:$G,5,0)=0,AO2,VLOOKUP(AB2,价值!$B:$G,5,0)&amp;","&amp;AC2)</f>
        <v>prop,707,2</v>
      </c>
      <c r="AQ2" s="4" t="str">
        <f>VLOOKUP(AE2,价值!$B:$G,3,0)&amp;","&amp;AF2</f>
        <v>prop,104,3</v>
      </c>
      <c r="AR2" s="3" t="str">
        <f>IF(VLOOKUP(AE2,价值!$B:$G,5,0)=0,AQ2,VLOOKUP(AE2,价值!$B:$G,5,0)&amp;","&amp;AF2)</f>
        <v>prop,104,3</v>
      </c>
      <c r="AS2" s="4" t="str">
        <f>VLOOKUP(AH2,价值!$B:$G,3,0)&amp;","&amp;AI2</f>
        <v>prop,202,10</v>
      </c>
      <c r="AT2" s="3" t="str">
        <f>IF(VLOOKUP(AH2,价值!$B:$G,5,0)=0,AS2,VLOOKUP(AH2,价值!$B:$G,5,0)&amp;","&amp;AI2)</f>
        <v>prop,202,10</v>
      </c>
      <c r="AU2" s="2" t="str">
        <f>AO2&amp;";"&amp;AQ2&amp;";"&amp;AS2</f>
        <v>prop,707,2;prop,104,3;prop,202,10</v>
      </c>
      <c r="AV2" s="2" t="str">
        <f>AP2&amp;";"&amp;AR2&amp;";"&amp;AT2</f>
        <v>prop,707,2;prop,104,3;prop,202,10</v>
      </c>
      <c r="AY2" s="4"/>
    </row>
    <row r="3" spans="1:51" x14ac:dyDescent="0.15">
      <c r="A3" s="2" t="s">
        <v>32</v>
      </c>
      <c r="B3" s="4">
        <f>D3</f>
        <v>16650</v>
      </c>
      <c r="C3" s="4">
        <f>D3</f>
        <v>16650</v>
      </c>
      <c r="D3" s="4">
        <f>D2-SUM(D4:D7)</f>
        <v>16650</v>
      </c>
      <c r="E3" s="4"/>
      <c r="F3" s="4"/>
      <c r="G3" s="4"/>
      <c r="H3" s="4"/>
      <c r="J3" s="1">
        <v>1</v>
      </c>
      <c r="K3" s="1">
        <v>1</v>
      </c>
      <c r="L3" s="3" t="s">
        <v>97</v>
      </c>
      <c r="W3" s="3" t="s">
        <v>98</v>
      </c>
      <c r="X3" s="3" t="s">
        <v>98</v>
      </c>
      <c r="Y3" s="5">
        <v>0</v>
      </c>
      <c r="AA3" s="4">
        <v>10000</v>
      </c>
      <c r="AB3" s="1" t="s">
        <v>105</v>
      </c>
      <c r="AC3" s="1">
        <v>5</v>
      </c>
      <c r="AD3" s="1">
        <f>VLOOKUP(AB3,价值!$B:$G,6,0)*AC3</f>
        <v>150</v>
      </c>
      <c r="AE3" s="1" t="s">
        <v>106</v>
      </c>
      <c r="AF3" s="1">
        <v>3</v>
      </c>
      <c r="AG3" s="1">
        <f>VLOOKUP(AE3,价值!$B:$G,6,0)*AF3</f>
        <v>45</v>
      </c>
      <c r="AH3" s="1" t="s">
        <v>107</v>
      </c>
      <c r="AI3" s="1">
        <v>10</v>
      </c>
      <c r="AJ3" s="1">
        <f>VLOOKUP(AH3,价值!$B:$G,6,0)*AI3</f>
        <v>90</v>
      </c>
      <c r="AK3" s="1"/>
      <c r="AL3" s="1"/>
      <c r="AM3" s="1">
        <f>VLOOKUP(AK3,价值!$B:$G,6,0)*AL3</f>
        <v>0</v>
      </c>
      <c r="AN3" s="2">
        <f t="shared" ref="AN3:AN16" si="0">AD3+AG3+AJ3+AM3</f>
        <v>285</v>
      </c>
      <c r="AO3" s="4" t="str">
        <f>VLOOKUP(AB3,价值!$B:$G,3,0)&amp;","&amp;AC3</f>
        <v>prop,205,5</v>
      </c>
      <c r="AP3" s="3" t="str">
        <f>IF(VLOOKUP(AB3,价值!$B:$G,5,0)=0,AO3,VLOOKUP(AB3,价值!$B:$G,5,0)&amp;","&amp;AC3)</f>
        <v>prop,205,5</v>
      </c>
      <c r="AQ3" s="4" t="str">
        <f>VLOOKUP(AE3,价值!$B:$G,3,0)&amp;","&amp;AF3</f>
        <v>prop,204,3</v>
      </c>
      <c r="AR3" s="3" t="str">
        <f>IF(VLOOKUP(AE3,价值!$B:$G,5,0)=0,AQ3,VLOOKUP(AE3,价值!$B:$G,5,0)&amp;","&amp;AF3)</f>
        <v>prop,204,3</v>
      </c>
      <c r="AS3" s="4" t="str">
        <f>VLOOKUP(AH3,价值!$B:$G,3,0)&amp;","&amp;AI3</f>
        <v>prop,203,10</v>
      </c>
      <c r="AT3" s="3" t="str">
        <f>IF(VLOOKUP(AH3,价值!$B:$G,5,0)=0,AS3,VLOOKUP(AH3,价值!$B:$G,5,0)&amp;","&amp;AI3)</f>
        <v>prop,203,10</v>
      </c>
      <c r="AU3" s="2" t="str">
        <f t="shared" ref="AU3:AU16" si="1">AO3&amp;";"&amp;AQ3&amp;";"&amp;AS3</f>
        <v>prop,205,5;prop,204,3;prop,203,10</v>
      </c>
      <c r="AV3" s="2" t="str">
        <f t="shared" ref="AV3:AV16" si="2">AP3&amp;";"&amp;AR3&amp;";"&amp;AT3</f>
        <v>prop,205,5;prop,204,3;prop,203,10</v>
      </c>
      <c r="AY3" s="4"/>
    </row>
    <row r="4" spans="1:51" x14ac:dyDescent="0.15">
      <c r="A4" s="2" t="s">
        <v>23</v>
      </c>
      <c r="B4" s="5">
        <v>0</v>
      </c>
      <c r="C4" s="5">
        <v>0</v>
      </c>
      <c r="D4" s="5">
        <v>0</v>
      </c>
      <c r="E4" s="5"/>
      <c r="F4" s="5"/>
      <c r="G4" s="5"/>
      <c r="H4" s="5"/>
      <c r="J4" s="10">
        <v>2</v>
      </c>
      <c r="K4" s="10">
        <v>3</v>
      </c>
      <c r="L4" s="11" t="s">
        <v>67</v>
      </c>
      <c r="M4" s="11">
        <v>1</v>
      </c>
      <c r="N4" s="11">
        <f>VLOOKUP(L4,价值!$B:$G,6,0)*M4</f>
        <v>600</v>
      </c>
      <c r="O4" s="11" t="s">
        <v>70</v>
      </c>
      <c r="P4" s="11">
        <v>15000</v>
      </c>
      <c r="Q4" s="11">
        <f>VLOOKUP(O4,价值!$B:$G,6,0)*P4</f>
        <v>300</v>
      </c>
      <c r="R4" s="11">
        <f t="shared" ref="R4:R13" si="3">Q4+N4</f>
        <v>900</v>
      </c>
      <c r="S4" s="11" t="str">
        <f>VLOOKUP(L4,价值!$B:$G,3,0)&amp;","&amp;M4</f>
        <v>pack,304,1</v>
      </c>
      <c r="T4" s="11" t="str">
        <f>IF(VLOOKUP(L4,价值!$B:$G,5,0)=0,S4,VLOOKUP(L4,价值!$B:$G,5,0)&amp;","&amp;M4)</f>
        <v>item,104,1</v>
      </c>
      <c r="U4" s="11" t="str">
        <f>VLOOKUP(O4,价值!$B:$G,3,0)&amp;","&amp;P4</f>
        <v>coin,15000</v>
      </c>
      <c r="V4" s="11" t="str">
        <f>IF(VLOOKUP(O4,价值!$B:$G,5,0)=0,U4,VLOOKUP(O4,价值!$B:$G,5,0)&amp;","&amp;P4)</f>
        <v>coin,15000</v>
      </c>
      <c r="W4" s="11" t="str">
        <f t="shared" ref="W4:X13" si="4">S4&amp;";"&amp;U4</f>
        <v>pack,304,1;coin,15000</v>
      </c>
      <c r="X4" s="11" t="str">
        <f t="shared" si="4"/>
        <v>item,104,1;coin,15000</v>
      </c>
      <c r="Y4" s="10" t="s">
        <v>93</v>
      </c>
      <c r="AA4" s="4">
        <v>20000</v>
      </c>
      <c r="AB4" s="1" t="s">
        <v>104</v>
      </c>
      <c r="AC4" s="1">
        <v>2</v>
      </c>
      <c r="AD4" s="1">
        <f>VLOOKUP(AB4,价值!$B:$G,6,0)*AC4</f>
        <v>500</v>
      </c>
      <c r="AE4" s="1" t="s">
        <v>87</v>
      </c>
      <c r="AF4" s="1">
        <v>5</v>
      </c>
      <c r="AG4" s="1">
        <f>VLOOKUP(AE4,价值!$B:$G,6,0)*AF4</f>
        <v>90</v>
      </c>
      <c r="AH4" s="1" t="s">
        <v>119</v>
      </c>
      <c r="AI4" s="1">
        <v>2</v>
      </c>
      <c r="AJ4" s="1">
        <f>VLOOKUP(AH4,价值!$B:$G,6,0)*AI4</f>
        <v>100</v>
      </c>
      <c r="AK4" s="1"/>
      <c r="AL4" s="1"/>
      <c r="AM4" s="1">
        <f>VLOOKUP(AK4,价值!$B:$G,6,0)*AL4</f>
        <v>0</v>
      </c>
      <c r="AN4" s="2">
        <f t="shared" si="0"/>
        <v>690</v>
      </c>
      <c r="AO4" s="4" t="str">
        <f>VLOOKUP(AB4,价值!$B:$G,3,0)&amp;","&amp;AC4</f>
        <v>prop,707,2</v>
      </c>
      <c r="AP4" s="3" t="str">
        <f>IF(VLOOKUP(AB4,价值!$B:$G,5,0)=0,AO4,VLOOKUP(AB4,价值!$B:$G,5,0)&amp;","&amp;AC4)</f>
        <v>prop,707,2</v>
      </c>
      <c r="AQ4" s="4" t="str">
        <f>VLOOKUP(AE4,价值!$B:$G,3,0)&amp;","&amp;AF4</f>
        <v>prop,104,5</v>
      </c>
      <c r="AR4" s="3" t="str">
        <f>IF(VLOOKUP(AE4,价值!$B:$G,5,0)=0,AQ4,VLOOKUP(AE4,价值!$B:$G,5,0)&amp;","&amp;AF4)</f>
        <v>prop,104,5</v>
      </c>
      <c r="AS4" s="4" t="str">
        <f>VLOOKUP(AH4,价值!$B:$G,3,0)&amp;","&amp;AI4</f>
        <v>pack,303,2</v>
      </c>
      <c r="AT4" s="3" t="str">
        <f>IF(VLOOKUP(AH4,价值!$B:$G,5,0)=0,AS4,VLOOKUP(AH4,价值!$B:$G,5,0)&amp;","&amp;AI4)</f>
        <v>item,103,2</v>
      </c>
      <c r="AU4" s="2" t="str">
        <f t="shared" si="1"/>
        <v>prop,707,2;prop,104,5;pack,303,2</v>
      </c>
      <c r="AV4" s="2" t="str">
        <f t="shared" si="2"/>
        <v>prop,707,2;prop,104,5;item,103,2</v>
      </c>
      <c r="AY4" s="4"/>
    </row>
    <row r="5" spans="1:51" x14ac:dyDescent="0.15">
      <c r="A5" s="2" t="s">
        <v>31</v>
      </c>
      <c r="B5" s="6">
        <f>B2-B3-B4-B6-B7</f>
        <v>5400</v>
      </c>
      <c r="C5" s="6">
        <f>C2-C3-C4-C6-C7</f>
        <v>3200</v>
      </c>
      <c r="D5" s="5">
        <v>300</v>
      </c>
      <c r="E5" s="5"/>
      <c r="F5" s="5"/>
      <c r="G5" s="5"/>
      <c r="H5" s="5"/>
      <c r="J5" s="10">
        <v>3</v>
      </c>
      <c r="K5" s="10">
        <v>5</v>
      </c>
      <c r="L5" s="11" t="s">
        <v>67</v>
      </c>
      <c r="M5" s="11">
        <v>1</v>
      </c>
      <c r="N5" s="11">
        <f>VLOOKUP(L5,价值!$B:$G,6,0)*M5</f>
        <v>600</v>
      </c>
      <c r="O5" s="11" t="s">
        <v>70</v>
      </c>
      <c r="P5" s="11">
        <v>12000</v>
      </c>
      <c r="Q5" s="11">
        <f>VLOOKUP(O5,价值!$B:$G,6,0)*P5</f>
        <v>240</v>
      </c>
      <c r="R5" s="11">
        <f t="shared" si="3"/>
        <v>840</v>
      </c>
      <c r="S5" s="11" t="str">
        <f>VLOOKUP(L5,价值!$B:$G,3,0)&amp;","&amp;M5</f>
        <v>pack,304,1</v>
      </c>
      <c r="T5" s="11" t="str">
        <f>IF(VLOOKUP(L5,价值!$B:$G,5,0)=0,S5,VLOOKUP(L5,价值!$B:$G,5,0)&amp;","&amp;M5)</f>
        <v>item,104,1</v>
      </c>
      <c r="U5" s="11" t="str">
        <f>VLOOKUP(O5,价值!$B:$G,3,0)&amp;","&amp;P5</f>
        <v>coin,12000</v>
      </c>
      <c r="V5" s="11" t="str">
        <f>IF(VLOOKUP(O5,价值!$B:$G,5,0)=0,U5,VLOOKUP(O5,价值!$B:$G,5,0)&amp;","&amp;P5)</f>
        <v>coin,12000</v>
      </c>
      <c r="W5" s="11" t="str">
        <f t="shared" si="4"/>
        <v>pack,304,1;coin,12000</v>
      </c>
      <c r="X5" s="11" t="str">
        <f t="shared" si="4"/>
        <v>item,104,1;coin,12000</v>
      </c>
      <c r="Y5" s="10" t="s">
        <v>93</v>
      </c>
      <c r="AA5" s="4">
        <v>40000</v>
      </c>
      <c r="AB5" s="1" t="s">
        <v>109</v>
      </c>
      <c r="AC5" s="1">
        <v>5</v>
      </c>
      <c r="AD5" s="1">
        <f>VLOOKUP(AB5,价值!$B:$G,6,0)*AC5</f>
        <v>300</v>
      </c>
      <c r="AE5" s="1" t="s">
        <v>110</v>
      </c>
      <c r="AF5" s="1">
        <v>3</v>
      </c>
      <c r="AG5" s="1">
        <f>VLOOKUP(AE5,价值!$B:$G,6,0)*AF5</f>
        <v>90</v>
      </c>
      <c r="AH5" s="1" t="s">
        <v>89</v>
      </c>
      <c r="AI5" s="1">
        <v>5000</v>
      </c>
      <c r="AJ5" s="1">
        <f>VLOOKUP(AH5,价值!$B:$G,6,0)*AI5</f>
        <v>100</v>
      </c>
      <c r="AK5" s="1"/>
      <c r="AL5" s="1"/>
      <c r="AM5" s="1">
        <f>VLOOKUP(AK5,价值!$B:$G,6,0)*AL5</f>
        <v>0</v>
      </c>
      <c r="AN5" s="2">
        <f t="shared" si="0"/>
        <v>490</v>
      </c>
      <c r="AO5" s="4" t="str">
        <f>VLOOKUP(AB5,价值!$B:$G,3,0)&amp;","&amp;AC5</f>
        <v>prop,211,5</v>
      </c>
      <c r="AP5" s="3" t="str">
        <f>IF(VLOOKUP(AB5,价值!$B:$G,5,0)=0,AO5,VLOOKUP(AB5,价值!$B:$G,5,0)&amp;","&amp;AC5)</f>
        <v>prop,211,5</v>
      </c>
      <c r="AQ5" s="4" t="str">
        <f>VLOOKUP(AE5,价值!$B:$G,3,0)&amp;","&amp;AF5</f>
        <v>prop,207,3</v>
      </c>
      <c r="AR5" s="3" t="str">
        <f>IF(VLOOKUP(AE5,价值!$B:$G,5,0)=0,AQ5,VLOOKUP(AE5,价值!$B:$G,5,0)&amp;","&amp;AF5)</f>
        <v>prop,207,3</v>
      </c>
      <c r="AS5" s="4" t="str">
        <f>VLOOKUP(AH5,价值!$B:$G,3,0)&amp;","&amp;AI5</f>
        <v>coin,5000</v>
      </c>
      <c r="AT5" s="3" t="str">
        <f>IF(VLOOKUP(AH5,价值!$B:$G,5,0)=0,AS5,VLOOKUP(AH5,价值!$B:$G,5,0)&amp;","&amp;AI5)</f>
        <v>coin,5000</v>
      </c>
      <c r="AU5" s="2" t="str">
        <f t="shared" si="1"/>
        <v>prop,211,5;prop,207,3;coin,5000</v>
      </c>
      <c r="AV5" s="2" t="str">
        <f t="shared" si="2"/>
        <v>prop,211,5;prop,207,3;coin,5000</v>
      </c>
      <c r="AY5" s="4"/>
    </row>
    <row r="6" spans="1:51" x14ac:dyDescent="0.15">
      <c r="A6" s="2" t="s">
        <v>45</v>
      </c>
      <c r="B6" s="4">
        <f>D6</f>
        <v>950</v>
      </c>
      <c r="C6" s="4">
        <f>D6</f>
        <v>950</v>
      </c>
      <c r="D6" s="5">
        <f>SUM(E6:H6)</f>
        <v>950</v>
      </c>
      <c r="E6" s="5">
        <v>80</v>
      </c>
      <c r="F6" s="5">
        <v>180</v>
      </c>
      <c r="G6" s="5">
        <v>290</v>
      </c>
      <c r="H6" s="5">
        <v>400</v>
      </c>
      <c r="J6" s="10">
        <v>5</v>
      </c>
      <c r="K6" s="10">
        <v>10</v>
      </c>
      <c r="L6" s="11" t="s">
        <v>69</v>
      </c>
      <c r="M6" s="11">
        <v>5</v>
      </c>
      <c r="N6" s="11">
        <f>VLOOKUP(L6,价值!$B:$G,6,0)*M6</f>
        <v>250</v>
      </c>
      <c r="O6" s="11" t="s">
        <v>70</v>
      </c>
      <c r="P6" s="11">
        <v>10000</v>
      </c>
      <c r="Q6" s="11">
        <f>VLOOKUP(O6,价值!$B:$G,6,0)*P6</f>
        <v>200</v>
      </c>
      <c r="R6" s="11">
        <f t="shared" si="3"/>
        <v>450</v>
      </c>
      <c r="S6" s="11" t="str">
        <f>VLOOKUP(L6,价值!$B:$G,3,0)&amp;","&amp;M6</f>
        <v>pack,303,5</v>
      </c>
      <c r="T6" s="11" t="str">
        <f>IF(VLOOKUP(L6,价值!$B:$G,5,0)=0,S6,VLOOKUP(L6,价值!$B:$G,5,0)&amp;","&amp;M6)</f>
        <v>item,103,5</v>
      </c>
      <c r="U6" s="11" t="str">
        <f>VLOOKUP(O6,价值!$B:$G,3,0)&amp;","&amp;P6</f>
        <v>coin,10000</v>
      </c>
      <c r="V6" s="11" t="str">
        <f>IF(VLOOKUP(O6,价值!$B:$G,5,0)=0,U6,VLOOKUP(O6,价值!$B:$G,5,0)&amp;","&amp;P6)</f>
        <v>coin,10000</v>
      </c>
      <c r="W6" s="11" t="str">
        <f t="shared" si="4"/>
        <v>pack,303,5;coin,10000</v>
      </c>
      <c r="X6" s="11" t="str">
        <f t="shared" si="4"/>
        <v>item,103,5;coin,10000</v>
      </c>
      <c r="Y6" s="10" t="s">
        <v>93</v>
      </c>
      <c r="AA6" s="4">
        <v>50000</v>
      </c>
      <c r="AB6" s="1" t="s">
        <v>104</v>
      </c>
      <c r="AC6" s="1">
        <v>2</v>
      </c>
      <c r="AD6" s="1">
        <f>VLOOKUP(AB6,价值!$B:$G,6,0)*AC6</f>
        <v>500</v>
      </c>
      <c r="AE6" s="1" t="s">
        <v>88</v>
      </c>
      <c r="AF6" s="1">
        <v>2</v>
      </c>
      <c r="AG6" s="1">
        <f>VLOOKUP(AE6,价值!$B:$G,6,0)*AF6</f>
        <v>120</v>
      </c>
      <c r="AH6" s="1" t="s">
        <v>119</v>
      </c>
      <c r="AI6" s="1">
        <v>2</v>
      </c>
      <c r="AJ6" s="1">
        <f>VLOOKUP(AH6,价值!$B:$G,6,0)*AI6</f>
        <v>100</v>
      </c>
      <c r="AK6" s="1"/>
      <c r="AL6" s="1"/>
      <c r="AM6" s="1">
        <f>VLOOKUP(AK6,价值!$B:$G,6,0)*AL6</f>
        <v>0</v>
      </c>
      <c r="AN6" s="2">
        <f t="shared" si="0"/>
        <v>720</v>
      </c>
      <c r="AO6" s="4" t="str">
        <f>VLOOKUP(AB6,价值!$B:$G,3,0)&amp;","&amp;AC6</f>
        <v>prop,707,2</v>
      </c>
      <c r="AP6" s="3" t="str">
        <f>IF(VLOOKUP(AB6,价值!$B:$G,5,0)=0,AO6,VLOOKUP(AB6,价值!$B:$G,5,0)&amp;","&amp;AC6)</f>
        <v>prop,707,2</v>
      </c>
      <c r="AQ6" s="4" t="str">
        <f>VLOOKUP(AE6,价值!$B:$G,3,0)&amp;","&amp;AF6</f>
        <v>prop,105,2</v>
      </c>
      <c r="AR6" s="3" t="str">
        <f>IF(VLOOKUP(AE6,价值!$B:$G,5,0)=0,AQ6,VLOOKUP(AE6,价值!$B:$G,5,0)&amp;","&amp;AF6)</f>
        <v>prop,105,2</v>
      </c>
      <c r="AS6" s="4" t="str">
        <f>VLOOKUP(AH6,价值!$B:$G,3,0)&amp;","&amp;AI6</f>
        <v>pack,303,2</v>
      </c>
      <c r="AT6" s="3" t="str">
        <f>IF(VLOOKUP(AH6,价值!$B:$G,5,0)=0,AS6,VLOOKUP(AH6,价值!$B:$G,5,0)&amp;","&amp;AI6)</f>
        <v>item,103,2</v>
      </c>
      <c r="AU6" s="2" t="str">
        <f t="shared" si="1"/>
        <v>prop,707,2;prop,105,2;pack,303,2</v>
      </c>
      <c r="AV6" s="2" t="str">
        <f t="shared" si="2"/>
        <v>prop,707,2;prop,105,2;item,103,2</v>
      </c>
      <c r="AY6" s="4"/>
    </row>
    <row r="7" spans="1:51" x14ac:dyDescent="0.15">
      <c r="A7" s="2" t="s">
        <v>53</v>
      </c>
      <c r="B7" s="4">
        <f>B8*积分计算!$K$1*积分计算!$K$7</f>
        <v>7000</v>
      </c>
      <c r="C7" s="4">
        <f>C8*积分计算!$K$1*积分计算!$K$7</f>
        <v>4200</v>
      </c>
      <c r="D7" s="4">
        <f>D8*积分计算!$K$1*积分计算!$K$7</f>
        <v>2100</v>
      </c>
      <c r="E7" s="4"/>
      <c r="F7" s="4"/>
      <c r="G7" s="4"/>
      <c r="H7" s="4"/>
      <c r="J7" s="10">
        <v>10</v>
      </c>
      <c r="K7" s="10">
        <v>20</v>
      </c>
      <c r="L7" s="11" t="s">
        <v>69</v>
      </c>
      <c r="M7" s="11">
        <v>4</v>
      </c>
      <c r="N7" s="11">
        <f>VLOOKUP(L7,价值!$B:$G,6,0)*M7</f>
        <v>200</v>
      </c>
      <c r="O7" s="11" t="s">
        <v>70</v>
      </c>
      <c r="P7" s="11">
        <v>8000</v>
      </c>
      <c r="Q7" s="11">
        <f>VLOOKUP(O7,价值!$B:$G,6,0)*P7</f>
        <v>160</v>
      </c>
      <c r="R7" s="11">
        <f t="shared" si="3"/>
        <v>360</v>
      </c>
      <c r="S7" s="11" t="str">
        <f>VLOOKUP(L7,价值!$B:$G,3,0)&amp;","&amp;M7</f>
        <v>pack,303,4</v>
      </c>
      <c r="T7" s="11" t="str">
        <f>IF(VLOOKUP(L7,价值!$B:$G,5,0)=0,S7,VLOOKUP(L7,价值!$B:$G,5,0)&amp;","&amp;M7)</f>
        <v>item,103,4</v>
      </c>
      <c r="U7" s="11" t="str">
        <f>VLOOKUP(O7,价值!$B:$G,3,0)&amp;","&amp;P7</f>
        <v>coin,8000</v>
      </c>
      <c r="V7" s="11" t="str">
        <f>IF(VLOOKUP(O7,价值!$B:$G,5,0)=0,U7,VLOOKUP(O7,价值!$B:$G,5,0)&amp;","&amp;P7)</f>
        <v>coin,8000</v>
      </c>
      <c r="W7" s="11" t="str">
        <f t="shared" si="4"/>
        <v>pack,303,4;coin,8000</v>
      </c>
      <c r="X7" s="11" t="str">
        <f t="shared" si="4"/>
        <v>item,103,4;coin,8000</v>
      </c>
      <c r="Y7" s="10">
        <v>0</v>
      </c>
      <c r="AA7" s="4">
        <v>60000</v>
      </c>
      <c r="AB7" s="1" t="s">
        <v>116</v>
      </c>
      <c r="AC7" s="1">
        <v>3</v>
      </c>
      <c r="AD7" s="1">
        <f>VLOOKUP(AB7,价值!$B:$G,6,0)*AC7</f>
        <v>450</v>
      </c>
      <c r="AE7" s="1" t="s">
        <v>117</v>
      </c>
      <c r="AF7" s="1">
        <v>3</v>
      </c>
      <c r="AG7" s="1">
        <f>VLOOKUP(AE7,价值!$B:$G,6,0)*AF7</f>
        <v>180</v>
      </c>
      <c r="AH7" s="1" t="s">
        <v>89</v>
      </c>
      <c r="AI7" s="1">
        <v>5000</v>
      </c>
      <c r="AJ7" s="1">
        <f>VLOOKUP(AH7,价值!$B:$G,6,0)*AI7</f>
        <v>100</v>
      </c>
      <c r="AK7" s="1"/>
      <c r="AL7" s="1"/>
      <c r="AM7" s="1">
        <f>VLOOKUP(AK7,价值!$B:$G,6,0)*AL7</f>
        <v>0</v>
      </c>
      <c r="AN7" s="2">
        <f t="shared" si="0"/>
        <v>730</v>
      </c>
      <c r="AO7" s="4" t="str">
        <f>VLOOKUP(AB7,价值!$B:$G,3,0)&amp;","&amp;AC7</f>
        <v>prop,302,3</v>
      </c>
      <c r="AP7" s="3" t="str">
        <f>IF(VLOOKUP(AB7,价值!$B:$G,5,0)=0,AO7,VLOOKUP(AB7,价值!$B:$G,5,0)&amp;","&amp;AC7)</f>
        <v>prop,302,3</v>
      </c>
      <c r="AQ7" s="4" t="str">
        <f>VLOOKUP(AE7,价值!$B:$G,3,0)&amp;","&amp;AF7</f>
        <v>prop,301,3</v>
      </c>
      <c r="AR7" s="3" t="str">
        <f>IF(VLOOKUP(AE7,价值!$B:$G,5,0)=0,AQ7,VLOOKUP(AE7,价值!$B:$G,5,0)&amp;","&amp;AF7)</f>
        <v>prop,301,3</v>
      </c>
      <c r="AS7" s="4" t="str">
        <f>VLOOKUP(AH7,价值!$B:$G,3,0)&amp;","&amp;AI7</f>
        <v>coin,5000</v>
      </c>
      <c r="AT7" s="3" t="str">
        <f>IF(VLOOKUP(AH7,价值!$B:$G,5,0)=0,AS7,VLOOKUP(AH7,价值!$B:$G,5,0)&amp;","&amp;AI7)</f>
        <v>coin,5000</v>
      </c>
      <c r="AU7" s="2" t="str">
        <f t="shared" si="1"/>
        <v>prop,302,3;prop,301,3;coin,5000</v>
      </c>
      <c r="AV7" s="2" t="str">
        <f t="shared" si="2"/>
        <v>prop,302,3;prop,301,3;coin,5000</v>
      </c>
      <c r="AY7" s="4"/>
    </row>
    <row r="8" spans="1:51" x14ac:dyDescent="0.15">
      <c r="A8" s="2" t="s">
        <v>53</v>
      </c>
      <c r="B8" s="5">
        <v>100</v>
      </c>
      <c r="C8" s="5">
        <v>60</v>
      </c>
      <c r="D8" s="5">
        <v>30</v>
      </c>
      <c r="E8" s="5"/>
      <c r="F8" s="5"/>
      <c r="G8" s="5"/>
      <c r="H8" s="5"/>
      <c r="J8" s="10">
        <v>20</v>
      </c>
      <c r="K8" s="10">
        <v>50</v>
      </c>
      <c r="L8" s="11" t="s">
        <v>69</v>
      </c>
      <c r="M8" s="11">
        <v>3</v>
      </c>
      <c r="N8" s="11">
        <f>VLOOKUP(L8,价值!$B:$G,6,0)*M8</f>
        <v>150</v>
      </c>
      <c r="O8" s="11" t="s">
        <v>70</v>
      </c>
      <c r="P8" s="11">
        <v>6000</v>
      </c>
      <c r="Q8" s="11">
        <f>VLOOKUP(O8,价值!$B:$G,6,0)*P8</f>
        <v>120</v>
      </c>
      <c r="R8" s="11">
        <f t="shared" si="3"/>
        <v>270</v>
      </c>
      <c r="S8" s="11" t="str">
        <f>VLOOKUP(L8,价值!$B:$G,3,0)&amp;","&amp;M8</f>
        <v>pack,303,3</v>
      </c>
      <c r="T8" s="11" t="str">
        <f>IF(VLOOKUP(L8,价值!$B:$G,5,0)=0,S8,VLOOKUP(L8,价值!$B:$G,5,0)&amp;","&amp;M8)</f>
        <v>item,103,3</v>
      </c>
      <c r="U8" s="11" t="str">
        <f>VLOOKUP(O8,价值!$B:$G,3,0)&amp;","&amp;P8</f>
        <v>coin,6000</v>
      </c>
      <c r="V8" s="11" t="str">
        <f>IF(VLOOKUP(O8,价值!$B:$G,5,0)=0,U8,VLOOKUP(O8,价值!$B:$G,5,0)&amp;","&amp;P8)</f>
        <v>coin,6000</v>
      </c>
      <c r="W8" s="11" t="str">
        <f t="shared" si="4"/>
        <v>pack,303,3;coin,6000</v>
      </c>
      <c r="X8" s="11" t="str">
        <f t="shared" si="4"/>
        <v>item,103,3;coin,6000</v>
      </c>
      <c r="Y8" s="10" t="s">
        <v>93</v>
      </c>
      <c r="AA8" s="4">
        <v>70000</v>
      </c>
      <c r="AB8" s="1" t="s">
        <v>104</v>
      </c>
      <c r="AC8" s="1">
        <v>2</v>
      </c>
      <c r="AD8" s="1">
        <f>VLOOKUP(AB8,价值!$B:$G,6,0)*AC8</f>
        <v>500</v>
      </c>
      <c r="AE8" s="1" t="s">
        <v>87</v>
      </c>
      <c r="AF8" s="1">
        <v>3</v>
      </c>
      <c r="AG8" s="1">
        <f>VLOOKUP(AE8,价值!$B:$G,6,0)*AF8</f>
        <v>54</v>
      </c>
      <c r="AH8" s="1" t="s">
        <v>119</v>
      </c>
      <c r="AI8" s="1">
        <v>2</v>
      </c>
      <c r="AJ8" s="1">
        <f>VLOOKUP(AH8,价值!$B:$G,6,0)*AI8</f>
        <v>100</v>
      </c>
      <c r="AK8" s="1"/>
      <c r="AL8" s="1"/>
      <c r="AM8" s="1">
        <f>VLOOKUP(AK8,价值!$B:$G,6,0)*AL8</f>
        <v>0</v>
      </c>
      <c r="AN8" s="2">
        <f t="shared" si="0"/>
        <v>654</v>
      </c>
      <c r="AO8" s="4" t="str">
        <f>VLOOKUP(AB8,价值!$B:$G,3,0)&amp;","&amp;AC8</f>
        <v>prop,707,2</v>
      </c>
      <c r="AP8" s="3" t="str">
        <f>IF(VLOOKUP(AB8,价值!$B:$G,5,0)=0,AO8,VLOOKUP(AB8,价值!$B:$G,5,0)&amp;","&amp;AC8)</f>
        <v>prop,707,2</v>
      </c>
      <c r="AQ8" s="4" t="str">
        <f>VLOOKUP(AE8,价值!$B:$G,3,0)&amp;","&amp;AF8</f>
        <v>prop,104,3</v>
      </c>
      <c r="AR8" s="3" t="str">
        <f>IF(VLOOKUP(AE8,价值!$B:$G,5,0)=0,AQ8,VLOOKUP(AE8,价值!$B:$G,5,0)&amp;","&amp;AF8)</f>
        <v>prop,104,3</v>
      </c>
      <c r="AS8" s="4" t="str">
        <f>VLOOKUP(AH8,价值!$B:$G,3,0)&amp;","&amp;AI8</f>
        <v>pack,303,2</v>
      </c>
      <c r="AT8" s="3" t="str">
        <f>IF(VLOOKUP(AH8,价值!$B:$G,5,0)=0,AS8,VLOOKUP(AH8,价值!$B:$G,5,0)&amp;","&amp;AI8)</f>
        <v>item,103,2</v>
      </c>
      <c r="AU8" s="2" t="str">
        <f t="shared" si="1"/>
        <v>prop,707,2;prop,104,3;pack,303,2</v>
      </c>
      <c r="AV8" s="2" t="str">
        <f t="shared" si="2"/>
        <v>prop,707,2;prop,104,3;item,103,2</v>
      </c>
      <c r="AY8" s="4"/>
    </row>
    <row r="9" spans="1:51" x14ac:dyDescent="0.15">
      <c r="J9" s="10">
        <v>50</v>
      </c>
      <c r="K9" s="10">
        <v>100</v>
      </c>
      <c r="L9" s="11" t="s">
        <v>69</v>
      </c>
      <c r="M9" s="11">
        <v>2</v>
      </c>
      <c r="N9" s="11">
        <f>VLOOKUP(L9,价值!$B:$G,6,0)*M9</f>
        <v>100</v>
      </c>
      <c r="O9" s="11" t="s">
        <v>70</v>
      </c>
      <c r="P9" s="11">
        <v>4000</v>
      </c>
      <c r="Q9" s="11">
        <f>VLOOKUP(O9,价值!$B:$G,6,0)*P9</f>
        <v>80</v>
      </c>
      <c r="R9" s="11">
        <f t="shared" si="3"/>
        <v>180</v>
      </c>
      <c r="S9" s="11" t="str">
        <f>VLOOKUP(L9,价值!$B:$G,3,0)&amp;","&amp;M9</f>
        <v>pack,303,2</v>
      </c>
      <c r="T9" s="11" t="str">
        <f>IF(VLOOKUP(L9,价值!$B:$G,5,0)=0,S9,VLOOKUP(L9,价值!$B:$G,5,0)&amp;","&amp;M9)</f>
        <v>item,103,2</v>
      </c>
      <c r="U9" s="11" t="str">
        <f>VLOOKUP(O9,价值!$B:$G,3,0)&amp;","&amp;P9</f>
        <v>coin,4000</v>
      </c>
      <c r="V9" s="11" t="str">
        <f>IF(VLOOKUP(O9,价值!$B:$G,5,0)=0,U9,VLOOKUP(O9,价值!$B:$G,5,0)&amp;","&amp;P9)</f>
        <v>coin,4000</v>
      </c>
      <c r="W9" s="11" t="str">
        <f t="shared" si="4"/>
        <v>pack,303,2;coin,4000</v>
      </c>
      <c r="X9" s="11" t="str">
        <f t="shared" si="4"/>
        <v>item,103,2;coin,4000</v>
      </c>
      <c r="Y9" s="10" t="s">
        <v>93</v>
      </c>
      <c r="AA9" s="4">
        <v>80000</v>
      </c>
      <c r="AB9" s="1" t="s">
        <v>118</v>
      </c>
      <c r="AC9" s="1">
        <v>3</v>
      </c>
      <c r="AD9" s="1">
        <f>VLOOKUP(AB9,价值!$B:$G,6,0)*AC9</f>
        <v>1350</v>
      </c>
      <c r="AE9" s="1" t="s">
        <v>111</v>
      </c>
      <c r="AF9" s="1">
        <v>3</v>
      </c>
      <c r="AG9" s="1">
        <f>VLOOKUP(AE9,价值!$B:$G,6,0)*AF9</f>
        <v>180</v>
      </c>
      <c r="AH9" s="1" t="s">
        <v>89</v>
      </c>
      <c r="AI9" s="1">
        <v>5000</v>
      </c>
      <c r="AJ9" s="1">
        <f>VLOOKUP(AH9,价值!$B:$G,6,0)*AI9</f>
        <v>100</v>
      </c>
      <c r="AK9" s="1"/>
      <c r="AL9" s="1"/>
      <c r="AM9" s="1">
        <f>VLOOKUP(AK9,价值!$B:$G,6,0)*AL9</f>
        <v>0</v>
      </c>
      <c r="AN9" s="2">
        <f t="shared" si="0"/>
        <v>1630</v>
      </c>
      <c r="AO9" s="4" t="str">
        <f>VLOOKUP(AB9,价值!$B:$G,3,0)&amp;","&amp;AC9</f>
        <v>prop,303,3</v>
      </c>
      <c r="AP9" s="3" t="str">
        <f>IF(VLOOKUP(AB9,价值!$B:$G,5,0)=0,AO9,VLOOKUP(AB9,价值!$B:$G,5,0)&amp;","&amp;AC9)</f>
        <v>prop,303,3</v>
      </c>
      <c r="AQ9" s="4" t="str">
        <f>VLOOKUP(AE9,价值!$B:$G,3,0)&amp;","&amp;AF9</f>
        <v>prop,206,3</v>
      </c>
      <c r="AR9" s="3" t="str">
        <f>IF(VLOOKUP(AE9,价值!$B:$G,5,0)=0,AQ9,VLOOKUP(AE9,价值!$B:$G,5,0)&amp;","&amp;AF9)</f>
        <v>prop,206,3</v>
      </c>
      <c r="AS9" s="4" t="str">
        <f>VLOOKUP(AH9,价值!$B:$G,3,0)&amp;","&amp;AI9</f>
        <v>coin,5000</v>
      </c>
      <c r="AT9" s="3" t="str">
        <f>IF(VLOOKUP(AH9,价值!$B:$G,5,0)=0,AS9,VLOOKUP(AH9,价值!$B:$G,5,0)&amp;","&amp;AI9)</f>
        <v>coin,5000</v>
      </c>
      <c r="AU9" s="2" t="str">
        <f t="shared" si="1"/>
        <v>prop,303,3;prop,206,3;coin,5000</v>
      </c>
      <c r="AV9" s="2" t="str">
        <f t="shared" si="2"/>
        <v>prop,303,3;prop,206,3;coin,5000</v>
      </c>
      <c r="AY9" s="4"/>
    </row>
    <row r="10" spans="1:51" x14ac:dyDescent="0.15">
      <c r="J10" s="10">
        <v>100</v>
      </c>
      <c r="K10" s="10">
        <v>200</v>
      </c>
      <c r="L10" s="11" t="s">
        <v>68</v>
      </c>
      <c r="M10" s="11">
        <v>1</v>
      </c>
      <c r="N10" s="11">
        <f>VLOOKUP(L10,价值!$B:$G,6,0)*M10</f>
        <v>50</v>
      </c>
      <c r="O10" s="11" t="s">
        <v>70</v>
      </c>
      <c r="P10" s="11">
        <v>3000</v>
      </c>
      <c r="Q10" s="11">
        <f>VLOOKUP(O10,价值!$B:$G,6,0)*P10</f>
        <v>60</v>
      </c>
      <c r="R10" s="11">
        <f t="shared" si="3"/>
        <v>110</v>
      </c>
      <c r="S10" s="11" t="str">
        <f>VLOOKUP(L10,价值!$B:$G,3,0)&amp;","&amp;M10</f>
        <v>pack,303,1</v>
      </c>
      <c r="T10" s="11" t="str">
        <f>IF(VLOOKUP(L10,价值!$B:$G,5,0)=0,S10,VLOOKUP(L10,价值!$B:$G,5,0)&amp;","&amp;M10)</f>
        <v>item,103,1</v>
      </c>
      <c r="U10" s="11" t="str">
        <f>VLOOKUP(O10,价值!$B:$G,3,0)&amp;","&amp;P10</f>
        <v>coin,3000</v>
      </c>
      <c r="V10" s="11" t="str">
        <f>IF(VLOOKUP(O10,价值!$B:$G,5,0)=0,U10,VLOOKUP(O10,价值!$B:$G,5,0)&amp;","&amp;P10)</f>
        <v>coin,3000</v>
      </c>
      <c r="W10" s="11" t="str">
        <f t="shared" si="4"/>
        <v>pack,303,1;coin,3000</v>
      </c>
      <c r="X10" s="11" t="str">
        <f t="shared" si="4"/>
        <v>item,103,1;coin,3000</v>
      </c>
      <c r="Y10" s="10">
        <v>0</v>
      </c>
      <c r="AA10" s="4">
        <v>90000</v>
      </c>
      <c r="AB10" s="1" t="s">
        <v>104</v>
      </c>
      <c r="AC10" s="1">
        <v>2</v>
      </c>
      <c r="AD10" s="1">
        <f>VLOOKUP(AB10,价值!$B:$G,6,0)*AC10</f>
        <v>500</v>
      </c>
      <c r="AE10" s="1" t="s">
        <v>88</v>
      </c>
      <c r="AF10" s="1">
        <v>2</v>
      </c>
      <c r="AG10" s="1">
        <f>VLOOKUP(AE10,价值!$B:$G,6,0)*AF10</f>
        <v>120</v>
      </c>
      <c r="AH10" s="1" t="s">
        <v>81</v>
      </c>
      <c r="AI10" s="1">
        <v>100</v>
      </c>
      <c r="AJ10" s="1">
        <f>VLOOKUP(AH10,价值!$B:$G,6,0)*AI10</f>
        <v>100</v>
      </c>
      <c r="AK10" s="1"/>
      <c r="AL10" s="1"/>
      <c r="AM10" s="1">
        <f>VLOOKUP(AK10,价值!$B:$G,6,0)*AL10</f>
        <v>0</v>
      </c>
      <c r="AN10" s="2">
        <f t="shared" si="0"/>
        <v>720</v>
      </c>
      <c r="AO10" s="4" t="str">
        <f>VLOOKUP(AB10,价值!$B:$G,3,0)&amp;","&amp;AC10</f>
        <v>prop,707,2</v>
      </c>
      <c r="AP10" s="3" t="str">
        <f>IF(VLOOKUP(AB10,价值!$B:$G,5,0)=0,AO10,VLOOKUP(AB10,价值!$B:$G,5,0)&amp;","&amp;AC10)</f>
        <v>prop,707,2</v>
      </c>
      <c r="AQ10" s="4" t="str">
        <f>VLOOKUP(AE10,价值!$B:$G,3,0)&amp;","&amp;AF10</f>
        <v>prop,105,2</v>
      </c>
      <c r="AR10" s="3" t="str">
        <f>IF(VLOOKUP(AE10,价值!$B:$G,5,0)=0,AQ10,VLOOKUP(AE10,价值!$B:$G,5,0)&amp;","&amp;AF10)</f>
        <v>prop,105,2</v>
      </c>
      <c r="AS10" s="4" t="str">
        <f>VLOOKUP(AH10,价值!$B:$G,3,0)&amp;","&amp;AI10</f>
        <v>cash,100</v>
      </c>
      <c r="AT10" s="3" t="str">
        <f>IF(VLOOKUP(AH10,价值!$B:$G,5,0)=0,AS10,VLOOKUP(AH10,价值!$B:$G,5,0)&amp;","&amp;AI10)</f>
        <v>cash,100</v>
      </c>
      <c r="AU10" s="2" t="str">
        <f t="shared" si="1"/>
        <v>prop,707,2;prop,105,2;cash,100</v>
      </c>
      <c r="AV10" s="2" t="str">
        <f t="shared" si="2"/>
        <v>prop,707,2;prop,105,2;cash,100</v>
      </c>
      <c r="AY10" s="4"/>
    </row>
    <row r="11" spans="1:51" x14ac:dyDescent="0.15">
      <c r="J11" s="10">
        <v>200</v>
      </c>
      <c r="K11" s="10">
        <v>500</v>
      </c>
      <c r="L11" s="11" t="s">
        <v>68</v>
      </c>
      <c r="M11" s="11">
        <v>1</v>
      </c>
      <c r="N11" s="11">
        <f>VLOOKUP(L11,价值!$B:$G,6,0)*M11</f>
        <v>50</v>
      </c>
      <c r="O11" s="11" t="s">
        <v>70</v>
      </c>
      <c r="P11" s="11">
        <v>2000</v>
      </c>
      <c r="Q11" s="11">
        <f>VLOOKUP(O11,价值!$B:$G,6,0)*P11</f>
        <v>40</v>
      </c>
      <c r="R11" s="11">
        <f t="shared" si="3"/>
        <v>90</v>
      </c>
      <c r="S11" s="11" t="str">
        <f>VLOOKUP(L11,价值!$B:$G,3,0)&amp;","&amp;M11</f>
        <v>pack,303,1</v>
      </c>
      <c r="T11" s="11" t="str">
        <f>IF(VLOOKUP(L11,价值!$B:$G,5,0)=0,S11,VLOOKUP(L11,价值!$B:$G,5,0)&amp;","&amp;M11)</f>
        <v>item,103,1</v>
      </c>
      <c r="U11" s="11" t="str">
        <f>VLOOKUP(O11,价值!$B:$G,3,0)&amp;","&amp;P11</f>
        <v>coin,2000</v>
      </c>
      <c r="V11" s="11" t="str">
        <f>IF(VLOOKUP(O11,价值!$B:$G,5,0)=0,U11,VLOOKUP(O11,价值!$B:$G,5,0)&amp;","&amp;P11)</f>
        <v>coin,2000</v>
      </c>
      <c r="W11" s="11" t="str">
        <f t="shared" si="4"/>
        <v>pack,303,1;coin,2000</v>
      </c>
      <c r="X11" s="11" t="str">
        <f t="shared" si="4"/>
        <v>item,103,1;coin,2000</v>
      </c>
      <c r="Y11" s="10" t="s">
        <v>93</v>
      </c>
      <c r="AA11" s="4">
        <v>100000</v>
      </c>
      <c r="AB11" s="1" t="s">
        <v>114</v>
      </c>
      <c r="AC11" s="1">
        <v>3</v>
      </c>
      <c r="AD11" s="1">
        <f>VLOOKUP(AB11,价值!$B:$G,6,0)*AC11</f>
        <v>900</v>
      </c>
      <c r="AE11" s="1" t="s">
        <v>115</v>
      </c>
      <c r="AF11" s="1">
        <v>3</v>
      </c>
      <c r="AG11" s="1">
        <f>VLOOKUP(AE11,价值!$B:$G,6,0)*AF11</f>
        <v>450</v>
      </c>
      <c r="AH11" s="1" t="s">
        <v>81</v>
      </c>
      <c r="AI11" s="1">
        <v>100</v>
      </c>
      <c r="AJ11" s="1">
        <f>VLOOKUP(AH11,价值!$B:$G,6,0)*AI11</f>
        <v>100</v>
      </c>
      <c r="AK11" s="1"/>
      <c r="AL11" s="1"/>
      <c r="AM11" s="1">
        <f>VLOOKUP(AK11,价值!$B:$G,6,0)*AL11</f>
        <v>0</v>
      </c>
      <c r="AN11" s="2">
        <f t="shared" si="0"/>
        <v>1450</v>
      </c>
      <c r="AO11" s="4" t="str">
        <f>VLOOKUP(AB11,价值!$B:$G,3,0)&amp;","&amp;AC11</f>
        <v>prop,323,3</v>
      </c>
      <c r="AP11" s="3" t="str">
        <f>IF(VLOOKUP(AB11,价值!$B:$G,5,0)=0,AO11,VLOOKUP(AB11,价值!$B:$G,5,0)&amp;","&amp;AC11)</f>
        <v>prop,323,3</v>
      </c>
      <c r="AQ11" s="4" t="str">
        <f>VLOOKUP(AE11,价值!$B:$G,3,0)&amp;","&amp;AF11</f>
        <v>prop,322,3</v>
      </c>
      <c r="AR11" s="3" t="str">
        <f>IF(VLOOKUP(AE11,价值!$B:$G,5,0)=0,AQ11,VLOOKUP(AE11,价值!$B:$G,5,0)&amp;","&amp;AF11)</f>
        <v>prop,322,3</v>
      </c>
      <c r="AS11" s="4" t="str">
        <f>VLOOKUP(AH11,价值!$B:$G,3,0)&amp;","&amp;AI11</f>
        <v>cash,100</v>
      </c>
      <c r="AT11" s="3" t="str">
        <f>IF(VLOOKUP(AH11,价值!$B:$G,5,0)=0,AS11,VLOOKUP(AH11,价值!$B:$G,5,0)&amp;","&amp;AI11)</f>
        <v>cash,100</v>
      </c>
      <c r="AU11" s="2" t="str">
        <f t="shared" si="1"/>
        <v>prop,323,3;prop,322,3;cash,100</v>
      </c>
      <c r="AV11" s="2" t="str">
        <f t="shared" si="2"/>
        <v>prop,323,3;prop,322,3;cash,100</v>
      </c>
      <c r="AY11" s="4"/>
    </row>
    <row r="12" spans="1:51" x14ac:dyDescent="0.15">
      <c r="A12" s="2" t="s">
        <v>44</v>
      </c>
      <c r="J12" s="10">
        <v>500</v>
      </c>
      <c r="K12" s="10">
        <v>1000</v>
      </c>
      <c r="L12" s="11" t="s">
        <v>68</v>
      </c>
      <c r="M12" s="11">
        <v>1</v>
      </c>
      <c r="N12" s="11">
        <f>VLOOKUP(L12,价值!$B:$G,6,0)*M12</f>
        <v>50</v>
      </c>
      <c r="O12" s="11" t="s">
        <v>70</v>
      </c>
      <c r="P12" s="11">
        <v>1000</v>
      </c>
      <c r="Q12" s="11">
        <f>VLOOKUP(O12,价值!$B:$G,6,0)*P12</f>
        <v>20</v>
      </c>
      <c r="R12" s="11">
        <f t="shared" si="3"/>
        <v>70</v>
      </c>
      <c r="S12" s="11" t="str">
        <f>VLOOKUP(L12,价值!$B:$G,3,0)&amp;","&amp;M12</f>
        <v>pack,303,1</v>
      </c>
      <c r="T12" s="11" t="str">
        <f>IF(VLOOKUP(L12,价值!$B:$G,5,0)=0,S12,VLOOKUP(L12,价值!$B:$G,5,0)&amp;","&amp;M12)</f>
        <v>item,103,1</v>
      </c>
      <c r="U12" s="11" t="str">
        <f>VLOOKUP(O12,价值!$B:$G,3,0)&amp;","&amp;P12</f>
        <v>coin,1000</v>
      </c>
      <c r="V12" s="11" t="str">
        <f>IF(VLOOKUP(O12,价值!$B:$G,5,0)=0,U12,VLOOKUP(O12,价值!$B:$G,5,0)&amp;","&amp;P12)</f>
        <v>coin,1000</v>
      </c>
      <c r="W12" s="11" t="str">
        <f t="shared" si="4"/>
        <v>pack,303,1;coin,1000</v>
      </c>
      <c r="X12" s="11" t="str">
        <f t="shared" si="4"/>
        <v>item,103,1;coin,1000</v>
      </c>
      <c r="Y12" s="10" t="s">
        <v>93</v>
      </c>
      <c r="AA12" s="4">
        <v>110000</v>
      </c>
      <c r="AB12" s="1" t="s">
        <v>79</v>
      </c>
      <c r="AC12" s="1">
        <v>2</v>
      </c>
      <c r="AD12" s="1">
        <f>VLOOKUP(AB12,价值!$B:$G,6,0)*AC12</f>
        <v>1200</v>
      </c>
      <c r="AE12" s="1" t="s">
        <v>89</v>
      </c>
      <c r="AF12" s="1">
        <v>20000</v>
      </c>
      <c r="AG12" s="1">
        <f>VLOOKUP(AE12,价值!$B:$G,6,0)*AF12</f>
        <v>400</v>
      </c>
      <c r="AH12" s="1" t="s">
        <v>81</v>
      </c>
      <c r="AI12" s="1">
        <v>100</v>
      </c>
      <c r="AJ12" s="1">
        <f>VLOOKUP(AH12,价值!$B:$G,6,0)*AI12</f>
        <v>100</v>
      </c>
      <c r="AK12" s="1"/>
      <c r="AL12" s="1"/>
      <c r="AM12" s="1">
        <f>VLOOKUP(AK12,价值!$B:$G,6,0)*AL12</f>
        <v>0</v>
      </c>
      <c r="AN12" s="2">
        <f t="shared" si="0"/>
        <v>1700</v>
      </c>
      <c r="AO12" s="4" t="str">
        <f>VLOOKUP(AB12,价值!$B:$G,3,0)&amp;","&amp;AC12</f>
        <v>pack,304,2</v>
      </c>
      <c r="AP12" s="3" t="str">
        <f>IF(VLOOKUP(AB12,价值!$B:$G,5,0)=0,AO12,VLOOKUP(AB12,价值!$B:$G,5,0)&amp;","&amp;AC12)</f>
        <v>item,104,2</v>
      </c>
      <c r="AQ12" s="4" t="str">
        <f>VLOOKUP(AE12,价值!$B:$G,3,0)&amp;","&amp;AF12</f>
        <v>coin,20000</v>
      </c>
      <c r="AR12" s="3" t="str">
        <f>IF(VLOOKUP(AE12,价值!$B:$G,5,0)=0,AQ12,VLOOKUP(AE12,价值!$B:$G,5,0)&amp;","&amp;AF12)</f>
        <v>coin,20000</v>
      </c>
      <c r="AS12" s="4" t="str">
        <f>VLOOKUP(AH12,价值!$B:$G,3,0)&amp;","&amp;AI12</f>
        <v>cash,100</v>
      </c>
      <c r="AT12" s="3" t="str">
        <f>IF(VLOOKUP(AH12,价值!$B:$G,5,0)=0,AS12,VLOOKUP(AH12,价值!$B:$G,5,0)&amp;","&amp;AI12)</f>
        <v>cash,100</v>
      </c>
      <c r="AU12" s="2" t="str">
        <f t="shared" si="1"/>
        <v>pack,304,2;coin,20000;cash,100</v>
      </c>
      <c r="AV12" s="2" t="str">
        <f t="shared" si="2"/>
        <v>item,104,2;coin,20000;cash,100</v>
      </c>
      <c r="AY12" s="4"/>
    </row>
    <row r="13" spans="1:51" x14ac:dyDescent="0.15">
      <c r="A13" s="7">
        <v>22900</v>
      </c>
      <c r="J13" s="10">
        <v>1000</v>
      </c>
      <c r="K13" s="10">
        <v>9999</v>
      </c>
      <c r="L13" s="11" t="s">
        <v>68</v>
      </c>
      <c r="M13" s="11">
        <v>1</v>
      </c>
      <c r="N13" s="11">
        <f>VLOOKUP(L13,价值!$B:$G,6,0)*M13</f>
        <v>50</v>
      </c>
      <c r="O13" s="11" t="s">
        <v>70</v>
      </c>
      <c r="P13" s="11">
        <v>500</v>
      </c>
      <c r="Q13" s="11">
        <f>VLOOKUP(O13,价值!$B:$G,6,0)*P13</f>
        <v>10</v>
      </c>
      <c r="R13" s="11">
        <f t="shared" si="3"/>
        <v>60</v>
      </c>
      <c r="S13" s="11" t="str">
        <f>VLOOKUP(L13,价值!$B:$G,3,0)&amp;","&amp;M13</f>
        <v>pack,303,1</v>
      </c>
      <c r="T13" s="11" t="str">
        <f>IF(VLOOKUP(L13,价值!$B:$G,5,0)=0,S13,VLOOKUP(L13,价值!$B:$G,5,0)&amp;","&amp;M13)</f>
        <v>item,103,1</v>
      </c>
      <c r="U13" s="11" t="str">
        <f>VLOOKUP(O13,价值!$B:$G,3,0)&amp;","&amp;P13</f>
        <v>coin,500</v>
      </c>
      <c r="V13" s="11" t="str">
        <f>IF(VLOOKUP(O13,价值!$B:$G,5,0)=0,U13,VLOOKUP(O13,价值!$B:$G,5,0)&amp;","&amp;P13)</f>
        <v>coin,500</v>
      </c>
      <c r="W13" s="11" t="str">
        <f t="shared" si="4"/>
        <v>pack,303,1;coin,500</v>
      </c>
      <c r="X13" s="11" t="str">
        <f t="shared" si="4"/>
        <v>item,103,1;coin,500</v>
      </c>
      <c r="Y13" s="10" t="s">
        <v>93</v>
      </c>
      <c r="AA13" s="4">
        <v>120000</v>
      </c>
      <c r="AB13" s="1" t="s">
        <v>74</v>
      </c>
      <c r="AC13" s="1">
        <v>2</v>
      </c>
      <c r="AD13" s="1">
        <f>VLOOKUP(AB13,价值!$B:$G,6,0)*AC13</f>
        <v>720</v>
      </c>
      <c r="AE13" s="1" t="s">
        <v>113</v>
      </c>
      <c r="AF13" s="1">
        <v>3</v>
      </c>
      <c r="AG13" s="1">
        <f>VLOOKUP(AE13,价值!$B:$G,6,0)*AF13</f>
        <v>270</v>
      </c>
      <c r="AH13" s="1" t="s">
        <v>81</v>
      </c>
      <c r="AI13" s="1">
        <v>100</v>
      </c>
      <c r="AJ13" s="1">
        <f>VLOOKUP(AH13,价值!$B:$G,6,0)*AI13</f>
        <v>100</v>
      </c>
      <c r="AK13" s="1"/>
      <c r="AL13" s="1"/>
      <c r="AM13" s="1">
        <f>VLOOKUP(AK13,价值!$B:$G,6,0)*AL13</f>
        <v>0</v>
      </c>
      <c r="AN13" s="2">
        <f t="shared" si="0"/>
        <v>1090</v>
      </c>
      <c r="AO13" s="4" t="str">
        <f>VLOOKUP(AB13,价值!$B:$G,3,0)&amp;","&amp;AC13</f>
        <v>prop,318,2</v>
      </c>
      <c r="AP13" s="3" t="str">
        <f>IF(VLOOKUP(AB13,价值!$B:$G,5,0)=0,AO13,VLOOKUP(AB13,价值!$B:$G,5,0)&amp;","&amp;AC13)</f>
        <v>prop,318,2</v>
      </c>
      <c r="AQ13" s="4" t="str">
        <f>VLOOKUP(AE13,价值!$B:$G,3,0)&amp;","&amp;AF13</f>
        <v>prop,317,3</v>
      </c>
      <c r="AR13" s="3" t="str">
        <f>IF(VLOOKUP(AE13,价值!$B:$G,5,0)=0,AQ13,VLOOKUP(AE13,价值!$B:$G,5,0)&amp;","&amp;AF13)</f>
        <v>prop,317,3</v>
      </c>
      <c r="AS13" s="4" t="str">
        <f>VLOOKUP(AH13,价值!$B:$G,3,0)&amp;","&amp;AI13</f>
        <v>cash,100</v>
      </c>
      <c r="AT13" s="3" t="str">
        <f>IF(VLOOKUP(AH13,价值!$B:$G,5,0)=0,AS13,VLOOKUP(AH13,价值!$B:$G,5,0)&amp;","&amp;AI13)</f>
        <v>cash,100</v>
      </c>
      <c r="AU13" s="2" t="str">
        <f t="shared" si="1"/>
        <v>prop,318,2;prop,317,3;cash,100</v>
      </c>
      <c r="AV13" s="2" t="str">
        <f t="shared" si="2"/>
        <v>prop,318,2;prop,317,3;cash,100</v>
      </c>
      <c r="AY13" s="4"/>
    </row>
    <row r="14" spans="1:51" x14ac:dyDescent="0.15">
      <c r="AA14" s="4">
        <v>130000</v>
      </c>
      <c r="AB14" s="1" t="s">
        <v>79</v>
      </c>
      <c r="AC14" s="1">
        <v>2</v>
      </c>
      <c r="AD14" s="1">
        <f>VLOOKUP(AB14,价值!$B:$G,6,0)*AC14</f>
        <v>1200</v>
      </c>
      <c r="AE14" s="1" t="s">
        <v>89</v>
      </c>
      <c r="AF14" s="1">
        <v>30000</v>
      </c>
      <c r="AG14" s="1">
        <f>VLOOKUP(AE14,价值!$B:$G,6,0)*AF14</f>
        <v>600</v>
      </c>
      <c r="AH14" s="1" t="s">
        <v>81</v>
      </c>
      <c r="AI14" s="1">
        <v>100</v>
      </c>
      <c r="AJ14" s="1">
        <f>VLOOKUP(AH14,价值!$B:$G,6,0)*AI14</f>
        <v>100</v>
      </c>
      <c r="AK14" s="1"/>
      <c r="AL14" s="1"/>
      <c r="AM14" s="1">
        <f>VLOOKUP(AK14,价值!$B:$G,6,0)*AL14</f>
        <v>0</v>
      </c>
      <c r="AN14" s="2">
        <f t="shared" si="0"/>
        <v>1900</v>
      </c>
      <c r="AO14" s="4" t="str">
        <f>VLOOKUP(AB14,价值!$B:$G,3,0)&amp;","&amp;AC14</f>
        <v>pack,304,2</v>
      </c>
      <c r="AP14" s="3" t="str">
        <f>IF(VLOOKUP(AB14,价值!$B:$G,5,0)=0,AO14,VLOOKUP(AB14,价值!$B:$G,5,0)&amp;","&amp;AC14)</f>
        <v>item,104,2</v>
      </c>
      <c r="AQ14" s="4" t="str">
        <f>VLOOKUP(AE14,价值!$B:$G,3,0)&amp;","&amp;AF14</f>
        <v>coin,30000</v>
      </c>
      <c r="AR14" s="3" t="str">
        <f>IF(VLOOKUP(AE14,价值!$B:$G,5,0)=0,AQ14,VLOOKUP(AE14,价值!$B:$G,5,0)&amp;","&amp;AF14)</f>
        <v>coin,30000</v>
      </c>
      <c r="AS14" s="4" t="str">
        <f>VLOOKUP(AH14,价值!$B:$G,3,0)&amp;","&amp;AI14</f>
        <v>cash,100</v>
      </c>
      <c r="AT14" s="3" t="str">
        <f>IF(VLOOKUP(AH14,价值!$B:$G,5,0)=0,AS14,VLOOKUP(AH14,价值!$B:$G,5,0)&amp;","&amp;AI14)</f>
        <v>cash,100</v>
      </c>
      <c r="AU14" s="2" t="str">
        <f t="shared" si="1"/>
        <v>pack,304,2;coin,30000;cash,100</v>
      </c>
      <c r="AV14" s="2" t="str">
        <f t="shared" si="2"/>
        <v>item,104,2;coin,30000;cash,100</v>
      </c>
      <c r="AY14" s="4"/>
    </row>
    <row r="15" spans="1:51" x14ac:dyDescent="0.15">
      <c r="AA15" s="4">
        <v>140000</v>
      </c>
      <c r="AB15" s="1" t="s">
        <v>73</v>
      </c>
      <c r="AC15" s="1">
        <v>3</v>
      </c>
      <c r="AD15" s="1">
        <f>VLOOKUP(AB15,价值!$B:$G,6,0)*AC15</f>
        <v>1080</v>
      </c>
      <c r="AE15" s="1" t="s">
        <v>112</v>
      </c>
      <c r="AF15" s="1">
        <v>3</v>
      </c>
      <c r="AG15" s="1">
        <f>VLOOKUP(AE15,价值!$B:$G,6,0)*AF15</f>
        <v>270</v>
      </c>
      <c r="AH15" s="1" t="s">
        <v>81</v>
      </c>
      <c r="AI15" s="1">
        <v>100</v>
      </c>
      <c r="AJ15" s="1">
        <f>VLOOKUP(AH15,价值!$B:$G,6,0)*AI15</f>
        <v>100</v>
      </c>
      <c r="AK15" s="1"/>
      <c r="AL15" s="1"/>
      <c r="AM15" s="1">
        <f>VLOOKUP(AK15,价值!$B:$G,6,0)*AL15</f>
        <v>0</v>
      </c>
      <c r="AN15" s="2">
        <f t="shared" si="0"/>
        <v>1450</v>
      </c>
      <c r="AO15" s="4" t="str">
        <f>VLOOKUP(AB15,价值!$B:$G,3,0)&amp;","&amp;AC15</f>
        <v>prop,315,3</v>
      </c>
      <c r="AP15" s="3" t="str">
        <f>IF(VLOOKUP(AB15,价值!$B:$G,5,0)=0,AO15,VLOOKUP(AB15,价值!$B:$G,5,0)&amp;","&amp;AC15)</f>
        <v>prop,315,3</v>
      </c>
      <c r="AQ15" s="4" t="str">
        <f>VLOOKUP(AE15,价值!$B:$G,3,0)&amp;","&amp;AF15</f>
        <v>prop,314,3</v>
      </c>
      <c r="AR15" s="3" t="str">
        <f>IF(VLOOKUP(AE15,价值!$B:$G,5,0)=0,AQ15,VLOOKUP(AE15,价值!$B:$G,5,0)&amp;","&amp;AF15)</f>
        <v>prop,314,3</v>
      </c>
      <c r="AS15" s="4" t="str">
        <f>VLOOKUP(AH15,价值!$B:$G,3,0)&amp;","&amp;AI15</f>
        <v>cash,100</v>
      </c>
      <c r="AT15" s="3" t="str">
        <f>IF(VLOOKUP(AH15,价值!$B:$G,5,0)=0,AS15,VLOOKUP(AH15,价值!$B:$G,5,0)&amp;","&amp;AI15)</f>
        <v>cash,100</v>
      </c>
      <c r="AU15" s="2" t="str">
        <f t="shared" si="1"/>
        <v>prop,315,3;prop,314,3;cash,100</v>
      </c>
      <c r="AV15" s="2" t="str">
        <f t="shared" si="2"/>
        <v>prop,315,3;prop,314,3;cash,100</v>
      </c>
      <c r="AY15" s="4">
        <f>积分计算!K11</f>
        <v>150000</v>
      </c>
    </row>
    <row r="16" spans="1:51" x14ac:dyDescent="0.15">
      <c r="A16" s="2" t="s">
        <v>54</v>
      </c>
      <c r="B16" s="2">
        <v>12</v>
      </c>
      <c r="J16" s="3" t="s">
        <v>94</v>
      </c>
      <c r="AA16" s="4">
        <v>150000</v>
      </c>
      <c r="AB16" s="1" t="s">
        <v>79</v>
      </c>
      <c r="AC16" s="1">
        <v>2</v>
      </c>
      <c r="AD16" s="1">
        <f>VLOOKUP(AB16,价值!$B:$G,6,0)*AC16</f>
        <v>1200</v>
      </c>
      <c r="AE16" s="1" t="s">
        <v>89</v>
      </c>
      <c r="AF16" s="1">
        <v>50000</v>
      </c>
      <c r="AG16" s="1">
        <f>VLOOKUP(AE16,价值!$B:$G,6,0)*AF16</f>
        <v>1000</v>
      </c>
      <c r="AH16" s="1" t="s">
        <v>81</v>
      </c>
      <c r="AI16" s="1">
        <v>100</v>
      </c>
      <c r="AJ16" s="1">
        <f>VLOOKUP(AH16,价值!$B:$G,6,0)*AI16</f>
        <v>100</v>
      </c>
      <c r="AK16" s="1"/>
      <c r="AL16" s="1"/>
      <c r="AM16" s="1">
        <f>VLOOKUP(AK16,价值!$B:$G,6,0)*AL16</f>
        <v>0</v>
      </c>
      <c r="AN16" s="2">
        <f t="shared" si="0"/>
        <v>2300</v>
      </c>
      <c r="AO16" s="4" t="str">
        <f>VLOOKUP(AB16,价值!$B:$G,3,0)&amp;","&amp;AC16</f>
        <v>pack,304,2</v>
      </c>
      <c r="AP16" s="3" t="str">
        <f>IF(VLOOKUP(AB16,价值!$B:$G,5,0)=0,AO16,VLOOKUP(AB16,价值!$B:$G,5,0)&amp;","&amp;AC16)</f>
        <v>item,104,2</v>
      </c>
      <c r="AQ16" s="4" t="str">
        <f>VLOOKUP(AE16,价值!$B:$G,3,0)&amp;","&amp;AF16</f>
        <v>coin,50000</v>
      </c>
      <c r="AR16" s="3" t="str">
        <f>IF(VLOOKUP(AE16,价值!$B:$G,5,0)=0,AQ16,VLOOKUP(AE16,价值!$B:$G,5,0)&amp;","&amp;AF16)</f>
        <v>coin,50000</v>
      </c>
      <c r="AS16" s="4" t="str">
        <f>VLOOKUP(AH16,价值!$B:$G,3,0)&amp;","&amp;AI16</f>
        <v>cash,100</v>
      </c>
      <c r="AT16" s="3" t="str">
        <f>IF(VLOOKUP(AH16,价值!$B:$G,5,0)=0,AS16,VLOOKUP(AH16,价值!$B:$G,5,0)&amp;","&amp;AI16)</f>
        <v>cash,100</v>
      </c>
      <c r="AU16" s="2" t="str">
        <f t="shared" si="1"/>
        <v>pack,304,2;coin,50000;cash,100</v>
      </c>
      <c r="AV16" s="2" t="str">
        <f t="shared" si="2"/>
        <v>item,104,2;coin,50000;cash,100</v>
      </c>
      <c r="AY16" s="5">
        <f>D3</f>
        <v>16650</v>
      </c>
    </row>
    <row r="17" spans="1:46" x14ac:dyDescent="0.15">
      <c r="A17" s="3" t="s">
        <v>77</v>
      </c>
      <c r="B17" s="2">
        <v>50</v>
      </c>
      <c r="J17" s="2"/>
      <c r="K17" s="1" t="s">
        <v>85</v>
      </c>
      <c r="L17" s="1" t="s">
        <v>82</v>
      </c>
      <c r="M17" s="1" t="s">
        <v>83</v>
      </c>
      <c r="N17" s="1" t="s">
        <v>84</v>
      </c>
      <c r="O17" s="3" t="s">
        <v>82</v>
      </c>
      <c r="P17" s="3" t="s">
        <v>86</v>
      </c>
      <c r="Q17" s="3" t="s">
        <v>84</v>
      </c>
      <c r="R17" s="3" t="s">
        <v>90</v>
      </c>
      <c r="S17" s="2" t="s">
        <v>29</v>
      </c>
      <c r="T17" s="2" t="s">
        <v>30</v>
      </c>
      <c r="U17" s="2" t="s">
        <v>29</v>
      </c>
      <c r="V17" s="2" t="s">
        <v>30</v>
      </c>
      <c r="W17" s="3" t="s">
        <v>92</v>
      </c>
      <c r="X17" s="3" t="s">
        <v>91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4">
        <f>SUM(AN2:AN16)</f>
        <v>16423</v>
      </c>
    </row>
    <row r="18" spans="1:46" x14ac:dyDescent="0.15">
      <c r="A18" s="2" t="s">
        <v>55</v>
      </c>
      <c r="B18" s="2">
        <f>220</f>
        <v>220</v>
      </c>
      <c r="J18" s="2">
        <f>E6</f>
        <v>80</v>
      </c>
      <c r="K18" s="4">
        <v>1</v>
      </c>
      <c r="L18" s="1" t="s">
        <v>81</v>
      </c>
      <c r="M18" s="4">
        <v>50</v>
      </c>
      <c r="N18" s="4">
        <f>VLOOKUP(L18,价值!$B:$G,6,0)*M18</f>
        <v>50</v>
      </c>
      <c r="O18" s="3" t="s">
        <v>87</v>
      </c>
      <c r="P18" s="2">
        <v>2</v>
      </c>
      <c r="Q18" s="4">
        <f>VLOOKUP(O18,价值!$B:$G,6,0)*P18</f>
        <v>36</v>
      </c>
      <c r="R18" s="2">
        <f>M18+Q18</f>
        <v>86</v>
      </c>
      <c r="S18" s="2" t="str">
        <f>VLOOKUP(L18,价值!$B:$G,3,0)&amp;","&amp;M18</f>
        <v>cash,50</v>
      </c>
      <c r="T18" s="2" t="str">
        <f>IF(VLOOKUP(L18,价值!$B:$G,5,0)=0,S18,VLOOKUP(L18,价值!$B:$G,5,0)&amp;","&amp;M18)</f>
        <v>cash,50</v>
      </c>
      <c r="U18" s="2" t="str">
        <f>VLOOKUP(O18,价值!$B:$G,3,0)&amp;","&amp;P18</f>
        <v>prop,104,2</v>
      </c>
      <c r="V18" s="2" t="str">
        <f>IF(VLOOKUP(O18,价值!$B:$G,5,0)=0,U18,VLOOKUP(O18,价值!$B:$G,5,0)&amp;","&amp;P18)</f>
        <v>prop,104,2</v>
      </c>
      <c r="W18" s="2" t="str">
        <f>S18&amp;";"&amp;U18</f>
        <v>cash,50;prop,104,2</v>
      </c>
      <c r="X18" s="2" t="str">
        <f>T18&amp;";"&amp;V18</f>
        <v>cash,50;prop,104,2</v>
      </c>
      <c r="AA18" s="3" t="s">
        <v>94</v>
      </c>
      <c r="AB18" s="4"/>
      <c r="AC18" s="4"/>
      <c r="AD18" s="4"/>
      <c r="AE18" s="4"/>
      <c r="AF18" s="4"/>
    </row>
    <row r="19" spans="1:46" x14ac:dyDescent="0.15">
      <c r="J19" s="2">
        <f>F6</f>
        <v>180</v>
      </c>
      <c r="K19" s="1">
        <v>2</v>
      </c>
      <c r="L19" s="1" t="s">
        <v>81</v>
      </c>
      <c r="M19" s="4">
        <v>80</v>
      </c>
      <c r="N19" s="4">
        <f>VLOOKUP(L19,价值!$B:$G,6,0)*M19</f>
        <v>80</v>
      </c>
      <c r="O19" s="3" t="s">
        <v>89</v>
      </c>
      <c r="P19" s="2">
        <v>5000</v>
      </c>
      <c r="Q19" s="4">
        <f>VLOOKUP(O19,价值!$B:$G,6,0)*P19</f>
        <v>100</v>
      </c>
      <c r="R19" s="2">
        <f t="shared" ref="R19:R21" si="5">M19+Q19</f>
        <v>180</v>
      </c>
      <c r="S19" s="2" t="str">
        <f>VLOOKUP(L19,价值!$B:$G,3,0)&amp;","&amp;M19</f>
        <v>cash,80</v>
      </c>
      <c r="T19" s="2" t="str">
        <f>IF(VLOOKUP(L19,价值!$B:$G,5,0)=0,S19,VLOOKUP(L19,价值!$B:$G,5,0)&amp;","&amp;M19)</f>
        <v>cash,80</v>
      </c>
      <c r="U19" s="2" t="str">
        <f>VLOOKUP(O19,价值!$B:$G,3,0)&amp;","&amp;P19</f>
        <v>coin,5000</v>
      </c>
      <c r="V19" s="2" t="str">
        <f>IF(VLOOKUP(O19,价值!$B:$G,5,0)=0,U19,VLOOKUP(O19,价值!$B:$G,5,0)&amp;","&amp;P19)</f>
        <v>coin,5000</v>
      </c>
      <c r="W19" s="2" t="str">
        <f t="shared" ref="W19:W21" si="6">S19&amp;";"&amp;U19</f>
        <v>cash,80;coin,5000</v>
      </c>
      <c r="X19" s="2" t="str">
        <f t="shared" ref="X19:X21" si="7">T19&amp;";"&amp;V19</f>
        <v>cash,80;coin,5000</v>
      </c>
      <c r="AA19" s="4" t="s">
        <v>59</v>
      </c>
      <c r="AB19" s="4" t="s">
        <v>60</v>
      </c>
      <c r="AC19" s="4" t="s">
        <v>61</v>
      </c>
      <c r="AD19" s="4" t="s">
        <v>62</v>
      </c>
      <c r="AE19" s="4" t="s">
        <v>60</v>
      </c>
      <c r="AF19" s="4" t="s">
        <v>61</v>
      </c>
      <c r="AG19" s="4" t="s">
        <v>62</v>
      </c>
      <c r="AH19" s="4" t="s">
        <v>63</v>
      </c>
      <c r="AI19" s="4" t="s">
        <v>64</v>
      </c>
      <c r="AJ19" s="4" t="s">
        <v>65</v>
      </c>
      <c r="AK19" s="1" t="s">
        <v>80</v>
      </c>
      <c r="AL19" s="4" t="s">
        <v>46</v>
      </c>
      <c r="AM19" s="2" t="s">
        <v>29</v>
      </c>
      <c r="AN19" s="2" t="s">
        <v>30</v>
      </c>
      <c r="AO19" s="2" t="s">
        <v>29</v>
      </c>
      <c r="AP19" s="2" t="s">
        <v>30</v>
      </c>
      <c r="AQ19" s="2" t="s">
        <v>29</v>
      </c>
      <c r="AR19" s="2" t="s">
        <v>30</v>
      </c>
      <c r="AS19" s="3" t="s">
        <v>92</v>
      </c>
      <c r="AT19" s="3" t="s">
        <v>91</v>
      </c>
    </row>
    <row r="20" spans="1:46" x14ac:dyDescent="0.15">
      <c r="A20" s="3" t="s">
        <v>56</v>
      </c>
      <c r="B20" s="2">
        <f>B8</f>
        <v>100</v>
      </c>
      <c r="J20" s="2">
        <f>G6</f>
        <v>290</v>
      </c>
      <c r="K20" s="1">
        <v>3</v>
      </c>
      <c r="L20" s="1" t="s">
        <v>81</v>
      </c>
      <c r="M20" s="4">
        <v>100</v>
      </c>
      <c r="N20" s="4">
        <f>VLOOKUP(L20,价值!$B:$G,6,0)*M20</f>
        <v>100</v>
      </c>
      <c r="O20" s="2" t="s">
        <v>88</v>
      </c>
      <c r="P20" s="2">
        <v>3</v>
      </c>
      <c r="Q20" s="4">
        <f>VLOOKUP(O20,价值!$B:$G,6,0)*P20</f>
        <v>180</v>
      </c>
      <c r="R20" s="2">
        <f t="shared" si="5"/>
        <v>280</v>
      </c>
      <c r="S20" s="2" t="str">
        <f>VLOOKUP(L20,价值!$B:$G,3,0)&amp;","&amp;M20</f>
        <v>cash,100</v>
      </c>
      <c r="T20" s="2" t="str">
        <f>IF(VLOOKUP(L20,价值!$B:$G,5,0)=0,S20,VLOOKUP(L20,价值!$B:$G,5,0)&amp;","&amp;M20)</f>
        <v>cash,100</v>
      </c>
      <c r="U20" s="2" t="str">
        <f>VLOOKUP(O20,价值!$B:$G,3,0)&amp;","&amp;P20</f>
        <v>prop,105,3</v>
      </c>
      <c r="V20" s="2" t="str">
        <f>IF(VLOOKUP(O20,价值!$B:$G,5,0)=0,U20,VLOOKUP(O20,价值!$B:$G,5,0)&amp;","&amp;P20)</f>
        <v>prop,105,3</v>
      </c>
      <c r="W20" s="2" t="str">
        <f t="shared" si="6"/>
        <v>cash,100;prop,105,3</v>
      </c>
      <c r="X20" s="2" t="str">
        <f t="shared" si="7"/>
        <v>cash,100;prop,105,3</v>
      </c>
      <c r="AA20" s="4">
        <v>1</v>
      </c>
      <c r="AB20" s="4" t="s">
        <v>76</v>
      </c>
      <c r="AC20" s="4">
        <v>1</v>
      </c>
      <c r="AD20" s="4">
        <f>VLOOKUP(AB20,价值!$B:$G,6,0)*AC20</f>
        <v>15</v>
      </c>
      <c r="AE20" s="4" t="s">
        <v>76</v>
      </c>
      <c r="AF20" s="4">
        <v>0</v>
      </c>
      <c r="AG20" s="4">
        <f>3*AF20</f>
        <v>0</v>
      </c>
      <c r="AH20" s="4" t="s">
        <v>70</v>
      </c>
      <c r="AI20" s="4">
        <v>750</v>
      </c>
      <c r="AJ20" s="4">
        <f>VLOOKUP(AH20,价值!$B:$G,6,0)*AI20</f>
        <v>15</v>
      </c>
      <c r="AK20" s="4">
        <f>AD20+AG20+AJ20</f>
        <v>30</v>
      </c>
      <c r="AL20" s="5">
        <f>D8</f>
        <v>30</v>
      </c>
      <c r="AM20" s="2" t="str">
        <f>VLOOKUP(AB20,价值!$B:$G,3,0)&amp;","&amp;AC20</f>
        <v>pack,302,1</v>
      </c>
      <c r="AN20" s="2" t="str">
        <f>IF(VLOOKUP(AB20,价值!$B:$G,5,0)=0,AM20,VLOOKUP(AB20,价值!$B:$G,5,0)&amp;","&amp;AC20)</f>
        <v>item,102,1</v>
      </c>
      <c r="AO20" s="2" t="str">
        <f>IF(AF20=0,"",VLOOKUP(AE20,价值!$B:$G,3,0)&amp;","&amp;AF20)</f>
        <v/>
      </c>
      <c r="AP20" s="2" t="str">
        <f>IF(AF20=0,"",IF(VLOOKUP(AE20,价值!$B:$G,5,0)=0,AO20,VLOOKUP(AE20,价值!$B:$G,5,0)&amp;","&amp;AF20))</f>
        <v/>
      </c>
      <c r="AQ20" s="2" t="str">
        <f>VLOOKUP(AH20,价值!$B:$G,3,0)&amp;","&amp;AI20</f>
        <v>coin,750</v>
      </c>
      <c r="AR20" s="2" t="str">
        <f>IF(VLOOKUP(AH20,价值!$B:$G,5,0)=0,AQ20,VLOOKUP(AH20,价值!$B:$G,5,0)&amp;","&amp;AI20)</f>
        <v>coin,750</v>
      </c>
      <c r="AS20" s="2" t="str">
        <f>AM20&amp;IF(AO20="","",";"&amp;AO20)&amp;";"&amp;AQ20</f>
        <v>pack,302,1;coin,750</v>
      </c>
      <c r="AT20" s="2" t="str">
        <f>AS20</f>
        <v>pack,302,1;coin,750</v>
      </c>
    </row>
    <row r="21" spans="1:46" x14ac:dyDescent="0.15">
      <c r="A21" s="3" t="s">
        <v>77</v>
      </c>
      <c r="B21" s="2">
        <f>B20/B18*B17</f>
        <v>22.727272727272727</v>
      </c>
      <c r="J21" s="2">
        <f>H6</f>
        <v>400</v>
      </c>
      <c r="K21" s="1">
        <v>4</v>
      </c>
      <c r="L21" s="1" t="s">
        <v>81</v>
      </c>
      <c r="M21" s="4">
        <v>150</v>
      </c>
      <c r="N21" s="4">
        <f>VLOOKUP(L21,价值!$B:$G,6,0)*M21</f>
        <v>150</v>
      </c>
      <c r="O21" s="3" t="s">
        <v>89</v>
      </c>
      <c r="P21" s="2">
        <v>12500</v>
      </c>
      <c r="Q21" s="4">
        <f>VLOOKUP(O21,价值!$B:$G,6,0)*P21</f>
        <v>250</v>
      </c>
      <c r="R21" s="2">
        <f t="shared" si="5"/>
        <v>400</v>
      </c>
      <c r="S21" s="2" t="str">
        <f>VLOOKUP(L21,价值!$B:$G,3,0)&amp;","&amp;M21</f>
        <v>cash,150</v>
      </c>
      <c r="T21" s="2" t="str">
        <f>IF(VLOOKUP(L21,价值!$B:$G,5,0)=0,S21,VLOOKUP(L21,价值!$B:$G,5,0)&amp;","&amp;M21)</f>
        <v>cash,150</v>
      </c>
      <c r="U21" s="2" t="str">
        <f>VLOOKUP(O21,价值!$B:$G,3,0)&amp;","&amp;P21</f>
        <v>coin,12500</v>
      </c>
      <c r="V21" s="2" t="str">
        <f>IF(VLOOKUP(O21,价值!$B:$G,5,0)=0,U21,VLOOKUP(O21,价值!$B:$G,5,0)&amp;","&amp;P21)</f>
        <v>coin,12500</v>
      </c>
      <c r="W21" s="2" t="str">
        <f t="shared" si="6"/>
        <v>cash,150;coin,12500</v>
      </c>
      <c r="X21" s="2" t="str">
        <f t="shared" si="7"/>
        <v>cash,150;coin,12500</v>
      </c>
      <c r="AA21" s="4">
        <v>2</v>
      </c>
      <c r="AB21" s="4" t="s">
        <v>76</v>
      </c>
      <c r="AC21" s="4">
        <v>1</v>
      </c>
      <c r="AD21" s="4">
        <f>VLOOKUP(AB21,价值!$B:$G,6,0)*AC21</f>
        <v>15</v>
      </c>
      <c r="AE21" s="4" t="s">
        <v>76</v>
      </c>
      <c r="AF21" s="4">
        <v>0</v>
      </c>
      <c r="AG21" s="4">
        <f t="shared" ref="AG21:AG32" si="8">3*AF21</f>
        <v>0</v>
      </c>
      <c r="AH21" s="4" t="s">
        <v>70</v>
      </c>
      <c r="AI21" s="4">
        <v>800</v>
      </c>
      <c r="AJ21" s="4">
        <f>VLOOKUP(AH21,价值!$B:$G,6,0)*AI21</f>
        <v>16</v>
      </c>
      <c r="AK21" s="4">
        <f t="shared" ref="AK21:AK32" si="9">AD21+AG21+AJ21</f>
        <v>31</v>
      </c>
      <c r="AL21" s="5"/>
      <c r="AM21" s="2" t="str">
        <f>VLOOKUP(AB21,价值!$B:$G,3,0)&amp;","&amp;AC21</f>
        <v>pack,302,1</v>
      </c>
      <c r="AN21" s="2" t="str">
        <f>IF(VLOOKUP(AB21,价值!$B:$G,5,0)=0,AM21,VLOOKUP(AB21,价值!$B:$G,5,0)&amp;","&amp;AC21)</f>
        <v>item,102,1</v>
      </c>
      <c r="AO21" s="2" t="str">
        <f>IF(AF21=0,"",VLOOKUP(AE21,价值!$B:$G,3,0)&amp;","&amp;AF21)</f>
        <v/>
      </c>
      <c r="AP21" s="2" t="str">
        <f>IF(AF21=0,"",IF(VLOOKUP(AE21,价值!$B:$G,5,0)=0,AO21,VLOOKUP(AE21,价值!$B:$G,5,0)&amp;","&amp;AF21))</f>
        <v/>
      </c>
      <c r="AQ21" s="2" t="str">
        <f>VLOOKUP(AH21,价值!$B:$G,3,0)&amp;","&amp;AI21</f>
        <v>coin,800</v>
      </c>
      <c r="AR21" s="2" t="str">
        <f>IF(VLOOKUP(AH21,价值!$B:$G,5,0)=0,AQ21,VLOOKUP(AH21,价值!$B:$G,5,0)&amp;","&amp;AI21)</f>
        <v>coin,800</v>
      </c>
      <c r="AS21" s="2" t="str">
        <f t="shared" ref="AS21:AS32" si="10">AM21&amp;IF(AO21="","",";"&amp;AO21)&amp;";"&amp;AQ21</f>
        <v>pack,302,1;coin,800</v>
      </c>
      <c r="AT21" s="2" t="str">
        <f>AT20&amp;"#S#"&amp;AS21</f>
        <v>pack,302,1;coin,750#S#pack,302,1;coin,800</v>
      </c>
    </row>
    <row r="22" spans="1:46" x14ac:dyDescent="0.15">
      <c r="AA22" s="4">
        <v>3</v>
      </c>
      <c r="AB22" s="4" t="s">
        <v>76</v>
      </c>
      <c r="AC22" s="4">
        <v>1</v>
      </c>
      <c r="AD22" s="4">
        <f>VLOOKUP(AB22,价值!$B:$G,6,0)*AC22</f>
        <v>15</v>
      </c>
      <c r="AE22" s="4" t="s">
        <v>76</v>
      </c>
      <c r="AF22" s="4">
        <v>0</v>
      </c>
      <c r="AG22" s="4">
        <f t="shared" si="8"/>
        <v>0</v>
      </c>
      <c r="AH22" s="4" t="s">
        <v>70</v>
      </c>
      <c r="AI22" s="4">
        <v>850</v>
      </c>
      <c r="AJ22" s="4">
        <f>VLOOKUP(AH22,价值!$B:$G,6,0)*AI22</f>
        <v>17</v>
      </c>
      <c r="AK22" s="4">
        <f t="shared" si="9"/>
        <v>32</v>
      </c>
      <c r="AL22" s="5"/>
      <c r="AM22" s="2" t="str">
        <f>VLOOKUP(AB22,价值!$B:$G,3,0)&amp;","&amp;AC22</f>
        <v>pack,302,1</v>
      </c>
      <c r="AN22" s="2" t="str">
        <f>IF(VLOOKUP(AB22,价值!$B:$G,5,0)=0,AM22,VLOOKUP(AB22,价值!$B:$G,5,0)&amp;","&amp;AC22)</f>
        <v>item,102,1</v>
      </c>
      <c r="AO22" s="2" t="str">
        <f>IF(AF22=0,"",VLOOKUP(AE22,价值!$B:$G,3,0)&amp;","&amp;AF22)</f>
        <v/>
      </c>
      <c r="AP22" s="2" t="str">
        <f>IF(AF22=0,"",IF(VLOOKUP(AE22,价值!$B:$G,5,0)=0,AO22,VLOOKUP(AE22,价值!$B:$G,5,0)&amp;","&amp;AF22))</f>
        <v/>
      </c>
      <c r="AQ22" s="2" t="str">
        <f>VLOOKUP(AH22,价值!$B:$G,3,0)&amp;","&amp;AI22</f>
        <v>coin,850</v>
      </c>
      <c r="AR22" s="2" t="str">
        <f>IF(VLOOKUP(AH22,价值!$B:$G,5,0)=0,AQ22,VLOOKUP(AH22,价值!$B:$G,5,0)&amp;","&amp;AI22)</f>
        <v>coin,850</v>
      </c>
      <c r="AS22" s="2" t="str">
        <f t="shared" si="10"/>
        <v>pack,302,1;coin,850</v>
      </c>
      <c r="AT22" s="2" t="str">
        <f t="shared" ref="AT22:AT32" si="11">AT21&amp;"#S#"&amp;AS22</f>
        <v>pack,302,1;coin,750#S#pack,302,1;coin,800#S#pack,302,1;coin,850</v>
      </c>
    </row>
    <row r="23" spans="1:46" x14ac:dyDescent="0.15">
      <c r="A23" s="2" t="s">
        <v>71</v>
      </c>
      <c r="B23" s="2">
        <v>0.4</v>
      </c>
      <c r="AA23" s="4">
        <v>4</v>
      </c>
      <c r="AB23" s="4" t="s">
        <v>76</v>
      </c>
      <c r="AC23" s="4">
        <v>1</v>
      </c>
      <c r="AD23" s="4">
        <f>VLOOKUP(AB23,价值!$B:$G,6,0)*AC23</f>
        <v>15</v>
      </c>
      <c r="AE23" s="4" t="s">
        <v>76</v>
      </c>
      <c r="AF23" s="4">
        <v>1</v>
      </c>
      <c r="AG23" s="4">
        <f t="shared" si="8"/>
        <v>3</v>
      </c>
      <c r="AH23" s="4" t="s">
        <v>70</v>
      </c>
      <c r="AI23" s="4">
        <v>900</v>
      </c>
      <c r="AJ23" s="4">
        <f>VLOOKUP(AH23,价值!$B:$G,6,0)*AI23</f>
        <v>18</v>
      </c>
      <c r="AK23" s="4">
        <f t="shared" si="9"/>
        <v>36</v>
      </c>
      <c r="AL23" s="5"/>
      <c r="AM23" s="2" t="str">
        <f>VLOOKUP(AB23,价值!$B:$G,3,0)&amp;","&amp;AC23</f>
        <v>pack,302,1</v>
      </c>
      <c r="AN23" s="2" t="str">
        <f>IF(VLOOKUP(AB23,价值!$B:$G,5,0)=0,AM23,VLOOKUP(AB23,价值!$B:$G,5,0)&amp;","&amp;AC23)</f>
        <v>item,102,1</v>
      </c>
      <c r="AO23" s="2" t="str">
        <f>IF(AF23=0,"",VLOOKUP(AE23,价值!$B:$G,3,0)&amp;","&amp;AF23)</f>
        <v>pack,302,1</v>
      </c>
      <c r="AP23" s="2" t="str">
        <f>IF(AF23=0,"",IF(VLOOKUP(AE23,价值!$B:$G,5,0)=0,AO23,VLOOKUP(AE23,价值!$B:$G,5,0)&amp;","&amp;AF23))</f>
        <v>item,102,1</v>
      </c>
      <c r="AQ23" s="2" t="str">
        <f>VLOOKUP(AH23,价值!$B:$G,3,0)&amp;","&amp;AI23</f>
        <v>coin,900</v>
      </c>
      <c r="AR23" s="2" t="str">
        <f>IF(VLOOKUP(AH23,价值!$B:$G,5,0)=0,AQ23,VLOOKUP(AH23,价值!$B:$G,5,0)&amp;","&amp;AI23)</f>
        <v>coin,900</v>
      </c>
      <c r="AS23" s="2" t="str">
        <f t="shared" si="10"/>
        <v>pack,302,1;pack,302,1;coin,900</v>
      </c>
      <c r="AT23" s="2" t="str">
        <f t="shared" si="11"/>
        <v>pack,302,1;coin,750#S#pack,302,1;coin,800#S#pack,302,1;coin,850#S#pack,302,1;pack,302,1;coin,900</v>
      </c>
    </row>
    <row r="24" spans="1:46" x14ac:dyDescent="0.15">
      <c r="A24" s="2" t="s">
        <v>72</v>
      </c>
      <c r="B24" s="2">
        <f>FLOOR(B21/B23,10)</f>
        <v>50</v>
      </c>
      <c r="AA24" s="4">
        <v>5</v>
      </c>
      <c r="AB24" s="4" t="s">
        <v>76</v>
      </c>
      <c r="AC24" s="4">
        <v>1</v>
      </c>
      <c r="AD24" s="4">
        <f>VLOOKUP(AB24,价值!$B:$G,6,0)*AC24</f>
        <v>15</v>
      </c>
      <c r="AE24" s="4" t="s">
        <v>76</v>
      </c>
      <c r="AF24" s="4">
        <v>1</v>
      </c>
      <c r="AG24" s="4">
        <f t="shared" si="8"/>
        <v>3</v>
      </c>
      <c r="AH24" s="4" t="s">
        <v>70</v>
      </c>
      <c r="AI24" s="4">
        <v>950</v>
      </c>
      <c r="AJ24" s="4">
        <f>VLOOKUP(AH24,价值!$B:$G,6,0)*AI24</f>
        <v>19</v>
      </c>
      <c r="AK24" s="4">
        <f t="shared" si="9"/>
        <v>37</v>
      </c>
      <c r="AL24" s="5"/>
      <c r="AM24" s="2" t="str">
        <f>VLOOKUP(AB24,价值!$B:$G,3,0)&amp;","&amp;AC24</f>
        <v>pack,302,1</v>
      </c>
      <c r="AN24" s="2" t="str">
        <f>IF(VLOOKUP(AB24,价值!$B:$G,5,0)=0,AM24,VLOOKUP(AB24,价值!$B:$G,5,0)&amp;","&amp;AC24)</f>
        <v>item,102,1</v>
      </c>
      <c r="AO24" s="2" t="str">
        <f>IF(AF24=0,"",VLOOKUP(AE24,价值!$B:$G,3,0)&amp;","&amp;AF24)</f>
        <v>pack,302,1</v>
      </c>
      <c r="AP24" s="2" t="str">
        <f>IF(AF24=0,"",IF(VLOOKUP(AE24,价值!$B:$G,5,0)=0,AO24,VLOOKUP(AE24,价值!$B:$G,5,0)&amp;","&amp;AF24))</f>
        <v>item,102,1</v>
      </c>
      <c r="AQ24" s="2" t="str">
        <f>VLOOKUP(AH24,价值!$B:$G,3,0)&amp;","&amp;AI24</f>
        <v>coin,950</v>
      </c>
      <c r="AR24" s="2" t="str">
        <f>IF(VLOOKUP(AH24,价值!$B:$G,5,0)=0,AQ24,VLOOKUP(AH24,价值!$B:$G,5,0)&amp;","&amp;AI24)</f>
        <v>coin,950</v>
      </c>
      <c r="AS24" s="2" t="str">
        <f t="shared" si="10"/>
        <v>pack,302,1;pack,302,1;coin,950</v>
      </c>
      <c r="AT24" s="2" t="str">
        <f t="shared" si="11"/>
        <v>pack,302,1;coin,750#S#pack,302,1;coin,800#S#pack,302,1;coin,850#S#pack,302,1;pack,302,1;coin,900#S#pack,302,1;pack,302,1;coin,950</v>
      </c>
    </row>
    <row r="25" spans="1:46" x14ac:dyDescent="0.15">
      <c r="AA25" s="4">
        <v>6</v>
      </c>
      <c r="AB25" s="4" t="s">
        <v>75</v>
      </c>
      <c r="AC25" s="4">
        <v>1</v>
      </c>
      <c r="AD25" s="4">
        <f>VLOOKUP(AB25,价值!$B:$G,6,0)*AC25</f>
        <v>15</v>
      </c>
      <c r="AE25" s="4" t="s">
        <v>75</v>
      </c>
      <c r="AF25" s="4">
        <v>1</v>
      </c>
      <c r="AG25" s="4">
        <f t="shared" si="8"/>
        <v>3</v>
      </c>
      <c r="AH25" s="4" t="s">
        <v>70</v>
      </c>
      <c r="AI25" s="4">
        <v>1000</v>
      </c>
      <c r="AJ25" s="4">
        <f>VLOOKUP(AH25,价值!$B:$G,6,0)*AI25</f>
        <v>20</v>
      </c>
      <c r="AK25" s="4">
        <f t="shared" si="9"/>
        <v>38</v>
      </c>
      <c r="AL25" s="5"/>
      <c r="AM25" s="2" t="str">
        <f>VLOOKUP(AB25,价值!$B:$G,3,0)&amp;","&amp;AC25</f>
        <v>pack,302,1</v>
      </c>
      <c r="AN25" s="2" t="str">
        <f>IF(VLOOKUP(AB25,价值!$B:$G,5,0)=0,AM25,VLOOKUP(AB25,价值!$B:$G,5,0)&amp;","&amp;AC25)</f>
        <v>item,102,1</v>
      </c>
      <c r="AO25" s="2" t="str">
        <f>IF(AF25=0,"",VLOOKUP(AE25,价值!$B:$G,3,0)&amp;","&amp;AF25)</f>
        <v>pack,302,1</v>
      </c>
      <c r="AP25" s="2" t="str">
        <f>IF(AF25=0,"",IF(VLOOKUP(AE25,价值!$B:$G,5,0)=0,AO25,VLOOKUP(AE25,价值!$B:$G,5,0)&amp;","&amp;AF25))</f>
        <v>item,102,1</v>
      </c>
      <c r="AQ25" s="2" t="str">
        <f>VLOOKUP(AH25,价值!$B:$G,3,0)&amp;","&amp;AI25</f>
        <v>coin,1000</v>
      </c>
      <c r="AR25" s="2" t="str">
        <f>IF(VLOOKUP(AH25,价值!$B:$G,5,0)=0,AQ25,VLOOKUP(AH25,价值!$B:$G,5,0)&amp;","&amp;AI25)</f>
        <v>coin,1000</v>
      </c>
      <c r="AS25" s="2" t="str">
        <f t="shared" si="10"/>
        <v>pack,302,1;pack,302,1;coin,1000</v>
      </c>
      <c r="AT25" s="2" t="str">
        <f t="shared" si="11"/>
        <v>pack,302,1;coin,750#S#pack,302,1;coin,800#S#pack,302,1;coin,850#S#pack,302,1;pack,302,1;coin,900#S#pack,302,1;pack,302,1;coin,950#S#pack,302,1;pack,302,1;coin,1000</v>
      </c>
    </row>
    <row r="26" spans="1:46" x14ac:dyDescent="0.15">
      <c r="Y26" s="5" t="s">
        <v>93</v>
      </c>
      <c r="AA26" s="4">
        <v>7</v>
      </c>
      <c r="AB26" s="4" t="s">
        <v>75</v>
      </c>
      <c r="AC26" s="4">
        <v>1</v>
      </c>
      <c r="AD26" s="4">
        <f>VLOOKUP(AB26,价值!$B:$G,6,0)*AC26</f>
        <v>15</v>
      </c>
      <c r="AE26" s="4" t="s">
        <v>75</v>
      </c>
      <c r="AF26" s="4">
        <v>2</v>
      </c>
      <c r="AG26" s="4">
        <f t="shared" si="8"/>
        <v>6</v>
      </c>
      <c r="AH26" s="4" t="s">
        <v>70</v>
      </c>
      <c r="AI26" s="4">
        <v>1100</v>
      </c>
      <c r="AJ26" s="4">
        <f>VLOOKUP(AH26,价值!$B:$G,6,0)*AI26</f>
        <v>22</v>
      </c>
      <c r="AK26" s="4">
        <f t="shared" si="9"/>
        <v>43</v>
      </c>
      <c r="AL26" s="5"/>
      <c r="AM26" s="2" t="str">
        <f>VLOOKUP(AB26,价值!$B:$G,3,0)&amp;","&amp;AC26</f>
        <v>pack,302,1</v>
      </c>
      <c r="AN26" s="2" t="str">
        <f>IF(VLOOKUP(AB26,价值!$B:$G,5,0)=0,AM26,VLOOKUP(AB26,价值!$B:$G,5,0)&amp;","&amp;AC26)</f>
        <v>item,102,1</v>
      </c>
      <c r="AO26" s="2" t="str">
        <f>IF(AF26=0,"",VLOOKUP(AE26,价值!$B:$G,3,0)&amp;","&amp;AF26)</f>
        <v>pack,302,2</v>
      </c>
      <c r="AP26" s="2" t="str">
        <f>IF(AF26=0,"",IF(VLOOKUP(AE26,价值!$B:$G,5,0)=0,AO26,VLOOKUP(AE26,价值!$B:$G,5,0)&amp;","&amp;AF26))</f>
        <v>item,102,2</v>
      </c>
      <c r="AQ26" s="2" t="str">
        <f>VLOOKUP(AH26,价值!$B:$G,3,0)&amp;","&amp;AI26</f>
        <v>coin,1100</v>
      </c>
      <c r="AR26" s="2" t="str">
        <f>IF(VLOOKUP(AH26,价值!$B:$G,5,0)=0,AQ26,VLOOKUP(AH26,价值!$B:$G,5,0)&amp;","&amp;AI26)</f>
        <v>coin,1100</v>
      </c>
      <c r="AS26" s="2" t="str">
        <f t="shared" si="10"/>
        <v>pack,302,1;pack,302,2;coin,1100</v>
      </c>
      <c r="AT26" s="2" t="str">
        <f t="shared" si="11"/>
        <v>pack,302,1;coin,750#S#pack,302,1;coin,800#S#pack,302,1;coin,850#S#pack,302,1;pack,302,1;coin,900#S#pack,302,1;pack,302,1;coin,950#S#pack,302,1;pack,302,1;coin,1000#S#pack,302,1;pack,302,2;coin,1100</v>
      </c>
    </row>
    <row r="27" spans="1:46" x14ac:dyDescent="0.15">
      <c r="Y27" s="5" t="s">
        <v>93</v>
      </c>
      <c r="AA27" s="4">
        <v>8</v>
      </c>
      <c r="AB27" s="4" t="s">
        <v>75</v>
      </c>
      <c r="AC27" s="4">
        <v>1</v>
      </c>
      <c r="AD27" s="4">
        <f>VLOOKUP(AB27,价值!$B:$G,6,0)*AC27</f>
        <v>15</v>
      </c>
      <c r="AE27" s="4" t="s">
        <v>75</v>
      </c>
      <c r="AF27" s="4">
        <v>2</v>
      </c>
      <c r="AG27" s="4">
        <f t="shared" si="8"/>
        <v>6</v>
      </c>
      <c r="AH27" s="4" t="s">
        <v>70</v>
      </c>
      <c r="AI27" s="4">
        <v>1200</v>
      </c>
      <c r="AJ27" s="4">
        <f>VLOOKUP(AH27,价值!$B:$G,6,0)*AI27</f>
        <v>24</v>
      </c>
      <c r="AK27" s="4">
        <f t="shared" si="9"/>
        <v>45</v>
      </c>
      <c r="AL27" s="5"/>
      <c r="AM27" s="2" t="str">
        <f>VLOOKUP(AB27,价值!$B:$G,3,0)&amp;","&amp;AC27</f>
        <v>pack,302,1</v>
      </c>
      <c r="AN27" s="2" t="str">
        <f>IF(VLOOKUP(AB27,价值!$B:$G,5,0)=0,AM27,VLOOKUP(AB27,价值!$B:$G,5,0)&amp;","&amp;AC27)</f>
        <v>item,102,1</v>
      </c>
      <c r="AO27" s="2" t="str">
        <f>IF(AF27=0,"",VLOOKUP(AE27,价值!$B:$G,3,0)&amp;","&amp;AF27)</f>
        <v>pack,302,2</v>
      </c>
      <c r="AP27" s="2" t="str">
        <f>IF(AF27=0,"",IF(VLOOKUP(AE27,价值!$B:$G,5,0)=0,AO27,VLOOKUP(AE27,价值!$B:$G,5,0)&amp;","&amp;AF27))</f>
        <v>item,102,2</v>
      </c>
      <c r="AQ27" s="2" t="str">
        <f>VLOOKUP(AH27,价值!$B:$G,3,0)&amp;","&amp;AI27</f>
        <v>coin,1200</v>
      </c>
      <c r="AR27" s="2" t="str">
        <f>IF(VLOOKUP(AH27,价值!$B:$G,5,0)=0,AQ27,VLOOKUP(AH27,价值!$B:$G,5,0)&amp;","&amp;AI27)</f>
        <v>coin,1200</v>
      </c>
      <c r="AS27" s="2" t="str">
        <f t="shared" si="10"/>
        <v>pack,302,1;pack,302,2;coin,1200</v>
      </c>
      <c r="AT27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</v>
      </c>
    </row>
    <row r="28" spans="1:46" x14ac:dyDescent="0.15">
      <c r="AA28" s="4">
        <v>9</v>
      </c>
      <c r="AB28" s="1" t="s">
        <v>69</v>
      </c>
      <c r="AC28" s="4">
        <v>1</v>
      </c>
      <c r="AD28" s="4">
        <f>VLOOKUP(AB28,价值!$B:$G,6,0)*AC28</f>
        <v>50</v>
      </c>
      <c r="AE28" s="4" t="s">
        <v>75</v>
      </c>
      <c r="AF28" s="4">
        <v>2</v>
      </c>
      <c r="AG28" s="4">
        <f t="shared" si="8"/>
        <v>6</v>
      </c>
      <c r="AH28" s="4" t="s">
        <v>70</v>
      </c>
      <c r="AI28" s="4">
        <v>1300</v>
      </c>
      <c r="AJ28" s="4">
        <f>VLOOKUP(AH28,价值!$B:$G,6,0)*AI28</f>
        <v>26</v>
      </c>
      <c r="AK28" s="4">
        <f t="shared" si="9"/>
        <v>82</v>
      </c>
      <c r="AL28" s="5"/>
      <c r="AM28" s="2" t="str">
        <f>VLOOKUP(AB28,价值!$B:$G,3,0)&amp;","&amp;AC28</f>
        <v>pack,303,1</v>
      </c>
      <c r="AN28" s="2" t="str">
        <f>IF(VLOOKUP(AB28,价值!$B:$G,5,0)=0,AM28,VLOOKUP(AB28,价值!$B:$G,5,0)&amp;","&amp;AC28)</f>
        <v>item,103,1</v>
      </c>
      <c r="AO28" s="2" t="str">
        <f>IF(AF28=0,"",VLOOKUP(AE28,价值!$B:$G,3,0)&amp;","&amp;AF28)</f>
        <v>pack,302,2</v>
      </c>
      <c r="AP28" s="2" t="str">
        <f>IF(AF28=0,"",IF(VLOOKUP(AE28,价值!$B:$G,5,0)=0,AO28,VLOOKUP(AE28,价值!$B:$G,5,0)&amp;","&amp;AF28))</f>
        <v>item,102,2</v>
      </c>
      <c r="AQ28" s="2" t="str">
        <f>VLOOKUP(AH28,价值!$B:$G,3,0)&amp;","&amp;AI28</f>
        <v>coin,1300</v>
      </c>
      <c r="AR28" s="2" t="str">
        <f>IF(VLOOKUP(AH28,价值!$B:$G,5,0)=0,AQ28,VLOOKUP(AH28,价值!$B:$G,5,0)&amp;","&amp;AI28)</f>
        <v>coin,1300</v>
      </c>
      <c r="AS28" s="2" t="str">
        <f t="shared" si="10"/>
        <v>pack,303,1;pack,302,2;coin,1300</v>
      </c>
      <c r="AT28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</v>
      </c>
    </row>
    <row r="29" spans="1:46" x14ac:dyDescent="0.15">
      <c r="AA29" s="4">
        <v>10</v>
      </c>
      <c r="AB29" s="1" t="s">
        <v>69</v>
      </c>
      <c r="AC29" s="4">
        <v>1</v>
      </c>
      <c r="AD29" s="4">
        <f>VLOOKUP(AB29,价值!$B:$G,6,0)*AC29</f>
        <v>50</v>
      </c>
      <c r="AE29" s="4" t="s">
        <v>75</v>
      </c>
      <c r="AF29" s="4">
        <v>3</v>
      </c>
      <c r="AG29" s="4">
        <f t="shared" si="8"/>
        <v>9</v>
      </c>
      <c r="AH29" s="4" t="s">
        <v>70</v>
      </c>
      <c r="AI29" s="4">
        <v>1400</v>
      </c>
      <c r="AJ29" s="4">
        <f>VLOOKUP(AH29,价值!$B:$G,6,0)*AI29</f>
        <v>28</v>
      </c>
      <c r="AK29" s="4">
        <f t="shared" si="9"/>
        <v>87</v>
      </c>
      <c r="AL29" s="5"/>
      <c r="AM29" s="2" t="str">
        <f>VLOOKUP(AB29,价值!$B:$G,3,0)&amp;","&amp;AC29</f>
        <v>pack,303,1</v>
      </c>
      <c r="AN29" s="2" t="str">
        <f>IF(VLOOKUP(AB29,价值!$B:$G,5,0)=0,AM29,VLOOKUP(AB29,价值!$B:$G,5,0)&amp;","&amp;AC29)</f>
        <v>item,103,1</v>
      </c>
      <c r="AO29" s="2" t="str">
        <f>IF(AF29=0,"",VLOOKUP(AE29,价值!$B:$G,3,0)&amp;","&amp;AF29)</f>
        <v>pack,302,3</v>
      </c>
      <c r="AP29" s="2" t="str">
        <f>IF(AF29=0,"",IF(VLOOKUP(AE29,价值!$B:$G,5,0)=0,AO29,VLOOKUP(AE29,价值!$B:$G,5,0)&amp;","&amp;AF29))</f>
        <v>item,102,3</v>
      </c>
      <c r="AQ29" s="2" t="str">
        <f>VLOOKUP(AH29,价值!$B:$G,3,0)&amp;","&amp;AI29</f>
        <v>coin,1400</v>
      </c>
      <c r="AR29" s="2" t="str">
        <f>IF(VLOOKUP(AH29,价值!$B:$G,5,0)=0,AQ29,VLOOKUP(AH29,价值!$B:$G,5,0)&amp;","&amp;AI29)</f>
        <v>coin,1400</v>
      </c>
      <c r="AS29" s="2" t="str">
        <f t="shared" si="10"/>
        <v>pack,303,1;pack,302,3;coin,1400</v>
      </c>
      <c r="AT29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</v>
      </c>
    </row>
    <row r="30" spans="1:46" x14ac:dyDescent="0.15">
      <c r="AA30" s="4">
        <v>11</v>
      </c>
      <c r="AB30" s="1" t="s">
        <v>69</v>
      </c>
      <c r="AC30" s="4">
        <v>1</v>
      </c>
      <c r="AD30" s="4">
        <f>VLOOKUP(AB30,价值!$B:$G,6,0)*AC30</f>
        <v>50</v>
      </c>
      <c r="AE30" s="4" t="s">
        <v>75</v>
      </c>
      <c r="AF30" s="4">
        <v>3</v>
      </c>
      <c r="AG30" s="4">
        <f t="shared" si="8"/>
        <v>9</v>
      </c>
      <c r="AH30" s="4" t="s">
        <v>70</v>
      </c>
      <c r="AI30" s="4">
        <v>1500</v>
      </c>
      <c r="AJ30" s="4">
        <f>VLOOKUP(AH30,价值!$B:$G,6,0)*AI30</f>
        <v>30</v>
      </c>
      <c r="AK30" s="4">
        <f t="shared" si="9"/>
        <v>89</v>
      </c>
      <c r="AL30" s="5"/>
      <c r="AM30" s="2" t="str">
        <f>VLOOKUP(AB30,价值!$B:$G,3,0)&amp;","&amp;AC30</f>
        <v>pack,303,1</v>
      </c>
      <c r="AN30" s="2" t="str">
        <f>IF(VLOOKUP(AB30,价值!$B:$G,5,0)=0,AM30,VLOOKUP(AB30,价值!$B:$G,5,0)&amp;","&amp;AC30)</f>
        <v>item,103,1</v>
      </c>
      <c r="AO30" s="2" t="str">
        <f>IF(AF30=0,"",VLOOKUP(AE30,价值!$B:$G,3,0)&amp;","&amp;AF30)</f>
        <v>pack,302,3</v>
      </c>
      <c r="AP30" s="2" t="str">
        <f>IF(AF30=0,"",IF(VLOOKUP(AE30,价值!$B:$G,5,0)=0,AO30,VLOOKUP(AE30,价值!$B:$G,5,0)&amp;","&amp;AF30))</f>
        <v>item,102,3</v>
      </c>
      <c r="AQ30" s="2" t="str">
        <f>VLOOKUP(AH30,价值!$B:$G,3,0)&amp;","&amp;AI30</f>
        <v>coin,1500</v>
      </c>
      <c r="AR30" s="2" t="str">
        <f>IF(VLOOKUP(AH30,价值!$B:$G,5,0)=0,AQ30,VLOOKUP(AH30,价值!$B:$G,5,0)&amp;","&amp;AI30)</f>
        <v>coin,1500</v>
      </c>
      <c r="AS30" s="2" t="str">
        <f t="shared" si="10"/>
        <v>pack,303,1;pack,302,3;coin,1500</v>
      </c>
      <c r="AT30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</v>
      </c>
    </row>
    <row r="31" spans="1:46" x14ac:dyDescent="0.15">
      <c r="AA31" s="4">
        <v>12</v>
      </c>
      <c r="AB31" s="1" t="s">
        <v>69</v>
      </c>
      <c r="AC31" s="4">
        <v>1</v>
      </c>
      <c r="AD31" s="4">
        <f>VLOOKUP(AB31,价值!$B:$G,6,0)*AC31</f>
        <v>50</v>
      </c>
      <c r="AE31" s="4" t="s">
        <v>75</v>
      </c>
      <c r="AF31" s="4">
        <v>4</v>
      </c>
      <c r="AG31" s="4">
        <f t="shared" si="8"/>
        <v>12</v>
      </c>
      <c r="AH31" s="4" t="s">
        <v>70</v>
      </c>
      <c r="AI31" s="4">
        <v>1600</v>
      </c>
      <c r="AJ31" s="4">
        <f>VLOOKUP(AH31,价值!$B:$G,6,0)*AI31</f>
        <v>32</v>
      </c>
      <c r="AK31" s="4">
        <f t="shared" si="9"/>
        <v>94</v>
      </c>
      <c r="AL31" s="5"/>
      <c r="AM31" s="2" t="str">
        <f>VLOOKUP(AB31,价值!$B:$G,3,0)&amp;","&amp;AC31</f>
        <v>pack,303,1</v>
      </c>
      <c r="AN31" s="2" t="str">
        <f>IF(VLOOKUP(AB31,价值!$B:$G,5,0)=0,AM31,VLOOKUP(AB31,价值!$B:$G,5,0)&amp;","&amp;AC31)</f>
        <v>item,103,1</v>
      </c>
      <c r="AO31" s="2" t="str">
        <f>IF(AF31=0,"",VLOOKUP(AE31,价值!$B:$G,3,0)&amp;","&amp;AF31)</f>
        <v>pack,302,4</v>
      </c>
      <c r="AP31" s="2" t="str">
        <f>IF(AF31=0,"",IF(VLOOKUP(AE31,价值!$B:$G,5,0)=0,AO31,VLOOKUP(AE31,价值!$B:$G,5,0)&amp;","&amp;AF31))</f>
        <v>item,102,4</v>
      </c>
      <c r="AQ31" s="2" t="str">
        <f>VLOOKUP(AH31,价值!$B:$G,3,0)&amp;","&amp;AI31</f>
        <v>coin,1600</v>
      </c>
      <c r="AR31" s="2" t="str">
        <f>IF(VLOOKUP(AH31,价值!$B:$G,5,0)=0,AQ31,VLOOKUP(AH31,价值!$B:$G,5,0)&amp;","&amp;AI31)</f>
        <v>coin,1600</v>
      </c>
      <c r="AS31" s="2" t="str">
        <f t="shared" si="10"/>
        <v>pack,303,1;pack,302,4;coin,1600</v>
      </c>
      <c r="AT31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</v>
      </c>
    </row>
    <row r="32" spans="1:46" x14ac:dyDescent="0.15">
      <c r="Y32" s="1" t="s">
        <v>93</v>
      </c>
      <c r="AA32" s="4">
        <v>13</v>
      </c>
      <c r="AB32" s="1" t="s">
        <v>69</v>
      </c>
      <c r="AC32" s="4">
        <v>1</v>
      </c>
      <c r="AD32" s="4">
        <f>VLOOKUP(AB32,价值!$B:$G,6,0)*AC32</f>
        <v>50</v>
      </c>
      <c r="AE32" s="4" t="s">
        <v>75</v>
      </c>
      <c r="AF32" s="4">
        <v>5</v>
      </c>
      <c r="AG32" s="4">
        <f t="shared" si="8"/>
        <v>15</v>
      </c>
      <c r="AH32" s="4" t="s">
        <v>70</v>
      </c>
      <c r="AI32" s="4">
        <v>1750</v>
      </c>
      <c r="AJ32" s="4">
        <f>VLOOKUP(AH32,价值!$B:$G,6,0)*AI32</f>
        <v>35</v>
      </c>
      <c r="AK32" s="4">
        <f t="shared" si="9"/>
        <v>100</v>
      </c>
      <c r="AL32" s="5">
        <f>B8</f>
        <v>100</v>
      </c>
      <c r="AM32" s="2" t="str">
        <f>VLOOKUP(AB32,价值!$B:$G,3,0)&amp;","&amp;AC32</f>
        <v>pack,303,1</v>
      </c>
      <c r="AN32" s="2" t="str">
        <f>IF(VLOOKUP(AB32,价值!$B:$G,5,0)=0,AM32,VLOOKUP(AB32,价值!$B:$G,5,0)&amp;","&amp;AC32)</f>
        <v>item,103,1</v>
      </c>
      <c r="AO32" s="2" t="str">
        <f>IF(AF32=0,"",VLOOKUP(AE32,价值!$B:$G,3,0)&amp;","&amp;AF32)</f>
        <v>pack,302,5</v>
      </c>
      <c r="AP32" s="2" t="str">
        <f>IF(AF32=0,"",IF(VLOOKUP(AE32,价值!$B:$G,5,0)=0,AO32,VLOOKUP(AE32,价值!$B:$G,5,0)&amp;","&amp;AF32))</f>
        <v>item,102,5</v>
      </c>
      <c r="AQ32" s="2" t="str">
        <f>VLOOKUP(AH32,价值!$B:$G,3,0)&amp;","&amp;AI32</f>
        <v>coin,1750</v>
      </c>
      <c r="AR32" s="2" t="str">
        <f>IF(VLOOKUP(AH32,价值!$B:$G,5,0)=0,AQ32,VLOOKUP(AH32,价值!$B:$G,5,0)&amp;","&amp;AI32)</f>
        <v>coin,1750</v>
      </c>
      <c r="AS32" s="2" t="str">
        <f t="shared" si="10"/>
        <v>pack,303,1;pack,302,5;coin,1750</v>
      </c>
      <c r="AT32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#S#pack,303,1;pack,302,5;coin,1750</v>
      </c>
    </row>
    <row r="33" spans="10:36" x14ac:dyDescent="0.15">
      <c r="Y33" s="1" t="s">
        <v>93</v>
      </c>
    </row>
    <row r="34" spans="10:36" x14ac:dyDescent="0.15">
      <c r="Y34" s="1" t="s">
        <v>93</v>
      </c>
    </row>
    <row r="35" spans="10:36" x14ac:dyDescent="0.15">
      <c r="Y35" s="1" t="s">
        <v>93</v>
      </c>
    </row>
    <row r="37" spans="10:36" x14ac:dyDescent="0.15">
      <c r="J37" s="1" t="s">
        <v>57</v>
      </c>
      <c r="K37" s="9" t="s">
        <v>96</v>
      </c>
      <c r="O37" s="1"/>
      <c r="P37" s="1"/>
      <c r="Y37" s="2"/>
      <c r="AE37" s="4"/>
    </row>
    <row r="38" spans="10:36" x14ac:dyDescent="0.15">
      <c r="J38" s="1" t="s">
        <v>24</v>
      </c>
      <c r="K38" s="1" t="s">
        <v>25</v>
      </c>
      <c r="L38" s="2" t="s">
        <v>26</v>
      </c>
      <c r="M38" s="4" t="s">
        <v>27</v>
      </c>
      <c r="N38" s="4" t="s">
        <v>28</v>
      </c>
      <c r="O38" s="2" t="s">
        <v>26</v>
      </c>
      <c r="P38" s="2" t="s">
        <v>27</v>
      </c>
      <c r="Q38" s="2" t="s">
        <v>28</v>
      </c>
      <c r="R38" s="2" t="s">
        <v>26</v>
      </c>
      <c r="S38" s="2" t="s">
        <v>27</v>
      </c>
      <c r="T38" s="2" t="s">
        <v>28</v>
      </c>
      <c r="U38" s="2" t="s">
        <v>26</v>
      </c>
      <c r="V38" s="2" t="s">
        <v>27</v>
      </c>
      <c r="W38" s="2" t="s">
        <v>28</v>
      </c>
      <c r="X38" s="2" t="s">
        <v>40</v>
      </c>
      <c r="Y38" s="2" t="s">
        <v>29</v>
      </c>
      <c r="Z38" s="2" t="s">
        <v>30</v>
      </c>
      <c r="AA38" s="2" t="s">
        <v>29</v>
      </c>
      <c r="AB38" s="2" t="s">
        <v>30</v>
      </c>
      <c r="AC38" s="2" t="s">
        <v>29</v>
      </c>
      <c r="AD38" s="2" t="s">
        <v>30</v>
      </c>
      <c r="AE38" s="2" t="s">
        <v>29</v>
      </c>
      <c r="AF38" s="2" t="s">
        <v>30</v>
      </c>
      <c r="AG38" s="3" t="s">
        <v>92</v>
      </c>
      <c r="AH38" s="3" t="s">
        <v>91</v>
      </c>
      <c r="AI38" s="3" t="s">
        <v>100</v>
      </c>
      <c r="AJ38" s="4" t="s">
        <v>46</v>
      </c>
    </row>
    <row r="39" spans="10:36" x14ac:dyDescent="0.15">
      <c r="J39" s="1">
        <v>0</v>
      </c>
      <c r="K39" s="1">
        <v>100</v>
      </c>
      <c r="L39" s="3" t="s">
        <v>81</v>
      </c>
      <c r="M39" s="1">
        <v>700</v>
      </c>
      <c r="N39" s="4">
        <f>VLOOKUP(L39,价值!$B:$G,6,0)*M39</f>
        <v>700</v>
      </c>
      <c r="O39" s="3" t="s">
        <v>99</v>
      </c>
      <c r="P39" s="2">
        <v>1</v>
      </c>
      <c r="Q39" s="4">
        <f>VLOOKUP(O39,价值!$B:$G,6,0)*P39</f>
        <v>1500</v>
      </c>
      <c r="R39" s="3" t="s">
        <v>78</v>
      </c>
      <c r="S39" s="2">
        <v>5</v>
      </c>
      <c r="T39" s="2">
        <f>VLOOKUP(R39,价值!$B:$G,6,0)*S39</f>
        <v>1250</v>
      </c>
      <c r="U39" s="2" t="s">
        <v>67</v>
      </c>
      <c r="V39" s="2">
        <v>3</v>
      </c>
      <c r="W39" s="2">
        <f>VLOOKUP(U39,价值!$B:$G,6,0)*V39</f>
        <v>1800</v>
      </c>
      <c r="X39" s="12">
        <f>T39+W39+N39+Q39</f>
        <v>5250</v>
      </c>
      <c r="Y39" s="2" t="str">
        <f>IF(L39="","",VLOOKUP(L39,价值!$B:$G,3,0)&amp;","&amp;M39)</f>
        <v>cash,700</v>
      </c>
      <c r="Z39" s="2" t="str">
        <f>IF(L39="","",IF(VLOOKUP(L39,价值!$B:$G,5,0)=0,Y39,VLOOKUP(L39,价值!$B:$G,5,0)&amp;","&amp;M39))</f>
        <v>cash,700</v>
      </c>
      <c r="AA39" s="2" t="str">
        <f>IF(O39="","",VLOOKUP(O39,价值!$B:$G,3,0)&amp;","&amp;P39)</f>
        <v>prop,705,1</v>
      </c>
      <c r="AB39" s="2" t="str">
        <f>IF(O39="","",IF(VLOOKUP(O39,价值!$B:$G,5,0)=0,AA39,VLOOKUP(O39,价值!$B:$G,5,0)&amp;","&amp;P39))</f>
        <v>prop,705,1</v>
      </c>
      <c r="AC39" s="2" t="str">
        <f>IF(R39="","",VLOOKUP(R39,价值!$B:$G,3,0)&amp;","&amp;S39)</f>
        <v>prop,702,5</v>
      </c>
      <c r="AD39" s="2" t="str">
        <f>IF(R39="","",IF(VLOOKUP(R39,价值!$B:$G,5,0)=0,AC39,VLOOKUP(R39,价值!$B:$G,5,0)&amp;","&amp;S39))</f>
        <v>prop,702,5</v>
      </c>
      <c r="AE39" s="2" t="str">
        <f>IF(U39="","",VLOOKUP(U39,价值!$B:$G,3,0)&amp;","&amp;V39)</f>
        <v>pack,304,3</v>
      </c>
      <c r="AF39" s="2" t="str">
        <f>IF(U39="","",IF(VLOOKUP(U39,价值!$B:$G,5,0)=0,AE39,VLOOKUP(U39,价值!$B:$G,5,0)&amp;","&amp;V39))</f>
        <v>item,104,3</v>
      </c>
      <c r="AG39" s="2" t="str">
        <f>Y39&amp;IF(AI39="","",";"&amp;AI39)&amp;IF(AA39="","",";"&amp;AA39)&amp;IF(AC39="","",";"&amp;AC39)&amp;IF(AE39="","",";"&amp;AE39)</f>
        <v>cash,700;frame,21;prop,705,1;prop,702,5;pack,304,3</v>
      </c>
      <c r="AH39" s="2" t="str">
        <f>Z39&amp;IF(AI39="","",";"&amp;AI39)&amp;IF(AB39="","",";"&amp;AB39)&amp;IF(AD39="","",";"&amp;AD39)&amp;IF(AF39="","",";"&amp;AF39)</f>
        <v>cash,700;frame,21;prop,705,1;prop,702,5;item,104,3</v>
      </c>
      <c r="AI39" s="3" t="s">
        <v>101</v>
      </c>
      <c r="AJ39" s="5">
        <f>B5</f>
        <v>5400</v>
      </c>
    </row>
    <row r="40" spans="10:36" x14ac:dyDescent="0.15">
      <c r="J40" s="1">
        <f>K39</f>
        <v>100</v>
      </c>
      <c r="K40" s="1">
        <v>500</v>
      </c>
      <c r="L40" s="3" t="s">
        <v>81</v>
      </c>
      <c r="M40" s="1">
        <v>500</v>
      </c>
      <c r="N40" s="4">
        <f>VLOOKUP(L40,价值!$B:$G,6,0)*M40</f>
        <v>500</v>
      </c>
      <c r="R40" s="3" t="s">
        <v>78</v>
      </c>
      <c r="S40" s="2">
        <v>5</v>
      </c>
      <c r="T40" s="2">
        <f>VLOOKUP(R40,价值!$B:$G,6,0)*S40</f>
        <v>1250</v>
      </c>
      <c r="U40" s="2" t="s">
        <v>67</v>
      </c>
      <c r="V40" s="2">
        <v>2</v>
      </c>
      <c r="W40" s="2">
        <f>VLOOKUP(U40,价值!$B:$G,6,0)*V40</f>
        <v>1200</v>
      </c>
      <c r="X40" s="12">
        <f>T40+W40+N40+Q40</f>
        <v>2950</v>
      </c>
      <c r="Y40" s="2" t="str">
        <f>IF(L40="","",VLOOKUP(L40,价值!$B:$G,3,0)&amp;","&amp;M40)</f>
        <v>cash,500</v>
      </c>
      <c r="Z40" s="2" t="str">
        <f>IF(L40="","",IF(VLOOKUP(L40,价值!$B:$G,5,0)=0,Y40,VLOOKUP(L40,价值!$B:$G,5,0)&amp;","&amp;M40))</f>
        <v>cash,500</v>
      </c>
      <c r="AA40" s="2" t="str">
        <f>IF(O40="","",VLOOKUP(O40,价值!$B:$G,3,0)&amp;","&amp;P40)</f>
        <v/>
      </c>
      <c r="AB40" s="2" t="str">
        <f>IF(O40="","",IF(VLOOKUP(O40,价值!$B:$G,5,0)=0,AA40,VLOOKUP(O40,价值!$B:$G,5,0)&amp;","&amp;P40))</f>
        <v/>
      </c>
      <c r="AC40" s="2" t="str">
        <f>IF(R40="","",VLOOKUP(R40,价值!$B:$G,3,0)&amp;","&amp;S40)</f>
        <v>prop,702,5</v>
      </c>
      <c r="AD40" s="2" t="str">
        <f>IF(R40="","",IF(VLOOKUP(R40,价值!$B:$G,5,0)=0,AC40,VLOOKUP(R40,价值!$B:$G,5,0)&amp;","&amp;S40))</f>
        <v>prop,702,5</v>
      </c>
      <c r="AE40" s="2" t="str">
        <f>IF(U40="","",VLOOKUP(U40,价值!$B:$G,3,0)&amp;","&amp;V40)</f>
        <v>pack,304,2</v>
      </c>
      <c r="AF40" s="2" t="str">
        <f>IF(U40="","",IF(VLOOKUP(U40,价值!$B:$G,5,0)=0,AE40,VLOOKUP(U40,价值!$B:$G,5,0)&amp;","&amp;V40))</f>
        <v>item,104,2</v>
      </c>
      <c r="AG40" s="2" t="str">
        <f t="shared" ref="AG40:AG44" si="12">Y40&amp;IF(AI40="","",";"&amp;AI40)&amp;IF(AA40="","",";"&amp;AA40)&amp;IF(AC40="","",";"&amp;AC40)&amp;IF(AE40="","",";"&amp;AE40)</f>
        <v>cash,500;frame,21;prop,702,5;pack,304,2</v>
      </c>
      <c r="AH40" s="2" t="str">
        <f t="shared" ref="AH40:AH44" si="13">Z40&amp;IF(AI40="","",";"&amp;AI40)&amp;IF(AB40="","",";"&amp;AB40)&amp;IF(AD40="","",";"&amp;AD40)&amp;IF(AF40="","",";"&amp;AF40)</f>
        <v>cash,500;frame,21;prop,702,5;item,104,2</v>
      </c>
      <c r="AI40" s="3" t="s">
        <v>101</v>
      </c>
      <c r="AJ40" s="5" t="s">
        <v>93</v>
      </c>
    </row>
    <row r="41" spans="10:36" x14ac:dyDescent="0.15">
      <c r="J41" s="1">
        <f t="shared" ref="J41:J44" si="14">K40</f>
        <v>500</v>
      </c>
      <c r="K41" s="1">
        <v>1000</v>
      </c>
      <c r="L41" s="3" t="s">
        <v>81</v>
      </c>
      <c r="M41" s="1">
        <v>300</v>
      </c>
      <c r="N41" s="4">
        <f>VLOOKUP(L41,价值!$B:$G,6,0)*M41</f>
        <v>300</v>
      </c>
      <c r="R41" s="3" t="s">
        <v>78</v>
      </c>
      <c r="S41" s="2">
        <v>5</v>
      </c>
      <c r="T41" s="2">
        <f>VLOOKUP(R41,价值!$B:$G,6,0)*S41</f>
        <v>1250</v>
      </c>
      <c r="U41" s="2" t="s">
        <v>67</v>
      </c>
      <c r="V41" s="2">
        <v>1</v>
      </c>
      <c r="W41" s="2">
        <f>VLOOKUP(U41,价值!$B:$G,6,0)*V41</f>
        <v>600</v>
      </c>
      <c r="X41" s="12">
        <f>T41+W41+N41+Q41</f>
        <v>2150</v>
      </c>
      <c r="Y41" s="2" t="str">
        <f>IF(L41="","",VLOOKUP(L41,价值!$B:$G,3,0)&amp;","&amp;M41)</f>
        <v>cash,300</v>
      </c>
      <c r="Z41" s="2" t="str">
        <f>IF(L41="","",IF(VLOOKUP(L41,价值!$B:$G,5,0)=0,Y41,VLOOKUP(L41,价值!$B:$G,5,0)&amp;","&amp;M41))</f>
        <v>cash,300</v>
      </c>
      <c r="AA41" s="2" t="str">
        <f>IF(O41="","",VLOOKUP(O41,价值!$B:$G,3,0)&amp;","&amp;P41)</f>
        <v/>
      </c>
      <c r="AB41" s="2" t="str">
        <f>IF(O41="","",IF(VLOOKUP(O41,价值!$B:$G,5,0)=0,AA41,VLOOKUP(O41,价值!$B:$G,5,0)&amp;","&amp;P41))</f>
        <v/>
      </c>
      <c r="AC41" s="2" t="str">
        <f>IF(R41="","",VLOOKUP(R41,价值!$B:$G,3,0)&amp;","&amp;S41)</f>
        <v>prop,702,5</v>
      </c>
      <c r="AD41" s="2" t="str">
        <f>IF(R41="","",IF(VLOOKUP(R41,价值!$B:$G,5,0)=0,AC41,VLOOKUP(R41,价值!$B:$G,5,0)&amp;","&amp;S41))</f>
        <v>prop,702,5</v>
      </c>
      <c r="AE41" s="2" t="str">
        <f>IF(U41="","",VLOOKUP(U41,价值!$B:$G,3,0)&amp;","&amp;V41)</f>
        <v>pack,304,1</v>
      </c>
      <c r="AF41" s="2" t="str">
        <f>IF(U41="","",IF(VLOOKUP(U41,价值!$B:$G,5,0)=0,AE41,VLOOKUP(U41,价值!$B:$G,5,0)&amp;","&amp;V41))</f>
        <v>item,104,1</v>
      </c>
      <c r="AG41" s="2" t="str">
        <f t="shared" si="12"/>
        <v>cash,300;frame,21;prop,702,5;pack,304,1</v>
      </c>
      <c r="AH41" s="2" t="str">
        <f t="shared" si="13"/>
        <v>cash,300;frame,21;prop,702,5;item,104,1</v>
      </c>
      <c r="AI41" s="3" t="s">
        <v>101</v>
      </c>
      <c r="AJ41" s="5">
        <f>C5</f>
        <v>3200</v>
      </c>
    </row>
    <row r="42" spans="10:36" x14ac:dyDescent="0.15">
      <c r="J42" s="1">
        <f t="shared" si="14"/>
        <v>1000</v>
      </c>
      <c r="K42" s="1">
        <v>2000</v>
      </c>
      <c r="L42" s="3" t="s">
        <v>81</v>
      </c>
      <c r="M42" s="1">
        <v>200</v>
      </c>
      <c r="N42" s="4">
        <f>VLOOKUP(L42,价值!$B:$G,6,0)*M42</f>
        <v>200</v>
      </c>
      <c r="R42" s="3" t="s">
        <v>78</v>
      </c>
      <c r="S42" s="2">
        <v>3</v>
      </c>
      <c r="T42" s="2">
        <f>VLOOKUP(R42,价值!$B:$G,6,0)*S42</f>
        <v>750</v>
      </c>
      <c r="U42" s="2" t="s">
        <v>67</v>
      </c>
      <c r="V42" s="2">
        <v>1</v>
      </c>
      <c r="W42" s="2">
        <f>VLOOKUP(U42,价值!$B:$G,6,0)*V42</f>
        <v>600</v>
      </c>
      <c r="X42" s="12">
        <f>T42+W42+N42+Q42</f>
        <v>1550</v>
      </c>
      <c r="Y42" s="2" t="str">
        <f>IF(L42="","",VLOOKUP(L42,价值!$B:$G,3,0)&amp;","&amp;M42)</f>
        <v>cash,200</v>
      </c>
      <c r="Z42" s="2" t="str">
        <f>IF(L42="","",IF(VLOOKUP(L42,价值!$B:$G,5,0)=0,Y42,VLOOKUP(L42,价值!$B:$G,5,0)&amp;","&amp;M42))</f>
        <v>cash,200</v>
      </c>
      <c r="AA42" s="2" t="str">
        <f>IF(O42="","",VLOOKUP(O42,价值!$B:$G,3,0)&amp;","&amp;P42)</f>
        <v/>
      </c>
      <c r="AB42" s="2" t="str">
        <f>IF(O42="","",IF(VLOOKUP(O42,价值!$B:$G,5,0)=0,AA42,VLOOKUP(O42,价值!$B:$G,5,0)&amp;","&amp;P42))</f>
        <v/>
      </c>
      <c r="AC42" s="2" t="str">
        <f>IF(R42="","",VLOOKUP(R42,价值!$B:$G,3,0)&amp;","&amp;S42)</f>
        <v>prop,702,3</v>
      </c>
      <c r="AD42" s="2" t="str">
        <f>IF(R42="","",IF(VLOOKUP(R42,价值!$B:$G,5,0)=0,AC42,VLOOKUP(R42,价值!$B:$G,5,0)&amp;","&amp;S42))</f>
        <v>prop,702,3</v>
      </c>
      <c r="AE42" s="2" t="str">
        <f>IF(U42="","",VLOOKUP(U42,价值!$B:$G,3,0)&amp;","&amp;V42)</f>
        <v>pack,304,1</v>
      </c>
      <c r="AF42" s="2" t="str">
        <f>IF(U42="","",IF(VLOOKUP(U42,价值!$B:$G,5,0)=0,AE42,VLOOKUP(U42,价值!$B:$G,5,0)&amp;","&amp;V42))</f>
        <v>item,104,1</v>
      </c>
      <c r="AG42" s="2" t="str">
        <f t="shared" si="12"/>
        <v>cash,200;frame,21;prop,702,3;pack,304,1</v>
      </c>
      <c r="AH42" s="2" t="str">
        <f t="shared" si="13"/>
        <v>cash,200;frame,21;prop,702,3;item,104,1</v>
      </c>
      <c r="AI42" s="3" t="s">
        <v>101</v>
      </c>
      <c r="AJ42" s="5" t="s">
        <v>93</v>
      </c>
    </row>
    <row r="43" spans="10:36" x14ac:dyDescent="0.15">
      <c r="J43" s="1">
        <f t="shared" si="14"/>
        <v>2000</v>
      </c>
      <c r="K43" s="1">
        <v>5000</v>
      </c>
      <c r="L43" s="3" t="s">
        <v>81</v>
      </c>
      <c r="M43" s="1">
        <v>100</v>
      </c>
      <c r="N43" s="4">
        <f>VLOOKUP(L43,价值!$B:$G,6,0)*M43</f>
        <v>100</v>
      </c>
      <c r="R43" s="2" t="s">
        <v>66</v>
      </c>
      <c r="S43" s="2">
        <v>2</v>
      </c>
      <c r="T43" s="2">
        <f>VLOOKUP(R43,价值!$B:$G,6,0)*S43</f>
        <v>500</v>
      </c>
      <c r="U43" s="3"/>
      <c r="X43" s="12">
        <f>T43+W43+N43+Q43</f>
        <v>600</v>
      </c>
      <c r="Y43" s="2" t="str">
        <f>IF(L43="","",VLOOKUP(L43,价值!$B:$G,3,0)&amp;","&amp;M43)</f>
        <v>cash,100</v>
      </c>
      <c r="Z43" s="2" t="str">
        <f>IF(L43="","",IF(VLOOKUP(L43,价值!$B:$G,5,0)=0,Y43,VLOOKUP(L43,价值!$B:$G,5,0)&amp;","&amp;M43))</f>
        <v>cash,100</v>
      </c>
      <c r="AA43" s="2" t="str">
        <f>IF(O43="","",VLOOKUP(O43,价值!$B:$G,3,0)&amp;","&amp;P43)</f>
        <v/>
      </c>
      <c r="AB43" s="2" t="str">
        <f>IF(O43="","",IF(VLOOKUP(O43,价值!$B:$G,5,0)=0,AA43,VLOOKUP(O43,价值!$B:$G,5,0)&amp;","&amp;P43))</f>
        <v/>
      </c>
      <c r="AC43" s="2" t="str">
        <f>IF(R43="","",VLOOKUP(R43,价值!$B:$G,3,0)&amp;","&amp;S43)</f>
        <v>prop,702,2</v>
      </c>
      <c r="AD43" s="2" t="str">
        <f>IF(R43="","",IF(VLOOKUP(R43,价值!$B:$G,5,0)=0,AC43,VLOOKUP(R43,价值!$B:$G,5,0)&amp;","&amp;S43))</f>
        <v>prop,702,2</v>
      </c>
      <c r="AE43" s="2" t="str">
        <f>IF(U43="","",VLOOKUP(U43,价值!$B:$G,3,0)&amp;","&amp;V43)</f>
        <v/>
      </c>
      <c r="AF43" s="2" t="str">
        <f>IF(U43="","",IF(VLOOKUP(U43,价值!$B:$G,5,0)=0,AE43,VLOOKUP(U43,价值!$B:$G,5,0)&amp;","&amp;V43))</f>
        <v/>
      </c>
      <c r="AG43" s="2" t="str">
        <f t="shared" si="12"/>
        <v>cash,100;frame,21;prop,702,2</v>
      </c>
      <c r="AH43" s="2" t="str">
        <f t="shared" si="13"/>
        <v>cash,100;frame,21;prop,702,2</v>
      </c>
      <c r="AI43" s="3" t="s">
        <v>101</v>
      </c>
      <c r="AJ43" s="5" t="s">
        <v>93</v>
      </c>
    </row>
    <row r="44" spans="10:36" x14ac:dyDescent="0.15">
      <c r="J44" s="1">
        <f t="shared" si="14"/>
        <v>5000</v>
      </c>
      <c r="K44" s="1">
        <v>10000</v>
      </c>
      <c r="L44" s="3" t="s">
        <v>81</v>
      </c>
      <c r="M44" s="1">
        <v>50</v>
      </c>
      <c r="N44" s="4">
        <f>VLOOKUP(L44,价值!$B:$G,6,0)*M44</f>
        <v>50</v>
      </c>
      <c r="R44" s="2" t="s">
        <v>66</v>
      </c>
      <c r="S44" s="2">
        <v>1</v>
      </c>
      <c r="T44" s="2">
        <f>VLOOKUP(R44,价值!$B:$G,6,0)*S44</f>
        <v>250</v>
      </c>
      <c r="U44" s="3"/>
      <c r="X44" s="12">
        <f>T44+W44+N44+Q44</f>
        <v>300</v>
      </c>
      <c r="Y44" s="2" t="str">
        <f>IF(L44="","",VLOOKUP(L44,价值!$B:$G,3,0)&amp;","&amp;M44)</f>
        <v>cash,50</v>
      </c>
      <c r="Z44" s="2" t="str">
        <f>IF(L44="","",IF(VLOOKUP(L44,价值!$B:$G,5,0)=0,Y44,VLOOKUP(L44,价值!$B:$G,5,0)&amp;","&amp;M44))</f>
        <v>cash,50</v>
      </c>
      <c r="AA44" s="2" t="str">
        <f>IF(O44="","",VLOOKUP(O44,价值!$B:$G,3,0)&amp;","&amp;P44)</f>
        <v/>
      </c>
      <c r="AB44" s="2" t="str">
        <f>IF(O44="","",IF(VLOOKUP(O44,价值!$B:$G,5,0)=0,AA44,VLOOKUP(O44,价值!$B:$G,5,0)&amp;","&amp;P44))</f>
        <v/>
      </c>
      <c r="AC44" s="2" t="str">
        <f>IF(R44="","",VLOOKUP(R44,价值!$B:$G,3,0)&amp;","&amp;S44)</f>
        <v>prop,702,1</v>
      </c>
      <c r="AD44" s="2" t="str">
        <f>IF(R44="","",IF(VLOOKUP(R44,价值!$B:$G,5,0)=0,AC44,VLOOKUP(R44,价值!$B:$G,5,0)&amp;","&amp;S44))</f>
        <v>prop,702,1</v>
      </c>
      <c r="AE44" s="2" t="str">
        <f>IF(U44="","",VLOOKUP(U44,价值!$B:$G,3,0)&amp;","&amp;V44)</f>
        <v/>
      </c>
      <c r="AF44" s="2" t="str">
        <f>IF(U44="","",IF(VLOOKUP(U44,价值!$B:$G,5,0)=0,AE44,VLOOKUP(U44,价值!$B:$G,5,0)&amp;","&amp;V44))</f>
        <v/>
      </c>
      <c r="AG44" s="2" t="str">
        <f t="shared" si="12"/>
        <v>cash,50;prop,702,1</v>
      </c>
      <c r="AH44" s="2" t="str">
        <f t="shared" si="13"/>
        <v>cash,50;prop,702,1</v>
      </c>
      <c r="AJ44" s="5">
        <f>D5</f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140" zoomScaleNormal="140" zoomScalePageLayoutView="140" workbookViewId="0">
      <selection activeCell="E33" sqref="E33"/>
    </sheetView>
  </sheetViews>
  <sheetFormatPr baseColWidth="10" defaultColWidth="8.83203125" defaultRowHeight="13" x14ac:dyDescent="0.15"/>
  <cols>
    <col min="1" max="1" width="17.33203125" style="3" bestFit="1" customWidth="1"/>
    <col min="2" max="10" width="8.83203125" style="3"/>
    <col min="11" max="11" width="14.33203125" style="3" bestFit="1" customWidth="1"/>
    <col min="12" max="16" width="8.83203125" style="3"/>
    <col min="17" max="17" width="14.33203125" style="3" bestFit="1" customWidth="1"/>
    <col min="18" max="16384" width="8.83203125" style="3"/>
  </cols>
  <sheetData>
    <row r="1" spans="1:24" x14ac:dyDescent="0.15">
      <c r="A1" s="3" t="s">
        <v>4</v>
      </c>
      <c r="D1" s="3" t="s">
        <v>5</v>
      </c>
      <c r="H1" s="3" t="s">
        <v>6</v>
      </c>
      <c r="J1" s="3" t="s">
        <v>20</v>
      </c>
      <c r="N1" s="3" t="s">
        <v>7</v>
      </c>
      <c r="P1" s="3" t="s">
        <v>21</v>
      </c>
      <c r="T1" s="3" t="s">
        <v>13</v>
      </c>
      <c r="V1" s="3" t="s">
        <v>22</v>
      </c>
    </row>
    <row r="2" spans="1:24" x14ac:dyDescent="0.15"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T2" s="3" t="s">
        <v>8</v>
      </c>
      <c r="U2" s="3" t="s">
        <v>14</v>
      </c>
      <c r="V2" s="3" t="s">
        <v>15</v>
      </c>
      <c r="W2" s="3" t="s">
        <v>11</v>
      </c>
      <c r="X2" s="3" t="s">
        <v>12</v>
      </c>
    </row>
    <row r="3" spans="1:24" x14ac:dyDescent="0.15">
      <c r="A3" s="3" t="s">
        <v>16</v>
      </c>
    </row>
    <row r="4" spans="1:24" x14ac:dyDescent="0.15">
      <c r="A4" s="3" t="s">
        <v>17</v>
      </c>
    </row>
    <row r="5" spans="1:24" x14ac:dyDescent="0.15">
      <c r="A5" s="3" t="s">
        <v>18</v>
      </c>
    </row>
    <row r="6" spans="1:24" x14ac:dyDescent="0.15">
      <c r="A6" s="3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B37" sqref="B37"/>
    </sheetView>
  </sheetViews>
  <sheetFormatPr baseColWidth="10" defaultColWidth="8.83203125" defaultRowHeight="15" x14ac:dyDescent="0.2"/>
  <cols>
    <col min="2" max="2" width="23.5" bestFit="1" customWidth="1"/>
    <col min="3" max="3" width="61.6640625" customWidth="1"/>
    <col min="4" max="4" width="16.664062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G7">
        <f>[1]物品定价!G7</f>
        <v>0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 t="str">
        <f>[1]物品定价!B246</f>
        <v>战栗的龙卷普通技能卡</v>
      </c>
      <c r="C246">
        <f>[1]物品定价!C246</f>
        <v>0</v>
      </c>
      <c r="D246" t="str">
        <f>[1]物品定价!D246</f>
        <v>skill,1</v>
      </c>
      <c r="E246">
        <f>[1]物品定价!E246</f>
        <v>500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 t="str">
        <f>[1]物品定价!B247</f>
        <v>战栗的龙卷主动技能卡-1</v>
      </c>
      <c r="C247">
        <f>[1]物品定价!C247</f>
        <v>0</v>
      </c>
      <c r="D247" t="str">
        <f>[1]物品定价!D247</f>
        <v>skill,2</v>
      </c>
      <c r="E247">
        <f>[1]物品定价!E247</f>
        <v>1000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 t="str">
        <f>[1]物品定价!B248</f>
        <v>战栗的龙卷主动技能卡-2</v>
      </c>
      <c r="C248">
        <f>[1]物品定价!C248</f>
        <v>0</v>
      </c>
      <c r="D248" t="str">
        <f>[1]物品定价!D248</f>
        <v>skill,3</v>
      </c>
      <c r="E248">
        <f>[1]物品定价!E248</f>
        <v>1000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 t="str">
        <f>[1]物品定价!B249</f>
        <v>战栗的龙卷特质1技能卡</v>
      </c>
      <c r="C249">
        <f>[1]物品定价!C249</f>
        <v>0</v>
      </c>
      <c r="D249" t="str">
        <f>[1]物品定价!D249</f>
        <v>skill,4</v>
      </c>
      <c r="E249">
        <f>[1]物品定价!E249</f>
        <v>500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 t="str">
        <f>[1]物品定价!B250</f>
        <v>战栗的龙卷特质2技能卡</v>
      </c>
      <c r="C250">
        <f>[1]物品定价!C250</f>
        <v>0</v>
      </c>
      <c r="D250" t="str">
        <f>[1]物品定价!D250</f>
        <v>skill,5</v>
      </c>
      <c r="E250">
        <f>[1]物品定价!E250</f>
        <v>500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 t="str">
        <f>[1]物品定价!B251</f>
        <v>战栗的龙卷特质3技能卡-1</v>
      </c>
      <c r="C251">
        <f>[1]物品定价!C251</f>
        <v>0</v>
      </c>
      <c r="D251" t="str">
        <f>[1]物品定价!D251</f>
        <v>skill,6</v>
      </c>
      <c r="E251">
        <f>[1]物品定价!E251</f>
        <v>500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 t="str">
        <f>[1]物品定价!B252</f>
        <v>战栗的龙卷特质3技能卡-2</v>
      </c>
      <c r="C252">
        <f>[1]物品定价!C252</f>
        <v>0</v>
      </c>
      <c r="D252" t="str">
        <f>[1]物品定价!D252</f>
        <v>skill,7</v>
      </c>
      <c r="E252">
        <f>[1]物品定价!E252</f>
        <v>500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 t="str">
        <f>[1]物品定价!B253</f>
        <v>战栗的龙卷特质4技能卡</v>
      </c>
      <c r="C253">
        <f>[1]物品定价!C253</f>
        <v>0</v>
      </c>
      <c r="D253" t="str">
        <f>[1]物品定价!D253</f>
        <v>skill,8</v>
      </c>
      <c r="E253">
        <f>[1]物品定价!E253</f>
        <v>500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 t="str">
        <f>[1]物品定价!B254</f>
        <v>地狱的吹雪普通技能卡</v>
      </c>
      <c r="C254">
        <f>[1]物品定价!C254</f>
        <v>0</v>
      </c>
      <c r="D254" t="str">
        <f>[1]物品定价!D254</f>
        <v>skill,9</v>
      </c>
      <c r="E254">
        <f>[1]物品定价!E254</f>
        <v>300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 t="str">
        <f>[1]物品定价!B255</f>
        <v>地狱的吹雪主动技能卡</v>
      </c>
      <c r="C255">
        <f>[1]物品定价!C255</f>
        <v>0</v>
      </c>
      <c r="D255" t="str">
        <f>[1]物品定价!D255</f>
        <v>skill,10</v>
      </c>
      <c r="E255">
        <f>[1]物品定价!E255</f>
        <v>600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 t="str">
        <f>[1]物品定价!B256</f>
        <v>地狱的吹雪特质3技能卡</v>
      </c>
      <c r="C256">
        <f>[1]物品定价!C256</f>
        <v>0</v>
      </c>
      <c r="D256" t="str">
        <f>[1]物品定价!D256</f>
        <v>skill,11</v>
      </c>
      <c r="E256">
        <f>[1]物品定价!E256</f>
        <v>300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 t="s">
        <v>102</v>
      </c>
      <c r="C258">
        <f>[1]物品定价!C258</f>
        <v>0</v>
      </c>
      <c r="D258" t="s">
        <v>103</v>
      </c>
      <c r="E258">
        <v>250</v>
      </c>
      <c r="F258">
        <f>[1]物品定价!F258</f>
        <v>0</v>
      </c>
      <c r="G258">
        <v>250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积分计算</vt:lpstr>
      <vt:lpstr>奖励</vt:lpstr>
      <vt:lpstr>输出</vt:lpstr>
      <vt:lpstr>价值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2019-10-22T02:34:39Z</dcterms:modified>
</cp:coreProperties>
</file>