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9080" yWindow="460" windowWidth="38400" windowHeight="20080" activeTab="1"/>
  </bookViews>
  <sheets>
    <sheet name="积分计算" sheetId="1" r:id="rId1"/>
    <sheet name="奖励" sheetId="2" r:id="rId2"/>
    <sheet name="输出" sheetId="3" r:id="rId3"/>
    <sheet name="价值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9" i="1" l="1"/>
  <c r="B39" i="1"/>
  <c r="AC64" i="2"/>
  <c r="AC65" i="2"/>
  <c r="AC66" i="2"/>
  <c r="AB64" i="2"/>
  <c r="AB65" i="2"/>
  <c r="AB66" i="2"/>
  <c r="D37" i="1"/>
  <c r="D36" i="1"/>
  <c r="D35" i="1"/>
  <c r="U10" i="1"/>
  <c r="P10" i="1"/>
  <c r="Q10" i="1"/>
  <c r="R10" i="1"/>
  <c r="V10" i="1"/>
  <c r="S10" i="1"/>
  <c r="U5" i="1"/>
  <c r="P5" i="1"/>
  <c r="Q5" i="1"/>
  <c r="R5" i="1"/>
  <c r="V5" i="1"/>
  <c r="U6" i="1"/>
  <c r="P6" i="1"/>
  <c r="Q6" i="1"/>
  <c r="R6" i="1"/>
  <c r="V6" i="1"/>
  <c r="U7" i="1"/>
  <c r="P7" i="1"/>
  <c r="Q7" i="1"/>
  <c r="R7" i="1"/>
  <c r="V7" i="1"/>
  <c r="U8" i="1"/>
  <c r="P8" i="1"/>
  <c r="Q8" i="1"/>
  <c r="R8" i="1"/>
  <c r="V8" i="1"/>
  <c r="U9" i="1"/>
  <c r="P9" i="1"/>
  <c r="Q9" i="1"/>
  <c r="R9" i="1"/>
  <c r="V9" i="1"/>
  <c r="V4" i="1"/>
  <c r="U4" i="1"/>
  <c r="AC52" i="2"/>
  <c r="AC53" i="2"/>
  <c r="AC54" i="2"/>
  <c r="AC55" i="2"/>
  <c r="AC56" i="2"/>
  <c r="AC57" i="2"/>
  <c r="AC58" i="2"/>
  <c r="AC59" i="2"/>
  <c r="AC60" i="2"/>
  <c r="AC61" i="2"/>
  <c r="AC62" i="2"/>
  <c r="AC63" i="2"/>
  <c r="AC51" i="2"/>
  <c r="AC50" i="2"/>
  <c r="AB63" i="2"/>
  <c r="S5" i="1"/>
  <c r="S6" i="1"/>
  <c r="S7" i="1"/>
  <c r="S8" i="1"/>
  <c r="S9" i="1"/>
  <c r="S4" i="1"/>
  <c r="R4" i="1"/>
  <c r="Q4" i="1"/>
  <c r="P4" i="1"/>
  <c r="B41" i="1"/>
  <c r="J27" i="1"/>
  <c r="D38" i="1"/>
  <c r="X20" i="2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" i="2"/>
  <c r="AG40" i="2"/>
  <c r="AG41" i="2"/>
  <c r="AG42" i="2"/>
  <c r="AG43" i="2"/>
  <c r="AG44" i="2"/>
  <c r="AG39" i="2"/>
  <c r="AO17" i="2"/>
  <c r="AP17" i="2"/>
  <c r="AQ17" i="2"/>
  <c r="AR17" i="2"/>
  <c r="AS17" i="2"/>
  <c r="AT17" i="2"/>
  <c r="AU17" i="2"/>
  <c r="AV17" i="2"/>
  <c r="AO18" i="2"/>
  <c r="AP18" i="2"/>
  <c r="AQ18" i="2"/>
  <c r="AR18" i="2"/>
  <c r="AS18" i="2"/>
  <c r="AT18" i="2"/>
  <c r="AU18" i="2"/>
  <c r="AV18" i="2"/>
  <c r="AO19" i="2"/>
  <c r="AP19" i="2"/>
  <c r="AQ19" i="2"/>
  <c r="AR19" i="2"/>
  <c r="AS19" i="2"/>
  <c r="AT19" i="2"/>
  <c r="AU19" i="2"/>
  <c r="AV19" i="2"/>
  <c r="AO20" i="2"/>
  <c r="AP20" i="2"/>
  <c r="AQ20" i="2"/>
  <c r="AR20" i="2"/>
  <c r="AS20" i="2"/>
  <c r="AT20" i="2"/>
  <c r="AU20" i="2"/>
  <c r="AV20" i="2"/>
  <c r="AO21" i="2"/>
  <c r="AP21" i="2"/>
  <c r="AQ21" i="2"/>
  <c r="AR21" i="2"/>
  <c r="AS21" i="2"/>
  <c r="AT21" i="2"/>
  <c r="AU21" i="2"/>
  <c r="AV21" i="2"/>
  <c r="AO22" i="2"/>
  <c r="AP22" i="2"/>
  <c r="AQ22" i="2"/>
  <c r="AR22" i="2"/>
  <c r="AS22" i="2"/>
  <c r="AT22" i="2"/>
  <c r="AU22" i="2"/>
  <c r="AV22" i="2"/>
  <c r="AO23" i="2"/>
  <c r="AP23" i="2"/>
  <c r="AQ23" i="2"/>
  <c r="AR23" i="2"/>
  <c r="AS23" i="2"/>
  <c r="AT23" i="2"/>
  <c r="AU23" i="2"/>
  <c r="AV23" i="2"/>
  <c r="AO24" i="2"/>
  <c r="AP24" i="2"/>
  <c r="AQ24" i="2"/>
  <c r="AR24" i="2"/>
  <c r="AS24" i="2"/>
  <c r="AT24" i="2"/>
  <c r="AU24" i="2"/>
  <c r="AV24" i="2"/>
  <c r="AU3" i="2"/>
  <c r="AV3" i="2"/>
  <c r="AO3" i="2"/>
  <c r="AP3" i="2"/>
  <c r="AQ3" i="2"/>
  <c r="AR3" i="2"/>
  <c r="AS3" i="2"/>
  <c r="AT3" i="2"/>
  <c r="AU4" i="2"/>
  <c r="AV4" i="2"/>
  <c r="AO4" i="2"/>
  <c r="AP4" i="2"/>
  <c r="AQ4" i="2"/>
  <c r="AR4" i="2"/>
  <c r="AS4" i="2"/>
  <c r="AT4" i="2"/>
  <c r="AU5" i="2"/>
  <c r="AV5" i="2"/>
  <c r="AO5" i="2"/>
  <c r="AP5" i="2"/>
  <c r="AQ5" i="2"/>
  <c r="AR5" i="2"/>
  <c r="AS5" i="2"/>
  <c r="AT5" i="2"/>
  <c r="AU6" i="2"/>
  <c r="AV6" i="2"/>
  <c r="AO6" i="2"/>
  <c r="AP6" i="2"/>
  <c r="AR6" i="2"/>
  <c r="AS6" i="2"/>
  <c r="AT6" i="2"/>
  <c r="AU7" i="2"/>
  <c r="AV7" i="2"/>
  <c r="AO7" i="2"/>
  <c r="AP7" i="2"/>
  <c r="AQ7" i="2"/>
  <c r="AR7" i="2"/>
  <c r="AS7" i="2"/>
  <c r="AT7" i="2"/>
  <c r="AU8" i="2"/>
  <c r="AV8" i="2"/>
  <c r="AO8" i="2"/>
  <c r="AP8" i="2"/>
  <c r="AQ8" i="2"/>
  <c r="AR8" i="2"/>
  <c r="AS8" i="2"/>
  <c r="AT8" i="2"/>
  <c r="AQ9" i="2"/>
  <c r="AR9" i="2"/>
  <c r="AO9" i="2"/>
  <c r="AP9" i="2"/>
  <c r="AU9" i="2"/>
  <c r="AV9" i="2"/>
  <c r="AS9" i="2"/>
  <c r="AT9" i="2"/>
  <c r="AU10" i="2"/>
  <c r="AV10" i="2"/>
  <c r="AS10" i="2"/>
  <c r="AT10" i="2"/>
  <c r="AO10" i="2"/>
  <c r="AP10" i="2"/>
  <c r="AQ10" i="2"/>
  <c r="AR10" i="2"/>
  <c r="AU11" i="2"/>
  <c r="AV11" i="2"/>
  <c r="AQ11" i="2"/>
  <c r="AR11" i="2"/>
  <c r="AO11" i="2"/>
  <c r="AP11" i="2"/>
  <c r="AS11" i="2"/>
  <c r="AT11" i="2"/>
  <c r="AU12" i="2"/>
  <c r="AV12" i="2"/>
  <c r="AQ12" i="2"/>
  <c r="AR12" i="2"/>
  <c r="AO12" i="2"/>
  <c r="AP12" i="2"/>
  <c r="AS12" i="2"/>
  <c r="AT12" i="2"/>
  <c r="AQ13" i="2"/>
  <c r="AR13" i="2"/>
  <c r="AO13" i="2"/>
  <c r="AP13" i="2"/>
  <c r="AU13" i="2"/>
  <c r="AV13" i="2"/>
  <c r="AS13" i="2"/>
  <c r="AT13" i="2"/>
  <c r="AU14" i="2"/>
  <c r="AV14" i="2"/>
  <c r="AS14" i="2"/>
  <c r="AT14" i="2"/>
  <c r="AO14" i="2"/>
  <c r="AP14" i="2"/>
  <c r="AR14" i="2"/>
  <c r="AU15" i="2"/>
  <c r="AV15" i="2"/>
  <c r="AS15" i="2"/>
  <c r="AT15" i="2"/>
  <c r="AO15" i="2"/>
  <c r="AP15" i="2"/>
  <c r="AQ15" i="2"/>
  <c r="AR15" i="2"/>
  <c r="AU16" i="2"/>
  <c r="AV16" i="2"/>
  <c r="AO16" i="2"/>
  <c r="AP16" i="2"/>
  <c r="AQ16" i="2"/>
  <c r="AR16" i="2"/>
  <c r="AS16" i="2"/>
  <c r="AT16" i="2"/>
  <c r="AU2" i="2"/>
  <c r="AV2" i="2"/>
  <c r="AO2" i="2"/>
  <c r="AP2" i="2"/>
  <c r="AQ2" i="2"/>
  <c r="AR2" i="2"/>
  <c r="AS2" i="2"/>
  <c r="AT2" i="2"/>
  <c r="AQ6" i="2"/>
  <c r="AQ14" i="2"/>
  <c r="AD23" i="2"/>
  <c r="AD22" i="2"/>
  <c r="AD20" i="2"/>
  <c r="AD19" i="2"/>
  <c r="AG16" i="2"/>
  <c r="AD16" i="2"/>
  <c r="AG15" i="2"/>
  <c r="AD15" i="2"/>
  <c r="AM17" i="2"/>
  <c r="AM18" i="2"/>
  <c r="AM19" i="2"/>
  <c r="AM20" i="2"/>
  <c r="AM21" i="2"/>
  <c r="AM22" i="2"/>
  <c r="AM23" i="2"/>
  <c r="AM24" i="2"/>
  <c r="AG21" i="2"/>
  <c r="AJ21" i="2"/>
  <c r="AD21" i="2"/>
  <c r="AN21" i="2"/>
  <c r="AG9" i="2"/>
  <c r="AM9" i="2"/>
  <c r="AJ9" i="2"/>
  <c r="AD9" i="2"/>
  <c r="AN9" i="2"/>
  <c r="AG17" i="2"/>
  <c r="AJ17" i="2"/>
  <c r="AD17" i="2"/>
  <c r="AN17" i="2"/>
  <c r="AG18" i="2"/>
  <c r="AJ18" i="2"/>
  <c r="AD18" i="2"/>
  <c r="AN18" i="2"/>
  <c r="AG19" i="2"/>
  <c r="AJ19" i="2"/>
  <c r="AN19" i="2"/>
  <c r="AG20" i="2"/>
  <c r="AJ20" i="2"/>
  <c r="AN20" i="2"/>
  <c r="AM2" i="2"/>
  <c r="AJ2" i="2"/>
  <c r="AD2" i="2"/>
  <c r="AG2" i="2"/>
  <c r="AN2" i="2"/>
  <c r="AM3" i="2"/>
  <c r="AJ3" i="2"/>
  <c r="AG3" i="2"/>
  <c r="AD3" i="2"/>
  <c r="AN3" i="2"/>
  <c r="AM4" i="2"/>
  <c r="AJ4" i="2"/>
  <c r="AG4" i="2"/>
  <c r="AD4" i="2"/>
  <c r="AN4" i="2"/>
  <c r="AM5" i="2"/>
  <c r="AJ5" i="2"/>
  <c r="AG5" i="2"/>
  <c r="AD5" i="2"/>
  <c r="AN5" i="2"/>
  <c r="AM6" i="2"/>
  <c r="AJ6" i="2"/>
  <c r="AG6" i="2"/>
  <c r="AD6" i="2"/>
  <c r="AN6" i="2"/>
  <c r="AM7" i="2"/>
  <c r="AJ7" i="2"/>
  <c r="AG7" i="2"/>
  <c r="AD7" i="2"/>
  <c r="AN7" i="2"/>
  <c r="AM8" i="2"/>
  <c r="AJ8" i="2"/>
  <c r="AG8" i="2"/>
  <c r="AD8" i="2"/>
  <c r="AN8" i="2"/>
  <c r="AM10" i="2"/>
  <c r="AJ10" i="2"/>
  <c r="AG10" i="2"/>
  <c r="AD10" i="2"/>
  <c r="AN10" i="2"/>
  <c r="AM11" i="2"/>
  <c r="AJ11" i="2"/>
  <c r="AG11" i="2"/>
  <c r="AD11" i="2"/>
  <c r="AN11" i="2"/>
  <c r="AM12" i="2"/>
  <c r="AJ12" i="2"/>
  <c r="AG12" i="2"/>
  <c r="AD12" i="2"/>
  <c r="AN12" i="2"/>
  <c r="AM13" i="2"/>
  <c r="AJ13" i="2"/>
  <c r="AD13" i="2"/>
  <c r="AG13" i="2"/>
  <c r="AN13" i="2"/>
  <c r="AM14" i="2"/>
  <c r="AJ14" i="2"/>
  <c r="AG14" i="2"/>
  <c r="AD14" i="2"/>
  <c r="AN14" i="2"/>
  <c r="AM15" i="2"/>
  <c r="AJ15" i="2"/>
  <c r="AN15" i="2"/>
  <c r="AM16" i="2"/>
  <c r="AJ16" i="2"/>
  <c r="AN16" i="2"/>
  <c r="AJ22" i="2"/>
  <c r="AG22" i="2"/>
  <c r="AN22" i="2"/>
  <c r="AJ23" i="2"/>
  <c r="AG23" i="2"/>
  <c r="AN23" i="2"/>
  <c r="AJ24" i="2"/>
  <c r="AD24" i="2"/>
  <c r="AG24" i="2"/>
  <c r="AN24" i="2"/>
  <c r="AN25" i="2"/>
  <c r="Q19" i="2"/>
  <c r="R19" i="2"/>
  <c r="Q20" i="2"/>
  <c r="K20" i="2"/>
  <c r="R20" i="2"/>
  <c r="Q21" i="2"/>
  <c r="K21" i="2"/>
  <c r="R21" i="2"/>
  <c r="Q18" i="2"/>
  <c r="R18" i="2"/>
  <c r="D7" i="2"/>
  <c r="D3" i="2"/>
  <c r="B3" i="2"/>
  <c r="B6" i="2"/>
  <c r="B7" i="2"/>
  <c r="B5" i="2"/>
  <c r="Q42" i="2"/>
  <c r="Q43" i="2"/>
  <c r="Q44" i="2"/>
  <c r="Q41" i="2"/>
  <c r="Q40" i="2"/>
  <c r="AB40" i="2"/>
  <c r="AF40" i="2"/>
  <c r="AC40" i="2"/>
  <c r="AD40" i="2"/>
  <c r="Y40" i="2"/>
  <c r="Z40" i="2"/>
  <c r="AH40" i="2"/>
  <c r="AB41" i="2"/>
  <c r="AF41" i="2"/>
  <c r="AC41" i="2"/>
  <c r="AD41" i="2"/>
  <c r="Y41" i="2"/>
  <c r="Z41" i="2"/>
  <c r="AH41" i="2"/>
  <c r="AB42" i="2"/>
  <c r="AF42" i="2"/>
  <c r="AC42" i="2"/>
  <c r="AD42" i="2"/>
  <c r="Y42" i="2"/>
  <c r="Z42" i="2"/>
  <c r="AH42" i="2"/>
  <c r="AB43" i="2"/>
  <c r="AF43" i="2"/>
  <c r="AC43" i="2"/>
  <c r="AD43" i="2"/>
  <c r="Y43" i="2"/>
  <c r="Z43" i="2"/>
  <c r="AH43" i="2"/>
  <c r="AB44" i="2"/>
  <c r="AF44" i="2"/>
  <c r="AC44" i="2"/>
  <c r="AD44" i="2"/>
  <c r="Y44" i="2"/>
  <c r="Z44" i="2"/>
  <c r="AH44" i="2"/>
  <c r="AB39" i="2"/>
  <c r="AF39" i="2"/>
  <c r="AC39" i="2"/>
  <c r="AD39" i="2"/>
  <c r="Y39" i="2"/>
  <c r="Z39" i="2"/>
  <c r="AH39" i="2"/>
  <c r="S21" i="2"/>
  <c r="U21" i="2"/>
  <c r="W21" i="2"/>
  <c r="S20" i="2"/>
  <c r="U20" i="2"/>
  <c r="W20" i="2"/>
  <c r="W19" i="2"/>
  <c r="X19" i="2"/>
  <c r="X18" i="2"/>
  <c r="W18" i="2"/>
  <c r="U18" i="2"/>
  <c r="V18" i="2"/>
  <c r="U19" i="2"/>
  <c r="V19" i="2"/>
  <c r="V20" i="2"/>
  <c r="V21" i="2"/>
  <c r="AA39" i="2"/>
  <c r="AA40" i="2"/>
  <c r="AE40" i="2"/>
  <c r="AA41" i="2"/>
  <c r="AE41" i="2"/>
  <c r="AA42" i="2"/>
  <c r="AE42" i="2"/>
  <c r="AA43" i="2"/>
  <c r="AE43" i="2"/>
  <c r="AA44" i="2"/>
  <c r="AE44" i="2"/>
  <c r="AE39" i="2"/>
  <c r="T40" i="2"/>
  <c r="W40" i="2"/>
  <c r="N40" i="2"/>
  <c r="X40" i="2"/>
  <c r="T41" i="2"/>
  <c r="W41" i="2"/>
  <c r="N41" i="2"/>
  <c r="X41" i="2"/>
  <c r="T42" i="2"/>
  <c r="W42" i="2"/>
  <c r="N42" i="2"/>
  <c r="X42" i="2"/>
  <c r="T43" i="2"/>
  <c r="N43" i="2"/>
  <c r="X43" i="2"/>
  <c r="T44" i="2"/>
  <c r="N44" i="2"/>
  <c r="X44" i="2"/>
  <c r="T39" i="2"/>
  <c r="W39" i="2"/>
  <c r="N39" i="2"/>
  <c r="Q39" i="2"/>
  <c r="X39" i="2"/>
  <c r="C3" i="2"/>
  <c r="C6" i="2"/>
  <c r="C7" i="2"/>
  <c r="C5" i="2"/>
  <c r="AJ41" i="2"/>
  <c r="J41" i="2"/>
  <c r="J42" i="2"/>
  <c r="J43" i="2"/>
  <c r="J44" i="2"/>
  <c r="J40" i="2"/>
  <c r="B1" i="4"/>
  <c r="B2" i="4"/>
  <c r="B3" i="4"/>
  <c r="B4" i="4"/>
  <c r="C1" i="4"/>
  <c r="D1" i="4"/>
  <c r="E1" i="4"/>
  <c r="F1" i="4"/>
  <c r="G1" i="4"/>
  <c r="C2" i="4"/>
  <c r="D2" i="4"/>
  <c r="E2" i="4"/>
  <c r="G2" i="4"/>
  <c r="C3" i="4"/>
  <c r="D3" i="4"/>
  <c r="E3" i="4"/>
  <c r="G3" i="4"/>
  <c r="C4" i="4"/>
  <c r="D4" i="4"/>
  <c r="E4" i="4"/>
  <c r="G4" i="4"/>
  <c r="B5" i="4"/>
  <c r="C5" i="4"/>
  <c r="D5" i="4"/>
  <c r="E5" i="4"/>
  <c r="G5" i="4"/>
  <c r="B6" i="4"/>
  <c r="C6" i="4"/>
  <c r="D6" i="4"/>
  <c r="E6" i="4"/>
  <c r="G6" i="4"/>
  <c r="B7" i="4"/>
  <c r="C7" i="4"/>
  <c r="D7" i="4"/>
  <c r="E7" i="4"/>
  <c r="G7" i="4"/>
  <c r="B8" i="4"/>
  <c r="C8" i="4"/>
  <c r="D8" i="4"/>
  <c r="E8" i="4"/>
  <c r="G8" i="4"/>
  <c r="B9" i="4"/>
  <c r="C9" i="4"/>
  <c r="D9" i="4"/>
  <c r="E9" i="4"/>
  <c r="G9" i="4"/>
  <c r="B10" i="4"/>
  <c r="C10" i="4"/>
  <c r="D10" i="4"/>
  <c r="E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F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C258" i="4"/>
  <c r="F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V50" i="2"/>
  <c r="X50" i="2"/>
  <c r="Z50" i="2"/>
  <c r="AB50" i="2"/>
  <c r="V51" i="2"/>
  <c r="X51" i="2"/>
  <c r="Z51" i="2"/>
  <c r="AB51" i="2"/>
  <c r="V52" i="2"/>
  <c r="X52" i="2"/>
  <c r="Z52" i="2"/>
  <c r="AB52" i="2"/>
  <c r="V53" i="2"/>
  <c r="X53" i="2"/>
  <c r="Z53" i="2"/>
  <c r="AB53" i="2"/>
  <c r="V54" i="2"/>
  <c r="X54" i="2"/>
  <c r="Z54" i="2"/>
  <c r="AB54" i="2"/>
  <c r="V55" i="2"/>
  <c r="X55" i="2"/>
  <c r="Z55" i="2"/>
  <c r="AB55" i="2"/>
  <c r="V56" i="2"/>
  <c r="X56" i="2"/>
  <c r="Z56" i="2"/>
  <c r="AB56" i="2"/>
  <c r="V57" i="2"/>
  <c r="X57" i="2"/>
  <c r="Z57" i="2"/>
  <c r="AB57" i="2"/>
  <c r="V58" i="2"/>
  <c r="X58" i="2"/>
  <c r="Z58" i="2"/>
  <c r="AB58" i="2"/>
  <c r="V59" i="2"/>
  <c r="X59" i="2"/>
  <c r="Z59" i="2"/>
  <c r="AB59" i="2"/>
  <c r="V60" i="2"/>
  <c r="X60" i="2"/>
  <c r="Z60" i="2"/>
  <c r="AB60" i="2"/>
  <c r="V61" i="2"/>
  <c r="X61" i="2"/>
  <c r="Z61" i="2"/>
  <c r="AB61" i="2"/>
  <c r="V62" i="2"/>
  <c r="X62" i="2"/>
  <c r="Z62" i="2"/>
  <c r="AB62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50" i="2"/>
  <c r="Y51" i="2"/>
  <c r="Y52" i="2"/>
  <c r="Y53" i="2"/>
  <c r="Y54" i="2"/>
  <c r="Y55" i="2"/>
  <c r="Y56" i="2"/>
  <c r="Y57" i="2"/>
  <c r="Y58" i="2"/>
  <c r="Y59" i="2"/>
  <c r="Y60" i="2"/>
  <c r="Y61" i="2"/>
  <c r="Y62" i="2"/>
  <c r="Y50" i="2"/>
  <c r="W51" i="2"/>
  <c r="W52" i="2"/>
  <c r="W53" i="2"/>
  <c r="W54" i="2"/>
  <c r="W55" i="2"/>
  <c r="W56" i="2"/>
  <c r="W57" i="2"/>
  <c r="W58" i="2"/>
  <c r="W59" i="2"/>
  <c r="W60" i="2"/>
  <c r="W61" i="2"/>
  <c r="W62" i="2"/>
  <c r="W50" i="2"/>
  <c r="S19" i="2"/>
  <c r="T19" i="2"/>
  <c r="T20" i="2"/>
  <c r="T21" i="2"/>
  <c r="X21" i="2"/>
  <c r="S18" i="2"/>
  <c r="T18" i="2"/>
  <c r="N20" i="2"/>
  <c r="N21" i="2"/>
  <c r="G21" i="2"/>
  <c r="G20" i="2"/>
  <c r="G19" i="2"/>
  <c r="G18" i="2"/>
  <c r="B20" i="2"/>
  <c r="P51" i="2"/>
  <c r="S51" i="2"/>
  <c r="M51" i="2"/>
  <c r="T51" i="2"/>
  <c r="P52" i="2"/>
  <c r="S52" i="2"/>
  <c r="M52" i="2"/>
  <c r="T52" i="2"/>
  <c r="P53" i="2"/>
  <c r="S53" i="2"/>
  <c r="M53" i="2"/>
  <c r="T53" i="2"/>
  <c r="M54" i="2"/>
  <c r="P54" i="2"/>
  <c r="S54" i="2"/>
  <c r="T54" i="2"/>
  <c r="P55" i="2"/>
  <c r="S55" i="2"/>
  <c r="M55" i="2"/>
  <c r="T55" i="2"/>
  <c r="P56" i="2"/>
  <c r="S56" i="2"/>
  <c r="M56" i="2"/>
  <c r="T56" i="2"/>
  <c r="P57" i="2"/>
  <c r="S57" i="2"/>
  <c r="M57" i="2"/>
  <c r="T57" i="2"/>
  <c r="M58" i="2"/>
  <c r="P58" i="2"/>
  <c r="S58" i="2"/>
  <c r="T58" i="2"/>
  <c r="M59" i="2"/>
  <c r="P59" i="2"/>
  <c r="S59" i="2"/>
  <c r="T59" i="2"/>
  <c r="M60" i="2"/>
  <c r="P60" i="2"/>
  <c r="S60" i="2"/>
  <c r="T60" i="2"/>
  <c r="M61" i="2"/>
  <c r="P61" i="2"/>
  <c r="S61" i="2"/>
  <c r="T61" i="2"/>
  <c r="M62" i="2"/>
  <c r="P62" i="2"/>
  <c r="S62" i="2"/>
  <c r="T62" i="2"/>
  <c r="S50" i="2"/>
  <c r="M50" i="2"/>
  <c r="P50" i="2"/>
  <c r="T50" i="2"/>
  <c r="U62" i="2"/>
  <c r="U50" i="2"/>
  <c r="B18" i="2"/>
  <c r="B21" i="2"/>
  <c r="B24" i="2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D4" i="1"/>
  <c r="D5" i="1"/>
  <c r="C6" i="1"/>
  <c r="D6" i="1"/>
  <c r="C7" i="1"/>
  <c r="D7" i="1"/>
  <c r="C8" i="1"/>
  <c r="D8" i="1"/>
  <c r="D3" i="1"/>
  <c r="K3" i="1"/>
  <c r="K12" i="1"/>
  <c r="C3" i="1"/>
  <c r="C4" i="1"/>
  <c r="C5" i="1"/>
  <c r="K4" i="1"/>
  <c r="K8" i="1"/>
  <c r="BA15" i="2"/>
  <c r="BA16" i="2"/>
  <c r="AJ44" i="2"/>
  <c r="AJ39" i="2"/>
</calcChain>
</file>

<file path=xl/sharedStrings.xml><?xml version="1.0" encoding="utf-8"?>
<sst xmlns="http://schemas.openxmlformats.org/spreadsheetml/2006/main" count="318" uniqueCount="162">
  <si>
    <t>积分比例</t>
    <phoneticPr fontId="1" type="noConversion"/>
  </si>
  <si>
    <t>积分</t>
    <phoneticPr fontId="1" type="noConversion"/>
  </si>
  <si>
    <t>伤害</t>
    <phoneticPr fontId="1" type="noConversion"/>
  </si>
  <si>
    <t>伤害分段</t>
    <phoneticPr fontId="1" type="noConversion"/>
  </si>
  <si>
    <t>Event</t>
    <phoneticPr fontId="1" type="noConversion"/>
  </si>
  <si>
    <t>EventWorldBoss</t>
    <phoneticPr fontId="1" type="noConversion"/>
  </si>
  <si>
    <t>EventPointRank</t>
    <phoneticPr fontId="1" type="noConversion"/>
  </si>
  <si>
    <t>EventDamageRank</t>
    <phoneticPr fontId="1" type="noConversion"/>
  </si>
  <si>
    <t>Id</t>
    <phoneticPr fontId="1" type="noConversion"/>
  </si>
  <si>
    <t>Min</t>
    <phoneticPr fontId="1" type="noConversion"/>
  </si>
  <si>
    <t>Max</t>
    <phoneticPr fontId="1" type="noConversion"/>
  </si>
  <si>
    <t>RewardPreview</t>
    <phoneticPr fontId="1" type="noConversion"/>
  </si>
  <si>
    <t>Reward</t>
    <phoneticPr fontId="1" type="noConversion"/>
  </si>
  <si>
    <t>EventPointReward</t>
    <phoneticPr fontId="1" type="noConversion"/>
  </si>
  <si>
    <t>GroupId</t>
    <phoneticPr fontId="1" type="noConversion"/>
  </si>
  <si>
    <t>Point</t>
    <phoneticPr fontId="1" type="noConversion"/>
  </si>
  <si>
    <t>Configs</t>
    <phoneticPr fontId="1" type="noConversion"/>
  </si>
  <si>
    <t>WorldBossTicketsLimit</t>
    <phoneticPr fontId="1" type="noConversion"/>
  </si>
  <si>
    <t>WorldBossTicketsTime</t>
    <phoneticPr fontId="1" type="noConversion"/>
  </si>
  <si>
    <t>WorldBossTicketsPrice</t>
    <phoneticPr fontId="1" type="noConversion"/>
  </si>
  <si>
    <t>积分排名奖励</t>
    <phoneticPr fontId="1" type="noConversion"/>
  </si>
  <si>
    <t>伤害排名奖励</t>
    <phoneticPr fontId="1" type="noConversion"/>
  </si>
  <si>
    <t>积分分段奖励</t>
    <phoneticPr fontId="1" type="noConversion"/>
  </si>
  <si>
    <t>伤害排名</t>
    <phoneticPr fontId="1" type="noConversion"/>
  </si>
  <si>
    <t>低</t>
    <phoneticPr fontId="1" type="noConversion"/>
  </si>
  <si>
    <t>高</t>
    <phoneticPr fontId="1" type="noConversion"/>
  </si>
  <si>
    <t>奖励类型</t>
    <phoneticPr fontId="1" type="noConversion"/>
  </si>
  <si>
    <t>数量</t>
    <phoneticPr fontId="1" type="noConversion"/>
  </si>
  <si>
    <t>价值</t>
    <phoneticPr fontId="1" type="noConversion"/>
  </si>
  <si>
    <t>描述</t>
    <phoneticPr fontId="1" type="noConversion"/>
  </si>
  <si>
    <t>预览</t>
    <phoneticPr fontId="1" type="noConversion"/>
  </si>
  <si>
    <t>积分排名</t>
    <phoneticPr fontId="1" type="noConversion"/>
  </si>
  <si>
    <t>积分段奖励</t>
    <phoneticPr fontId="1" type="noConversion"/>
  </si>
  <si>
    <t>免费次数/天</t>
    <phoneticPr fontId="1" type="noConversion"/>
  </si>
  <si>
    <t>每次伤害</t>
    <phoneticPr fontId="1" type="noConversion"/>
  </si>
  <si>
    <t>每次积分</t>
    <phoneticPr fontId="1" type="noConversion"/>
  </si>
  <si>
    <t>每天积分</t>
    <phoneticPr fontId="1" type="noConversion"/>
  </si>
  <si>
    <t>活动时长/天</t>
    <phoneticPr fontId="1" type="noConversion"/>
  </si>
  <si>
    <t>总积分/免费</t>
    <phoneticPr fontId="1" type="noConversion"/>
  </si>
  <si>
    <t>最高积分奖励</t>
    <phoneticPr fontId="1" type="noConversion"/>
  </si>
  <si>
    <t>总价值</t>
    <phoneticPr fontId="1" type="noConversion"/>
  </si>
  <si>
    <t>最高端</t>
    <phoneticPr fontId="1" type="noConversion"/>
  </si>
  <si>
    <t>中端</t>
    <phoneticPr fontId="1" type="noConversion"/>
  </si>
  <si>
    <t>低端</t>
    <phoneticPr fontId="1" type="noConversion"/>
  </si>
  <si>
    <t>活动副本额外价值</t>
    <phoneticPr fontId="1" type="noConversion"/>
  </si>
  <si>
    <t>Boss击杀奖励</t>
    <phoneticPr fontId="1" type="noConversion"/>
  </si>
  <si>
    <t>锚点</t>
    <phoneticPr fontId="1" type="noConversion"/>
  </si>
  <si>
    <t>加成</t>
    <phoneticPr fontId="1" type="noConversion"/>
  </si>
  <si>
    <t>莉莉</t>
    <phoneticPr fontId="1" type="noConversion"/>
  </si>
  <si>
    <t>需要天数</t>
    <phoneticPr fontId="1" type="noConversion"/>
  </si>
  <si>
    <t>需要计算伤害不足的玩家，要买多少次数才能完成</t>
    <phoneticPr fontId="1" type="noConversion"/>
  </si>
  <si>
    <t>Boss每次奖励总值</t>
    <phoneticPr fontId="1" type="noConversion"/>
  </si>
  <si>
    <t>随机副本体力</t>
    <phoneticPr fontId="1" type="noConversion"/>
  </si>
  <si>
    <t>产出价值</t>
    <phoneticPr fontId="1" type="noConversion"/>
  </si>
  <si>
    <t>Boss产出价值</t>
    <phoneticPr fontId="1" type="noConversion"/>
  </si>
  <si>
    <t>积分排名/%</t>
    <phoneticPr fontId="1" type="noConversion"/>
  </si>
  <si>
    <t>伤害排名/名</t>
    <phoneticPr fontId="1" type="noConversion"/>
  </si>
  <si>
    <t>每次Boss奖励</t>
    <phoneticPr fontId="1" type="noConversion"/>
  </si>
  <si>
    <t>奖励1类型</t>
    <phoneticPr fontId="1" type="noConversion"/>
  </si>
  <si>
    <t>数量1</t>
    <phoneticPr fontId="1" type="noConversion"/>
  </si>
  <si>
    <t>价值1</t>
    <phoneticPr fontId="1" type="noConversion"/>
  </si>
  <si>
    <t>奖励2类型</t>
    <phoneticPr fontId="1" type="noConversion"/>
  </si>
  <si>
    <t>数量2</t>
    <phoneticPr fontId="1" type="noConversion"/>
  </si>
  <si>
    <t>价值2</t>
    <phoneticPr fontId="1" type="noConversion"/>
  </si>
  <si>
    <t>随机4星饰品</t>
    <phoneticPr fontId="1" type="noConversion"/>
  </si>
  <si>
    <t>随机3星饰品</t>
    <phoneticPr fontId="1" type="noConversion"/>
  </si>
  <si>
    <t>现金</t>
    <phoneticPr fontId="1" type="noConversion"/>
  </si>
  <si>
    <t>价值降低</t>
    <phoneticPr fontId="1" type="noConversion"/>
  </si>
  <si>
    <t>实际价格</t>
    <phoneticPr fontId="1" type="noConversion"/>
  </si>
  <si>
    <t>随机2星饰品</t>
  </si>
  <si>
    <t>随机2星饰品</t>
    <phoneticPr fontId="1" type="noConversion"/>
  </si>
  <si>
    <t>钻石消耗</t>
    <rPh sb="0" eb="1">
      <t>zuan'shi</t>
    </rPh>
    <rPh sb="2" eb="3">
      <t>xiao'hao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</si>
  <si>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</si>
  <si>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总值</t>
    <rPh sb="0" eb="1">
      <t>zong'zhi</t>
    </rPh>
    <phoneticPr fontId="1" type="noConversion"/>
  </si>
  <si>
    <t>钻石</t>
    <rPh sb="0" eb="1">
      <t>zuan'shi</t>
    </rPh>
    <phoneticPr fontId="1" type="noConversion"/>
  </si>
  <si>
    <t>类型</t>
    <rPh sb="0" eb="1">
      <t>lei'xing</t>
    </rPh>
    <phoneticPr fontId="1" type="noConversion"/>
  </si>
  <si>
    <t>数量</t>
    <rPh sb="0" eb="1">
      <t>shu'liagn</t>
    </rPh>
    <phoneticPr fontId="1" type="noConversion"/>
  </si>
  <si>
    <t>价值</t>
    <rPh sb="0" eb="1">
      <t>jia'zhi</t>
    </rPh>
    <phoneticPr fontId="1" type="noConversion"/>
  </si>
  <si>
    <t>击杀奖励</t>
    <rPh sb="0" eb="1">
      <t>ji'sha</t>
    </rPh>
    <rPh sb="2" eb="3">
      <t>jiang'li</t>
    </rPh>
    <phoneticPr fontId="1" type="noConversion"/>
  </si>
  <si>
    <t>数量</t>
    <rPh sb="0" eb="1">
      <t>shu'liang</t>
    </rPh>
    <phoneticPr fontId="1" type="noConversion"/>
  </si>
  <si>
    <t>经验鸡块</t>
    <rPh sb="0" eb="1">
      <t>jing'yan</t>
    </rPh>
    <rPh sb="2" eb="3">
      <t>ji'kuai</t>
    </rPh>
    <phoneticPr fontId="1" type="noConversion"/>
  </si>
  <si>
    <t>现金</t>
    <rPh sb="0" eb="1">
      <t>xian'jin</t>
    </rPh>
    <phoneticPr fontId="1" type="noConversion"/>
  </si>
  <si>
    <t>总价值</t>
    <rPh sb="0" eb="1">
      <t>zong'jia'zhi</t>
    </rPh>
    <phoneticPr fontId="1" type="noConversion"/>
  </si>
  <si>
    <t>预览汇总</t>
    <rPh sb="0" eb="1">
      <t>yu'lan</t>
    </rPh>
    <rPh sb="2" eb="3">
      <t>hui'zong</t>
    </rPh>
    <phoneticPr fontId="1" type="noConversion"/>
  </si>
  <si>
    <t>奖励汇总</t>
    <rPh sb="0" eb="1">
      <t>jiang'li</t>
    </rPh>
    <rPh sb="2" eb="3">
      <t>hui'zong</t>
    </rPh>
    <phoneticPr fontId="1" type="noConversion"/>
  </si>
  <si>
    <t xml:space="preserve"> </t>
    <phoneticPr fontId="1" type="noConversion"/>
  </si>
  <si>
    <t>EventWorldBoss</t>
    <phoneticPr fontId="1" type="noConversion"/>
  </si>
  <si>
    <t>EventPointRank</t>
    <phoneticPr fontId="1" type="noConversion"/>
  </si>
  <si>
    <t>头像框</t>
    <rPh sb="0" eb="1">
      <t>tou'xiang</t>
    </rPh>
    <rPh sb="2" eb="3">
      <t>kuang</t>
    </rPh>
    <phoneticPr fontId="1" type="noConversion"/>
  </si>
  <si>
    <t>frame,22</t>
    <phoneticPr fontId="1" type="noConversion"/>
  </si>
  <si>
    <t>额外奖励</t>
    <rPh sb="0" eb="1">
      <t>e'wai</t>
    </rPh>
    <rPh sb="2" eb="3">
      <t>jiang'li</t>
    </rPh>
    <phoneticPr fontId="1" type="noConversion"/>
  </si>
  <si>
    <t>frame,21</t>
    <phoneticPr fontId="1" type="noConversion"/>
  </si>
  <si>
    <t>警犬侠招募令</t>
    <rPh sb="0" eb="1">
      <t>jing'quan'xia</t>
    </rPh>
    <rPh sb="3" eb="4">
      <t>zhao'mu'ling</t>
    </rPh>
    <phoneticPr fontId="1" type="noConversion"/>
  </si>
  <si>
    <t>prop,707</t>
    <phoneticPr fontId="1" type="noConversion"/>
  </si>
  <si>
    <t>初级实力徽章</t>
    <rPh sb="0" eb="1">
      <t>chu'ji</t>
    </rPh>
    <rPh sb="2" eb="3">
      <t>shi'li</t>
    </rPh>
    <rPh sb="4" eb="5">
      <t>hui'zhang</t>
    </rPh>
    <phoneticPr fontId="1" type="noConversion"/>
  </si>
  <si>
    <t>觉醒胶囊</t>
    <rPh sb="0" eb="1">
      <t>jue'xing</t>
    </rPh>
    <rPh sb="2" eb="3">
      <t>jiao'nang</t>
    </rPh>
    <phoneticPr fontId="1" type="noConversion"/>
  </si>
  <si>
    <t>随机3星饰品</t>
    <rPh sb="0" eb="1">
      <t>sui'ji</t>
    </rPh>
    <rPh sb="3" eb="4">
      <t>xing</t>
    </rPh>
    <rPh sb="4" eb="5">
      <t>shi'pin</t>
    </rPh>
    <phoneticPr fontId="1" type="noConversion"/>
  </si>
  <si>
    <t>描述</t>
    <rPh sb="0" eb="1">
      <t>miao'shu</t>
    </rPh>
    <phoneticPr fontId="1" type="noConversion"/>
  </si>
  <si>
    <t>预览</t>
    <rPh sb="0" eb="1">
      <t>yu'lan</t>
    </rPh>
    <phoneticPr fontId="1" type="noConversion"/>
  </si>
  <si>
    <t>急速3星</t>
    <rPh sb="0" eb="1">
      <t>ji'su</t>
    </rPh>
    <rPh sb="3" eb="4">
      <t>xing</t>
    </rPh>
    <phoneticPr fontId="1" type="noConversion"/>
  </si>
  <si>
    <t>爱心4星</t>
    <rPh sb="0" eb="1">
      <t>ai'xn</t>
    </rPh>
    <rPh sb="3" eb="4">
      <t>xing</t>
    </rPh>
    <phoneticPr fontId="1" type="noConversion"/>
  </si>
  <si>
    <t>equip,231;equip,232;equip,233;equip,234</t>
  </si>
  <si>
    <t>equip,645;equip,646</t>
  </si>
  <si>
    <t>随机4星饰品</t>
    <rPh sb="0" eb="1">
      <t>sui'ji</t>
    </rPh>
    <rPh sb="3" eb="4">
      <t>xing</t>
    </rPh>
    <rPh sb="4" eb="5">
      <t>sh'pin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</si>
  <si>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</si>
  <si>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随机5星饰品</t>
    <rPh sb="0" eb="1">
      <t>sui'ji</t>
    </rPh>
    <rPh sb="3" eb="4">
      <t>xing</t>
    </rPh>
    <rPh sb="4" eb="5">
      <t>shi'pin</t>
    </rPh>
    <phoneticPr fontId="1" type="noConversion"/>
  </si>
  <si>
    <t>现金</t>
    <rPh sb="0" eb="1">
      <t>xian'j</t>
    </rPh>
    <phoneticPr fontId="1" type="noConversion"/>
  </si>
  <si>
    <t>警犬侠招募令</t>
    <rPh sb="0" eb="1">
      <t>jign'quan'xia</t>
    </rPh>
    <rPh sb="3" eb="4">
      <t>zhao'mu'ling'n</t>
    </rPh>
    <phoneticPr fontId="1" type="noConversion"/>
  </si>
  <si>
    <t>格斗力认证</t>
  </si>
  <si>
    <t>高等格斗力认证</t>
  </si>
  <si>
    <t>元气牛肉</t>
  </si>
  <si>
    <t>武装力认证</t>
  </si>
  <si>
    <t>超能力认证</t>
  </si>
  <si>
    <t>机械力认证</t>
  </si>
  <si>
    <t>高等武装力认证</t>
  </si>
  <si>
    <t>高等超能力认证</t>
  </si>
  <si>
    <t>高等机械力认证</t>
  </si>
  <si>
    <t>“Super-X”</t>
  </si>
  <si>
    <t>肌力药剂</t>
  </si>
  <si>
    <t>训练拳套</t>
  </si>
  <si>
    <t>训练刀具</t>
  </si>
  <si>
    <t>训练枪械</t>
  </si>
  <si>
    <t>超能勺子</t>
  </si>
  <si>
    <t>超能飞石</t>
  </si>
  <si>
    <t>超能量球</t>
  </si>
  <si>
    <t>机械引擎</t>
  </si>
  <si>
    <t>能量核心</t>
  </si>
  <si>
    <t>低等攻击天赋书</t>
  </si>
  <si>
    <t>中等攻击天赋书</t>
  </si>
  <si>
    <t>高等攻击天赋书</t>
  </si>
  <si>
    <t>低等生存天赋书</t>
  </si>
  <si>
    <t>中等生存天赋书</t>
  </si>
  <si>
    <t>高等生存天赋书</t>
  </si>
  <si>
    <t>中级实力徽章</t>
    <rPh sb="0" eb="1">
      <t>zhong'deng</t>
    </rPh>
    <rPh sb="1" eb="2">
      <t>ji</t>
    </rPh>
    <rPh sb="2" eb="3">
      <t>shi'li</t>
    </rPh>
    <rPh sb="4" eb="5">
      <t>hui'zhang</t>
    </rPh>
    <phoneticPr fontId="1" type="noConversion"/>
  </si>
  <si>
    <t>高级实力徽章</t>
    <rPh sb="0" eb="1">
      <t>gao</t>
    </rPh>
    <rPh sb="1" eb="2">
      <t>ji</t>
    </rPh>
    <rPh sb="2" eb="3">
      <t>shi'li</t>
    </rPh>
    <rPh sb="4" eb="5">
      <t>hui'zhang</t>
    </rPh>
    <phoneticPr fontId="1" type="noConversion"/>
  </si>
  <si>
    <t>特级实力徽章</t>
    <rPh sb="0" eb="1">
      <t>te</t>
    </rPh>
    <rPh sb="1" eb="2">
      <t>ji</t>
    </rPh>
    <rPh sb="2" eb="3">
      <t>shi'li</t>
    </rPh>
    <rPh sb="4" eb="5">
      <t>hui'zhang</t>
    </rPh>
    <phoneticPr fontId="1" type="noConversion"/>
  </si>
  <si>
    <t>超级实力徽章</t>
    <rPh sb="0" eb="1">
      <t>chao</t>
    </rPh>
    <rPh sb="1" eb="2">
      <t>ji</t>
    </rPh>
    <rPh sb="2" eb="3">
      <t>shi'li</t>
    </rPh>
    <rPh sb="4" eb="5">
      <t>hui'zhang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</si>
  <si>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</si>
  <si>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机械配件</t>
    <rPh sb="0" eb="1">
      <t>ji'xie</t>
    </rPh>
    <rPh sb="2" eb="3">
      <t>pei'jian</t>
    </rPh>
    <phoneticPr fontId="1" type="noConversion"/>
  </si>
  <si>
    <t>EventWorldBossDamageRank</t>
  </si>
  <si>
    <t>普通招募令</t>
    <rPh sb="0" eb="1">
      <t>pu'tong</t>
    </rPh>
    <rPh sb="2" eb="3">
      <t>zhao'mu'l</t>
    </rPh>
    <phoneticPr fontId="1" type="noConversion"/>
  </si>
  <si>
    <t>琦玉一拳</t>
    <rPh sb="0" eb="1">
      <t>qi'yu'yi'quan</t>
    </rPh>
    <phoneticPr fontId="1" type="noConversion"/>
  </si>
  <si>
    <t>琦玉连续拳</t>
    <rPh sb="0" eb="1">
      <t>qi'yu'lian'xu'quan</t>
    </rPh>
    <rPh sb="4" eb="5">
      <t>quan</t>
    </rPh>
    <phoneticPr fontId="1" type="noConversion"/>
  </si>
  <si>
    <t>体力包</t>
    <rPh sb="0" eb="1">
      <t>ti'li'bao</t>
    </rPh>
    <rPh sb="2" eb="3">
      <t>bao</t>
    </rPh>
    <phoneticPr fontId="1" type="noConversion"/>
  </si>
  <si>
    <t>普通招募令</t>
    <rPh sb="0" eb="1">
      <t>pu'tong</t>
    </rPh>
    <rPh sb="2" eb="3">
      <t>zhao'mu'ling</t>
    </rPh>
    <phoneticPr fontId="1" type="noConversion"/>
  </si>
  <si>
    <t>30体力包</t>
    <rPh sb="2" eb="3">
      <t>ti'li'bao</t>
    </rPh>
    <phoneticPr fontId="1" type="noConversion"/>
  </si>
  <si>
    <t>杰诺斯</t>
    <rPh sb="0" eb="1">
      <t>jie'nuo'si</t>
    </rPh>
    <phoneticPr fontId="1" type="noConversion"/>
  </si>
  <si>
    <t>警犬侠</t>
    <rPh sb="0" eb="1">
      <t>jign'quan'xia</t>
    </rPh>
    <phoneticPr fontId="1" type="noConversion"/>
  </si>
  <si>
    <t>item,102;item,103;coin,1</t>
    <phoneticPr fontId="1" type="noConversion"/>
  </si>
  <si>
    <t>60+</t>
    <phoneticPr fontId="1" type="noConversion"/>
  </si>
  <si>
    <t>分段</t>
    <rPh sb="0" eb="1">
      <t>fen'duan</t>
    </rPh>
    <phoneticPr fontId="1" type="noConversion"/>
  </si>
  <si>
    <t>伤害</t>
    <rPh sb="0" eb="1">
      <t>shagn'hai</t>
    </rPh>
    <phoneticPr fontId="1" type="noConversion"/>
  </si>
  <si>
    <t>基础分</t>
    <rPh sb="0" eb="1">
      <t>ji'chu</t>
    </rPh>
    <rPh sb="2" eb="3">
      <t>fen</t>
    </rPh>
    <phoneticPr fontId="1" type="noConversion"/>
  </si>
  <si>
    <t>加成分</t>
    <rPh sb="0" eb="1">
      <t>jia'cheng</t>
    </rPh>
    <rPh sb="2" eb="3">
      <t>fen</t>
    </rPh>
    <phoneticPr fontId="1" type="noConversion"/>
  </si>
  <si>
    <t>每日免费积分</t>
    <rPh sb="0" eb="1">
      <t>mei'ri</t>
    </rPh>
    <rPh sb="2" eb="3">
      <t>mian'fei</t>
    </rPh>
    <rPh sb="4" eb="5">
      <t>ji'fen</t>
    </rPh>
    <phoneticPr fontId="1" type="noConversion"/>
  </si>
  <si>
    <t>总免费积分</t>
    <rPh sb="0" eb="1">
      <t>zong</t>
    </rPh>
    <rPh sb="1" eb="2">
      <t>mian'fei</t>
    </rPh>
    <rPh sb="3" eb="4">
      <t>ji'fen</t>
    </rPh>
    <phoneticPr fontId="1" type="noConversion"/>
  </si>
  <si>
    <t>同上</t>
    <rPh sb="0" eb="1">
      <t>tong'shang</t>
    </rPh>
    <phoneticPr fontId="1" type="noConversion"/>
  </si>
  <si>
    <t>合并</t>
    <rPh sb="0" eb="1">
      <t>he'bing</t>
    </rPh>
    <phoneticPr fontId="1" type="noConversion"/>
  </si>
  <si>
    <t>积分变化</t>
    <rPh sb="0" eb="1">
      <t>ji'fen</t>
    </rPh>
    <rPh sb="2" eb="3">
      <t>bian'hua</t>
    </rPh>
    <phoneticPr fontId="1" type="noConversion"/>
  </si>
  <si>
    <t>时间/s</t>
    <rPh sb="0" eb="1">
      <t>shi'jian</t>
    </rPh>
    <phoneticPr fontId="1" type="noConversion"/>
  </si>
  <si>
    <t>时间/天</t>
    <rPh sb="0" eb="1">
      <t>shi'jian</t>
    </rPh>
    <rPh sb="3" eb="4">
      <t>tian</t>
    </rPh>
    <phoneticPr fontId="1" type="noConversion"/>
  </si>
  <si>
    <t>顶级</t>
    <rPh sb="0" eb="1">
      <t>ding'ji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</si>
</sst>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3" applyFont="1" applyAlignment="1">
      <alignment horizontal="center"/>
    </xf>
    <xf numFmtId="0" fontId="9" fillId="0" borderId="0" xfId="3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9" fillId="0" borderId="1" xfId="3" applyFont="1" applyBorder="1"/>
    <xf numFmtId="0" fontId="10" fillId="0" borderId="0" xfId="0" applyFont="1" applyAlignment="1">
      <alignment horizontal="center"/>
    </xf>
    <xf numFmtId="0" fontId="10" fillId="0" borderId="0" xfId="0" applyFont="1"/>
  </cellXfs>
  <cellStyles count="10">
    <cellStyle name="常规" xfId="0" builtinId="0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解释性文本" xfId="3" builtinId="53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  <row r="246">
          <cell r="B246" t="str">
            <v>战栗的龙卷普通技能卡</v>
          </cell>
          <cell r="D246" t="str">
            <v>skill,1</v>
          </cell>
          <cell r="E246">
            <v>500</v>
          </cell>
        </row>
        <row r="247">
          <cell r="B247" t="str">
            <v>战栗的龙卷主动技能卡-1</v>
          </cell>
          <cell r="D247" t="str">
            <v>skill,2</v>
          </cell>
          <cell r="E247">
            <v>1000</v>
          </cell>
        </row>
        <row r="248">
          <cell r="B248" t="str">
            <v>战栗的龙卷主动技能卡-2</v>
          </cell>
          <cell r="D248" t="str">
            <v>skill,3</v>
          </cell>
          <cell r="E248">
            <v>1000</v>
          </cell>
        </row>
        <row r="249">
          <cell r="B249" t="str">
            <v>战栗的龙卷特质1技能卡</v>
          </cell>
          <cell r="D249" t="str">
            <v>skill,4</v>
          </cell>
          <cell r="E249">
            <v>500</v>
          </cell>
        </row>
        <row r="250">
          <cell r="B250" t="str">
            <v>战栗的龙卷特质2技能卡</v>
          </cell>
          <cell r="D250" t="str">
            <v>skill,5</v>
          </cell>
          <cell r="E250">
            <v>500</v>
          </cell>
        </row>
        <row r="251">
          <cell r="B251" t="str">
            <v>战栗的龙卷特质3技能卡-1</v>
          </cell>
          <cell r="D251" t="str">
            <v>skill,6</v>
          </cell>
          <cell r="E251">
            <v>500</v>
          </cell>
        </row>
        <row r="252">
          <cell r="B252" t="str">
            <v>战栗的龙卷特质3技能卡-2</v>
          </cell>
          <cell r="D252" t="str">
            <v>skill,7</v>
          </cell>
          <cell r="E252">
            <v>500</v>
          </cell>
        </row>
        <row r="253">
          <cell r="B253" t="str">
            <v>战栗的龙卷特质4技能卡</v>
          </cell>
          <cell r="D253" t="str">
            <v>skill,8</v>
          </cell>
          <cell r="E253">
            <v>500</v>
          </cell>
        </row>
        <row r="254">
          <cell r="B254" t="str">
            <v>地狱的吹雪普通技能卡</v>
          </cell>
          <cell r="D254" t="str">
            <v>skill,9</v>
          </cell>
          <cell r="E254">
            <v>300</v>
          </cell>
        </row>
        <row r="255">
          <cell r="B255" t="str">
            <v>地狱的吹雪主动技能卡</v>
          </cell>
          <cell r="D255" t="str">
            <v>skill,10</v>
          </cell>
          <cell r="E255">
            <v>600</v>
          </cell>
        </row>
        <row r="256">
          <cell r="B256" t="str">
            <v>地狱的吹雪特质3技能卡</v>
          </cell>
          <cell r="D256" t="str">
            <v>skill,11</v>
          </cell>
          <cell r="E256">
            <v>300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130" zoomScaleNormal="130" zoomScalePageLayoutView="130" workbookViewId="0">
      <selection activeCell="O36" sqref="O36"/>
    </sheetView>
  </sheetViews>
  <sheetFormatPr baseColWidth="10" defaultColWidth="8.83203125" defaultRowHeight="13" x14ac:dyDescent="0.15"/>
  <cols>
    <col min="1" max="1" width="8.1640625" style="3" bestFit="1" customWidth="1"/>
    <col min="2" max="2" width="9.1640625" style="3" customWidth="1"/>
    <col min="3" max="5" width="8.83203125" style="3"/>
    <col min="6" max="7" width="8.83203125" style="1"/>
    <col min="8" max="9" width="8.83203125" style="3"/>
    <col min="10" max="10" width="10.1640625" style="3" bestFit="1" customWidth="1"/>
    <col min="11" max="11" width="8.83203125" style="1"/>
    <col min="12" max="13" width="8.83203125" style="3"/>
    <col min="14" max="14" width="7" style="3" customWidth="1"/>
    <col min="15" max="17" width="8.83203125" style="3"/>
    <col min="18" max="18" width="11.5" style="3" bestFit="1" customWidth="1"/>
    <col min="19" max="16384" width="8.83203125" style="3"/>
  </cols>
  <sheetData>
    <row r="1" spans="1:22" x14ac:dyDescent="0.15">
      <c r="J1" s="3" t="s">
        <v>33</v>
      </c>
      <c r="K1" s="1">
        <v>8</v>
      </c>
      <c r="M1" s="3" t="s">
        <v>50</v>
      </c>
    </row>
    <row r="2" spans="1:22" x14ac:dyDescent="0.15">
      <c r="A2" s="1"/>
      <c r="B2" s="1"/>
      <c r="C2" s="1" t="s">
        <v>2</v>
      </c>
      <c r="D2" s="1" t="s">
        <v>1</v>
      </c>
      <c r="J2" s="3" t="s">
        <v>34</v>
      </c>
      <c r="K2" s="1">
        <v>900000</v>
      </c>
    </row>
    <row r="3" spans="1:22" x14ac:dyDescent="0.15">
      <c r="A3" s="1" t="s">
        <v>3</v>
      </c>
      <c r="B3" s="1" t="s">
        <v>0</v>
      </c>
      <c r="C3" s="1">
        <f>K2</f>
        <v>900000</v>
      </c>
      <c r="D3" s="1">
        <f>SUM(D4:D8)</f>
        <v>1700</v>
      </c>
      <c r="J3" s="3" t="s">
        <v>35</v>
      </c>
      <c r="K3" s="1">
        <f>D3*(1+MAX(K17:K19))</f>
        <v>2210</v>
      </c>
      <c r="N3" s="3" t="s">
        <v>150</v>
      </c>
      <c r="O3" s="3" t="s">
        <v>151</v>
      </c>
      <c r="P3" s="3" t="s">
        <v>152</v>
      </c>
      <c r="Q3" s="3" t="s">
        <v>153</v>
      </c>
      <c r="R3" s="3" t="s">
        <v>154</v>
      </c>
      <c r="S3" s="3" t="s">
        <v>155</v>
      </c>
      <c r="T3" s="3" t="s">
        <v>159</v>
      </c>
      <c r="U3" s="3" t="s">
        <v>160</v>
      </c>
      <c r="V3" s="3" t="s">
        <v>158</v>
      </c>
    </row>
    <row r="4" spans="1:22" x14ac:dyDescent="0.15">
      <c r="A4" s="1">
        <v>50000</v>
      </c>
      <c r="B4" s="1">
        <v>5.0000000000000001E-3</v>
      </c>
      <c r="C4" s="1">
        <f>MAX(IF(C3&gt;A4,A4,C3),0)</f>
        <v>50000</v>
      </c>
      <c r="D4" s="1">
        <f>B4*C4</f>
        <v>250</v>
      </c>
      <c r="J4" s="3" t="s">
        <v>36</v>
      </c>
      <c r="K4" s="1">
        <f>K3*K1</f>
        <v>17680</v>
      </c>
      <c r="N4" s="1">
        <v>20</v>
      </c>
      <c r="O4" s="3">
        <v>5000</v>
      </c>
      <c r="P4" s="1">
        <f>IF(O4&lt;=$A$4,O4*$B$4,$A$4*$B$4+IF(O4&lt;=$A$5,(O4-$A$4)*$B$5,($A$5-$A$4)*$B$5+IF(O4&lt;=$A$6,(O4-$A$5)*$B$6,($A$6-$A$5)*$B$6+IF(O4&lt;=$A$7,(O4-$A$6)*$B$7,($A$7-$A$6)*$B$7+IF(O4&lt;=$A$8,(O4-$A$7)*$B$8,($A$8-$A$7)*$B$8)))))</f>
        <v>25</v>
      </c>
      <c r="Q4" s="3">
        <f>P4*(1+$K$18)</f>
        <v>30</v>
      </c>
      <c r="R4" s="3">
        <f>Q4*$K$1</f>
        <v>240</v>
      </c>
      <c r="S4" s="3">
        <f>R4*$K$7</f>
        <v>2400</v>
      </c>
      <c r="T4" s="3">
        <v>600</v>
      </c>
      <c r="U4" s="3">
        <f>T4/3600/24</f>
        <v>6.9444444444444441E-3</v>
      </c>
      <c r="V4" s="3">
        <f>INT(U4*R4)</f>
        <v>1</v>
      </c>
    </row>
    <row r="5" spans="1:22" x14ac:dyDescent="0.15">
      <c r="A5" s="1">
        <v>200000</v>
      </c>
      <c r="B5" s="1">
        <v>3.0000000000000001E-3</v>
      </c>
      <c r="C5" s="1">
        <f>MAX(IF($C$3&gt;A5,A5-A4,$C$3-A4),0)</f>
        <v>150000</v>
      </c>
      <c r="D5" s="1">
        <f t="shared" ref="D5:D8" si="0">B5*C5</f>
        <v>450</v>
      </c>
      <c r="N5" s="1">
        <v>30</v>
      </c>
      <c r="O5" s="3">
        <v>10000</v>
      </c>
      <c r="P5" s="1">
        <f t="shared" ref="P5:P10" si="1">IF(O5&lt;=$A$4,O5*$B$4,$A$4*$B$4+IF(O5&lt;=$A$5,(O5-$A$4)*$B$5,($A$5-$A$4)*$B$5+IF(O5&lt;=$A$6,(O5-$A$5)*$B$6,($A$6-$A$5)*$B$6+IF(O5&lt;=$A$7,(O5-$A$6)*$B$7,($A$7-$A$6)*$B$7+IF(O5&lt;=$A$8,(O5-$A$7)*$B$8,($A$8-$A$7)*$B$8)))))</f>
        <v>50</v>
      </c>
      <c r="Q5" s="3">
        <f t="shared" ref="Q5:Q10" si="2">P5*(1+$K$18)</f>
        <v>60</v>
      </c>
      <c r="R5" s="3">
        <f t="shared" ref="R5:R10" si="3">Q5*$K$1</f>
        <v>480</v>
      </c>
      <c r="S5" s="3">
        <f t="shared" ref="S5:S10" si="4">R5*$K$7</f>
        <v>4800</v>
      </c>
      <c r="T5" s="3">
        <v>600</v>
      </c>
      <c r="U5" s="3">
        <f t="shared" ref="U5:U10" si="5">T5/3600/24</f>
        <v>6.9444444444444441E-3</v>
      </c>
      <c r="V5" s="3">
        <f t="shared" ref="V5:V10" si="6">INT(U5*R5)</f>
        <v>3</v>
      </c>
    </row>
    <row r="6" spans="1:22" x14ac:dyDescent="0.15">
      <c r="A6" s="1">
        <v>500000</v>
      </c>
      <c r="B6" s="1">
        <v>2E-3</v>
      </c>
      <c r="C6" s="1">
        <f t="shared" ref="C6:C8" si="7">MAX(IF($C$3&gt;A6,A6-A5,$C$3-A5),0)</f>
        <v>300000</v>
      </c>
      <c r="D6" s="1">
        <f t="shared" si="0"/>
        <v>600</v>
      </c>
      <c r="N6" s="1">
        <v>40</v>
      </c>
      <c r="O6" s="3">
        <v>40000</v>
      </c>
      <c r="P6" s="1">
        <f t="shared" si="1"/>
        <v>200</v>
      </c>
      <c r="Q6" s="3">
        <f t="shared" si="2"/>
        <v>240</v>
      </c>
      <c r="R6" s="3">
        <f t="shared" si="3"/>
        <v>1920</v>
      </c>
      <c r="S6" s="3">
        <f t="shared" si="4"/>
        <v>19200</v>
      </c>
      <c r="T6" s="3">
        <v>600</v>
      </c>
      <c r="U6" s="3">
        <f t="shared" si="5"/>
        <v>6.9444444444444441E-3</v>
      </c>
      <c r="V6" s="3">
        <f t="shared" si="6"/>
        <v>13</v>
      </c>
    </row>
    <row r="7" spans="1:22" x14ac:dyDescent="0.15">
      <c r="A7" s="1">
        <v>1000000</v>
      </c>
      <c r="B7" s="1">
        <v>1E-3</v>
      </c>
      <c r="C7" s="1">
        <f t="shared" si="7"/>
        <v>400000</v>
      </c>
      <c r="D7" s="1">
        <f t="shared" si="0"/>
        <v>400</v>
      </c>
      <c r="J7" s="3" t="s">
        <v>37</v>
      </c>
      <c r="K7" s="1">
        <v>10</v>
      </c>
      <c r="N7" s="1">
        <v>50</v>
      </c>
      <c r="O7" s="3">
        <v>100000</v>
      </c>
      <c r="P7" s="1">
        <f t="shared" si="1"/>
        <v>400</v>
      </c>
      <c r="Q7" s="3">
        <f t="shared" si="2"/>
        <v>480</v>
      </c>
      <c r="R7" s="3">
        <f t="shared" si="3"/>
        <v>3840</v>
      </c>
      <c r="S7" s="3">
        <f t="shared" si="4"/>
        <v>38400</v>
      </c>
      <c r="T7" s="3">
        <v>600</v>
      </c>
      <c r="U7" s="3">
        <f t="shared" si="5"/>
        <v>6.9444444444444441E-3</v>
      </c>
      <c r="V7" s="3">
        <f t="shared" si="6"/>
        <v>26</v>
      </c>
    </row>
    <row r="8" spans="1:22" x14ac:dyDescent="0.15">
      <c r="A8" s="1">
        <v>9999999</v>
      </c>
      <c r="B8" s="1">
        <v>5.0000000000000001E-4</v>
      </c>
      <c r="C8" s="1">
        <f t="shared" si="7"/>
        <v>0</v>
      </c>
      <c r="D8" s="1">
        <f t="shared" si="0"/>
        <v>0</v>
      </c>
      <c r="J8" s="3" t="s">
        <v>38</v>
      </c>
      <c r="K8" s="1">
        <f>K7*K4</f>
        <v>176800</v>
      </c>
      <c r="N8" s="1">
        <v>60</v>
      </c>
      <c r="O8" s="3">
        <v>350000</v>
      </c>
      <c r="P8" s="1">
        <f t="shared" si="1"/>
        <v>1000</v>
      </c>
      <c r="Q8" s="3">
        <f t="shared" si="2"/>
        <v>1200</v>
      </c>
      <c r="R8" s="3">
        <f t="shared" si="3"/>
        <v>9600</v>
      </c>
      <c r="S8" s="3">
        <f t="shared" si="4"/>
        <v>96000</v>
      </c>
      <c r="T8" s="3">
        <v>600</v>
      </c>
      <c r="U8" s="3">
        <f t="shared" si="5"/>
        <v>6.9444444444444441E-3</v>
      </c>
      <c r="V8" s="3">
        <f t="shared" si="6"/>
        <v>66</v>
      </c>
    </row>
    <row r="9" spans="1:22" x14ac:dyDescent="0.15">
      <c r="N9" s="1" t="s">
        <v>149</v>
      </c>
      <c r="O9" s="3">
        <v>750000</v>
      </c>
      <c r="P9" s="1">
        <f t="shared" si="1"/>
        <v>1550</v>
      </c>
      <c r="Q9" s="3">
        <f t="shared" si="2"/>
        <v>1860</v>
      </c>
      <c r="R9" s="3">
        <f t="shared" si="3"/>
        <v>14880</v>
      </c>
      <c r="S9" s="3">
        <f t="shared" si="4"/>
        <v>148800</v>
      </c>
      <c r="T9" s="3">
        <v>600</v>
      </c>
      <c r="U9" s="3">
        <f t="shared" si="5"/>
        <v>6.9444444444444441E-3</v>
      </c>
      <c r="V9" s="3">
        <f t="shared" si="6"/>
        <v>103</v>
      </c>
    </row>
    <row r="10" spans="1:22" x14ac:dyDescent="0.15">
      <c r="N10" s="3" t="s">
        <v>161</v>
      </c>
      <c r="O10" s="3">
        <v>1600000</v>
      </c>
      <c r="P10" s="3">
        <f t="shared" si="1"/>
        <v>2100</v>
      </c>
      <c r="Q10" s="3">
        <f t="shared" si="2"/>
        <v>2520</v>
      </c>
      <c r="R10" s="3">
        <f t="shared" si="3"/>
        <v>20160</v>
      </c>
      <c r="S10" s="3">
        <f t="shared" si="4"/>
        <v>201600</v>
      </c>
      <c r="T10" s="3">
        <v>600</v>
      </c>
      <c r="U10" s="3">
        <f t="shared" si="5"/>
        <v>6.9444444444444441E-3</v>
      </c>
      <c r="V10" s="3">
        <f t="shared" si="6"/>
        <v>140</v>
      </c>
    </row>
    <row r="11" spans="1:22" x14ac:dyDescent="0.15">
      <c r="J11" s="3" t="s">
        <v>39</v>
      </c>
      <c r="K11" s="1">
        <v>150000</v>
      </c>
    </row>
    <row r="12" spans="1:22" x14ac:dyDescent="0.15">
      <c r="J12" s="3" t="s">
        <v>49</v>
      </c>
      <c r="K12" s="1">
        <f>K11/K1/K3</f>
        <v>8.4841628959276019</v>
      </c>
    </row>
    <row r="16" spans="1:22" x14ac:dyDescent="0.15">
      <c r="J16" s="3" t="s">
        <v>47</v>
      </c>
    </row>
    <row r="17" spans="1:11" x14ac:dyDescent="0.15">
      <c r="I17" s="3">
        <v>62</v>
      </c>
      <c r="J17" s="12" t="s">
        <v>147</v>
      </c>
      <c r="K17" s="8">
        <v>0.3</v>
      </c>
    </row>
    <row r="18" spans="1:11" x14ac:dyDescent="0.15">
      <c r="I18" s="3">
        <v>49</v>
      </c>
      <c r="J18" s="12" t="s">
        <v>146</v>
      </c>
      <c r="K18" s="8">
        <v>0.2</v>
      </c>
    </row>
    <row r="19" spans="1:11" x14ac:dyDescent="0.15">
      <c r="I19" s="3">
        <v>52</v>
      </c>
      <c r="J19" s="12" t="s">
        <v>48</v>
      </c>
      <c r="K19" s="8">
        <v>0.1</v>
      </c>
    </row>
    <row r="22" spans="1:11" x14ac:dyDescent="0.15">
      <c r="A22" s="3">
        <v>1</v>
      </c>
      <c r="B22" s="3">
        <v>5000</v>
      </c>
      <c r="C22" s="3">
        <v>4.0000000000000001E-3</v>
      </c>
      <c r="D22" s="3">
        <f>C22*10000</f>
        <v>40</v>
      </c>
    </row>
    <row r="23" spans="1:11" x14ac:dyDescent="0.15">
      <c r="A23" s="3">
        <v>2</v>
      </c>
      <c r="B23" s="3">
        <v>10000</v>
      </c>
      <c r="C23" s="3">
        <v>4.0000000000000001E-3</v>
      </c>
      <c r="D23" s="3">
        <f t="shared" ref="D23:D38" si="8">C23*10000</f>
        <v>40</v>
      </c>
    </row>
    <row r="24" spans="1:11" x14ac:dyDescent="0.15">
      <c r="A24" s="3">
        <v>3</v>
      </c>
      <c r="B24" s="3">
        <v>20000</v>
      </c>
      <c r="C24" s="3">
        <v>4.0000000000000001E-3</v>
      </c>
      <c r="D24" s="3">
        <f t="shared" si="8"/>
        <v>40</v>
      </c>
    </row>
    <row r="25" spans="1:11" x14ac:dyDescent="0.15">
      <c r="A25" s="3">
        <v>4</v>
      </c>
      <c r="B25" s="3">
        <v>40000</v>
      </c>
      <c r="C25" s="3">
        <v>4.0000000000000001E-3</v>
      </c>
      <c r="D25" s="3">
        <f t="shared" si="8"/>
        <v>40</v>
      </c>
    </row>
    <row r="26" spans="1:11" x14ac:dyDescent="0.15">
      <c r="A26" s="3">
        <v>5</v>
      </c>
      <c r="B26" s="3">
        <v>60000</v>
      </c>
      <c r="C26" s="3">
        <v>2.5000000000000001E-3</v>
      </c>
      <c r="D26" s="3">
        <f t="shared" si="8"/>
        <v>25</v>
      </c>
    </row>
    <row r="27" spans="1:11" x14ac:dyDescent="0.15">
      <c r="A27" s="3">
        <v>6</v>
      </c>
      <c r="B27" s="3">
        <v>100000</v>
      </c>
      <c r="C27" s="3">
        <v>2.5000000000000001E-3</v>
      </c>
      <c r="D27" s="3">
        <f t="shared" si="8"/>
        <v>25</v>
      </c>
      <c r="J27" s="3">
        <f>8*1.2</f>
        <v>9.6</v>
      </c>
    </row>
    <row r="28" spans="1:11" x14ac:dyDescent="0.15">
      <c r="A28" s="3">
        <v>7</v>
      </c>
      <c r="B28" s="3">
        <v>150000</v>
      </c>
      <c r="C28" s="3">
        <v>2.5000000000000001E-3</v>
      </c>
      <c r="D28" s="3">
        <f t="shared" si="8"/>
        <v>25</v>
      </c>
    </row>
    <row r="29" spans="1:11" x14ac:dyDescent="0.15">
      <c r="A29" s="3">
        <v>8</v>
      </c>
      <c r="B29" s="3">
        <v>230000</v>
      </c>
      <c r="C29" s="3">
        <v>1.6000000000000001E-3</v>
      </c>
      <c r="D29" s="3">
        <f t="shared" si="8"/>
        <v>16</v>
      </c>
    </row>
    <row r="30" spans="1:11" x14ac:dyDescent="0.15">
      <c r="A30" s="3">
        <v>9</v>
      </c>
      <c r="B30" s="3">
        <v>350000</v>
      </c>
      <c r="C30" s="3">
        <v>1.6000000000000001E-3</v>
      </c>
      <c r="D30" s="3">
        <f t="shared" si="8"/>
        <v>16</v>
      </c>
    </row>
    <row r="31" spans="1:11" x14ac:dyDescent="0.15">
      <c r="A31" s="3">
        <v>10</v>
      </c>
      <c r="B31" s="3">
        <v>520000</v>
      </c>
      <c r="C31" s="3">
        <v>1.6000000000000001E-3</v>
      </c>
      <c r="D31" s="3">
        <f t="shared" si="8"/>
        <v>16</v>
      </c>
    </row>
    <row r="32" spans="1:11" x14ac:dyDescent="0.15">
      <c r="A32" s="3">
        <v>11</v>
      </c>
      <c r="B32" s="3">
        <v>750000</v>
      </c>
      <c r="C32" s="3">
        <v>1.6000000000000001E-3</v>
      </c>
      <c r="D32" s="3">
        <f t="shared" si="8"/>
        <v>16</v>
      </c>
    </row>
    <row r="33" spans="1:4" x14ac:dyDescent="0.15">
      <c r="A33" s="3">
        <v>12</v>
      </c>
      <c r="B33" s="3">
        <v>1100000</v>
      </c>
      <c r="C33" s="3">
        <v>8.0000000000000002E-3</v>
      </c>
      <c r="D33" s="3">
        <f t="shared" si="8"/>
        <v>80</v>
      </c>
    </row>
    <row r="34" spans="1:4" x14ac:dyDescent="0.15">
      <c r="A34" s="3">
        <v>13</v>
      </c>
      <c r="B34" s="3">
        <v>1600000</v>
      </c>
      <c r="C34" s="3">
        <v>4.0000000000000002E-4</v>
      </c>
      <c r="D34" s="3">
        <f t="shared" si="8"/>
        <v>4</v>
      </c>
    </row>
    <row r="35" spans="1:4" x14ac:dyDescent="0.15">
      <c r="A35" s="3">
        <v>14</v>
      </c>
      <c r="B35" s="3">
        <v>2400000</v>
      </c>
      <c r="C35" s="3">
        <v>2.0000000000000001E-4</v>
      </c>
      <c r="D35" s="3">
        <f t="shared" si="8"/>
        <v>2</v>
      </c>
    </row>
    <row r="36" spans="1:4" x14ac:dyDescent="0.15">
      <c r="A36" s="3">
        <v>15</v>
      </c>
      <c r="B36" s="3">
        <v>3600000</v>
      </c>
      <c r="C36" s="3">
        <v>1E-4</v>
      </c>
      <c r="D36" s="3">
        <f t="shared" si="8"/>
        <v>1</v>
      </c>
    </row>
    <row r="37" spans="1:4" x14ac:dyDescent="0.15">
      <c r="A37" s="3">
        <v>16</v>
      </c>
      <c r="B37" s="3">
        <v>5400000</v>
      </c>
      <c r="C37" s="3">
        <v>1E-4</v>
      </c>
      <c r="D37" s="3">
        <f t="shared" si="8"/>
        <v>1</v>
      </c>
    </row>
    <row r="38" spans="1:4" x14ac:dyDescent="0.15">
      <c r="A38" s="3">
        <v>17</v>
      </c>
      <c r="B38" s="3">
        <v>999999999</v>
      </c>
      <c r="C38" s="3">
        <v>1E-4</v>
      </c>
      <c r="D38" s="3">
        <f t="shared" si="8"/>
        <v>1</v>
      </c>
    </row>
    <row r="39" spans="1:4" x14ac:dyDescent="0.15">
      <c r="B39" s="3" t="str">
        <f>B22&amp;";"&amp;B23&amp;";"&amp;B24&amp;";"&amp;B25&amp;";"&amp;B26&amp;";"&amp;B27&amp;";"&amp;B28&amp;";"&amp;B29&amp;";"&amp;B30&amp;";"&amp;B31&amp;";"&amp;B32&amp;";"&amp;B33&amp;";"&amp;B34&amp;";"&amp;B35&amp;";"&amp;B36&amp;";"&amp;B37&amp;";"&amp;B38</f>
        <v>5000;10000;20000;40000;60000;100000;150000;230000;350000;520000;750000;1100000;1600000;2400000;3600000;5400000;999999999</v>
      </c>
      <c r="D39" s="3" t="str">
        <f>D22&amp;","&amp;D23&amp;","&amp;D24&amp;","&amp;D25&amp;","&amp;D26&amp;","&amp;D27&amp;","&amp;D28&amp;","&amp;D29&amp;","&amp;D30&amp;","&amp;D31&amp;","&amp;D32&amp;","&amp;D33&amp;","&amp;D34&amp;","&amp;D35&amp;","&amp;D36&amp;","&amp;D37&amp;","&amp;D38</f>
        <v>40,40,40,40,25,25,25,16,16,16,16,80,4,2,1,1,1</v>
      </c>
    </row>
    <row r="41" spans="1:4" x14ac:dyDescent="0.15">
      <c r="B41" s="3" t="str">
        <f>D39</f>
        <v>40,40,40,40,25,25,25,16,16,16,16,80,4,2,1,1,1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tabSelected="1" topLeftCell="W28" zoomScale="120" zoomScaleNormal="120" zoomScalePageLayoutView="120" workbookViewId="0">
      <selection activeCell="AI45" sqref="AI45"/>
    </sheetView>
  </sheetViews>
  <sheetFormatPr baseColWidth="10" defaultColWidth="8.83203125" defaultRowHeight="13" x14ac:dyDescent="0.15"/>
  <cols>
    <col min="1" max="1" width="14.83203125" style="2" customWidth="1"/>
    <col min="2" max="8" width="6.6640625" style="2" customWidth="1"/>
    <col min="9" max="9" width="7.33203125" style="2" bestFit="1" customWidth="1"/>
    <col min="10" max="11" width="8.1640625" style="1" customWidth="1"/>
    <col min="12" max="12" width="10.5" style="2" bestFit="1" customWidth="1"/>
    <col min="13" max="14" width="6.6640625" style="2" customWidth="1"/>
    <col min="15" max="15" width="10.5" style="2" bestFit="1" customWidth="1"/>
    <col min="16" max="18" width="6.1640625" style="2" customWidth="1"/>
    <col min="19" max="22" width="8.83203125" style="2"/>
    <col min="23" max="24" width="30.83203125" style="2" bestFit="1" customWidth="1"/>
    <col min="25" max="25" width="8.83203125" style="4"/>
    <col min="26" max="26" width="8.83203125" style="2"/>
    <col min="27" max="27" width="11.1640625" style="2" bestFit="1" customWidth="1"/>
    <col min="28" max="28" width="13.1640625" style="2" bestFit="1" customWidth="1"/>
    <col min="29" max="30" width="8.83203125" style="2"/>
    <col min="31" max="31" width="13.1640625" style="2" bestFit="1" customWidth="1"/>
    <col min="32" max="32" width="8.83203125" style="2"/>
    <col min="33" max="33" width="8.83203125" style="4"/>
    <col min="34" max="34" width="15.5" style="2" customWidth="1"/>
    <col min="35" max="48" width="8.83203125" style="2"/>
    <col min="49" max="50" width="26.83203125" style="2" bestFit="1" customWidth="1"/>
    <col min="51" max="16384" width="8.83203125" style="2"/>
  </cols>
  <sheetData>
    <row r="1" spans="1:53" ht="15" x14ac:dyDescent="0.2">
      <c r="B1" s="4" t="s">
        <v>41</v>
      </c>
      <c r="C1" s="4" t="s">
        <v>42</v>
      </c>
      <c r="D1" s="4" t="s">
        <v>43</v>
      </c>
      <c r="E1" s="4"/>
      <c r="F1" s="4"/>
      <c r="G1" s="4"/>
      <c r="H1" s="4"/>
      <c r="J1" s="1" t="s">
        <v>56</v>
      </c>
      <c r="K1" s="9" t="s">
        <v>139</v>
      </c>
      <c r="AA1" s="4" t="s">
        <v>32</v>
      </c>
      <c r="AB1" s="4" t="s">
        <v>26</v>
      </c>
      <c r="AC1" s="4" t="s">
        <v>27</v>
      </c>
      <c r="AD1" s="4" t="s">
        <v>28</v>
      </c>
      <c r="AE1" s="4" t="s">
        <v>26</v>
      </c>
      <c r="AF1" s="4" t="s">
        <v>27</v>
      </c>
      <c r="AG1" s="4" t="s">
        <v>28</v>
      </c>
      <c r="AH1" s="4" t="s">
        <v>26</v>
      </c>
      <c r="AI1" s="4" t="s">
        <v>27</v>
      </c>
      <c r="AJ1" s="4" t="s">
        <v>28</v>
      </c>
      <c r="AK1" s="4" t="s">
        <v>26</v>
      </c>
      <c r="AL1" s="4" t="s">
        <v>27</v>
      </c>
      <c r="AM1" s="4" t="s">
        <v>28</v>
      </c>
      <c r="AN1" s="3" t="s">
        <v>73</v>
      </c>
      <c r="AO1" s="4" t="s">
        <v>29</v>
      </c>
      <c r="AP1" s="4" t="s">
        <v>30</v>
      </c>
      <c r="AS1"/>
      <c r="AW1" s="3" t="s">
        <v>97</v>
      </c>
      <c r="AX1" s="3" t="s">
        <v>98</v>
      </c>
      <c r="BA1" s="4" t="s">
        <v>46</v>
      </c>
    </row>
    <row r="2" spans="1:53" x14ac:dyDescent="0.15">
      <c r="A2" s="2" t="s">
        <v>40</v>
      </c>
      <c r="B2" s="5">
        <v>40000</v>
      </c>
      <c r="C2" s="5">
        <v>30000</v>
      </c>
      <c r="D2" s="5">
        <v>20000</v>
      </c>
      <c r="E2" s="5"/>
      <c r="F2" s="5"/>
      <c r="G2" s="5"/>
      <c r="H2" s="5"/>
      <c r="J2" s="1" t="s">
        <v>24</v>
      </c>
      <c r="K2" s="1" t="s">
        <v>25</v>
      </c>
      <c r="L2" s="2" t="s">
        <v>26</v>
      </c>
      <c r="W2" s="3" t="s">
        <v>84</v>
      </c>
      <c r="X2" s="3" t="s">
        <v>83</v>
      </c>
      <c r="Y2" s="4" t="s">
        <v>46</v>
      </c>
      <c r="AA2" s="4">
        <v>500</v>
      </c>
      <c r="AB2" s="1" t="s">
        <v>94</v>
      </c>
      <c r="AC2" s="1">
        <v>10</v>
      </c>
      <c r="AD2" s="1">
        <f>VLOOKUP(AB2,价值!$B:$G,6,0)*AC2</f>
        <v>60</v>
      </c>
      <c r="AE2" s="1" t="s">
        <v>80</v>
      </c>
      <c r="AF2" s="1">
        <v>3</v>
      </c>
      <c r="AG2" s="1">
        <f>VLOOKUP(AE2,价值!$B:$G,6,0)*AF2</f>
        <v>54</v>
      </c>
      <c r="AH2" s="1"/>
      <c r="AI2" s="1"/>
      <c r="AJ2" s="1">
        <f>VLOOKUP(AH2,价值!$B:$G,6,0)*AI2</f>
        <v>0</v>
      </c>
      <c r="AK2" s="1"/>
      <c r="AL2" s="1"/>
      <c r="AM2" s="1">
        <f>VLOOKUP(AK2,价值!$B:$G,6,0)*AL2</f>
        <v>0</v>
      </c>
      <c r="AN2" s="2">
        <f>AD2+AG2+AJ2+AM2</f>
        <v>114</v>
      </c>
      <c r="AO2" s="4" t="str">
        <f>VLOOKUP(AB2,价值!$B:$G,3,0)&amp;","&amp;AC2</f>
        <v>prop,202,10</v>
      </c>
      <c r="AP2" s="3" t="str">
        <f>IF(VLOOKUP(AB2,价值!$B:$G,5,0)=0,AO2,VLOOKUP(AB2,价值!$B:$G,5,0)&amp;","&amp;AC2)</f>
        <v>prop,202,10</v>
      </c>
      <c r="AQ2" s="4" t="str">
        <f>VLOOKUP(AE2,价值!$B:$G,3,0)&amp;","&amp;AF2</f>
        <v>prop,104,3</v>
      </c>
      <c r="AR2" s="3" t="str">
        <f>IF(VLOOKUP(AE2,价值!$B:$G,5,0)=0,AQ2,VLOOKUP(AE2,价值!$B:$G,5,0)&amp;","&amp;AF2)</f>
        <v>prop,104,3</v>
      </c>
      <c r="AS2" s="4" t="str">
        <f>IF(AH2="","",VLOOKUP(AH2,价值!$B:$G,3,0)&amp;","&amp;AI2)</f>
        <v/>
      </c>
      <c r="AT2" s="3" t="str">
        <f>IF(VLOOKUP(AH2,价值!$B:$G,5,0)=0,AS2,VLOOKUP(AH2,价值!$B:$G,5,0)&amp;","&amp;AI2)</f>
        <v/>
      </c>
      <c r="AU2" s="4" t="str">
        <f>VLOOKUP(AK2,价值!$B:$G,3,0)&amp;","&amp;AL2</f>
        <v>0,</v>
      </c>
      <c r="AV2" s="3" t="str">
        <f>IF(VLOOKUP(AK2,价值!$B:$G,5,0)=0,AU2,VLOOKUP(AK2,价值!$B:$G,5,0)&amp;","&amp;AL2)</f>
        <v>0,</v>
      </c>
      <c r="AW2" s="14" t="str">
        <f>AO2&amp;";"&amp;AQ2&amp;IF(AS2="","",";"&amp;AS2)</f>
        <v>prop,202,10;prop,104,3</v>
      </c>
      <c r="AX2" s="14" t="str">
        <f>AP2&amp;";"&amp;AR2&amp;IF(AT2="","",";"&amp;AT2)</f>
        <v>prop,202,10;prop,104,3</v>
      </c>
      <c r="BA2" s="4"/>
    </row>
    <row r="3" spans="1:53" x14ac:dyDescent="0.15">
      <c r="A3" s="2" t="s">
        <v>32</v>
      </c>
      <c r="B3" s="4">
        <f>D3</f>
        <v>12800</v>
      </c>
      <c r="C3" s="4">
        <f>D3</f>
        <v>12800</v>
      </c>
      <c r="D3" s="4">
        <f>D2-SUM(D4:D7)</f>
        <v>12800</v>
      </c>
      <c r="E3" s="4"/>
      <c r="F3" s="4"/>
      <c r="G3" s="4"/>
      <c r="H3" s="4"/>
      <c r="J3" s="1">
        <v>1</v>
      </c>
      <c r="K3" s="1">
        <v>1</v>
      </c>
      <c r="L3" s="3" t="s">
        <v>88</v>
      </c>
      <c r="W3" s="15" t="s">
        <v>89</v>
      </c>
      <c r="X3" s="15" t="s">
        <v>89</v>
      </c>
      <c r="Y3" s="5"/>
      <c r="AA3" s="4">
        <v>1000</v>
      </c>
      <c r="AB3" s="1" t="s">
        <v>110</v>
      </c>
      <c r="AC3" s="1">
        <v>2</v>
      </c>
      <c r="AD3" s="1">
        <f>VLOOKUP(AB3,价值!$B:$G,6,0)*AC3</f>
        <v>120</v>
      </c>
      <c r="AE3" s="1" t="s">
        <v>108</v>
      </c>
      <c r="AF3" s="1">
        <v>2</v>
      </c>
      <c r="AG3" s="1">
        <f>VLOOKUP(AE3,价值!$B:$G,6,0)*AF3</f>
        <v>60</v>
      </c>
      <c r="AH3" s="1"/>
      <c r="AI3" s="1"/>
      <c r="AJ3" s="1">
        <f>VLOOKUP(AH3,价值!$B:$G,6,0)*AI3</f>
        <v>0</v>
      </c>
      <c r="AK3" s="1"/>
      <c r="AL3" s="1"/>
      <c r="AM3" s="1">
        <f>VLOOKUP(AK3,价值!$B:$G,6,0)*AL3</f>
        <v>0</v>
      </c>
      <c r="AN3" s="2">
        <f t="shared" ref="AN3:AN24" si="0">AD3+AG3+AJ3+AM3</f>
        <v>180</v>
      </c>
      <c r="AO3" s="4" t="str">
        <f>VLOOKUP(AB3,价值!$B:$G,3,0)&amp;","&amp;AC3</f>
        <v>prop,301,2</v>
      </c>
      <c r="AP3" s="3" t="str">
        <f>IF(VLOOKUP(AB3,价值!$B:$G,5,0)=0,AO3,VLOOKUP(AB3,价值!$B:$G,5,0)&amp;","&amp;AC3)</f>
        <v>prop,301,2</v>
      </c>
      <c r="AQ3" s="4" t="str">
        <f>VLOOKUP(AE3,价值!$B:$G,3,0)&amp;","&amp;AF3</f>
        <v>prop,207,2</v>
      </c>
      <c r="AR3" s="3" t="str">
        <f>IF(VLOOKUP(AE3,价值!$B:$G,5,0)=0,AQ3,VLOOKUP(AE3,价值!$B:$G,5,0)&amp;","&amp;AF3)</f>
        <v>prop,207,2</v>
      </c>
      <c r="AS3" s="4" t="str">
        <f>IF(AH3="","",VLOOKUP(AH3,价值!$B:$G,3,0)&amp;","&amp;AI3)</f>
        <v/>
      </c>
      <c r="AT3" s="3" t="str">
        <f>IF(VLOOKUP(AH3,价值!$B:$G,5,0)=0,AS3,VLOOKUP(AH3,价值!$B:$G,5,0)&amp;","&amp;AI3)</f>
        <v/>
      </c>
      <c r="AU3" s="4" t="str">
        <f>VLOOKUP(AK3,价值!$B:$G,3,0)&amp;","&amp;AL3</f>
        <v>0,</v>
      </c>
      <c r="AV3" s="3" t="str">
        <f>IF(VLOOKUP(AK3,价值!$B:$G,5,0)=0,AU3,VLOOKUP(AK3,价值!$B:$G,5,0)&amp;","&amp;AL3)</f>
        <v>0,</v>
      </c>
      <c r="AW3" s="14" t="str">
        <f t="shared" ref="AW3:AX24" si="1">AO3&amp;";"&amp;AQ3&amp;IF(AS3="","",";"&amp;AS3)</f>
        <v>prop,301,2;prop,207,2</v>
      </c>
      <c r="AX3" s="14" t="str">
        <f t="shared" si="1"/>
        <v>prop,301,2;prop,207,2</v>
      </c>
      <c r="BA3" s="4"/>
    </row>
    <row r="4" spans="1:53" x14ac:dyDescent="0.15">
      <c r="A4" s="2" t="s">
        <v>23</v>
      </c>
      <c r="B4" s="5">
        <v>0</v>
      </c>
      <c r="C4" s="5">
        <v>0</v>
      </c>
      <c r="D4" s="5">
        <v>0</v>
      </c>
      <c r="E4" s="5"/>
      <c r="F4" s="5"/>
      <c r="G4" s="5"/>
      <c r="H4" s="5"/>
      <c r="J4" s="10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0"/>
      <c r="AA4" s="4">
        <v>2000</v>
      </c>
      <c r="AB4" s="1" t="s">
        <v>119</v>
      </c>
      <c r="AC4" s="1">
        <v>2</v>
      </c>
      <c r="AD4" s="1">
        <f>VLOOKUP(AB4,价值!$B:$G,6,0)*AC4</f>
        <v>120</v>
      </c>
      <c r="AE4" s="1" t="s">
        <v>111</v>
      </c>
      <c r="AF4" s="1">
        <v>2</v>
      </c>
      <c r="AG4" s="1">
        <f>VLOOKUP(AE4,价值!$B:$G,6,0)*AF4</f>
        <v>60</v>
      </c>
      <c r="AH4" s="1"/>
      <c r="AI4" s="1"/>
      <c r="AJ4" s="1">
        <f>VLOOKUP(AH4,价值!$B:$G,6,0)*AI4</f>
        <v>0</v>
      </c>
      <c r="AK4" s="1"/>
      <c r="AL4" s="1"/>
      <c r="AM4" s="1">
        <f>VLOOKUP(AK4,价值!$B:$G,6,0)*AL4</f>
        <v>0</v>
      </c>
      <c r="AN4" s="2">
        <f t="shared" si="0"/>
        <v>180</v>
      </c>
      <c r="AO4" s="4" t="str">
        <f>VLOOKUP(AB4,价值!$B:$G,3,0)&amp;","&amp;AC4</f>
        <v>prop,304,2</v>
      </c>
      <c r="AP4" s="3" t="str">
        <f>IF(VLOOKUP(AB4,价值!$B:$G,5,0)=0,AO4,VLOOKUP(AB4,价值!$B:$G,5,0)&amp;","&amp;AC4)</f>
        <v>prop,304,2</v>
      </c>
      <c r="AQ4" s="4" t="str">
        <f>VLOOKUP(AE4,价值!$B:$G,3,0)&amp;","&amp;AF4</f>
        <v>prop,208,2</v>
      </c>
      <c r="AR4" s="3" t="str">
        <f>IF(VLOOKUP(AE4,价值!$B:$G,5,0)=0,AQ4,VLOOKUP(AE4,价值!$B:$G,5,0)&amp;","&amp;AF4)</f>
        <v>prop,208,2</v>
      </c>
      <c r="AS4" s="4" t="str">
        <f>IF(AH4="","",VLOOKUP(AH4,价值!$B:$G,3,0)&amp;","&amp;AI4)</f>
        <v/>
      </c>
      <c r="AT4" s="3" t="str">
        <f>IF(VLOOKUP(AH4,价值!$B:$G,5,0)=0,AS4,VLOOKUP(AH4,价值!$B:$G,5,0)&amp;","&amp;AI4)</f>
        <v/>
      </c>
      <c r="AU4" s="4" t="str">
        <f>VLOOKUP(AK4,价值!$B:$G,3,0)&amp;","&amp;AL4</f>
        <v>0,</v>
      </c>
      <c r="AV4" s="3" t="str">
        <f>IF(VLOOKUP(AK4,价值!$B:$G,5,0)=0,AU4,VLOOKUP(AK4,价值!$B:$G,5,0)&amp;","&amp;AL4)</f>
        <v>0,</v>
      </c>
      <c r="AW4" s="14" t="str">
        <f t="shared" si="1"/>
        <v>prop,304,2;prop,208,2</v>
      </c>
      <c r="AX4" s="14" t="str">
        <f t="shared" si="1"/>
        <v>prop,304,2;prop,208,2</v>
      </c>
      <c r="BA4" s="4"/>
    </row>
    <row r="5" spans="1:53" ht="15" x14ac:dyDescent="0.2">
      <c r="A5" s="2" t="s">
        <v>31</v>
      </c>
      <c r="B5" s="6">
        <f>B2-B3-B4-B6-B7</f>
        <v>15200</v>
      </c>
      <c r="C5" s="6">
        <f>C2-C3-C4-C6-C7</f>
        <v>8400</v>
      </c>
      <c r="D5" s="5">
        <v>800</v>
      </c>
      <c r="E5" s="5"/>
      <c r="F5" s="5"/>
      <c r="G5" s="5"/>
      <c r="H5" s="5"/>
      <c r="J5" s="10"/>
      <c r="K5" s="1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0"/>
      <c r="AA5" s="5">
        <v>3000</v>
      </c>
      <c r="AB5" s="5" t="s">
        <v>107</v>
      </c>
      <c r="AC5" s="5">
        <v>2</v>
      </c>
      <c r="AD5" s="5">
        <f>VLOOKUP(AB5,价值!$B:$G,6,0)*AC5</f>
        <v>500</v>
      </c>
      <c r="AE5" s="16" t="s">
        <v>127</v>
      </c>
      <c r="AF5" s="5">
        <v>5</v>
      </c>
      <c r="AG5" s="5">
        <f>VLOOKUP(AE5,价值!$B:$G,6,0)*AF5</f>
        <v>150</v>
      </c>
      <c r="AH5" s="16" t="s">
        <v>130</v>
      </c>
      <c r="AI5" s="5">
        <v>5</v>
      </c>
      <c r="AJ5" s="5">
        <f>VLOOKUP(AH5,价值!$B:$G,6,0)*AI5</f>
        <v>150</v>
      </c>
      <c r="AK5" s="5"/>
      <c r="AL5" s="5"/>
      <c r="AM5" s="5">
        <f>VLOOKUP(AK5,价值!$B:$G,6,0)*AL5</f>
        <v>0</v>
      </c>
      <c r="AN5" s="2">
        <f t="shared" si="0"/>
        <v>800</v>
      </c>
      <c r="AO5" s="4" t="str">
        <f>VLOOKUP(AB5,价值!$B:$G,3,0)&amp;","&amp;AC5</f>
        <v>prop,707,2</v>
      </c>
      <c r="AP5" s="3" t="str">
        <f>IF(VLOOKUP(AB5,价值!$B:$G,5,0)=0,AO5,VLOOKUP(AB5,价值!$B:$G,5,0)&amp;","&amp;AC5)</f>
        <v>prop,707,2</v>
      </c>
      <c r="AQ5" s="4" t="str">
        <f>VLOOKUP(AE5,价值!$B:$G,3,0)&amp;","&amp;AF5</f>
        <v>prop,313,5</v>
      </c>
      <c r="AR5" s="3" t="str">
        <f>IF(VLOOKUP(AE5,价值!$B:$G,5,0)=0,AQ5,VLOOKUP(AE5,价值!$B:$G,5,0)&amp;","&amp;AF5)</f>
        <v>prop,313,5</v>
      </c>
      <c r="AS5" s="4" t="str">
        <f>IF(AH5="","",VLOOKUP(AH5,价值!$B:$G,3,0)&amp;","&amp;AI5)</f>
        <v>prop,316,5</v>
      </c>
      <c r="AT5" s="3" t="str">
        <f>IF(VLOOKUP(AH5,价值!$B:$G,5,0)=0,AS5,VLOOKUP(AH5,价值!$B:$G,5,0)&amp;","&amp;AI5)</f>
        <v>prop,316,5</v>
      </c>
      <c r="AU5" s="4" t="str">
        <f>VLOOKUP(AK5,价值!$B:$G,3,0)&amp;","&amp;AL5</f>
        <v>0,</v>
      </c>
      <c r="AV5" s="3" t="str">
        <f>IF(VLOOKUP(AK5,价值!$B:$G,5,0)=0,AU5,VLOOKUP(AK5,价值!$B:$G,5,0)&amp;","&amp;AL5)</f>
        <v>0,</v>
      </c>
      <c r="AW5" s="14" t="str">
        <f t="shared" si="1"/>
        <v>prop,707,2;prop,313,5;prop,316,5</v>
      </c>
      <c r="AX5" s="14" t="str">
        <f t="shared" si="1"/>
        <v>prop,707,2;prop,313,5;prop,316,5</v>
      </c>
      <c r="BA5" s="4"/>
    </row>
    <row r="6" spans="1:53" x14ac:dyDescent="0.15">
      <c r="A6" s="2" t="s">
        <v>45</v>
      </c>
      <c r="B6" s="4">
        <f>D6</f>
        <v>4000</v>
      </c>
      <c r="C6" s="4">
        <f>D6</f>
        <v>4000</v>
      </c>
      <c r="D6" s="5">
        <v>4000</v>
      </c>
      <c r="E6" s="5"/>
      <c r="F6" s="5"/>
      <c r="G6" s="5"/>
      <c r="H6" s="5"/>
      <c r="J6" s="10"/>
      <c r="K6" s="10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0"/>
      <c r="AA6" s="4">
        <v>5000</v>
      </c>
      <c r="AB6" s="1" t="s">
        <v>133</v>
      </c>
      <c r="AC6" s="1">
        <v>5</v>
      </c>
      <c r="AD6" s="1">
        <f>VLOOKUP(AB6,价值!$B:$G,6,0)*AC6</f>
        <v>45</v>
      </c>
      <c r="AE6" s="1" t="s">
        <v>96</v>
      </c>
      <c r="AF6" s="1">
        <v>2</v>
      </c>
      <c r="AG6" s="1">
        <f>VLOOKUP(AE6,价值!$B:$G,6,0)*AF6</f>
        <v>100</v>
      </c>
      <c r="AH6" s="1"/>
      <c r="AI6" s="1"/>
      <c r="AJ6" s="1">
        <f>VLOOKUP(AH6,价值!$B:$G,6,0)*AI6</f>
        <v>0</v>
      </c>
      <c r="AK6" s="1"/>
      <c r="AL6" s="1"/>
      <c r="AM6" s="1">
        <f>VLOOKUP(AK6,价值!$B:$G,6,0)*AL6</f>
        <v>0</v>
      </c>
      <c r="AN6" s="2">
        <f t="shared" si="0"/>
        <v>145</v>
      </c>
      <c r="AO6" s="4" t="str">
        <f>VLOOKUP(AB6,价值!$B:$G,3,0)&amp;","&amp;AC6</f>
        <v>prop,203,5</v>
      </c>
      <c r="AP6" s="3" t="str">
        <f>IF(VLOOKUP(AB6,价值!$B:$G,5,0)=0,AO6,VLOOKUP(AB6,价值!$B:$G,5,0)&amp;","&amp;AC6)</f>
        <v>prop,203,5</v>
      </c>
      <c r="AQ6" s="4" t="str">
        <f>VLOOKUP(AE6,价值!$B:$G,3,0)&amp;","&amp;AF6</f>
        <v>pack,303,2</v>
      </c>
      <c r="AR6" s="3" t="str">
        <f>IF(VLOOKUP(AE6,价值!$B:$G,5,0)=0,AQ6,VLOOKUP(AE6,价值!$B:$G,5,0)&amp;","&amp;AF6)</f>
        <v>item,103,2</v>
      </c>
      <c r="AS6" s="4" t="str">
        <f>IF(AH6="","",VLOOKUP(AH6,价值!$B:$G,3,0)&amp;","&amp;AI6)</f>
        <v/>
      </c>
      <c r="AT6" s="3" t="str">
        <f>IF(VLOOKUP(AH6,价值!$B:$G,5,0)=0,AS6,VLOOKUP(AH6,价值!$B:$G,5,0)&amp;","&amp;AI6)</f>
        <v/>
      </c>
      <c r="AU6" s="4" t="str">
        <f>VLOOKUP(AK6,价值!$B:$G,3,0)&amp;","&amp;AL6</f>
        <v>0,</v>
      </c>
      <c r="AV6" s="3" t="str">
        <f>IF(VLOOKUP(AK6,价值!$B:$G,5,0)=0,AU6,VLOOKUP(AK6,价值!$B:$G,5,0)&amp;","&amp;AL6)</f>
        <v>0,</v>
      </c>
      <c r="AW6" s="14" t="str">
        <f t="shared" si="1"/>
        <v>prop,203,5;pack,303,2</v>
      </c>
      <c r="AX6" s="14" t="str">
        <f t="shared" si="1"/>
        <v>prop,203,5;item,103,2</v>
      </c>
      <c r="BA6" s="4"/>
    </row>
    <row r="7" spans="1:53" ht="15" x14ac:dyDescent="0.2">
      <c r="A7" s="2" t="s">
        <v>51</v>
      </c>
      <c r="B7" s="4">
        <f>B8*积分计算!$K$1*积分计算!$K$7</f>
        <v>8000</v>
      </c>
      <c r="C7" s="4">
        <f>C8*积分计算!$K$1*积分计算!$K$7</f>
        <v>4800</v>
      </c>
      <c r="D7" s="4">
        <f>D8*积分计算!$K$1*积分计算!$K$7</f>
        <v>2400</v>
      </c>
      <c r="E7" s="4"/>
      <c r="F7" s="4"/>
      <c r="G7" s="4"/>
      <c r="H7" s="4"/>
      <c r="J7" s="10"/>
      <c r="K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0"/>
      <c r="AA7" s="4">
        <v>8000</v>
      </c>
      <c r="AB7" s="16" t="s">
        <v>122</v>
      </c>
      <c r="AC7" s="1">
        <v>2</v>
      </c>
      <c r="AD7" s="1">
        <f>VLOOKUP(AB7,价值!$B:$G,6,0)*AC7</f>
        <v>120</v>
      </c>
      <c r="AE7" s="16" t="s">
        <v>112</v>
      </c>
      <c r="AF7" s="1">
        <v>2</v>
      </c>
      <c r="AG7" s="1">
        <f>VLOOKUP(AE7,价值!$B:$G,6,0)*AF7</f>
        <v>60</v>
      </c>
      <c r="AH7" s="1"/>
      <c r="AI7" s="1"/>
      <c r="AJ7" s="1">
        <f>VLOOKUP(AH7,价值!$B:$G,6,0)*AI7</f>
        <v>0</v>
      </c>
      <c r="AK7" s="1"/>
      <c r="AL7" s="1"/>
      <c r="AM7" s="1">
        <f>VLOOKUP(AK7,价值!$B:$G,6,0)*AL7</f>
        <v>0</v>
      </c>
      <c r="AN7" s="2">
        <f t="shared" si="0"/>
        <v>180</v>
      </c>
      <c r="AO7" s="4" t="str">
        <f>VLOOKUP(AB7,价值!$B:$G,3,0)&amp;","&amp;AC7</f>
        <v>prop,307,2</v>
      </c>
      <c r="AP7" s="3" t="str">
        <f>IF(VLOOKUP(AB7,价值!$B:$G,5,0)=0,AO7,VLOOKUP(AB7,价值!$B:$G,5,0)&amp;","&amp;AC7)</f>
        <v>prop,307,2</v>
      </c>
      <c r="AQ7" s="4" t="str">
        <f>VLOOKUP(AE7,价值!$B:$G,3,0)&amp;","&amp;AF7</f>
        <v>prop,209,2</v>
      </c>
      <c r="AR7" s="3" t="str">
        <f>IF(VLOOKUP(AE7,价值!$B:$G,5,0)=0,AQ7,VLOOKUP(AE7,价值!$B:$G,5,0)&amp;","&amp;AF7)</f>
        <v>prop,209,2</v>
      </c>
      <c r="AS7" s="4" t="str">
        <f>IF(AH7="","",VLOOKUP(AH7,价值!$B:$G,3,0)&amp;","&amp;AI7)</f>
        <v/>
      </c>
      <c r="AT7" s="3" t="str">
        <f>IF(VLOOKUP(AH7,价值!$B:$G,5,0)=0,AS7,VLOOKUP(AH7,价值!$B:$G,5,0)&amp;","&amp;AI7)</f>
        <v/>
      </c>
      <c r="AU7" s="4" t="str">
        <f>VLOOKUP(AK7,价值!$B:$G,3,0)&amp;","&amp;AL7</f>
        <v>0,</v>
      </c>
      <c r="AV7" s="3" t="str">
        <f>IF(VLOOKUP(AK7,价值!$B:$G,5,0)=0,AU7,VLOOKUP(AK7,价值!$B:$G,5,0)&amp;","&amp;AL7)</f>
        <v>0,</v>
      </c>
      <c r="AW7" s="14" t="str">
        <f t="shared" si="1"/>
        <v>prop,307,2;prop,209,2</v>
      </c>
      <c r="AX7" s="14" t="str">
        <f t="shared" si="1"/>
        <v>prop,307,2;prop,209,2</v>
      </c>
      <c r="BA7" s="4"/>
    </row>
    <row r="8" spans="1:53" ht="15" x14ac:dyDescent="0.2">
      <c r="A8" s="2" t="s">
        <v>51</v>
      </c>
      <c r="B8" s="5">
        <v>100</v>
      </c>
      <c r="C8" s="5">
        <v>60</v>
      </c>
      <c r="D8" s="5">
        <v>30</v>
      </c>
      <c r="E8" s="5"/>
      <c r="F8" s="5"/>
      <c r="G8" s="5"/>
      <c r="H8" s="5"/>
      <c r="J8" s="10"/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0"/>
      <c r="AA8" s="4">
        <v>12000</v>
      </c>
      <c r="AB8" s="16" t="s">
        <v>138</v>
      </c>
      <c r="AC8" s="1">
        <v>2</v>
      </c>
      <c r="AD8" s="1">
        <f>VLOOKUP(AB8,价值!$B:$G,6,0)*AC8</f>
        <v>120</v>
      </c>
      <c r="AE8" s="16" t="s">
        <v>113</v>
      </c>
      <c r="AF8" s="1">
        <v>2</v>
      </c>
      <c r="AG8" s="1">
        <f>VLOOKUP(AE8,价值!$B:$G,6,0)*AF8</f>
        <v>60</v>
      </c>
      <c r="AH8" s="1"/>
      <c r="AI8" s="1"/>
      <c r="AJ8" s="1">
        <f>VLOOKUP(AH8,价值!$B:$G,6,0)*AI8</f>
        <v>0</v>
      </c>
      <c r="AK8" s="1"/>
      <c r="AL8" s="1"/>
      <c r="AM8" s="1">
        <f>VLOOKUP(AK8,价值!$B:$G,6,0)*AL8</f>
        <v>0</v>
      </c>
      <c r="AN8" s="2">
        <f t="shared" si="0"/>
        <v>180</v>
      </c>
      <c r="AO8" s="4" t="str">
        <f>VLOOKUP(AB8,价值!$B:$G,3,0)&amp;","&amp;AC8</f>
        <v>prop,310,2</v>
      </c>
      <c r="AP8" s="3" t="str">
        <f>IF(VLOOKUP(AB8,价值!$B:$G,5,0)=0,AO8,VLOOKUP(AB8,价值!$B:$G,5,0)&amp;","&amp;AC8)</f>
        <v>prop,310,2</v>
      </c>
      <c r="AQ8" s="4" t="str">
        <f>VLOOKUP(AE8,价值!$B:$G,3,0)&amp;","&amp;AF8</f>
        <v>prop,210,2</v>
      </c>
      <c r="AR8" s="3" t="str">
        <f>IF(VLOOKUP(AE8,价值!$B:$G,5,0)=0,AQ8,VLOOKUP(AE8,价值!$B:$G,5,0)&amp;","&amp;AF8)</f>
        <v>prop,210,2</v>
      </c>
      <c r="AS8" s="4" t="str">
        <f>IF(AH8="","",VLOOKUP(AH8,价值!$B:$G,3,0)&amp;","&amp;AI8)</f>
        <v/>
      </c>
      <c r="AT8" s="3" t="str">
        <f>IF(VLOOKUP(AH8,价值!$B:$G,5,0)=0,AS8,VLOOKUP(AH8,价值!$B:$G,5,0)&amp;","&amp;AI8)</f>
        <v/>
      </c>
      <c r="AU8" s="4" t="str">
        <f>VLOOKUP(AK8,价值!$B:$G,3,0)&amp;","&amp;AL8</f>
        <v>0,</v>
      </c>
      <c r="AV8" s="3" t="str">
        <f>IF(VLOOKUP(AK8,价值!$B:$G,5,0)=0,AU8,VLOOKUP(AK8,价值!$B:$G,5,0)&amp;","&amp;AL8)</f>
        <v>0,</v>
      </c>
      <c r="AW8" s="14" t="str">
        <f t="shared" si="1"/>
        <v>prop,310,2;prop,210,2</v>
      </c>
      <c r="AX8" s="14" t="str">
        <f t="shared" si="1"/>
        <v>prop,310,2;prop,210,2</v>
      </c>
      <c r="BA8" s="4"/>
    </row>
    <row r="9" spans="1:53" ht="15" x14ac:dyDescent="0.2">
      <c r="J9" s="10"/>
      <c r="K9" s="1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0"/>
      <c r="AA9" s="5">
        <v>16000</v>
      </c>
      <c r="AB9" s="5" t="s">
        <v>72</v>
      </c>
      <c r="AC9" s="5">
        <v>3</v>
      </c>
      <c r="AD9" s="5">
        <f>VLOOKUP(AB9,价值!$B:$G,6,0)*AC9</f>
        <v>1800</v>
      </c>
      <c r="AE9" s="16" t="s">
        <v>128</v>
      </c>
      <c r="AF9" s="5">
        <v>3</v>
      </c>
      <c r="AG9" s="5">
        <f>VLOOKUP(AE9,价值!$B:$G,6,0)*AF9</f>
        <v>270</v>
      </c>
      <c r="AH9" s="16" t="s">
        <v>81</v>
      </c>
      <c r="AI9" s="5">
        <v>50000</v>
      </c>
      <c r="AJ9" s="5">
        <f>VLOOKUP(AH9,价值!$B:$G,6,0)*AI9</f>
        <v>1000</v>
      </c>
      <c r="AK9" s="5"/>
      <c r="AL9" s="5"/>
      <c r="AM9" s="5">
        <f>VLOOKUP(AK9,价值!$B:$G,6,0)*AL9</f>
        <v>0</v>
      </c>
      <c r="AN9" s="2">
        <f t="shared" si="0"/>
        <v>3070</v>
      </c>
      <c r="AO9" s="4" t="str">
        <f>VLOOKUP(AB9,价值!$B:$G,3,0)&amp;","&amp;AC9</f>
        <v>pack,304,3</v>
      </c>
      <c r="AP9" s="3" t="str">
        <f>IF(VLOOKUP(AB9,价值!$B:$G,5,0)=0,AO9,VLOOKUP(AB9,价值!$B:$G,5,0)&amp;","&amp;AC9)</f>
        <v>item,104,3</v>
      </c>
      <c r="AQ9" s="4" t="str">
        <f>VLOOKUP(AE9,价值!$B:$G,3,0)&amp;","&amp;AF9</f>
        <v>prop,314,3</v>
      </c>
      <c r="AR9" s="3" t="str">
        <f>IF(VLOOKUP(AE9,价值!$B:$G,5,0)=0,AQ9,VLOOKUP(AE9,价值!$B:$G,5,0)&amp;","&amp;AF9)</f>
        <v>prop,314,3</v>
      </c>
      <c r="AS9" s="4" t="str">
        <f>IF(AH9="","",VLOOKUP(AH9,价值!$B:$G,3,0)&amp;","&amp;AI9)</f>
        <v>coin,50000</v>
      </c>
      <c r="AT9" s="3" t="str">
        <f>IF(VLOOKUP(AH9,价值!$B:$G,5,0)=0,AS9,VLOOKUP(AH9,价值!$B:$G,5,0)&amp;","&amp;AI9)</f>
        <v>coin,50000</v>
      </c>
      <c r="AU9" s="4" t="str">
        <f>VLOOKUP(AK9,价值!$B:$G,3,0)&amp;","&amp;AL9</f>
        <v>0,</v>
      </c>
      <c r="AV9" s="3" t="str">
        <f>IF(VLOOKUP(AK9,价值!$B:$G,5,0)=0,AU9,VLOOKUP(AK9,价值!$B:$G,5,0)&amp;","&amp;AL9)</f>
        <v>0,</v>
      </c>
      <c r="AW9" s="14" t="str">
        <f t="shared" si="1"/>
        <v>pack,304,3;prop,314,3;coin,50000</v>
      </c>
      <c r="AX9" s="14" t="str">
        <f t="shared" si="1"/>
        <v>item,104,3;prop,314,3;coin,50000</v>
      </c>
      <c r="BA9" s="4"/>
    </row>
    <row r="10" spans="1:53" x14ac:dyDescent="0.15">
      <c r="J10" s="10"/>
      <c r="K10" s="1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0"/>
      <c r="AA10" s="4">
        <v>20000</v>
      </c>
      <c r="AB10" s="1" t="s">
        <v>134</v>
      </c>
      <c r="AC10" s="1">
        <v>5</v>
      </c>
      <c r="AD10" s="1">
        <f>VLOOKUP(AB10,价值!$B:$G,6,0)*AC10</f>
        <v>75</v>
      </c>
      <c r="AE10" s="1" t="s">
        <v>95</v>
      </c>
      <c r="AF10" s="1">
        <v>2</v>
      </c>
      <c r="AG10" s="1">
        <f>VLOOKUP(AE10,价值!$B:$G,6,0)*AF10</f>
        <v>300</v>
      </c>
      <c r="AH10" s="1"/>
      <c r="AI10" s="1"/>
      <c r="AJ10" s="1">
        <f>VLOOKUP(AH10,价值!$B:$G,6,0)*AI10</f>
        <v>0</v>
      </c>
      <c r="AK10" s="1"/>
      <c r="AL10" s="1"/>
      <c r="AM10" s="1">
        <f>VLOOKUP(AK10,价值!$B:$G,6,0)*AL10</f>
        <v>0</v>
      </c>
      <c r="AN10" s="2">
        <f t="shared" si="0"/>
        <v>375</v>
      </c>
      <c r="AO10" s="4" t="str">
        <f>VLOOKUP(AB10,价值!$B:$G,3,0)&amp;","&amp;AC10</f>
        <v>prop,204,5</v>
      </c>
      <c r="AP10" s="3" t="str">
        <f>IF(VLOOKUP(AB10,价值!$B:$G,5,0)=0,AO10,VLOOKUP(AB10,价值!$B:$G,5,0)&amp;","&amp;AC10)</f>
        <v>prop,204,5</v>
      </c>
      <c r="AQ10" s="4" t="str">
        <f>VLOOKUP(AE10,价值!$B:$G,3,0)&amp;","&amp;AF10</f>
        <v>prop,322,2</v>
      </c>
      <c r="AR10" s="3" t="str">
        <f>IF(VLOOKUP(AE10,价值!$B:$G,5,0)=0,AQ10,VLOOKUP(AE10,价值!$B:$G,5,0)&amp;","&amp;AF10)</f>
        <v>prop,322,2</v>
      </c>
      <c r="AS10" s="4" t="str">
        <f>IF(AH10="","",VLOOKUP(AH10,价值!$B:$G,3,0)&amp;","&amp;AI10)</f>
        <v/>
      </c>
      <c r="AT10" s="3" t="str">
        <f>IF(VLOOKUP(AH10,价值!$B:$G,5,0)=0,AS10,VLOOKUP(AH10,价值!$B:$G,5,0)&amp;","&amp;AI10)</f>
        <v/>
      </c>
      <c r="AU10" s="4" t="str">
        <f>VLOOKUP(AK10,价值!$B:$G,3,0)&amp;","&amp;AL10</f>
        <v>0,</v>
      </c>
      <c r="AV10" s="3" t="str">
        <f>IF(VLOOKUP(AK10,价值!$B:$G,5,0)=0,AU10,VLOOKUP(AK10,价值!$B:$G,5,0)&amp;","&amp;AL10)</f>
        <v>0,</v>
      </c>
      <c r="AW10" s="14" t="str">
        <f t="shared" si="1"/>
        <v>prop,204,5;prop,322,2</v>
      </c>
      <c r="AX10" s="14" t="str">
        <f t="shared" si="1"/>
        <v>prop,204,5;prop,322,2</v>
      </c>
      <c r="BA10" s="4"/>
    </row>
    <row r="11" spans="1:53" ht="15" x14ac:dyDescent="0.2">
      <c r="J11" s="10"/>
      <c r="K11" s="1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0"/>
      <c r="AA11" s="4">
        <v>25000</v>
      </c>
      <c r="AB11" s="16" t="s">
        <v>117</v>
      </c>
      <c r="AC11" s="1">
        <v>2</v>
      </c>
      <c r="AD11" s="1">
        <f>VLOOKUP(AB11,价值!$B:$G,6,0)*AC11</f>
        <v>300</v>
      </c>
      <c r="AE11" s="16" t="s">
        <v>144</v>
      </c>
      <c r="AF11" s="1">
        <v>2</v>
      </c>
      <c r="AG11" s="1">
        <f>VLOOKUP(AE11,价值!$B:$G,6,0)*AF11</f>
        <v>100</v>
      </c>
      <c r="AH11" s="1"/>
      <c r="AI11" s="1"/>
      <c r="AJ11" s="1">
        <f>VLOOKUP(AH11,价值!$B:$G,6,0)*AI11</f>
        <v>0</v>
      </c>
      <c r="AK11" s="1"/>
      <c r="AL11" s="1"/>
      <c r="AM11" s="1">
        <f>VLOOKUP(AK11,价值!$B:$G,6,0)*AL11</f>
        <v>0</v>
      </c>
      <c r="AN11" s="2">
        <f t="shared" si="0"/>
        <v>400</v>
      </c>
      <c r="AO11" s="4" t="str">
        <f>VLOOKUP(AB11,价值!$B:$G,3,0)&amp;","&amp;AC11</f>
        <v>prop,302,2</v>
      </c>
      <c r="AP11" s="3" t="str">
        <f>IF(VLOOKUP(AB11,价值!$B:$G,5,0)=0,AO11,VLOOKUP(AB11,价值!$B:$G,5,0)&amp;","&amp;AC11)</f>
        <v>prop,302,2</v>
      </c>
      <c r="AQ11" s="4" t="str">
        <f>VLOOKUP(AE11,价值!$B:$G,3,0)&amp;","&amp;AF11</f>
        <v>prop,701,2</v>
      </c>
      <c r="AR11" s="3" t="str">
        <f>IF(VLOOKUP(AE11,价值!$B:$G,5,0)=0,AQ11,VLOOKUP(AE11,价值!$B:$G,5,0)&amp;","&amp;AF11)</f>
        <v>prop,701,2</v>
      </c>
      <c r="AS11" s="4" t="str">
        <f>IF(AH11="","",VLOOKUP(AH11,价值!$B:$G,3,0)&amp;","&amp;AI11)</f>
        <v/>
      </c>
      <c r="AT11" s="3" t="str">
        <f>IF(VLOOKUP(AH11,价值!$B:$G,5,0)=0,AS11,VLOOKUP(AH11,价值!$B:$G,5,0)&amp;","&amp;AI11)</f>
        <v/>
      </c>
      <c r="AU11" s="4" t="str">
        <f>VLOOKUP(AK11,价值!$B:$G,3,0)&amp;","&amp;AL11</f>
        <v>0,</v>
      </c>
      <c r="AV11" s="3" t="str">
        <f>IF(VLOOKUP(AK11,价值!$B:$G,5,0)=0,AU11,VLOOKUP(AK11,价值!$B:$G,5,0)&amp;","&amp;AL11)</f>
        <v>0,</v>
      </c>
      <c r="AW11" s="14" t="str">
        <f t="shared" si="1"/>
        <v>prop,302,2;prop,701,2</v>
      </c>
      <c r="AX11" s="14" t="str">
        <f t="shared" si="1"/>
        <v>prop,302,2;prop,701,2</v>
      </c>
      <c r="BA11" s="4"/>
    </row>
    <row r="12" spans="1:53" ht="15" x14ac:dyDescent="0.2">
      <c r="A12" s="2" t="s">
        <v>44</v>
      </c>
      <c r="J12" s="10"/>
      <c r="K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0"/>
      <c r="AA12" s="4">
        <v>30000</v>
      </c>
      <c r="AB12" s="16" t="s">
        <v>120</v>
      </c>
      <c r="AC12" s="1">
        <v>2</v>
      </c>
      <c r="AD12" s="1">
        <f>VLOOKUP(AB12,价值!$B:$G,6,0)*AC12</f>
        <v>300</v>
      </c>
      <c r="AE12" s="16" t="s">
        <v>145</v>
      </c>
      <c r="AF12" s="1">
        <v>1</v>
      </c>
      <c r="AG12" s="1">
        <f>VLOOKUP(AE12,价值!$B:$G,6,0)*AF12</f>
        <v>125</v>
      </c>
      <c r="AH12" s="1"/>
      <c r="AI12" s="1"/>
      <c r="AJ12" s="1">
        <f>VLOOKUP(AH12,价值!$B:$G,6,0)*AI12</f>
        <v>0</v>
      </c>
      <c r="AK12" s="1"/>
      <c r="AL12" s="1"/>
      <c r="AM12" s="1">
        <f>VLOOKUP(AK12,价值!$B:$G,6,0)*AL12</f>
        <v>0</v>
      </c>
      <c r="AN12" s="2">
        <f t="shared" si="0"/>
        <v>425</v>
      </c>
      <c r="AO12" s="4" t="str">
        <f>VLOOKUP(AB12,价值!$B:$G,3,0)&amp;","&amp;AC12</f>
        <v>prop,305,2</v>
      </c>
      <c r="AP12" s="3" t="str">
        <f>IF(VLOOKUP(AB12,价值!$B:$G,5,0)=0,AO12,VLOOKUP(AB12,价值!$B:$G,5,0)&amp;","&amp;AC12)</f>
        <v>prop,305,2</v>
      </c>
      <c r="AQ12" s="4" t="str">
        <f>VLOOKUP(AE12,价值!$B:$G,3,0)&amp;","&amp;AF12</f>
        <v>prop,603,1</v>
      </c>
      <c r="AR12" s="3" t="str">
        <f>IF(VLOOKUP(AE12,价值!$B:$G,5,0)=0,AQ12,VLOOKUP(AE12,价值!$B:$G,5,0)&amp;","&amp;AF12)</f>
        <v>prop,603,1</v>
      </c>
      <c r="AS12" s="4" t="str">
        <f>IF(AH12="","",VLOOKUP(AH12,价值!$B:$G,3,0)&amp;","&amp;AI12)</f>
        <v/>
      </c>
      <c r="AT12" s="3" t="str">
        <f>IF(VLOOKUP(AH12,价值!$B:$G,5,0)=0,AS12,VLOOKUP(AH12,价值!$B:$G,5,0)&amp;","&amp;AI12)</f>
        <v/>
      </c>
      <c r="AU12" s="4" t="str">
        <f>VLOOKUP(AK12,价值!$B:$G,3,0)&amp;","&amp;AL12</f>
        <v>0,</v>
      </c>
      <c r="AV12" s="3" t="str">
        <f>IF(VLOOKUP(AK12,价值!$B:$G,5,0)=0,AU12,VLOOKUP(AK12,价值!$B:$G,5,0)&amp;","&amp;AL12)</f>
        <v>0,</v>
      </c>
      <c r="AW12" s="14" t="str">
        <f t="shared" si="1"/>
        <v>prop,305,2;prop,603,1</v>
      </c>
      <c r="AX12" s="14" t="str">
        <f t="shared" si="1"/>
        <v>prop,305,2;prop,603,1</v>
      </c>
      <c r="BA12" s="4"/>
    </row>
    <row r="13" spans="1:53" ht="15" x14ac:dyDescent="0.2">
      <c r="A13" s="7">
        <v>22900</v>
      </c>
      <c r="J13" s="10"/>
      <c r="K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0"/>
      <c r="AA13" s="5">
        <v>35000</v>
      </c>
      <c r="AB13" s="5" t="s">
        <v>107</v>
      </c>
      <c r="AC13" s="5">
        <v>3</v>
      </c>
      <c r="AD13" s="5">
        <f>VLOOKUP(AB13,价值!$B:$G,6,0)*AC13</f>
        <v>750</v>
      </c>
      <c r="AE13" s="16" t="s">
        <v>131</v>
      </c>
      <c r="AF13" s="5">
        <v>3</v>
      </c>
      <c r="AG13" s="5">
        <f>VLOOKUP(AE13,价值!$B:$G,6,0)*AF13</f>
        <v>270</v>
      </c>
      <c r="AH13" s="16" t="s">
        <v>74</v>
      </c>
      <c r="AI13" s="5">
        <v>200</v>
      </c>
      <c r="AJ13" s="5">
        <f>VLOOKUP(AH13,价值!$B:$G,6,0)*AI13</f>
        <v>200</v>
      </c>
      <c r="AK13" s="5"/>
      <c r="AL13" s="5"/>
      <c r="AM13" s="5">
        <f>VLOOKUP(AK13,价值!$B:$G,6,0)*AL13</f>
        <v>0</v>
      </c>
      <c r="AN13" s="2">
        <f t="shared" si="0"/>
        <v>1220</v>
      </c>
      <c r="AO13" s="4" t="str">
        <f>VLOOKUP(AB13,价值!$B:$G,3,0)&amp;","&amp;AC13</f>
        <v>prop,707,3</v>
      </c>
      <c r="AP13" s="3" t="str">
        <f>IF(VLOOKUP(AB13,价值!$B:$G,5,0)=0,AO13,VLOOKUP(AB13,价值!$B:$G,5,0)&amp;","&amp;AC13)</f>
        <v>prop,707,3</v>
      </c>
      <c r="AQ13" s="4" t="str">
        <f>VLOOKUP(AE13,价值!$B:$G,3,0)&amp;","&amp;AF13</f>
        <v>prop,317,3</v>
      </c>
      <c r="AR13" s="3" t="str">
        <f>IF(VLOOKUP(AE13,价值!$B:$G,5,0)=0,AQ13,VLOOKUP(AE13,价值!$B:$G,5,0)&amp;","&amp;AF13)</f>
        <v>prop,317,3</v>
      </c>
      <c r="AS13" s="4" t="str">
        <f>IF(AH13="","",VLOOKUP(AH13,价值!$B:$G,3,0)&amp;","&amp;AI13)</f>
        <v>cash,200</v>
      </c>
      <c r="AT13" s="3" t="str">
        <f>IF(VLOOKUP(AH13,价值!$B:$G,5,0)=0,AS13,VLOOKUP(AH13,价值!$B:$G,5,0)&amp;","&amp;AI13)</f>
        <v>cash,200</v>
      </c>
      <c r="AU13" s="4" t="str">
        <f>VLOOKUP(AK13,价值!$B:$G,3,0)&amp;","&amp;AL13</f>
        <v>0,</v>
      </c>
      <c r="AV13" s="3" t="str">
        <f>IF(VLOOKUP(AK13,价值!$B:$G,5,0)=0,AU13,VLOOKUP(AK13,价值!$B:$G,5,0)&amp;","&amp;AL13)</f>
        <v>0,</v>
      </c>
      <c r="AW13" s="14" t="str">
        <f t="shared" si="1"/>
        <v>prop,707,3;prop,317,3;cash,200</v>
      </c>
      <c r="AX13" s="14" t="str">
        <f t="shared" si="1"/>
        <v>prop,707,3;prop,317,3;cash,200</v>
      </c>
      <c r="BA13" s="4"/>
    </row>
    <row r="14" spans="1:53" x14ac:dyDescent="0.15">
      <c r="AA14" s="4">
        <v>40000</v>
      </c>
      <c r="AB14" s="1" t="s">
        <v>135</v>
      </c>
      <c r="AC14" s="1">
        <v>3</v>
      </c>
      <c r="AD14" s="1">
        <f>VLOOKUP(AB14,价值!$B:$G,6,0)*AC14</f>
        <v>90</v>
      </c>
      <c r="AE14" s="1" t="s">
        <v>96</v>
      </c>
      <c r="AF14" s="1">
        <v>2</v>
      </c>
      <c r="AG14" s="1">
        <f>VLOOKUP(AE14,价值!$B:$G,6,0)*AF14</f>
        <v>100</v>
      </c>
      <c r="AH14" s="1"/>
      <c r="AI14" s="1"/>
      <c r="AJ14" s="1">
        <f>VLOOKUP(AH14,价值!$B:$G,6,0)*AI14</f>
        <v>0</v>
      </c>
      <c r="AK14" s="1"/>
      <c r="AL14" s="1"/>
      <c r="AM14" s="1">
        <f>VLOOKUP(AK14,价值!$B:$G,6,0)*AL14</f>
        <v>0</v>
      </c>
      <c r="AN14" s="2">
        <f t="shared" si="0"/>
        <v>190</v>
      </c>
      <c r="AO14" s="4" t="str">
        <f>VLOOKUP(AB14,价值!$B:$G,3,0)&amp;","&amp;AC14</f>
        <v>prop,205,3</v>
      </c>
      <c r="AP14" s="3" t="str">
        <f>IF(VLOOKUP(AB14,价值!$B:$G,5,0)=0,AO14,VLOOKUP(AB14,价值!$B:$G,5,0)&amp;","&amp;AC14)</f>
        <v>prop,205,3</v>
      </c>
      <c r="AQ14" s="4" t="str">
        <f>VLOOKUP(AE14,价值!$B:$G,3,0)&amp;","&amp;AF14</f>
        <v>pack,303,2</v>
      </c>
      <c r="AR14" s="3" t="str">
        <f>IF(VLOOKUP(AE14,价值!$B:$G,5,0)=0,AQ14,VLOOKUP(AE14,价值!$B:$G,5,0)&amp;","&amp;AF14)</f>
        <v>item,103,2</v>
      </c>
      <c r="AS14" s="4" t="str">
        <f>IF(AH14="","",VLOOKUP(AH14,价值!$B:$G,3,0)&amp;","&amp;AI14)</f>
        <v/>
      </c>
      <c r="AT14" s="3" t="str">
        <f>IF(VLOOKUP(AH14,价值!$B:$G,5,0)=0,AS14,VLOOKUP(AH14,价值!$B:$G,5,0)&amp;","&amp;AI14)</f>
        <v/>
      </c>
      <c r="AU14" s="4" t="str">
        <f>VLOOKUP(AK14,价值!$B:$G,3,0)&amp;","&amp;AL14</f>
        <v>0,</v>
      </c>
      <c r="AV14" s="3" t="str">
        <f>IF(VLOOKUP(AK14,价值!$B:$G,5,0)=0,AU14,VLOOKUP(AK14,价值!$B:$G,5,0)&amp;","&amp;AL14)</f>
        <v>0,</v>
      </c>
      <c r="AW14" s="14" t="str">
        <f t="shared" si="1"/>
        <v>prop,205,3;pack,303,2</v>
      </c>
      <c r="AX14" s="14" t="str">
        <f t="shared" si="1"/>
        <v>prop,205,3;item,103,2</v>
      </c>
      <c r="BA14" s="4"/>
    </row>
    <row r="15" spans="1:53" ht="15" x14ac:dyDescent="0.2">
      <c r="AA15" s="6">
        <v>48000</v>
      </c>
      <c r="AB15" s="16" t="s">
        <v>123</v>
      </c>
      <c r="AC15" s="1">
        <v>1</v>
      </c>
      <c r="AD15" s="1">
        <f>VLOOKUP(AB15,价值!$B:$G,6,0)*AC15</f>
        <v>150</v>
      </c>
      <c r="AE15" s="16" t="s">
        <v>115</v>
      </c>
      <c r="AF15" s="1">
        <v>2</v>
      </c>
      <c r="AG15" s="1">
        <f>VLOOKUP(AE15,价值!$B:$G,6,0)*AF15</f>
        <v>120</v>
      </c>
      <c r="AH15" s="1"/>
      <c r="AI15" s="1"/>
      <c r="AJ15" s="1">
        <f>VLOOKUP(AH15,价值!$B:$G,6,0)*AI15</f>
        <v>0</v>
      </c>
      <c r="AK15" s="1"/>
      <c r="AL15" s="1"/>
      <c r="AM15" s="1">
        <f>VLOOKUP(AK15,价值!$B:$G,6,0)*AL15</f>
        <v>0</v>
      </c>
      <c r="AN15" s="2">
        <f t="shared" si="0"/>
        <v>270</v>
      </c>
      <c r="AO15" s="4" t="str">
        <f>VLOOKUP(AB15,价值!$B:$G,3,0)&amp;","&amp;AC15</f>
        <v>prop,308,1</v>
      </c>
      <c r="AP15" s="3" t="str">
        <f>IF(VLOOKUP(AB15,价值!$B:$G,5,0)=0,AO15,VLOOKUP(AB15,价值!$B:$G,5,0)&amp;","&amp;AC15)</f>
        <v>prop,308,1</v>
      </c>
      <c r="AQ15" s="4" t="str">
        <f>VLOOKUP(AE15,价值!$B:$G,3,0)&amp;","&amp;AF15</f>
        <v>prop,213,2</v>
      </c>
      <c r="AR15" s="3" t="str">
        <f>IF(VLOOKUP(AE15,价值!$B:$G,5,0)=0,AQ15,VLOOKUP(AE15,价值!$B:$G,5,0)&amp;","&amp;AF15)</f>
        <v>prop,213,2</v>
      </c>
      <c r="AS15" s="4" t="str">
        <f>IF(AH15="","",VLOOKUP(AH15,价值!$B:$G,3,0)&amp;","&amp;AI15)</f>
        <v/>
      </c>
      <c r="AT15" s="3" t="str">
        <f>IF(VLOOKUP(AH15,价值!$B:$G,5,0)=0,AS15,VLOOKUP(AH15,价值!$B:$G,5,0)&amp;","&amp;AI15)</f>
        <v/>
      </c>
      <c r="AU15" s="4" t="str">
        <f>VLOOKUP(AK15,价值!$B:$G,3,0)&amp;","&amp;AL15</f>
        <v>0,</v>
      </c>
      <c r="AV15" s="3" t="str">
        <f>IF(VLOOKUP(AK15,价值!$B:$G,5,0)=0,AU15,VLOOKUP(AK15,价值!$B:$G,5,0)&amp;","&amp;AL15)</f>
        <v>0,</v>
      </c>
      <c r="AW15" s="14" t="str">
        <f t="shared" si="1"/>
        <v>prop,308,1;prop,213,2</v>
      </c>
      <c r="AX15" s="14" t="str">
        <f t="shared" si="1"/>
        <v>prop,308,1;prop,213,2</v>
      </c>
      <c r="BA15" s="4">
        <f>积分计算!K11</f>
        <v>150000</v>
      </c>
    </row>
    <row r="16" spans="1:53" ht="15" x14ac:dyDescent="0.2">
      <c r="A16" s="2" t="s">
        <v>52</v>
      </c>
      <c r="B16" s="2">
        <v>12</v>
      </c>
      <c r="G16" s="3" t="s">
        <v>86</v>
      </c>
      <c r="H16" s="1"/>
      <c r="AA16" s="4">
        <v>56000</v>
      </c>
      <c r="AB16" s="16" t="s">
        <v>125</v>
      </c>
      <c r="AC16" s="1">
        <v>1</v>
      </c>
      <c r="AD16" s="1">
        <f>VLOOKUP(AB16,价值!$B:$G,6,0)*AC16</f>
        <v>150</v>
      </c>
      <c r="AE16" s="16" t="s">
        <v>116</v>
      </c>
      <c r="AF16" s="1">
        <v>2</v>
      </c>
      <c r="AG16" s="1">
        <f>VLOOKUP(AE16,价值!$B:$G,6,0)*AF16</f>
        <v>120</v>
      </c>
      <c r="AH16" s="1"/>
      <c r="AI16" s="1"/>
      <c r="AJ16" s="1">
        <f>VLOOKUP(AH16,价值!$B:$G,6,0)*AI16</f>
        <v>0</v>
      </c>
      <c r="AK16" s="1"/>
      <c r="AL16" s="1"/>
      <c r="AM16" s="1">
        <f>VLOOKUP(AK16,价值!$B:$G,6,0)*AL16</f>
        <v>0</v>
      </c>
      <c r="AN16" s="2">
        <f t="shared" si="0"/>
        <v>270</v>
      </c>
      <c r="AO16" s="4" t="str">
        <f>VLOOKUP(AB16,价值!$B:$G,3,0)&amp;","&amp;AC16</f>
        <v>prop,311,1</v>
      </c>
      <c r="AP16" s="3" t="str">
        <f>IF(VLOOKUP(AB16,价值!$B:$G,5,0)=0,AO16,VLOOKUP(AB16,价值!$B:$G,5,0)&amp;","&amp;AC16)</f>
        <v>prop,311,1</v>
      </c>
      <c r="AQ16" s="4" t="str">
        <f>VLOOKUP(AE16,价值!$B:$G,3,0)&amp;","&amp;AF16</f>
        <v>prop,214,2</v>
      </c>
      <c r="AR16" s="3" t="str">
        <f>IF(VLOOKUP(AE16,价值!$B:$G,5,0)=0,AQ16,VLOOKUP(AE16,价值!$B:$G,5,0)&amp;","&amp;AF16)</f>
        <v>prop,214,2</v>
      </c>
      <c r="AS16" s="4" t="str">
        <f>IF(AH16="","",VLOOKUP(AH16,价值!$B:$G,3,0)&amp;","&amp;AI16)</f>
        <v/>
      </c>
      <c r="AT16" s="3" t="str">
        <f>IF(VLOOKUP(AH16,价值!$B:$G,5,0)=0,AS16,VLOOKUP(AH16,价值!$B:$G,5,0)&amp;","&amp;AI16)</f>
        <v/>
      </c>
      <c r="AU16" s="4" t="str">
        <f>VLOOKUP(AK16,价值!$B:$G,3,0)&amp;","&amp;AL16</f>
        <v>0,</v>
      </c>
      <c r="AV16" s="3" t="str">
        <f>IF(VLOOKUP(AK16,价值!$B:$G,5,0)=0,AU16,VLOOKUP(AK16,价值!$B:$G,5,0)&amp;","&amp;AL16)</f>
        <v>0,</v>
      </c>
      <c r="AW16" s="14" t="str">
        <f t="shared" si="1"/>
        <v>prop,311,1;prop,214,2</v>
      </c>
      <c r="AX16" s="14" t="str">
        <f t="shared" si="1"/>
        <v>prop,311,1;prop,214,2</v>
      </c>
      <c r="BA16" s="5">
        <f>D3</f>
        <v>12800</v>
      </c>
    </row>
    <row r="17" spans="1:50" ht="15" x14ac:dyDescent="0.2">
      <c r="A17" s="3" t="s">
        <v>71</v>
      </c>
      <c r="B17" s="2">
        <v>50</v>
      </c>
      <c r="H17" s="1" t="s">
        <v>78</v>
      </c>
      <c r="K17" s="1" t="s">
        <v>77</v>
      </c>
      <c r="L17" s="1" t="s">
        <v>75</v>
      </c>
      <c r="M17" s="1" t="s">
        <v>76</v>
      </c>
      <c r="N17" s="1" t="s">
        <v>77</v>
      </c>
      <c r="O17" s="3" t="s">
        <v>75</v>
      </c>
      <c r="P17" s="3" t="s">
        <v>79</v>
      </c>
      <c r="Q17" s="3" t="s">
        <v>77</v>
      </c>
      <c r="R17" s="3" t="s">
        <v>82</v>
      </c>
      <c r="S17" s="2" t="s">
        <v>29</v>
      </c>
      <c r="T17" s="2" t="s">
        <v>30</v>
      </c>
      <c r="U17" s="2" t="s">
        <v>29</v>
      </c>
      <c r="V17" s="2" t="s">
        <v>30</v>
      </c>
      <c r="W17" s="3" t="s">
        <v>84</v>
      </c>
      <c r="X17" s="3" t="s">
        <v>83</v>
      </c>
      <c r="AA17" s="5">
        <v>64000</v>
      </c>
      <c r="AB17" s="5" t="s">
        <v>72</v>
      </c>
      <c r="AC17" s="5">
        <v>3</v>
      </c>
      <c r="AD17" s="5">
        <f>VLOOKUP(AB17,价值!$B:$G,6,0)*AC17</f>
        <v>1800</v>
      </c>
      <c r="AE17" s="16" t="s">
        <v>129</v>
      </c>
      <c r="AF17" s="5">
        <v>2</v>
      </c>
      <c r="AG17" s="5">
        <f>VLOOKUP(AE17,价值!$B:$G,6,0)*AF17</f>
        <v>720</v>
      </c>
      <c r="AH17" s="16" t="s">
        <v>81</v>
      </c>
      <c r="AI17" s="5">
        <v>50000</v>
      </c>
      <c r="AJ17" s="5">
        <f>VLOOKUP(AH17,价值!$B:$G,6,0)*AI17</f>
        <v>1000</v>
      </c>
      <c r="AK17" s="5"/>
      <c r="AL17" s="5"/>
      <c r="AM17" s="5">
        <f>VLOOKUP(AK17,价值!$B:$G,6,0)*AL17</f>
        <v>0</v>
      </c>
      <c r="AN17" s="2">
        <f t="shared" si="0"/>
        <v>3520</v>
      </c>
      <c r="AO17" s="4" t="str">
        <f>VLOOKUP(AB17,价值!$B:$G,3,0)&amp;","&amp;AC17</f>
        <v>pack,304,3</v>
      </c>
      <c r="AP17" s="3" t="str">
        <f>IF(VLOOKUP(AB17,价值!$B:$G,5,0)=0,AO17,VLOOKUP(AB17,价值!$B:$G,5,0)&amp;","&amp;AC17)</f>
        <v>item,104,3</v>
      </c>
      <c r="AQ17" s="4" t="str">
        <f>VLOOKUP(AE17,价值!$B:$G,3,0)&amp;","&amp;AF17</f>
        <v>prop,315,2</v>
      </c>
      <c r="AR17" s="3" t="str">
        <f>IF(VLOOKUP(AE17,价值!$B:$G,5,0)=0,AQ17,VLOOKUP(AE17,价值!$B:$G,5,0)&amp;","&amp;AF17)</f>
        <v>prop,315,2</v>
      </c>
      <c r="AS17" s="4" t="str">
        <f>IF(AH17="","",VLOOKUP(AH17,价值!$B:$G,3,0)&amp;","&amp;AI17)</f>
        <v>coin,50000</v>
      </c>
      <c r="AT17" s="3" t="str">
        <f>IF(VLOOKUP(AH17,价值!$B:$G,5,0)=0,AS17,VLOOKUP(AH17,价值!$B:$G,5,0)&amp;","&amp;AI17)</f>
        <v>coin,50000</v>
      </c>
      <c r="AU17" s="4" t="str">
        <f>VLOOKUP(AK17,价值!$B:$G,3,0)&amp;","&amp;AL17</f>
        <v>0,</v>
      </c>
      <c r="AV17" s="3" t="str">
        <f>IF(VLOOKUP(AK17,价值!$B:$G,5,0)=0,AU17,VLOOKUP(AK17,价值!$B:$G,5,0)&amp;","&amp;AL17)</f>
        <v>0,</v>
      </c>
      <c r="AW17" s="14" t="str">
        <f t="shared" si="1"/>
        <v>pack,304,3;prop,315,2;coin,50000</v>
      </c>
      <c r="AX17" s="14" t="str">
        <f t="shared" si="1"/>
        <v>item,104,3;prop,315,2;coin,50000</v>
      </c>
    </row>
    <row r="18" spans="1:50" ht="15" x14ac:dyDescent="0.2">
      <c r="A18" s="2" t="s">
        <v>53</v>
      </c>
      <c r="B18" s="2">
        <f>220</f>
        <v>220</v>
      </c>
      <c r="G18" s="2">
        <f>E6</f>
        <v>0</v>
      </c>
      <c r="H18" s="4">
        <v>1</v>
      </c>
      <c r="I18" s="3" t="s">
        <v>99</v>
      </c>
      <c r="J18" s="13" t="s">
        <v>101</v>
      </c>
      <c r="L18" s="1"/>
      <c r="M18" s="4"/>
      <c r="N18" s="4"/>
      <c r="O18" s="3" t="s">
        <v>96</v>
      </c>
      <c r="P18" s="2">
        <v>4</v>
      </c>
      <c r="Q18" s="4">
        <f>VLOOKUP(O18,价值!$B:$G,6,0)*P18</f>
        <v>200</v>
      </c>
      <c r="R18" s="2">
        <f>M18+Q18+K18</f>
        <v>200</v>
      </c>
      <c r="S18" s="2" t="str">
        <f>VLOOKUP(L18,价值!$B:$G,3,0)&amp;","&amp;M18</f>
        <v>0,</v>
      </c>
      <c r="T18" s="2" t="str">
        <f>IF(VLOOKUP(L18,价值!$B:$G,5,0)=0,S18,VLOOKUP(L18,价值!$B:$G,5,0)&amp;","&amp;M18)</f>
        <v>0,</v>
      </c>
      <c r="U18" s="2" t="str">
        <f>VLOOKUP(O18,价值!$B:$G,3,0)&amp;","&amp;P18</f>
        <v>pack,303,4</v>
      </c>
      <c r="V18" s="2" t="str">
        <f>IF(VLOOKUP(O18,价值!$B:$G,5,0)=0,U18,VLOOKUP(O18,价值!$B:$G,5,0)&amp;","&amp;P18)</f>
        <v>item,103,4</v>
      </c>
      <c r="W18" s="14" t="str">
        <f>J18</f>
        <v>equip,231;equip,232;equip,233;equip,234</v>
      </c>
      <c r="X18" s="14" t="str">
        <f>J18</f>
        <v>equip,231;equip,232;equip,233;equip,234</v>
      </c>
      <c r="Y18" s="1" t="s">
        <v>85</v>
      </c>
      <c r="AA18" s="4">
        <v>72000</v>
      </c>
      <c r="AB18" s="1" t="s">
        <v>136</v>
      </c>
      <c r="AC18" s="1">
        <v>5</v>
      </c>
      <c r="AD18" s="1">
        <f>VLOOKUP(AB18,价值!$B:$G,6,0)*AC18</f>
        <v>300</v>
      </c>
      <c r="AE18" s="1" t="s">
        <v>137</v>
      </c>
      <c r="AF18" s="1">
        <v>1</v>
      </c>
      <c r="AG18" s="1">
        <f>VLOOKUP(AE18,价值!$B:$G,6,0)*AF18</f>
        <v>300</v>
      </c>
      <c r="AH18" s="1"/>
      <c r="AI18" s="1"/>
      <c r="AJ18" s="1">
        <f>VLOOKUP(AH18,价值!$B:$G,6,0)*AI18</f>
        <v>0</v>
      </c>
      <c r="AK18" s="1"/>
      <c r="AL18" s="1"/>
      <c r="AM18" s="1">
        <f>VLOOKUP(AK18,价值!$B:$G,6,0)*AL18</f>
        <v>0</v>
      </c>
      <c r="AN18" s="2">
        <f t="shared" si="0"/>
        <v>600</v>
      </c>
      <c r="AO18" s="4" t="str">
        <f>VLOOKUP(AB18,价值!$B:$G,3,0)&amp;","&amp;AC18</f>
        <v>prop,206,5</v>
      </c>
      <c r="AP18" s="3" t="str">
        <f>IF(VLOOKUP(AB18,价值!$B:$G,5,0)=0,AO18,VLOOKUP(AB18,价值!$B:$G,5,0)&amp;","&amp;AC18)</f>
        <v>prop,206,5</v>
      </c>
      <c r="AQ18" s="4" t="str">
        <f>VLOOKUP(AE18,价值!$B:$G,3,0)&amp;","&amp;AF18</f>
        <v>prop,323,1</v>
      </c>
      <c r="AR18" s="3" t="str">
        <f>IF(VLOOKUP(AE18,价值!$B:$G,5,0)=0,AQ18,VLOOKUP(AE18,价值!$B:$G,5,0)&amp;","&amp;AF18)</f>
        <v>prop,323,1</v>
      </c>
      <c r="AS18" s="4" t="str">
        <f>IF(AH18="","",VLOOKUP(AH18,价值!$B:$G,3,0)&amp;","&amp;AI18)</f>
        <v/>
      </c>
      <c r="AT18" s="3" t="str">
        <f>IF(VLOOKUP(AH18,价值!$B:$G,5,0)=0,AS18,VLOOKUP(AH18,价值!$B:$G,5,0)&amp;","&amp;AI18)</f>
        <v/>
      </c>
      <c r="AU18" s="4" t="str">
        <f>VLOOKUP(AK18,价值!$B:$G,3,0)&amp;","&amp;AL18</f>
        <v>0,</v>
      </c>
      <c r="AV18" s="3" t="str">
        <f>IF(VLOOKUP(AK18,价值!$B:$G,5,0)=0,AU18,VLOOKUP(AK18,价值!$B:$G,5,0)&amp;","&amp;AL18)</f>
        <v>0,</v>
      </c>
      <c r="AW18" s="14" t="str">
        <f t="shared" si="1"/>
        <v>prop,206,5;prop,323,1</v>
      </c>
      <c r="AX18" s="14" t="str">
        <f t="shared" si="1"/>
        <v>prop,206,5;prop,323,1</v>
      </c>
    </row>
    <row r="19" spans="1:50" ht="15" x14ac:dyDescent="0.2">
      <c r="G19" s="2">
        <f>F6</f>
        <v>0</v>
      </c>
      <c r="H19" s="1">
        <v>2</v>
      </c>
      <c r="I19" s="3" t="s">
        <v>100</v>
      </c>
      <c r="J19" s="9" t="s">
        <v>102</v>
      </c>
      <c r="L19" s="1"/>
      <c r="M19" s="4"/>
      <c r="N19" s="4"/>
      <c r="O19" s="3" t="s">
        <v>103</v>
      </c>
      <c r="P19" s="2">
        <v>2</v>
      </c>
      <c r="Q19" s="4">
        <f>VLOOKUP(O19,价值!$B:$G,6,0)*P19</f>
        <v>1200</v>
      </c>
      <c r="R19" s="2">
        <f t="shared" ref="R19:R21" si="2">M19+Q19+K19</f>
        <v>1200</v>
      </c>
      <c r="S19" s="2" t="str">
        <f>VLOOKUP(L19,价值!$B:$G,3,0)&amp;","&amp;M19</f>
        <v>0,</v>
      </c>
      <c r="T19" s="2" t="str">
        <f>IF(VLOOKUP(L19,价值!$B:$G,5,0)=0,S19,VLOOKUP(L19,价值!$B:$G,5,0)&amp;","&amp;M19)</f>
        <v>0,</v>
      </c>
      <c r="U19" s="2" t="str">
        <f>VLOOKUP(O19,价值!$B:$G,3,0)&amp;","&amp;P19</f>
        <v>pack,304,2</v>
      </c>
      <c r="V19" s="2" t="str">
        <f>IF(VLOOKUP(O19,价值!$B:$G,5,0)=0,U19,VLOOKUP(O19,价值!$B:$G,5,0)&amp;","&amp;P19)</f>
        <v>item,104,2</v>
      </c>
      <c r="W19" s="14" t="str">
        <f>J19</f>
        <v>equip,645;equip,646</v>
      </c>
      <c r="X19" s="14" t="str">
        <f>J19</f>
        <v>equip,645;equip,646</v>
      </c>
      <c r="Y19" s="1" t="s">
        <v>85</v>
      </c>
      <c r="AA19" s="6">
        <v>80000</v>
      </c>
      <c r="AB19" s="16" t="s">
        <v>118</v>
      </c>
      <c r="AC19" s="1">
        <v>1</v>
      </c>
      <c r="AD19" s="1">
        <f>VLOOKUP(AB19,价值!$B:$G,6,0)*AC19</f>
        <v>450</v>
      </c>
      <c r="AE19" s="16" t="s">
        <v>109</v>
      </c>
      <c r="AF19" s="1">
        <v>2</v>
      </c>
      <c r="AG19" s="1">
        <f>VLOOKUP(AE19,价值!$B:$G,6,0)*AF19</f>
        <v>120</v>
      </c>
      <c r="AH19" s="1"/>
      <c r="AI19" s="1"/>
      <c r="AJ19" s="1">
        <f>VLOOKUP(AH19,价值!$B:$G,6,0)*AI19</f>
        <v>0</v>
      </c>
      <c r="AK19" s="1"/>
      <c r="AL19" s="1"/>
      <c r="AM19" s="1">
        <f>VLOOKUP(AK19,价值!$B:$G,6,0)*AL19</f>
        <v>0</v>
      </c>
      <c r="AN19" s="2">
        <f t="shared" si="0"/>
        <v>570</v>
      </c>
      <c r="AO19" s="4" t="str">
        <f>VLOOKUP(AB19,价值!$B:$G,3,0)&amp;","&amp;AC19</f>
        <v>prop,303,1</v>
      </c>
      <c r="AP19" s="3" t="str">
        <f>IF(VLOOKUP(AB19,价值!$B:$G,5,0)=0,AO19,VLOOKUP(AB19,价值!$B:$G,5,0)&amp;","&amp;AC19)</f>
        <v>prop,303,1</v>
      </c>
      <c r="AQ19" s="4" t="str">
        <f>VLOOKUP(AE19,价值!$B:$G,3,0)&amp;","&amp;AF19</f>
        <v>prop,211,2</v>
      </c>
      <c r="AR19" s="3" t="str">
        <f>IF(VLOOKUP(AE19,价值!$B:$G,5,0)=0,AQ19,VLOOKUP(AE19,价值!$B:$G,5,0)&amp;","&amp;AF19)</f>
        <v>prop,211,2</v>
      </c>
      <c r="AS19" s="4" t="str">
        <f>IF(AH19="","",VLOOKUP(AH19,价值!$B:$G,3,0)&amp;","&amp;AI19)</f>
        <v/>
      </c>
      <c r="AT19" s="3" t="str">
        <f>IF(VLOOKUP(AH19,价值!$B:$G,5,0)=0,AS19,VLOOKUP(AH19,价值!$B:$G,5,0)&amp;","&amp;AI19)</f>
        <v/>
      </c>
      <c r="AU19" s="4" t="str">
        <f>VLOOKUP(AK19,价值!$B:$G,3,0)&amp;","&amp;AL19</f>
        <v>0,</v>
      </c>
      <c r="AV19" s="3" t="str">
        <f>IF(VLOOKUP(AK19,价值!$B:$G,5,0)=0,AU19,VLOOKUP(AK19,价值!$B:$G,5,0)&amp;","&amp;AL19)</f>
        <v>0,</v>
      </c>
      <c r="AW19" s="14" t="str">
        <f t="shared" si="1"/>
        <v>prop,303,1;prop,211,2</v>
      </c>
      <c r="AX19" s="14" t="str">
        <f t="shared" si="1"/>
        <v>prop,303,1;prop,211,2</v>
      </c>
    </row>
    <row r="20" spans="1:50" ht="15" x14ac:dyDescent="0.2">
      <c r="A20" s="3" t="s">
        <v>54</v>
      </c>
      <c r="B20" s="2">
        <f>B8</f>
        <v>100</v>
      </c>
      <c r="G20" s="2">
        <f>G6</f>
        <v>0</v>
      </c>
      <c r="H20" s="1">
        <v>3</v>
      </c>
      <c r="I20" s="3" t="s">
        <v>81</v>
      </c>
      <c r="J20" s="1">
        <v>50000</v>
      </c>
      <c r="K20" s="4">
        <f>VLOOKUP(I20,价值!$B:$G,6,0)*J20</f>
        <v>1000</v>
      </c>
      <c r="L20" s="1" t="s">
        <v>74</v>
      </c>
      <c r="M20" s="4">
        <v>500</v>
      </c>
      <c r="N20" s="4">
        <f>VLOOKUP(L20,价值!$B:$G,6,0)*M20</f>
        <v>500</v>
      </c>
      <c r="O20" s="3" t="s">
        <v>104</v>
      </c>
      <c r="P20" s="2">
        <v>10</v>
      </c>
      <c r="Q20" s="4">
        <f>VLOOKUP(O20,价值!$B:$G,6,0)*P20</f>
        <v>1000</v>
      </c>
      <c r="R20" s="2">
        <f t="shared" si="2"/>
        <v>2500</v>
      </c>
      <c r="S20" s="2" t="str">
        <f>VLOOKUP(L20,价值!$B:$G,3,0)&amp;","&amp;M20</f>
        <v>cash,500</v>
      </c>
      <c r="T20" s="2" t="str">
        <f>IF(VLOOKUP(L20,价值!$B:$G,5,0)=0,S20,VLOOKUP(L20,价值!$B:$G,5,0)&amp;","&amp;M20)</f>
        <v>cash,500</v>
      </c>
      <c r="U20" s="2" t="str">
        <f>VLOOKUP(O20,价值!$B:$G,3,0)&amp;","&amp;P20</f>
        <v>prop,403,10</v>
      </c>
      <c r="V20" s="2" t="str">
        <f>IF(VLOOKUP(O20,价值!$B:$G,5,0)=0,U20,VLOOKUP(O20,价值!$B:$G,5,0)&amp;","&amp;P20)</f>
        <v>prop,403,10</v>
      </c>
      <c r="W20" s="14" t="str">
        <f>S20&amp;";"&amp;U20&amp;";coin,"&amp;J20</f>
        <v>cash,500;prop,403,10;coin,50000</v>
      </c>
      <c r="X20" s="14" t="str">
        <f>T20&amp;";"&amp;V20&amp;";coin,"&amp;J20</f>
        <v>cash,500;prop,403,10;coin,50000</v>
      </c>
      <c r="Y20" s="1" t="s">
        <v>85</v>
      </c>
      <c r="AA20" s="4">
        <v>90000</v>
      </c>
      <c r="AB20" s="16" t="s">
        <v>121</v>
      </c>
      <c r="AC20" s="1">
        <v>1</v>
      </c>
      <c r="AD20" s="1">
        <f>VLOOKUP(AB20,价值!$B:$G,6,0)*AC20</f>
        <v>450</v>
      </c>
      <c r="AE20" s="16" t="s">
        <v>114</v>
      </c>
      <c r="AF20" s="1">
        <v>2</v>
      </c>
      <c r="AG20" s="1">
        <f>VLOOKUP(AE20,价值!$B:$G,6,0)*AF20</f>
        <v>120</v>
      </c>
      <c r="AH20" s="1"/>
      <c r="AI20" s="1"/>
      <c r="AJ20" s="1">
        <f>VLOOKUP(AH20,价值!$B:$G,6,0)*AI20</f>
        <v>0</v>
      </c>
      <c r="AK20" s="1"/>
      <c r="AL20" s="1"/>
      <c r="AM20" s="1">
        <f>VLOOKUP(AK20,价值!$B:$G,6,0)*AL20</f>
        <v>0</v>
      </c>
      <c r="AN20" s="2">
        <f t="shared" si="0"/>
        <v>570</v>
      </c>
      <c r="AO20" s="4" t="str">
        <f>VLOOKUP(AB20,价值!$B:$G,3,0)&amp;","&amp;AC20</f>
        <v>prop,306,1</v>
      </c>
      <c r="AP20" s="3" t="str">
        <f>IF(VLOOKUP(AB20,价值!$B:$G,5,0)=0,AO20,VLOOKUP(AB20,价值!$B:$G,5,0)&amp;","&amp;AC20)</f>
        <v>prop,306,1</v>
      </c>
      <c r="AQ20" s="4" t="str">
        <f>VLOOKUP(AE20,价值!$B:$G,3,0)&amp;","&amp;AF20</f>
        <v>prop,212,2</v>
      </c>
      <c r="AR20" s="3" t="str">
        <f>IF(VLOOKUP(AE20,价值!$B:$G,5,0)=0,AQ20,VLOOKUP(AE20,价值!$B:$G,5,0)&amp;","&amp;AF20)</f>
        <v>prop,212,2</v>
      </c>
      <c r="AS20" s="4" t="str">
        <f>IF(AH20="","",VLOOKUP(AH20,价值!$B:$G,3,0)&amp;","&amp;AI20)</f>
        <v/>
      </c>
      <c r="AT20" s="3" t="str">
        <f>IF(VLOOKUP(AH20,价值!$B:$G,5,0)=0,AS20,VLOOKUP(AH20,价值!$B:$G,5,0)&amp;","&amp;AI20)</f>
        <v/>
      </c>
      <c r="AU20" s="4" t="str">
        <f>VLOOKUP(AK20,价值!$B:$G,3,0)&amp;","&amp;AL20</f>
        <v>0,</v>
      </c>
      <c r="AV20" s="3" t="str">
        <f>IF(VLOOKUP(AK20,价值!$B:$G,5,0)=0,AU20,VLOOKUP(AK20,价值!$B:$G,5,0)&amp;","&amp;AL20)</f>
        <v>0,</v>
      </c>
      <c r="AW20" s="14" t="str">
        <f t="shared" si="1"/>
        <v>prop,306,1;prop,212,2</v>
      </c>
      <c r="AX20" s="14" t="str">
        <f t="shared" si="1"/>
        <v>prop,306,1;prop,212,2</v>
      </c>
    </row>
    <row r="21" spans="1:50" ht="15" x14ac:dyDescent="0.2">
      <c r="A21" s="3" t="s">
        <v>71</v>
      </c>
      <c r="B21" s="2">
        <f>B20/B18*B17</f>
        <v>22.727272727272727</v>
      </c>
      <c r="G21" s="11">
        <f>H6</f>
        <v>0</v>
      </c>
      <c r="H21" s="10">
        <v>4</v>
      </c>
      <c r="I21" s="11" t="s">
        <v>81</v>
      </c>
      <c r="J21" s="10">
        <v>50000</v>
      </c>
      <c r="K21" s="10">
        <f>VLOOKUP(I21,价值!$B:$G,6,0)*J21</f>
        <v>1000</v>
      </c>
      <c r="L21" s="10" t="s">
        <v>74</v>
      </c>
      <c r="M21" s="10">
        <v>500</v>
      </c>
      <c r="N21" s="10">
        <f>VLOOKUP(L21,价值!$B:$G,6,0)*M21</f>
        <v>500</v>
      </c>
      <c r="O21" s="11" t="s">
        <v>104</v>
      </c>
      <c r="P21" s="11">
        <v>10</v>
      </c>
      <c r="Q21" s="10">
        <f>VLOOKUP(O21,价值!$B:$G,6,0)*P21</f>
        <v>1000</v>
      </c>
      <c r="R21" s="11">
        <f t="shared" si="2"/>
        <v>2500</v>
      </c>
      <c r="S21" s="11" t="str">
        <f>VLOOKUP(L21,价值!$B:$G,3,0)&amp;","&amp;M21</f>
        <v>cash,500</v>
      </c>
      <c r="T21" s="11" t="str">
        <f>IF(VLOOKUP(L21,价值!$B:$G,5,0)=0,S21,VLOOKUP(L21,价值!$B:$G,5,0)&amp;","&amp;M21)</f>
        <v>cash,500</v>
      </c>
      <c r="U21" s="11" t="str">
        <f>VLOOKUP(O21,价值!$B:$G,3,0)&amp;","&amp;P21</f>
        <v>prop,403,10</v>
      </c>
      <c r="V21" s="11" t="str">
        <f>IF(VLOOKUP(O21,价值!$B:$G,5,0)=0,U21,VLOOKUP(O21,价值!$B:$G,5,0)&amp;","&amp;P21)</f>
        <v>prop,403,10</v>
      </c>
      <c r="W21" s="17" t="str">
        <f>S21&amp;";"&amp;U21&amp;";coin,"&amp;J21</f>
        <v>cash,500;prop,403,10;coin,50000</v>
      </c>
      <c r="X21" s="17" t="str">
        <f t="shared" ref="X21" si="3">T21&amp;";"&amp;V21</f>
        <v>cash,500;prop,403,10</v>
      </c>
      <c r="Y21" s="1" t="s">
        <v>85</v>
      </c>
      <c r="AA21" s="5">
        <v>100000</v>
      </c>
      <c r="AB21" s="5" t="s">
        <v>107</v>
      </c>
      <c r="AC21" s="5">
        <v>5</v>
      </c>
      <c r="AD21" s="5">
        <f>VLOOKUP(AB21,价值!$B:$G,6,0)*AC21</f>
        <v>1250</v>
      </c>
      <c r="AE21" s="16" t="s">
        <v>132</v>
      </c>
      <c r="AF21" s="5">
        <v>2</v>
      </c>
      <c r="AG21" s="5">
        <f>VLOOKUP(AE21,价值!$B:$G,6,0)*AF21</f>
        <v>720</v>
      </c>
      <c r="AH21" s="16" t="s">
        <v>74</v>
      </c>
      <c r="AI21" s="5">
        <v>200</v>
      </c>
      <c r="AJ21" s="5">
        <f>VLOOKUP(AH21,价值!$B:$G,6,0)*AI21</f>
        <v>200</v>
      </c>
      <c r="AK21" s="5"/>
      <c r="AL21" s="5"/>
      <c r="AM21" s="5">
        <f>VLOOKUP(AK21,价值!$B:$G,6,0)*AL21</f>
        <v>0</v>
      </c>
      <c r="AN21" s="2">
        <f t="shared" si="0"/>
        <v>2170</v>
      </c>
      <c r="AO21" s="4" t="str">
        <f>VLOOKUP(AB21,价值!$B:$G,3,0)&amp;","&amp;AC21</f>
        <v>prop,707,5</v>
      </c>
      <c r="AP21" s="3" t="str">
        <f>IF(VLOOKUP(AB21,价值!$B:$G,5,0)=0,AO21,VLOOKUP(AB21,价值!$B:$G,5,0)&amp;","&amp;AC21)</f>
        <v>prop,707,5</v>
      </c>
      <c r="AQ21" s="4" t="str">
        <f>VLOOKUP(AE21,价值!$B:$G,3,0)&amp;","&amp;AF21</f>
        <v>prop,318,2</v>
      </c>
      <c r="AR21" s="3" t="str">
        <f>IF(VLOOKUP(AE21,价值!$B:$G,5,0)=0,AQ21,VLOOKUP(AE21,价值!$B:$G,5,0)&amp;","&amp;AF21)</f>
        <v>prop,318,2</v>
      </c>
      <c r="AS21" s="4" t="str">
        <f>IF(AH21="","",VLOOKUP(AH21,价值!$B:$G,3,0)&amp;","&amp;AI21)</f>
        <v>cash,200</v>
      </c>
      <c r="AT21" s="3" t="str">
        <f>IF(VLOOKUP(AH21,价值!$B:$G,5,0)=0,AS21,VLOOKUP(AH21,价值!$B:$G,5,0)&amp;","&amp;AI21)</f>
        <v>cash,200</v>
      </c>
      <c r="AU21" s="4" t="str">
        <f>VLOOKUP(AK21,价值!$B:$G,3,0)&amp;","&amp;AL21</f>
        <v>0,</v>
      </c>
      <c r="AV21" s="3" t="str">
        <f>IF(VLOOKUP(AK21,价值!$B:$G,5,0)=0,AU21,VLOOKUP(AK21,价值!$B:$G,5,0)&amp;","&amp;AL21)</f>
        <v>0,</v>
      </c>
      <c r="AW21" s="14" t="str">
        <f t="shared" si="1"/>
        <v>prop,707,5;prop,318,2;cash,200</v>
      </c>
      <c r="AX21" s="14" t="str">
        <f t="shared" si="1"/>
        <v>prop,707,5;prop,318,2;cash,200</v>
      </c>
    </row>
    <row r="22" spans="1:50" ht="15" x14ac:dyDescent="0.2">
      <c r="AA22" s="4">
        <v>110000</v>
      </c>
      <c r="AB22" s="16" t="s">
        <v>124</v>
      </c>
      <c r="AC22" s="1">
        <v>1</v>
      </c>
      <c r="AD22" s="1">
        <f>VLOOKUP(AB22,价值!$B:$G,6,0)*AC22</f>
        <v>450</v>
      </c>
      <c r="AE22" s="16" t="s">
        <v>141</v>
      </c>
      <c r="AF22" s="1">
        <v>20</v>
      </c>
      <c r="AG22" s="1">
        <f>VLOOKUP(AE22,价值!$B:$G,6,0)*AF22</f>
        <v>300</v>
      </c>
      <c r="AH22" s="1"/>
      <c r="AI22" s="1"/>
      <c r="AJ22" s="1">
        <f>VLOOKUP(AH22,价值!$B:$G,6,0)*AI22</f>
        <v>0</v>
      </c>
      <c r="AK22" s="1"/>
      <c r="AL22" s="1"/>
      <c r="AM22" s="1">
        <f>VLOOKUP(AK22,价值!$B:$G,6,0)*AL22</f>
        <v>0</v>
      </c>
      <c r="AN22" s="2">
        <f t="shared" si="0"/>
        <v>750</v>
      </c>
      <c r="AO22" s="4" t="str">
        <f>VLOOKUP(AB22,价值!$B:$G,3,0)&amp;","&amp;AC22</f>
        <v>prop,309,1</v>
      </c>
      <c r="AP22" s="3" t="str">
        <f>IF(VLOOKUP(AB22,价值!$B:$G,5,0)=0,AO22,VLOOKUP(AB22,价值!$B:$G,5,0)&amp;","&amp;AC22)</f>
        <v>prop,309,1</v>
      </c>
      <c r="AQ22" s="4" t="str">
        <f>VLOOKUP(AE22,价值!$B:$G,3,0)&amp;","&amp;AF22</f>
        <v>prop,801,20</v>
      </c>
      <c r="AR22" s="3" t="str">
        <f>IF(VLOOKUP(AE22,价值!$B:$G,5,0)=0,AQ22,VLOOKUP(AE22,价值!$B:$G,5,0)&amp;","&amp;AF22)</f>
        <v>prop,801,20</v>
      </c>
      <c r="AS22" s="4" t="str">
        <f>IF(AH22="","",VLOOKUP(AH22,价值!$B:$G,3,0)&amp;","&amp;AI22)</f>
        <v/>
      </c>
      <c r="AT22" s="3" t="str">
        <f>IF(VLOOKUP(AH22,价值!$B:$G,5,0)=0,AS22,VLOOKUP(AH22,价值!$B:$G,5,0)&amp;","&amp;AI22)</f>
        <v/>
      </c>
      <c r="AU22" s="4" t="str">
        <f>VLOOKUP(AK22,价值!$B:$G,3,0)&amp;","&amp;AL22</f>
        <v>0,</v>
      </c>
      <c r="AV22" s="3" t="str">
        <f>IF(VLOOKUP(AK22,价值!$B:$G,5,0)=0,AU22,VLOOKUP(AK22,价值!$B:$G,5,0)&amp;","&amp;AL22)</f>
        <v>0,</v>
      </c>
      <c r="AW22" s="14" t="str">
        <f t="shared" si="1"/>
        <v>prop,309,1;prop,801,20</v>
      </c>
      <c r="AX22" s="14" t="str">
        <f t="shared" si="1"/>
        <v>prop,309,1;prop,801,20</v>
      </c>
    </row>
    <row r="23" spans="1:50" ht="15" x14ac:dyDescent="0.2">
      <c r="A23" s="2" t="s">
        <v>67</v>
      </c>
      <c r="B23" s="2">
        <v>0.4</v>
      </c>
      <c r="AA23" s="6">
        <v>120000</v>
      </c>
      <c r="AB23" s="16" t="s">
        <v>126</v>
      </c>
      <c r="AC23" s="1">
        <v>1</v>
      </c>
      <c r="AD23" s="1">
        <f>VLOOKUP(AB23,价值!$B:$G,6,0)*AC23</f>
        <v>450</v>
      </c>
      <c r="AE23" s="16" t="s">
        <v>142</v>
      </c>
      <c r="AF23" s="1">
        <v>5</v>
      </c>
      <c r="AG23" s="1">
        <f>VLOOKUP(AE23,价值!$B:$G,6,0)*AF23</f>
        <v>250</v>
      </c>
      <c r="AH23" s="1"/>
      <c r="AI23" s="1"/>
      <c r="AJ23" s="1">
        <f>VLOOKUP(AH23,价值!$B:$G,6,0)*AI23</f>
        <v>0</v>
      </c>
      <c r="AK23" s="1"/>
      <c r="AL23" s="1"/>
      <c r="AM23" s="1">
        <f>VLOOKUP(AK23,价值!$B:$G,6,0)*AL23</f>
        <v>0</v>
      </c>
      <c r="AN23" s="2">
        <f t="shared" si="0"/>
        <v>700</v>
      </c>
      <c r="AO23" s="4" t="str">
        <f>VLOOKUP(AB23,价值!$B:$G,3,0)&amp;","&amp;AC23</f>
        <v>prop,312,1</v>
      </c>
      <c r="AP23" s="3" t="str">
        <f>IF(VLOOKUP(AB23,价值!$B:$G,5,0)=0,AO23,VLOOKUP(AB23,价值!$B:$G,5,0)&amp;","&amp;AC23)</f>
        <v>prop,312,1</v>
      </c>
      <c r="AQ23" s="4" t="str">
        <f>VLOOKUP(AE23,价值!$B:$G,3,0)&amp;","&amp;AF23</f>
        <v>prop,802,5</v>
      </c>
      <c r="AR23" s="3" t="str">
        <f>IF(VLOOKUP(AE23,价值!$B:$G,5,0)=0,AQ23,VLOOKUP(AE23,价值!$B:$G,5,0)&amp;","&amp;AF23)</f>
        <v>prop,802,5</v>
      </c>
      <c r="AS23" s="4" t="str">
        <f>IF(AH23="","",VLOOKUP(AH23,价值!$B:$G,3,0)&amp;","&amp;AI23)</f>
        <v/>
      </c>
      <c r="AT23" s="3" t="str">
        <f>IF(VLOOKUP(AH23,价值!$B:$G,5,0)=0,AS23,VLOOKUP(AH23,价值!$B:$G,5,0)&amp;","&amp;AI23)</f>
        <v/>
      </c>
      <c r="AU23" s="4" t="str">
        <f>VLOOKUP(AK23,价值!$B:$G,3,0)&amp;","&amp;AL23</f>
        <v>0,</v>
      </c>
      <c r="AV23" s="3" t="str">
        <f>IF(VLOOKUP(AK23,价值!$B:$G,5,0)=0,AU23,VLOOKUP(AK23,价值!$B:$G,5,0)&amp;","&amp;AL23)</f>
        <v>0,</v>
      </c>
      <c r="AW23" s="14" t="str">
        <f t="shared" si="1"/>
        <v>prop,312,1;prop,802,5</v>
      </c>
      <c r="AX23" s="14" t="str">
        <f t="shared" si="1"/>
        <v>prop,312,1;prop,802,5</v>
      </c>
    </row>
    <row r="24" spans="1:50" ht="15" x14ac:dyDescent="0.2">
      <c r="A24" s="2" t="s">
        <v>68</v>
      </c>
      <c r="B24" s="2">
        <f>FLOOR(B21/B23,10)</f>
        <v>50</v>
      </c>
      <c r="AA24" s="4">
        <v>130000</v>
      </c>
      <c r="AB24" s="16" t="s">
        <v>104</v>
      </c>
      <c r="AC24" s="1">
        <v>3</v>
      </c>
      <c r="AD24" s="1">
        <f>VLOOKUP(AB24,价值!$B:$G,6,0)*AC24</f>
        <v>300</v>
      </c>
      <c r="AE24" s="16" t="s">
        <v>145</v>
      </c>
      <c r="AF24" s="1">
        <v>1</v>
      </c>
      <c r="AG24" s="1">
        <f>VLOOKUP(AE24,价值!$B:$G,6,0)*AF24</f>
        <v>125</v>
      </c>
      <c r="AH24" s="1"/>
      <c r="AI24" s="1"/>
      <c r="AJ24" s="1">
        <f>VLOOKUP(AH24,价值!$B:$G,6,0)*AI24</f>
        <v>0</v>
      </c>
      <c r="AK24" s="1"/>
      <c r="AL24" s="1"/>
      <c r="AM24" s="1">
        <f>VLOOKUP(AK24,价值!$B:$G,6,0)*AL24</f>
        <v>0</v>
      </c>
      <c r="AN24" s="2">
        <f t="shared" si="0"/>
        <v>425</v>
      </c>
      <c r="AO24" s="4" t="str">
        <f>VLOOKUP(AB24,价值!$B:$G,3,0)&amp;","&amp;AC24</f>
        <v>prop,403,3</v>
      </c>
      <c r="AP24" s="3" t="str">
        <f>IF(VLOOKUP(AB24,价值!$B:$G,5,0)=0,AO24,VLOOKUP(AB24,价值!$B:$G,5,0)&amp;","&amp;AC24)</f>
        <v>prop,403,3</v>
      </c>
      <c r="AQ24" s="4" t="str">
        <f>VLOOKUP(AE24,价值!$B:$G,3,0)&amp;","&amp;AF24</f>
        <v>prop,603,1</v>
      </c>
      <c r="AR24" s="3" t="str">
        <f>IF(VLOOKUP(AE24,价值!$B:$G,5,0)=0,AQ24,VLOOKUP(AE24,价值!$B:$G,5,0)&amp;","&amp;AF24)</f>
        <v>prop,603,1</v>
      </c>
      <c r="AS24" s="4" t="str">
        <f>IF(AH24="","",VLOOKUP(AH24,价值!$B:$G,3,0)&amp;","&amp;AI24)</f>
        <v/>
      </c>
      <c r="AT24" s="3" t="str">
        <f>IF(VLOOKUP(AH24,价值!$B:$G,5,0)=0,AS24,VLOOKUP(AH24,价值!$B:$G,5,0)&amp;","&amp;AI24)</f>
        <v/>
      </c>
      <c r="AU24" s="4" t="str">
        <f>VLOOKUP(AK24,价值!$B:$G,3,0)&amp;","&amp;AL24</f>
        <v>0,</v>
      </c>
      <c r="AV24" s="3" t="str">
        <f>IF(VLOOKUP(AK24,价值!$B:$G,5,0)=0,AU24,VLOOKUP(AK24,价值!$B:$G,5,0)&amp;","&amp;AL24)</f>
        <v>0,</v>
      </c>
      <c r="AW24" s="14" t="str">
        <f t="shared" si="1"/>
        <v>prop,403,3;prop,603,1</v>
      </c>
      <c r="AX24" s="14" t="str">
        <f t="shared" si="1"/>
        <v>prop,403,3;prop,603,1</v>
      </c>
    </row>
    <row r="25" spans="1:50" ht="15" x14ac:dyDescent="0.2">
      <c r="AA25" s="4"/>
      <c r="AN25" s="1">
        <f>SUM(AN2:AN24)</f>
        <v>17304</v>
      </c>
      <c r="AO25" s="1"/>
      <c r="AP25" s="1"/>
      <c r="AR25"/>
      <c r="AS25" s="1"/>
      <c r="AW25" s="1"/>
      <c r="AX25" s="1"/>
    </row>
    <row r="26" spans="1:50" ht="15" x14ac:dyDescent="0.2">
      <c r="Y26" s="5" t="s">
        <v>85</v>
      </c>
      <c r="AA26" s="4"/>
      <c r="AN26" s="1"/>
      <c r="AO26" s="1"/>
      <c r="AP26" s="1"/>
      <c r="AR26"/>
      <c r="AS26" s="1"/>
      <c r="AT26"/>
      <c r="AU26"/>
      <c r="AV26"/>
      <c r="AW26"/>
      <c r="AX26" s="1"/>
    </row>
    <row r="27" spans="1:50" ht="15" x14ac:dyDescent="0.2">
      <c r="Y27" s="5" t="s">
        <v>85</v>
      </c>
      <c r="AA27" s="4"/>
      <c r="AB27" s="16"/>
      <c r="AC27" s="1"/>
      <c r="AE27" s="3" t="s">
        <v>140</v>
      </c>
      <c r="AN27" s="1"/>
      <c r="AO27" s="1"/>
      <c r="AP27" s="1"/>
      <c r="AR27"/>
      <c r="AS27" s="1"/>
      <c r="AT27"/>
      <c r="AU27"/>
      <c r="AV27"/>
      <c r="AW27"/>
      <c r="AX27" s="1"/>
    </row>
    <row r="28" spans="1:50" ht="15" x14ac:dyDescent="0.2">
      <c r="AA28" s="4"/>
      <c r="AE28" s="3" t="s">
        <v>141</v>
      </c>
      <c r="AN28" s="1"/>
      <c r="AO28" s="1"/>
      <c r="AP28" s="1"/>
      <c r="AR28" s="1"/>
      <c r="AS28" s="1"/>
      <c r="AT28"/>
      <c r="AU28"/>
      <c r="AV28"/>
      <c r="AW28"/>
      <c r="AX28" s="1"/>
    </row>
    <row r="29" spans="1:50" x14ac:dyDescent="0.15">
      <c r="AA29" s="4"/>
      <c r="AE29" s="3" t="s">
        <v>142</v>
      </c>
      <c r="AN29" s="1"/>
      <c r="AO29" s="1"/>
      <c r="AP29" s="1"/>
      <c r="AR29" s="1"/>
      <c r="AS29" s="1"/>
      <c r="AW29" s="1"/>
      <c r="AX29" s="1"/>
    </row>
    <row r="30" spans="1:50" ht="15" x14ac:dyDescent="0.2">
      <c r="AE30" s="3" t="s">
        <v>143</v>
      </c>
      <c r="AN30" s="1"/>
      <c r="AO30" s="1"/>
      <c r="AP30" s="1"/>
      <c r="AR30"/>
      <c r="AS30" s="1"/>
      <c r="AW30" s="1"/>
      <c r="AX30" s="1"/>
    </row>
    <row r="31" spans="1:50" ht="15" x14ac:dyDescent="0.2">
      <c r="AE31" s="3" t="s">
        <v>74</v>
      </c>
      <c r="AN31" s="1"/>
      <c r="AO31" s="1"/>
      <c r="AP31" s="1"/>
      <c r="AR31"/>
      <c r="AS31" s="1"/>
      <c r="AW31" s="1"/>
      <c r="AX31" s="1"/>
    </row>
    <row r="32" spans="1:50" ht="15" x14ac:dyDescent="0.2">
      <c r="Y32" s="1" t="s">
        <v>85</v>
      </c>
      <c r="AE32" s="3" t="s">
        <v>81</v>
      </c>
      <c r="AN32" s="1"/>
      <c r="AO32" s="1"/>
      <c r="AP32" s="1"/>
      <c r="AR32"/>
      <c r="AS32" s="1"/>
      <c r="AT32" s="1"/>
      <c r="AU32" s="1"/>
      <c r="AV32" s="1"/>
      <c r="AW32" s="1"/>
      <c r="AX32" s="1"/>
    </row>
    <row r="33" spans="10:50" ht="15" x14ac:dyDescent="0.2">
      <c r="Y33" s="1" t="s">
        <v>85</v>
      </c>
      <c r="AN33" s="1"/>
      <c r="AO33" s="1"/>
      <c r="AP33" s="1"/>
      <c r="AR33"/>
      <c r="AS33" s="1"/>
      <c r="AT33" s="1"/>
      <c r="AU33" s="1"/>
      <c r="AV33" s="1"/>
      <c r="AW33" s="1"/>
      <c r="AX33" s="1"/>
    </row>
    <row r="34" spans="10:50" ht="15" x14ac:dyDescent="0.2">
      <c r="Y34" s="1" t="s">
        <v>85</v>
      </c>
      <c r="AN34" s="1"/>
      <c r="AO34" s="1"/>
      <c r="AP34" s="1"/>
      <c r="AR34"/>
      <c r="AS34" s="1"/>
      <c r="AT34" s="1"/>
      <c r="AU34" s="1"/>
      <c r="AV34" s="1"/>
      <c r="AW34" s="1"/>
      <c r="AX34" s="1"/>
    </row>
    <row r="35" spans="10:50" ht="15" x14ac:dyDescent="0.2">
      <c r="Y35" s="1" t="s">
        <v>85</v>
      </c>
      <c r="AN35" s="1"/>
      <c r="AO35" s="1"/>
      <c r="AP35" s="1"/>
      <c r="AR35"/>
      <c r="AS35" s="1"/>
      <c r="AT35" s="1"/>
      <c r="AU35" s="1"/>
      <c r="AV35" s="1"/>
      <c r="AW35" s="1"/>
      <c r="AX35" s="1"/>
    </row>
    <row r="36" spans="10:50" ht="15" x14ac:dyDescent="0.2">
      <c r="AN36" s="1"/>
      <c r="AO36" s="1"/>
      <c r="AP36" s="1"/>
      <c r="AR36"/>
      <c r="AS36" s="1"/>
      <c r="AT36" s="1"/>
      <c r="AU36" s="1"/>
      <c r="AV36" s="1"/>
      <c r="AW36" s="1"/>
      <c r="AX36" s="1"/>
    </row>
    <row r="37" spans="10:50" ht="15" x14ac:dyDescent="0.2">
      <c r="J37" s="1" t="s">
        <v>55</v>
      </c>
      <c r="K37" s="9" t="s">
        <v>87</v>
      </c>
      <c r="O37" s="1"/>
      <c r="P37" s="1"/>
      <c r="Y37" s="2"/>
      <c r="AE37" s="4"/>
      <c r="AN37" s="1"/>
      <c r="AO37" s="1"/>
      <c r="AP37" s="1"/>
      <c r="AR37"/>
      <c r="AS37" s="1"/>
      <c r="AT37" s="1"/>
      <c r="AU37" s="1"/>
      <c r="AV37" s="1"/>
      <c r="AW37" s="1"/>
      <c r="AX37" s="1"/>
    </row>
    <row r="38" spans="10:50" ht="15" x14ac:dyDescent="0.2">
      <c r="J38" s="1" t="s">
        <v>24</v>
      </c>
      <c r="K38" s="1" t="s">
        <v>25</v>
      </c>
      <c r="L38" s="2" t="s">
        <v>26</v>
      </c>
      <c r="M38" s="4" t="s">
        <v>27</v>
      </c>
      <c r="N38" s="4" t="s">
        <v>28</v>
      </c>
      <c r="O38" s="2" t="s">
        <v>26</v>
      </c>
      <c r="P38" s="2" t="s">
        <v>27</v>
      </c>
      <c r="Q38" s="2" t="s">
        <v>28</v>
      </c>
      <c r="R38" s="2" t="s">
        <v>26</v>
      </c>
      <c r="S38" s="2" t="s">
        <v>27</v>
      </c>
      <c r="T38" s="2" t="s">
        <v>28</v>
      </c>
      <c r="U38" s="2" t="s">
        <v>26</v>
      </c>
      <c r="V38" s="2" t="s">
        <v>27</v>
      </c>
      <c r="W38" s="2" t="s">
        <v>28</v>
      </c>
      <c r="X38" s="2" t="s">
        <v>40</v>
      </c>
      <c r="Y38" s="2" t="s">
        <v>29</v>
      </c>
      <c r="Z38" s="2" t="s">
        <v>30</v>
      </c>
      <c r="AA38" s="2" t="s">
        <v>29</v>
      </c>
      <c r="AB38" s="2" t="s">
        <v>30</v>
      </c>
      <c r="AC38" s="2" t="s">
        <v>29</v>
      </c>
      <c r="AD38" s="2" t="s">
        <v>30</v>
      </c>
      <c r="AE38" s="2" t="s">
        <v>29</v>
      </c>
      <c r="AF38" s="2" t="s">
        <v>30</v>
      </c>
      <c r="AG38" s="3" t="s">
        <v>84</v>
      </c>
      <c r="AH38" s="3" t="s">
        <v>83</v>
      </c>
      <c r="AI38" s="3" t="s">
        <v>90</v>
      </c>
      <c r="AJ38" s="4" t="s">
        <v>46</v>
      </c>
      <c r="AN38" s="1"/>
      <c r="AO38" s="1"/>
      <c r="AP38" s="1"/>
      <c r="AR38"/>
      <c r="AS38" s="1"/>
      <c r="AT38" s="1"/>
      <c r="AU38" s="1"/>
      <c r="AV38" s="1"/>
      <c r="AW38" s="1"/>
      <c r="AX38" s="1"/>
    </row>
    <row r="39" spans="10:50" x14ac:dyDescent="0.15">
      <c r="J39" s="1">
        <v>0</v>
      </c>
      <c r="K39" s="1">
        <v>100</v>
      </c>
      <c r="L39" s="3" t="s">
        <v>74</v>
      </c>
      <c r="M39" s="1">
        <v>500</v>
      </c>
      <c r="N39" s="4">
        <f>VLOOKUP(L39,价值!$B:$G,6,0)*M39</f>
        <v>500</v>
      </c>
      <c r="O39" s="3" t="s">
        <v>105</v>
      </c>
      <c r="P39" s="2">
        <v>3</v>
      </c>
      <c r="Q39" s="4">
        <f>VLOOKUP(O39,价值!$B:$G,6,0)*P39</f>
        <v>14400</v>
      </c>
      <c r="R39" s="3" t="s">
        <v>106</v>
      </c>
      <c r="S39" s="2">
        <v>100000</v>
      </c>
      <c r="T39" s="2">
        <f>VLOOKUP(R39,价值!$B:$G,6,0)*S39</f>
        <v>2000</v>
      </c>
      <c r="W39" s="2">
        <f>VLOOKUP(U39,价值!$B:$G,6,0)*V39</f>
        <v>0</v>
      </c>
      <c r="X39" s="12">
        <f t="shared" ref="X39:X44" si="4">T39+W39+N39+Q39</f>
        <v>16900</v>
      </c>
      <c r="Y39" s="2" t="str">
        <f>IF(L39="","",VLOOKUP(L39,价值!$B:$G,3,0)&amp;","&amp;M39)</f>
        <v>cash,500</v>
      </c>
      <c r="Z39" s="2" t="str">
        <f>IF(L39="","",IF(VLOOKUP(L39,价值!$B:$G,5,0)=0,Y39,VLOOKUP(L39,价值!$B:$G,5,0)&amp;","&amp;M39))</f>
        <v>cash,500</v>
      </c>
      <c r="AA39" s="2" t="str">
        <f>IF(O39="","",VLOOKUP(O39,价值!$B:$G,3,0)&amp;","&amp;P39)</f>
        <v>pack,305,3</v>
      </c>
      <c r="AB39" s="2" t="str">
        <f>IF(O39="","",IF(VLOOKUP(O39,价值!$B:$G,5,0)=0,AA39,VLOOKUP(O39,价值!$B:$G,5,0)&amp;","&amp;P39))</f>
        <v>item,105,3</v>
      </c>
      <c r="AC39" s="2" t="str">
        <f>IF(R39="","",VLOOKUP(R39,价值!$B:$G,3,0)&amp;","&amp;S39)</f>
        <v>coin,100000</v>
      </c>
      <c r="AD39" s="2" t="str">
        <f>IF(R39="","",IF(VLOOKUP(R39,价值!$B:$G,5,0)=0,AC39,VLOOKUP(R39,价值!$B:$G,5,0)&amp;","&amp;S39))</f>
        <v>coin,100000</v>
      </c>
      <c r="AE39" s="2" t="str">
        <f>IF(U39="","",VLOOKUP(U39,价值!$B:$G,3,0)&amp;","&amp;V39)</f>
        <v/>
      </c>
      <c r="AF39" s="2" t="str">
        <f>IF(U39="","",IF(VLOOKUP(U39,价值!$B:$G,5,0)=0,AE39,VLOOKUP(U39,价值!$B:$G,5,0)&amp;","&amp;V39))</f>
        <v/>
      </c>
      <c r="AG39" s="14" t="str">
        <f>Y39&amp;IF(AA39="","",";"&amp;AA39)&amp;IF(AC39="","",";"&amp;AC39)&amp;IF(AE39="","",";"&amp;AE39)&amp;IF(AI39="","",";"&amp;AI39)</f>
        <v>cash,500;pack,305,3;coin,100000;frame,21</v>
      </c>
      <c r="AH39" s="14" t="str">
        <f>Z39&amp;IF(AB39="","",";"&amp;AB39)&amp;IF(AD39="","",";"&amp;AD39)&amp;IF(AF39="","",";"&amp;AF39)&amp;IF(AI39="","",";"&amp;AI39)</f>
        <v>cash,500;item,105,3;coin,100000;frame,21</v>
      </c>
      <c r="AI39" s="3" t="s">
        <v>91</v>
      </c>
      <c r="AJ39" s="5">
        <f>B5</f>
        <v>15200</v>
      </c>
      <c r="AN39" s="1"/>
      <c r="AO39" s="1"/>
      <c r="AP39" s="1"/>
      <c r="AR39" s="1"/>
      <c r="AS39" s="1"/>
      <c r="AT39" s="1"/>
      <c r="AU39" s="1"/>
      <c r="AV39" s="1"/>
      <c r="AW39" s="1"/>
      <c r="AX39" s="1"/>
    </row>
    <row r="40" spans="10:50" x14ac:dyDescent="0.15">
      <c r="J40" s="1">
        <f>K39</f>
        <v>100</v>
      </c>
      <c r="K40" s="1">
        <v>500</v>
      </c>
      <c r="L40" s="3" t="s">
        <v>74</v>
      </c>
      <c r="M40" s="1">
        <v>300</v>
      </c>
      <c r="N40" s="4">
        <f>VLOOKUP(L40,价值!$B:$G,6,0)*M40</f>
        <v>300</v>
      </c>
      <c r="O40" s="3" t="s">
        <v>105</v>
      </c>
      <c r="P40" s="2">
        <v>2</v>
      </c>
      <c r="Q40" s="4">
        <f>VLOOKUP(O40,价值!$B:$G,6,0)*P40</f>
        <v>9600</v>
      </c>
      <c r="R40" s="3" t="s">
        <v>106</v>
      </c>
      <c r="S40" s="2">
        <v>80000</v>
      </c>
      <c r="T40" s="2">
        <f>VLOOKUP(R40,价值!$B:$G,6,0)*S40</f>
        <v>1600</v>
      </c>
      <c r="W40" s="2">
        <f>VLOOKUP(U40,价值!$B:$G,6,0)*V40</f>
        <v>0</v>
      </c>
      <c r="X40" s="12">
        <f t="shared" si="4"/>
        <v>11500</v>
      </c>
      <c r="Y40" s="2" t="str">
        <f>IF(L40="","",VLOOKUP(L40,价值!$B:$G,3,0)&amp;","&amp;M40)</f>
        <v>cash,300</v>
      </c>
      <c r="Z40" s="2" t="str">
        <f>IF(L40="","",IF(VLOOKUP(L40,价值!$B:$G,5,0)=0,Y40,VLOOKUP(L40,价值!$B:$G,5,0)&amp;","&amp;M40))</f>
        <v>cash,300</v>
      </c>
      <c r="AA40" s="2" t="str">
        <f>IF(O40="","",VLOOKUP(O40,价值!$B:$G,3,0)&amp;","&amp;P40)</f>
        <v>pack,305,2</v>
      </c>
      <c r="AB40" s="2" t="str">
        <f>IF(O40="","",IF(VLOOKUP(O40,价值!$B:$G,5,0)=0,AA40,VLOOKUP(O40,价值!$B:$G,5,0)&amp;","&amp;P40))</f>
        <v>item,105,2</v>
      </c>
      <c r="AC40" s="2" t="str">
        <f>IF(R40="","",VLOOKUP(R40,价值!$B:$G,3,0)&amp;","&amp;S40)</f>
        <v>coin,80000</v>
      </c>
      <c r="AD40" s="2" t="str">
        <f>IF(R40="","",IF(VLOOKUP(R40,价值!$B:$G,5,0)=0,AC40,VLOOKUP(R40,价值!$B:$G,5,0)&amp;","&amp;S40))</f>
        <v>coin,80000</v>
      </c>
      <c r="AE40" s="2" t="str">
        <f>IF(U40="","",VLOOKUP(U40,价值!$B:$G,3,0)&amp;","&amp;V40)</f>
        <v/>
      </c>
      <c r="AF40" s="2" t="str">
        <f>IF(U40="","",IF(VLOOKUP(U40,价值!$B:$G,5,0)=0,AE40,VLOOKUP(U40,价值!$B:$G,5,0)&amp;","&amp;V40))</f>
        <v/>
      </c>
      <c r="AG40" s="14" t="str">
        <f t="shared" ref="AG40:AG44" si="5">Y40&amp;IF(AA40="","",";"&amp;AA40)&amp;IF(AC40="","",";"&amp;AC40)&amp;IF(AE40="","",";"&amp;AE40)&amp;IF(AI40="","",";"&amp;AI40)</f>
        <v>cash,300;pack,305,2;coin,80000;frame,21</v>
      </c>
      <c r="AH40" s="14" t="str">
        <f t="shared" ref="AH40:AH44" si="6">Z40&amp;IF(AB40="","",";"&amp;AB40)&amp;IF(AD40="","",";"&amp;AD40)&amp;IF(AF40="","",";"&amp;AF40)&amp;IF(AI40="","",";"&amp;AI40)</f>
        <v>cash,300;item,105,2;coin,80000;frame,21</v>
      </c>
      <c r="AI40" s="3" t="s">
        <v>91</v>
      </c>
      <c r="AJ40" s="5" t="s">
        <v>85</v>
      </c>
    </row>
    <row r="41" spans="10:50" x14ac:dyDescent="0.15">
      <c r="J41" s="1">
        <f t="shared" ref="J41:J44" si="7">K40</f>
        <v>500</v>
      </c>
      <c r="K41" s="1">
        <v>1000</v>
      </c>
      <c r="L41" s="3" t="s">
        <v>74</v>
      </c>
      <c r="M41" s="1">
        <v>200</v>
      </c>
      <c r="N41" s="4">
        <f>VLOOKUP(L41,价值!$B:$G,6,0)*M41</f>
        <v>200</v>
      </c>
      <c r="O41" s="3" t="s">
        <v>105</v>
      </c>
      <c r="P41" s="2">
        <v>1</v>
      </c>
      <c r="Q41" s="4">
        <f>VLOOKUP(O41,价值!$B:$G,6,0)*P41</f>
        <v>4800</v>
      </c>
      <c r="R41" s="3" t="s">
        <v>106</v>
      </c>
      <c r="S41" s="2">
        <v>60000</v>
      </c>
      <c r="T41" s="2">
        <f>VLOOKUP(R41,价值!$B:$G,6,0)*S41</f>
        <v>1200</v>
      </c>
      <c r="W41" s="2">
        <f>VLOOKUP(U41,价值!$B:$G,6,0)*V41</f>
        <v>0</v>
      </c>
      <c r="X41" s="12">
        <f t="shared" si="4"/>
        <v>6200</v>
      </c>
      <c r="Y41" s="2" t="str">
        <f>IF(L41="","",VLOOKUP(L41,价值!$B:$G,3,0)&amp;","&amp;M41)</f>
        <v>cash,200</v>
      </c>
      <c r="Z41" s="2" t="str">
        <f>IF(L41="","",IF(VLOOKUP(L41,价值!$B:$G,5,0)=0,Y41,VLOOKUP(L41,价值!$B:$G,5,0)&amp;","&amp;M41))</f>
        <v>cash,200</v>
      </c>
      <c r="AA41" s="2" t="str">
        <f>IF(O41="","",VLOOKUP(O41,价值!$B:$G,3,0)&amp;","&amp;P41)</f>
        <v>pack,305,1</v>
      </c>
      <c r="AB41" s="2" t="str">
        <f>IF(O41="","",IF(VLOOKUP(O41,价值!$B:$G,5,0)=0,AA41,VLOOKUP(O41,价值!$B:$G,5,0)&amp;","&amp;P41))</f>
        <v>item,105,1</v>
      </c>
      <c r="AC41" s="2" t="str">
        <f>IF(R41="","",VLOOKUP(R41,价值!$B:$G,3,0)&amp;","&amp;S41)</f>
        <v>coin,60000</v>
      </c>
      <c r="AD41" s="2" t="str">
        <f>IF(R41="","",IF(VLOOKUP(R41,价值!$B:$G,5,0)=0,AC41,VLOOKUP(R41,价值!$B:$G,5,0)&amp;","&amp;S41))</f>
        <v>coin,60000</v>
      </c>
      <c r="AE41" s="2" t="str">
        <f>IF(U41="","",VLOOKUP(U41,价值!$B:$G,3,0)&amp;","&amp;V41)</f>
        <v/>
      </c>
      <c r="AF41" s="2" t="str">
        <f>IF(U41="","",IF(VLOOKUP(U41,价值!$B:$G,5,0)=0,AE41,VLOOKUP(U41,价值!$B:$G,5,0)&amp;","&amp;V41))</f>
        <v/>
      </c>
      <c r="AG41" s="14" t="str">
        <f t="shared" si="5"/>
        <v>cash,200;pack,305,1;coin,60000;frame,21</v>
      </c>
      <c r="AH41" s="14" t="str">
        <f t="shared" si="6"/>
        <v>cash,200;item,105,1;coin,60000;frame,21</v>
      </c>
      <c r="AI41" s="3" t="s">
        <v>91</v>
      </c>
      <c r="AJ41" s="5">
        <f>C5</f>
        <v>8400</v>
      </c>
    </row>
    <row r="42" spans="10:50" x14ac:dyDescent="0.15">
      <c r="J42" s="1">
        <f t="shared" si="7"/>
        <v>1000</v>
      </c>
      <c r="K42" s="1">
        <v>2000</v>
      </c>
      <c r="L42" s="3" t="s">
        <v>74</v>
      </c>
      <c r="M42" s="1">
        <v>100</v>
      </c>
      <c r="N42" s="4">
        <f>VLOOKUP(L42,价值!$B:$G,6,0)*M42</f>
        <v>100</v>
      </c>
      <c r="O42" s="2" t="s">
        <v>64</v>
      </c>
      <c r="P42" s="2">
        <v>3</v>
      </c>
      <c r="Q42" s="4">
        <f>VLOOKUP(O42,价值!$B:$G,6,0)*P42</f>
        <v>1800</v>
      </c>
      <c r="R42" s="3" t="s">
        <v>106</v>
      </c>
      <c r="S42" s="2">
        <v>40000</v>
      </c>
      <c r="T42" s="2">
        <f>VLOOKUP(R42,价值!$B:$G,6,0)*S42</f>
        <v>800</v>
      </c>
      <c r="W42" s="2">
        <f>VLOOKUP(U42,价值!$B:$G,6,0)*V42</f>
        <v>0</v>
      </c>
      <c r="X42" s="12">
        <f t="shared" si="4"/>
        <v>2700</v>
      </c>
      <c r="Y42" s="2" t="str">
        <f>IF(L42="","",VLOOKUP(L42,价值!$B:$G,3,0)&amp;","&amp;M42)</f>
        <v>cash,100</v>
      </c>
      <c r="Z42" s="2" t="str">
        <f>IF(L42="","",IF(VLOOKUP(L42,价值!$B:$G,5,0)=0,Y42,VLOOKUP(L42,价值!$B:$G,5,0)&amp;","&amp;M42))</f>
        <v>cash,100</v>
      </c>
      <c r="AA42" s="2" t="str">
        <f>IF(O42="","",VLOOKUP(O42,价值!$B:$G,3,0)&amp;","&amp;P42)</f>
        <v>pack,304,3</v>
      </c>
      <c r="AB42" s="2" t="str">
        <f>IF(O42="","",IF(VLOOKUP(O42,价值!$B:$G,5,0)=0,AA42,VLOOKUP(O42,价值!$B:$G,5,0)&amp;","&amp;P42))</f>
        <v>item,104,3</v>
      </c>
      <c r="AC42" s="2" t="str">
        <f>IF(R42="","",VLOOKUP(R42,价值!$B:$G,3,0)&amp;","&amp;S42)</f>
        <v>coin,40000</v>
      </c>
      <c r="AD42" s="2" t="str">
        <f>IF(R42="","",IF(VLOOKUP(R42,价值!$B:$G,5,0)=0,AC42,VLOOKUP(R42,价值!$B:$G,5,0)&amp;","&amp;S42))</f>
        <v>coin,40000</v>
      </c>
      <c r="AE42" s="2" t="str">
        <f>IF(U42="","",VLOOKUP(U42,价值!$B:$G,3,0)&amp;","&amp;V42)</f>
        <v/>
      </c>
      <c r="AF42" s="2" t="str">
        <f>IF(U42="","",IF(VLOOKUP(U42,价值!$B:$G,5,0)=0,AE42,VLOOKUP(U42,价值!$B:$G,5,0)&amp;","&amp;V42))</f>
        <v/>
      </c>
      <c r="AG42" s="14" t="str">
        <f t="shared" si="5"/>
        <v>cash,100;pack,304,3;coin,40000;frame,21</v>
      </c>
      <c r="AH42" s="14" t="str">
        <f t="shared" si="6"/>
        <v>cash,100;item,104,3;coin,40000;frame,21</v>
      </c>
      <c r="AI42" s="3" t="s">
        <v>91</v>
      </c>
      <c r="AJ42" s="5" t="s">
        <v>85</v>
      </c>
    </row>
    <row r="43" spans="10:50" x14ac:dyDescent="0.15">
      <c r="J43" s="1">
        <f t="shared" si="7"/>
        <v>2000</v>
      </c>
      <c r="K43" s="1">
        <v>5000</v>
      </c>
      <c r="L43" s="3" t="s">
        <v>74</v>
      </c>
      <c r="M43" s="1">
        <v>50</v>
      </c>
      <c r="N43" s="4">
        <f>VLOOKUP(L43,价值!$B:$G,6,0)*M43</f>
        <v>50</v>
      </c>
      <c r="O43" s="2" t="s">
        <v>64</v>
      </c>
      <c r="P43" s="2">
        <v>2</v>
      </c>
      <c r="Q43" s="4">
        <f>VLOOKUP(O43,价值!$B:$G,6,0)*P43</f>
        <v>1200</v>
      </c>
      <c r="R43" s="3" t="s">
        <v>106</v>
      </c>
      <c r="S43" s="2">
        <v>20000</v>
      </c>
      <c r="T43" s="2">
        <f>VLOOKUP(R43,价值!$B:$G,6,0)*S43</f>
        <v>400</v>
      </c>
      <c r="U43" s="3"/>
      <c r="X43" s="12">
        <f t="shared" si="4"/>
        <v>1650</v>
      </c>
      <c r="Y43" s="2" t="str">
        <f>IF(L43="","",VLOOKUP(L43,价值!$B:$G,3,0)&amp;","&amp;M43)</f>
        <v>cash,50</v>
      </c>
      <c r="Z43" s="2" t="str">
        <f>IF(L43="","",IF(VLOOKUP(L43,价值!$B:$G,5,0)=0,Y43,VLOOKUP(L43,价值!$B:$G,5,0)&amp;","&amp;M43))</f>
        <v>cash,50</v>
      </c>
      <c r="AA43" s="2" t="str">
        <f>IF(O43="","",VLOOKUP(O43,价值!$B:$G,3,0)&amp;","&amp;P43)</f>
        <v>pack,304,2</v>
      </c>
      <c r="AB43" s="2" t="str">
        <f>IF(O43="","",IF(VLOOKUP(O43,价值!$B:$G,5,0)=0,AA43,VLOOKUP(O43,价值!$B:$G,5,0)&amp;","&amp;P43))</f>
        <v>item,104,2</v>
      </c>
      <c r="AC43" s="2" t="str">
        <f>IF(R43="","",VLOOKUP(R43,价值!$B:$G,3,0)&amp;","&amp;S43)</f>
        <v>coin,20000</v>
      </c>
      <c r="AD43" s="2" t="str">
        <f>IF(R43="","",IF(VLOOKUP(R43,价值!$B:$G,5,0)=0,AC43,VLOOKUP(R43,价值!$B:$G,5,0)&amp;","&amp;S43))</f>
        <v>coin,20000</v>
      </c>
      <c r="AE43" s="2" t="str">
        <f>IF(U43="","",VLOOKUP(U43,价值!$B:$G,3,0)&amp;","&amp;V43)</f>
        <v/>
      </c>
      <c r="AF43" s="2" t="str">
        <f>IF(U43="","",IF(VLOOKUP(U43,价值!$B:$G,5,0)=0,AE43,VLOOKUP(U43,价值!$B:$G,5,0)&amp;","&amp;V43))</f>
        <v/>
      </c>
      <c r="AG43" s="14" t="str">
        <f t="shared" si="5"/>
        <v>cash,50;pack,304,2;coin,20000;frame,21</v>
      </c>
      <c r="AH43" s="14" t="str">
        <f t="shared" si="6"/>
        <v>cash,50;item,104,2;coin,20000;frame,21</v>
      </c>
      <c r="AI43" s="3" t="s">
        <v>91</v>
      </c>
      <c r="AJ43" s="5" t="s">
        <v>85</v>
      </c>
    </row>
    <row r="44" spans="10:50" x14ac:dyDescent="0.15">
      <c r="J44" s="1">
        <f t="shared" si="7"/>
        <v>5000</v>
      </c>
      <c r="K44" s="1">
        <v>10000</v>
      </c>
      <c r="L44" s="3" t="s">
        <v>74</v>
      </c>
      <c r="M44" s="1">
        <v>20</v>
      </c>
      <c r="N44" s="4">
        <f>VLOOKUP(L44,价值!$B:$G,6,0)*M44</f>
        <v>20</v>
      </c>
      <c r="O44" s="2" t="s">
        <v>64</v>
      </c>
      <c r="P44" s="2">
        <v>1</v>
      </c>
      <c r="Q44" s="4">
        <f>VLOOKUP(O44,价值!$B:$G,6,0)*P44</f>
        <v>600</v>
      </c>
      <c r="R44" s="3" t="s">
        <v>106</v>
      </c>
      <c r="S44" s="2">
        <v>10000</v>
      </c>
      <c r="T44" s="2">
        <f>VLOOKUP(R44,价值!$B:$G,6,0)*S44</f>
        <v>200</v>
      </c>
      <c r="U44" s="3"/>
      <c r="X44" s="12">
        <f t="shared" si="4"/>
        <v>820</v>
      </c>
      <c r="Y44" s="2" t="str">
        <f>IF(L44="","",VLOOKUP(L44,价值!$B:$G,3,0)&amp;","&amp;M44)</f>
        <v>cash,20</v>
      </c>
      <c r="Z44" s="2" t="str">
        <f>IF(L44="","",IF(VLOOKUP(L44,价值!$B:$G,5,0)=0,Y44,VLOOKUP(L44,价值!$B:$G,5,0)&amp;","&amp;M44))</f>
        <v>cash,20</v>
      </c>
      <c r="AA44" s="2" t="str">
        <f>IF(O44="","",VLOOKUP(O44,价值!$B:$G,3,0)&amp;","&amp;P44)</f>
        <v>pack,304,1</v>
      </c>
      <c r="AB44" s="2" t="str">
        <f>IF(O44="","",IF(VLOOKUP(O44,价值!$B:$G,5,0)=0,AA44,VLOOKUP(O44,价值!$B:$G,5,0)&amp;","&amp;P44))</f>
        <v>item,104,1</v>
      </c>
      <c r="AC44" s="2" t="str">
        <f>IF(R44="","",VLOOKUP(R44,价值!$B:$G,3,0)&amp;","&amp;S44)</f>
        <v>coin,10000</v>
      </c>
      <c r="AD44" s="2" t="str">
        <f>IF(R44="","",IF(VLOOKUP(R44,价值!$B:$G,5,0)=0,AC44,VLOOKUP(R44,价值!$B:$G,5,0)&amp;","&amp;S44))</f>
        <v>coin,10000</v>
      </c>
      <c r="AE44" s="2" t="str">
        <f>IF(U44="","",VLOOKUP(U44,价值!$B:$G,3,0)&amp;","&amp;V44)</f>
        <v/>
      </c>
      <c r="AF44" s="2" t="str">
        <f>IF(U44="","",IF(VLOOKUP(U44,价值!$B:$G,5,0)=0,AE44,VLOOKUP(U44,价值!$B:$G,5,0)&amp;","&amp;V44))</f>
        <v/>
      </c>
      <c r="AG44" s="14" t="str">
        <f t="shared" si="5"/>
        <v>cash,20;pack,304,1;coin,10000</v>
      </c>
      <c r="AH44" s="14" t="str">
        <f t="shared" si="6"/>
        <v>cash,20;item,104,1;coin,10000</v>
      </c>
      <c r="AJ44" s="5">
        <f>D5</f>
        <v>800</v>
      </c>
    </row>
    <row r="48" spans="10:50" x14ac:dyDescent="0.15">
      <c r="J48" s="3" t="s">
        <v>86</v>
      </c>
      <c r="K48" s="4"/>
      <c r="L48" s="18" t="s">
        <v>98</v>
      </c>
      <c r="M48" s="19" t="s">
        <v>148</v>
      </c>
      <c r="N48" s="4"/>
      <c r="O48" s="4"/>
      <c r="P48" s="4"/>
      <c r="Y48" s="2"/>
    </row>
    <row r="49" spans="10:29" x14ac:dyDescent="0.15">
      <c r="J49" s="4" t="s">
        <v>57</v>
      </c>
      <c r="K49" s="4" t="s">
        <v>58</v>
      </c>
      <c r="L49" s="4" t="s">
        <v>59</v>
      </c>
      <c r="M49" s="4" t="s">
        <v>60</v>
      </c>
      <c r="N49" s="4" t="s">
        <v>58</v>
      </c>
      <c r="O49" s="4" t="s">
        <v>59</v>
      </c>
      <c r="P49" s="4" t="s">
        <v>60</v>
      </c>
      <c r="Q49" s="4" t="s">
        <v>61</v>
      </c>
      <c r="R49" s="4" t="s">
        <v>62</v>
      </c>
      <c r="S49" s="4" t="s">
        <v>63</v>
      </c>
      <c r="T49" s="1" t="s">
        <v>73</v>
      </c>
      <c r="U49" s="4" t="s">
        <v>46</v>
      </c>
      <c r="V49" s="2" t="s">
        <v>29</v>
      </c>
      <c r="W49" s="2" t="s">
        <v>30</v>
      </c>
      <c r="X49" s="2" t="s">
        <v>29</v>
      </c>
      <c r="Y49" s="2" t="s">
        <v>30</v>
      </c>
      <c r="Z49" s="2" t="s">
        <v>29</v>
      </c>
      <c r="AA49" s="2" t="s">
        <v>30</v>
      </c>
      <c r="AB49" s="3" t="s">
        <v>84</v>
      </c>
      <c r="AC49" s="3" t="s">
        <v>157</v>
      </c>
    </row>
    <row r="50" spans="10:29" x14ac:dyDescent="0.15">
      <c r="J50" s="4">
        <v>1</v>
      </c>
      <c r="K50" s="4" t="s">
        <v>70</v>
      </c>
      <c r="L50" s="4">
        <v>1</v>
      </c>
      <c r="M50" s="4">
        <f>VLOOKUP(K50,价值!$B:$G,6,0)*L50</f>
        <v>15</v>
      </c>
      <c r="N50" s="4" t="s">
        <v>70</v>
      </c>
      <c r="O50" s="4">
        <v>0</v>
      </c>
      <c r="P50" s="4">
        <f>3*O50</f>
        <v>0</v>
      </c>
      <c r="Q50" s="4" t="s">
        <v>66</v>
      </c>
      <c r="R50" s="4">
        <v>750</v>
      </c>
      <c r="S50" s="4">
        <f>VLOOKUP(Q50,价值!$B:$G,6,0)*R50</f>
        <v>15</v>
      </c>
      <c r="T50" s="4">
        <f>M50+P50+S50</f>
        <v>30</v>
      </c>
      <c r="U50" s="5">
        <f>D8</f>
        <v>30</v>
      </c>
      <c r="V50" s="2" t="str">
        <f>VLOOKUP(K50,价值!$B:$G,3,0)&amp;","&amp;L50</f>
        <v>pack,302,1</v>
      </c>
      <c r="W50" s="2" t="str">
        <f>IF(VLOOKUP(K50,价值!$B:$G,5,0)=0,V50,VLOOKUP(K50,价值!$B:$G,5,0)&amp;","&amp;L50)</f>
        <v>item,102,1</v>
      </c>
      <c r="X50" s="2" t="str">
        <f>IF(O50=0,"",VLOOKUP(N50,价值!$B:$G,3,0)&amp;","&amp;O50)</f>
        <v/>
      </c>
      <c r="Y50" s="2" t="str">
        <f>IF(O50=0,"",IF(VLOOKUP(N50,价值!$B:$G,5,0)=0,X50,VLOOKUP(N50,价值!$B:$G,5,0)&amp;","&amp;O50))</f>
        <v/>
      </c>
      <c r="Z50" s="2" t="str">
        <f>VLOOKUP(Q50,价值!$B:$G,3,0)&amp;","&amp;R50</f>
        <v>coin,750</v>
      </c>
      <c r="AA50" s="2" t="str">
        <f>IF(VLOOKUP(Q50,价值!$B:$G,5,0)=0,Z50,VLOOKUP(Q50,价值!$B:$G,5,0)&amp;","&amp;R50)</f>
        <v>coin,750</v>
      </c>
      <c r="AB50" s="2" t="str">
        <f>V50&amp;IF(X50="","",";"&amp;X50)&amp;";"&amp;Z50</f>
        <v>pack,302,1;coin,750</v>
      </c>
      <c r="AC50" s="2" t="str">
        <f>AB50</f>
        <v>pack,302,1;coin,750</v>
      </c>
    </row>
    <row r="51" spans="10:29" x14ac:dyDescent="0.15">
      <c r="J51" s="4">
        <v>2</v>
      </c>
      <c r="K51" s="4" t="s">
        <v>70</v>
      </c>
      <c r="L51" s="4">
        <v>1</v>
      </c>
      <c r="M51" s="4">
        <f>VLOOKUP(K51,价值!$B:$G,6,0)*L51</f>
        <v>15</v>
      </c>
      <c r="N51" s="4" t="s">
        <v>70</v>
      </c>
      <c r="O51" s="4">
        <v>0</v>
      </c>
      <c r="P51" s="4">
        <f t="shared" ref="P51:P62" si="8">3*O51</f>
        <v>0</v>
      </c>
      <c r="Q51" s="4" t="s">
        <v>66</v>
      </c>
      <c r="R51" s="4">
        <v>800</v>
      </c>
      <c r="S51" s="4">
        <f>VLOOKUP(Q51,价值!$B:$G,6,0)*R51</f>
        <v>16</v>
      </c>
      <c r="T51" s="4">
        <f t="shared" ref="T51:T62" si="9">M51+P51+S51</f>
        <v>31</v>
      </c>
      <c r="U51" s="5"/>
      <c r="V51" s="2" t="str">
        <f>VLOOKUP(K51,价值!$B:$G,3,0)&amp;","&amp;L51</f>
        <v>pack,302,1</v>
      </c>
      <c r="W51" s="2" t="str">
        <f>IF(VLOOKUP(K51,价值!$B:$G,5,0)=0,V51,VLOOKUP(K51,价值!$B:$G,5,0)&amp;","&amp;L51)</f>
        <v>item,102,1</v>
      </c>
      <c r="X51" s="2" t="str">
        <f>IF(O51=0,"",VLOOKUP(N51,价值!$B:$G,3,0)&amp;","&amp;O51)</f>
        <v/>
      </c>
      <c r="Y51" s="2" t="str">
        <f>IF(O51=0,"",IF(VLOOKUP(N51,价值!$B:$G,5,0)=0,X51,VLOOKUP(N51,价值!$B:$G,5,0)&amp;","&amp;O51))</f>
        <v/>
      </c>
      <c r="Z51" s="2" t="str">
        <f>VLOOKUP(Q51,价值!$B:$G,3,0)&amp;","&amp;R51</f>
        <v>coin,800</v>
      </c>
      <c r="AA51" s="2" t="str">
        <f>IF(VLOOKUP(Q51,价值!$B:$G,5,0)=0,Z51,VLOOKUP(Q51,价值!$B:$G,5,0)&amp;","&amp;R51)</f>
        <v>coin,800</v>
      </c>
      <c r="AB51" s="2" t="str">
        <f t="shared" ref="AB51:AB66" si="10">V51&amp;IF(X51="","",";"&amp;X51)&amp;";"&amp;Z51</f>
        <v>pack,302,1;coin,800</v>
      </c>
      <c r="AC51" s="2" t="str">
        <f>AC50&amp;"#S#"&amp;AB51</f>
        <v>pack,302,1;coin,750#S#pack,302,1;coin,800</v>
      </c>
    </row>
    <row r="52" spans="10:29" x14ac:dyDescent="0.15">
      <c r="J52" s="4">
        <v>3</v>
      </c>
      <c r="K52" s="4" t="s">
        <v>70</v>
      </c>
      <c r="L52" s="4">
        <v>1</v>
      </c>
      <c r="M52" s="4">
        <f>VLOOKUP(K52,价值!$B:$G,6,0)*L52</f>
        <v>15</v>
      </c>
      <c r="N52" s="4" t="s">
        <v>70</v>
      </c>
      <c r="O52" s="4">
        <v>0</v>
      </c>
      <c r="P52" s="4">
        <f t="shared" si="8"/>
        <v>0</v>
      </c>
      <c r="Q52" s="4" t="s">
        <v>66</v>
      </c>
      <c r="R52" s="4">
        <v>850</v>
      </c>
      <c r="S52" s="4">
        <f>VLOOKUP(Q52,价值!$B:$G,6,0)*R52</f>
        <v>17</v>
      </c>
      <c r="T52" s="4">
        <f t="shared" si="9"/>
        <v>32</v>
      </c>
      <c r="U52" s="5"/>
      <c r="V52" s="2" t="str">
        <f>VLOOKUP(K52,价值!$B:$G,3,0)&amp;","&amp;L52</f>
        <v>pack,302,1</v>
      </c>
      <c r="W52" s="2" t="str">
        <f>IF(VLOOKUP(K52,价值!$B:$G,5,0)=0,V52,VLOOKUP(K52,价值!$B:$G,5,0)&amp;","&amp;L52)</f>
        <v>item,102,1</v>
      </c>
      <c r="X52" s="2" t="str">
        <f>IF(O52=0,"",VLOOKUP(N52,价值!$B:$G,3,0)&amp;","&amp;O52)</f>
        <v/>
      </c>
      <c r="Y52" s="2" t="str">
        <f>IF(O52=0,"",IF(VLOOKUP(N52,价值!$B:$G,5,0)=0,X52,VLOOKUP(N52,价值!$B:$G,5,0)&amp;","&amp;O52))</f>
        <v/>
      </c>
      <c r="Z52" s="2" t="str">
        <f>VLOOKUP(Q52,价值!$B:$G,3,0)&amp;","&amp;R52</f>
        <v>coin,850</v>
      </c>
      <c r="AA52" s="2" t="str">
        <f>IF(VLOOKUP(Q52,价值!$B:$G,5,0)=0,Z52,VLOOKUP(Q52,价值!$B:$G,5,0)&amp;","&amp;R52)</f>
        <v>coin,850</v>
      </c>
      <c r="AB52" s="2" t="str">
        <f t="shared" si="10"/>
        <v>pack,302,1;coin,850</v>
      </c>
      <c r="AC52" s="2" t="str">
        <f t="shared" ref="AC52:AC66" si="11">AC51&amp;"#S#"&amp;AB52</f>
        <v>pack,302,1;coin,750#S#pack,302,1;coin,800#S#pack,302,1;coin,850</v>
      </c>
    </row>
    <row r="53" spans="10:29" x14ac:dyDescent="0.15">
      <c r="J53" s="4">
        <v>4</v>
      </c>
      <c r="K53" s="4" t="s">
        <v>70</v>
      </c>
      <c r="L53" s="4">
        <v>1</v>
      </c>
      <c r="M53" s="4">
        <f>VLOOKUP(K53,价值!$B:$G,6,0)*L53</f>
        <v>15</v>
      </c>
      <c r="N53" s="4" t="s">
        <v>70</v>
      </c>
      <c r="O53" s="4">
        <v>1</v>
      </c>
      <c r="P53" s="4">
        <f t="shared" si="8"/>
        <v>3</v>
      </c>
      <c r="Q53" s="4" t="s">
        <v>66</v>
      </c>
      <c r="R53" s="4">
        <v>900</v>
      </c>
      <c r="S53" s="4">
        <f>VLOOKUP(Q53,价值!$B:$G,6,0)*R53</f>
        <v>18</v>
      </c>
      <c r="T53" s="4">
        <f t="shared" si="9"/>
        <v>36</v>
      </c>
      <c r="U53" s="5"/>
      <c r="V53" s="2" t="str">
        <f>VLOOKUP(K53,价值!$B:$G,3,0)&amp;","&amp;L53</f>
        <v>pack,302,1</v>
      </c>
      <c r="W53" s="2" t="str">
        <f>IF(VLOOKUP(K53,价值!$B:$G,5,0)=0,V53,VLOOKUP(K53,价值!$B:$G,5,0)&amp;","&amp;L53)</f>
        <v>item,102,1</v>
      </c>
      <c r="X53" s="2" t="str">
        <f>IF(O53=0,"",VLOOKUP(N53,价值!$B:$G,3,0)&amp;","&amp;O53)</f>
        <v>pack,302,1</v>
      </c>
      <c r="Y53" s="2" t="str">
        <f>IF(O53=0,"",IF(VLOOKUP(N53,价值!$B:$G,5,0)=0,X53,VLOOKUP(N53,价值!$B:$G,5,0)&amp;","&amp;O53))</f>
        <v>item,102,1</v>
      </c>
      <c r="Z53" s="2" t="str">
        <f>VLOOKUP(Q53,价值!$B:$G,3,0)&amp;","&amp;R53</f>
        <v>coin,900</v>
      </c>
      <c r="AA53" s="2" t="str">
        <f>IF(VLOOKUP(Q53,价值!$B:$G,5,0)=0,Z53,VLOOKUP(Q53,价值!$B:$G,5,0)&amp;","&amp;R53)</f>
        <v>coin,900</v>
      </c>
      <c r="AB53" s="2" t="str">
        <f t="shared" si="10"/>
        <v>pack,302,1;pack,302,1;coin,900</v>
      </c>
      <c r="AC53" s="2" t="str">
        <f t="shared" si="11"/>
        <v>pack,302,1;coin,750#S#pack,302,1;coin,800#S#pack,302,1;coin,850#S#pack,302,1;pack,302,1;coin,900</v>
      </c>
    </row>
    <row r="54" spans="10:29" x14ac:dyDescent="0.15">
      <c r="J54" s="4">
        <v>5</v>
      </c>
      <c r="K54" s="4" t="s">
        <v>70</v>
      </c>
      <c r="L54" s="4">
        <v>1</v>
      </c>
      <c r="M54" s="4">
        <f>VLOOKUP(K54,价值!$B:$G,6,0)*L54</f>
        <v>15</v>
      </c>
      <c r="N54" s="4" t="s">
        <v>70</v>
      </c>
      <c r="O54" s="4">
        <v>1</v>
      </c>
      <c r="P54" s="4">
        <f t="shared" si="8"/>
        <v>3</v>
      </c>
      <c r="Q54" s="4" t="s">
        <v>66</v>
      </c>
      <c r="R54" s="4">
        <v>950</v>
      </c>
      <c r="S54" s="4">
        <f>VLOOKUP(Q54,价值!$B:$G,6,0)*R54</f>
        <v>19</v>
      </c>
      <c r="T54" s="4">
        <f t="shared" si="9"/>
        <v>37</v>
      </c>
      <c r="U54" s="5"/>
      <c r="V54" s="2" t="str">
        <f>VLOOKUP(K54,价值!$B:$G,3,0)&amp;","&amp;L54</f>
        <v>pack,302,1</v>
      </c>
      <c r="W54" s="2" t="str">
        <f>IF(VLOOKUP(K54,价值!$B:$G,5,0)=0,V54,VLOOKUP(K54,价值!$B:$G,5,0)&amp;","&amp;L54)</f>
        <v>item,102,1</v>
      </c>
      <c r="X54" s="2" t="str">
        <f>IF(O54=0,"",VLOOKUP(N54,价值!$B:$G,3,0)&amp;","&amp;O54)</f>
        <v>pack,302,1</v>
      </c>
      <c r="Y54" s="2" t="str">
        <f>IF(O54=0,"",IF(VLOOKUP(N54,价值!$B:$G,5,0)=0,X54,VLOOKUP(N54,价值!$B:$G,5,0)&amp;","&amp;O54))</f>
        <v>item,102,1</v>
      </c>
      <c r="Z54" s="2" t="str">
        <f>VLOOKUP(Q54,价值!$B:$G,3,0)&amp;","&amp;R54</f>
        <v>coin,950</v>
      </c>
      <c r="AA54" s="2" t="str">
        <f>IF(VLOOKUP(Q54,价值!$B:$G,5,0)=0,Z54,VLOOKUP(Q54,价值!$B:$G,5,0)&amp;","&amp;R54)</f>
        <v>coin,950</v>
      </c>
      <c r="AB54" s="2" t="str">
        <f t="shared" si="10"/>
        <v>pack,302,1;pack,302,1;coin,950</v>
      </c>
      <c r="AC54" s="2" t="str">
        <f t="shared" si="11"/>
        <v>pack,302,1;coin,750#S#pack,302,1;coin,800#S#pack,302,1;coin,850#S#pack,302,1;pack,302,1;coin,900#S#pack,302,1;pack,302,1;coin,950</v>
      </c>
    </row>
    <row r="55" spans="10:29" x14ac:dyDescent="0.15">
      <c r="J55" s="4">
        <v>6</v>
      </c>
      <c r="K55" s="4" t="s">
        <v>69</v>
      </c>
      <c r="L55" s="4">
        <v>1</v>
      </c>
      <c r="M55" s="4">
        <f>VLOOKUP(K55,价值!$B:$G,6,0)*L55</f>
        <v>15</v>
      </c>
      <c r="N55" s="4" t="s">
        <v>69</v>
      </c>
      <c r="O55" s="4">
        <v>1</v>
      </c>
      <c r="P55" s="4">
        <f t="shared" si="8"/>
        <v>3</v>
      </c>
      <c r="Q55" s="4" t="s">
        <v>66</v>
      </c>
      <c r="R55" s="4">
        <v>1000</v>
      </c>
      <c r="S55" s="4">
        <f>VLOOKUP(Q55,价值!$B:$G,6,0)*R55</f>
        <v>20</v>
      </c>
      <c r="T55" s="4">
        <f t="shared" si="9"/>
        <v>38</v>
      </c>
      <c r="U55" s="5"/>
      <c r="V55" s="2" t="str">
        <f>VLOOKUP(K55,价值!$B:$G,3,0)&amp;","&amp;L55</f>
        <v>pack,302,1</v>
      </c>
      <c r="W55" s="2" t="str">
        <f>IF(VLOOKUP(K55,价值!$B:$G,5,0)=0,V55,VLOOKUP(K55,价值!$B:$G,5,0)&amp;","&amp;L55)</f>
        <v>item,102,1</v>
      </c>
      <c r="X55" s="2" t="str">
        <f>IF(O55=0,"",VLOOKUP(N55,价值!$B:$G,3,0)&amp;","&amp;O55)</f>
        <v>pack,302,1</v>
      </c>
      <c r="Y55" s="2" t="str">
        <f>IF(O55=0,"",IF(VLOOKUP(N55,价值!$B:$G,5,0)=0,X55,VLOOKUP(N55,价值!$B:$G,5,0)&amp;","&amp;O55))</f>
        <v>item,102,1</v>
      </c>
      <c r="Z55" s="2" t="str">
        <f>VLOOKUP(Q55,价值!$B:$G,3,0)&amp;","&amp;R55</f>
        <v>coin,1000</v>
      </c>
      <c r="AA55" s="2" t="str">
        <f>IF(VLOOKUP(Q55,价值!$B:$G,5,0)=0,Z55,VLOOKUP(Q55,价值!$B:$G,5,0)&amp;","&amp;R55)</f>
        <v>coin,1000</v>
      </c>
      <c r="AB55" s="2" t="str">
        <f t="shared" si="10"/>
        <v>pack,302,1;pack,302,1;coin,1000</v>
      </c>
      <c r="AC55" s="2" t="str">
        <f t="shared" si="11"/>
        <v>pack,302,1;coin,750#S#pack,302,1;coin,800#S#pack,302,1;coin,850#S#pack,302,1;pack,302,1;coin,900#S#pack,302,1;pack,302,1;coin,950#S#pack,302,1;pack,302,1;coin,1000</v>
      </c>
    </row>
    <row r="56" spans="10:29" x14ac:dyDescent="0.15">
      <c r="J56" s="4">
        <v>7</v>
      </c>
      <c r="K56" s="4" t="s">
        <v>69</v>
      </c>
      <c r="L56" s="4">
        <v>1</v>
      </c>
      <c r="M56" s="4">
        <f>VLOOKUP(K56,价值!$B:$G,6,0)*L56</f>
        <v>15</v>
      </c>
      <c r="N56" s="4" t="s">
        <v>69</v>
      </c>
      <c r="O56" s="4">
        <v>2</v>
      </c>
      <c r="P56" s="4">
        <f t="shared" si="8"/>
        <v>6</v>
      </c>
      <c r="Q56" s="4" t="s">
        <v>66</v>
      </c>
      <c r="R56" s="4">
        <v>1100</v>
      </c>
      <c r="S56" s="4">
        <f>VLOOKUP(Q56,价值!$B:$G,6,0)*R56</f>
        <v>22</v>
      </c>
      <c r="T56" s="4">
        <f t="shared" si="9"/>
        <v>43</v>
      </c>
      <c r="U56" s="5"/>
      <c r="V56" s="2" t="str">
        <f>VLOOKUP(K56,价值!$B:$G,3,0)&amp;","&amp;L56</f>
        <v>pack,302,1</v>
      </c>
      <c r="W56" s="2" t="str">
        <f>IF(VLOOKUP(K56,价值!$B:$G,5,0)=0,V56,VLOOKUP(K56,价值!$B:$G,5,0)&amp;","&amp;L56)</f>
        <v>item,102,1</v>
      </c>
      <c r="X56" s="2" t="str">
        <f>IF(O56=0,"",VLOOKUP(N56,价值!$B:$G,3,0)&amp;","&amp;O56)</f>
        <v>pack,302,2</v>
      </c>
      <c r="Y56" s="2" t="str">
        <f>IF(O56=0,"",IF(VLOOKUP(N56,价值!$B:$G,5,0)=0,X56,VLOOKUP(N56,价值!$B:$G,5,0)&amp;","&amp;O56))</f>
        <v>item,102,2</v>
      </c>
      <c r="Z56" s="2" t="str">
        <f>VLOOKUP(Q56,价值!$B:$G,3,0)&amp;","&amp;R56</f>
        <v>coin,1100</v>
      </c>
      <c r="AA56" s="2" t="str">
        <f>IF(VLOOKUP(Q56,价值!$B:$G,5,0)=0,Z56,VLOOKUP(Q56,价值!$B:$G,5,0)&amp;","&amp;R56)</f>
        <v>coin,1100</v>
      </c>
      <c r="AB56" s="2" t="str">
        <f t="shared" si="10"/>
        <v>pack,302,1;pack,302,2;coin,1100</v>
      </c>
      <c r="AC56" s="2" t="str">
        <f t="shared" si="11"/>
        <v>pack,302,1;coin,750#S#pack,302,1;coin,800#S#pack,302,1;coin,850#S#pack,302,1;pack,302,1;coin,900#S#pack,302,1;pack,302,1;coin,950#S#pack,302,1;pack,302,1;coin,1000#S#pack,302,1;pack,302,2;coin,1100</v>
      </c>
    </row>
    <row r="57" spans="10:29" x14ac:dyDescent="0.15">
      <c r="J57" s="4">
        <v>8</v>
      </c>
      <c r="K57" s="4" t="s">
        <v>69</v>
      </c>
      <c r="L57" s="4">
        <v>1</v>
      </c>
      <c r="M57" s="4">
        <f>VLOOKUP(K57,价值!$B:$G,6,0)*L57</f>
        <v>15</v>
      </c>
      <c r="N57" s="4" t="s">
        <v>69</v>
      </c>
      <c r="O57" s="4">
        <v>2</v>
      </c>
      <c r="P57" s="4">
        <f t="shared" si="8"/>
        <v>6</v>
      </c>
      <c r="Q57" s="4" t="s">
        <v>66</v>
      </c>
      <c r="R57" s="4">
        <v>1200</v>
      </c>
      <c r="S57" s="4">
        <f>VLOOKUP(Q57,价值!$B:$G,6,0)*R57</f>
        <v>24</v>
      </c>
      <c r="T57" s="4">
        <f t="shared" si="9"/>
        <v>45</v>
      </c>
      <c r="U57" s="5"/>
      <c r="V57" s="2" t="str">
        <f>VLOOKUP(K57,价值!$B:$G,3,0)&amp;","&amp;L57</f>
        <v>pack,302,1</v>
      </c>
      <c r="W57" s="2" t="str">
        <f>IF(VLOOKUP(K57,价值!$B:$G,5,0)=0,V57,VLOOKUP(K57,价值!$B:$G,5,0)&amp;","&amp;L57)</f>
        <v>item,102,1</v>
      </c>
      <c r="X57" s="2" t="str">
        <f>IF(O57=0,"",VLOOKUP(N57,价值!$B:$G,3,0)&amp;","&amp;O57)</f>
        <v>pack,302,2</v>
      </c>
      <c r="Y57" s="2" t="str">
        <f>IF(O57=0,"",IF(VLOOKUP(N57,价值!$B:$G,5,0)=0,X57,VLOOKUP(N57,价值!$B:$G,5,0)&amp;","&amp;O57))</f>
        <v>item,102,2</v>
      </c>
      <c r="Z57" s="2" t="str">
        <f>VLOOKUP(Q57,价值!$B:$G,3,0)&amp;","&amp;R57</f>
        <v>coin,1200</v>
      </c>
      <c r="AA57" s="2" t="str">
        <f>IF(VLOOKUP(Q57,价值!$B:$G,5,0)=0,Z57,VLOOKUP(Q57,价值!$B:$G,5,0)&amp;","&amp;R57)</f>
        <v>coin,1200</v>
      </c>
      <c r="AB57" s="2" t="str">
        <f t="shared" si="10"/>
        <v>pack,302,1;pack,302,2;coin,1200</v>
      </c>
      <c r="AC57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</v>
      </c>
    </row>
    <row r="58" spans="10:29" x14ac:dyDescent="0.15">
      <c r="J58" s="4">
        <v>9</v>
      </c>
      <c r="K58" s="1" t="s">
        <v>65</v>
      </c>
      <c r="L58" s="4">
        <v>1</v>
      </c>
      <c r="M58" s="4">
        <f>VLOOKUP(K58,价值!$B:$G,6,0)*L58</f>
        <v>50</v>
      </c>
      <c r="N58" s="4" t="s">
        <v>69</v>
      </c>
      <c r="O58" s="4">
        <v>2</v>
      </c>
      <c r="P58" s="4">
        <f t="shared" si="8"/>
        <v>6</v>
      </c>
      <c r="Q58" s="4" t="s">
        <v>66</v>
      </c>
      <c r="R58" s="4">
        <v>1300</v>
      </c>
      <c r="S58" s="4">
        <f>VLOOKUP(Q58,价值!$B:$G,6,0)*R58</f>
        <v>26</v>
      </c>
      <c r="T58" s="4">
        <f t="shared" si="9"/>
        <v>82</v>
      </c>
      <c r="U58" s="5"/>
      <c r="V58" s="2" t="str">
        <f>VLOOKUP(K58,价值!$B:$G,3,0)&amp;","&amp;L58</f>
        <v>pack,303,1</v>
      </c>
      <c r="W58" s="2" t="str">
        <f>IF(VLOOKUP(K58,价值!$B:$G,5,0)=0,V58,VLOOKUP(K58,价值!$B:$G,5,0)&amp;","&amp;L58)</f>
        <v>item,103,1</v>
      </c>
      <c r="X58" s="2" t="str">
        <f>IF(O58=0,"",VLOOKUP(N58,价值!$B:$G,3,0)&amp;","&amp;O58)</f>
        <v>pack,302,2</v>
      </c>
      <c r="Y58" s="2" t="str">
        <f>IF(O58=0,"",IF(VLOOKUP(N58,价值!$B:$G,5,0)=0,X58,VLOOKUP(N58,价值!$B:$G,5,0)&amp;","&amp;O58))</f>
        <v>item,102,2</v>
      </c>
      <c r="Z58" s="2" t="str">
        <f>VLOOKUP(Q58,价值!$B:$G,3,0)&amp;","&amp;R58</f>
        <v>coin,1300</v>
      </c>
      <c r="AA58" s="2" t="str">
        <f>IF(VLOOKUP(Q58,价值!$B:$G,5,0)=0,Z58,VLOOKUP(Q58,价值!$B:$G,5,0)&amp;","&amp;R58)</f>
        <v>coin,1300</v>
      </c>
      <c r="AB58" s="2" t="str">
        <f t="shared" si="10"/>
        <v>pack,303,1;pack,302,2;coin,1300</v>
      </c>
      <c r="AC58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</v>
      </c>
    </row>
    <row r="59" spans="10:29" x14ac:dyDescent="0.15">
      <c r="J59" s="4">
        <v>10</v>
      </c>
      <c r="K59" s="1" t="s">
        <v>65</v>
      </c>
      <c r="L59" s="4">
        <v>1</v>
      </c>
      <c r="M59" s="4">
        <f>VLOOKUP(K59,价值!$B:$G,6,0)*L59</f>
        <v>50</v>
      </c>
      <c r="N59" s="4" t="s">
        <v>69</v>
      </c>
      <c r="O59" s="4">
        <v>3</v>
      </c>
      <c r="P59" s="4">
        <f t="shared" si="8"/>
        <v>9</v>
      </c>
      <c r="Q59" s="4" t="s">
        <v>66</v>
      </c>
      <c r="R59" s="4">
        <v>1400</v>
      </c>
      <c r="S59" s="4">
        <f>VLOOKUP(Q59,价值!$B:$G,6,0)*R59</f>
        <v>28</v>
      </c>
      <c r="T59" s="4">
        <f t="shared" si="9"/>
        <v>87</v>
      </c>
      <c r="U59" s="5"/>
      <c r="V59" s="2" t="str">
        <f>VLOOKUP(K59,价值!$B:$G,3,0)&amp;","&amp;L59</f>
        <v>pack,303,1</v>
      </c>
      <c r="W59" s="2" t="str">
        <f>IF(VLOOKUP(K59,价值!$B:$G,5,0)=0,V59,VLOOKUP(K59,价值!$B:$G,5,0)&amp;","&amp;L59)</f>
        <v>item,103,1</v>
      </c>
      <c r="X59" s="2" t="str">
        <f>IF(O59=0,"",VLOOKUP(N59,价值!$B:$G,3,0)&amp;","&amp;O59)</f>
        <v>pack,302,3</v>
      </c>
      <c r="Y59" s="2" t="str">
        <f>IF(O59=0,"",IF(VLOOKUP(N59,价值!$B:$G,5,0)=0,X59,VLOOKUP(N59,价值!$B:$G,5,0)&amp;","&amp;O59))</f>
        <v>item,102,3</v>
      </c>
      <c r="Z59" s="2" t="str">
        <f>VLOOKUP(Q59,价值!$B:$G,3,0)&amp;","&amp;R59</f>
        <v>coin,1400</v>
      </c>
      <c r="AA59" s="2" t="str">
        <f>IF(VLOOKUP(Q59,价值!$B:$G,5,0)=0,Z59,VLOOKUP(Q59,价值!$B:$G,5,0)&amp;","&amp;R59)</f>
        <v>coin,1400</v>
      </c>
      <c r="AB59" s="2" t="str">
        <f t="shared" si="10"/>
        <v>pack,303,1;pack,302,3;coin,1400</v>
      </c>
      <c r="AC59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</v>
      </c>
    </row>
    <row r="60" spans="10:29" x14ac:dyDescent="0.15">
      <c r="J60" s="4">
        <v>11</v>
      </c>
      <c r="K60" s="1" t="s">
        <v>65</v>
      </c>
      <c r="L60" s="4">
        <v>1</v>
      </c>
      <c r="M60" s="4">
        <f>VLOOKUP(K60,价值!$B:$G,6,0)*L60</f>
        <v>50</v>
      </c>
      <c r="N60" s="4" t="s">
        <v>69</v>
      </c>
      <c r="O60" s="4">
        <v>3</v>
      </c>
      <c r="P60" s="4">
        <f t="shared" si="8"/>
        <v>9</v>
      </c>
      <c r="Q60" s="4" t="s">
        <v>66</v>
      </c>
      <c r="R60" s="4">
        <v>1500</v>
      </c>
      <c r="S60" s="4">
        <f>VLOOKUP(Q60,价值!$B:$G,6,0)*R60</f>
        <v>30</v>
      </c>
      <c r="T60" s="4">
        <f t="shared" si="9"/>
        <v>89</v>
      </c>
      <c r="U60" s="5"/>
      <c r="V60" s="2" t="str">
        <f>VLOOKUP(K60,价值!$B:$G,3,0)&amp;","&amp;L60</f>
        <v>pack,303,1</v>
      </c>
      <c r="W60" s="2" t="str">
        <f>IF(VLOOKUP(K60,价值!$B:$G,5,0)=0,V60,VLOOKUP(K60,价值!$B:$G,5,0)&amp;","&amp;L60)</f>
        <v>item,103,1</v>
      </c>
      <c r="X60" s="2" t="str">
        <f>IF(O60=0,"",VLOOKUP(N60,价值!$B:$G,3,0)&amp;","&amp;O60)</f>
        <v>pack,302,3</v>
      </c>
      <c r="Y60" s="2" t="str">
        <f>IF(O60=0,"",IF(VLOOKUP(N60,价值!$B:$G,5,0)=0,X60,VLOOKUP(N60,价值!$B:$G,5,0)&amp;","&amp;O60))</f>
        <v>item,102,3</v>
      </c>
      <c r="Z60" s="2" t="str">
        <f>VLOOKUP(Q60,价值!$B:$G,3,0)&amp;","&amp;R60</f>
        <v>coin,1500</v>
      </c>
      <c r="AA60" s="2" t="str">
        <f>IF(VLOOKUP(Q60,价值!$B:$G,5,0)=0,Z60,VLOOKUP(Q60,价值!$B:$G,5,0)&amp;","&amp;R60)</f>
        <v>coin,1500</v>
      </c>
      <c r="AB60" s="2" t="str">
        <f t="shared" si="10"/>
        <v>pack,303,1;pack,302,3;coin,1500</v>
      </c>
      <c r="AC60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</v>
      </c>
    </row>
    <row r="61" spans="10:29" x14ac:dyDescent="0.15">
      <c r="J61" s="4">
        <v>12</v>
      </c>
      <c r="K61" s="1" t="s">
        <v>65</v>
      </c>
      <c r="L61" s="4">
        <v>1</v>
      </c>
      <c r="M61" s="4">
        <f>VLOOKUP(K61,价值!$B:$G,6,0)*L61</f>
        <v>50</v>
      </c>
      <c r="N61" s="4" t="s">
        <v>69</v>
      </c>
      <c r="O61" s="4">
        <v>4</v>
      </c>
      <c r="P61" s="4">
        <f t="shared" si="8"/>
        <v>12</v>
      </c>
      <c r="Q61" s="4" t="s">
        <v>66</v>
      </c>
      <c r="R61" s="4">
        <v>1600</v>
      </c>
      <c r="S61" s="4">
        <f>VLOOKUP(Q61,价值!$B:$G,6,0)*R61</f>
        <v>32</v>
      </c>
      <c r="T61" s="4">
        <f t="shared" si="9"/>
        <v>94</v>
      </c>
      <c r="U61" s="5"/>
      <c r="V61" s="2" t="str">
        <f>VLOOKUP(K61,价值!$B:$G,3,0)&amp;","&amp;L61</f>
        <v>pack,303,1</v>
      </c>
      <c r="W61" s="2" t="str">
        <f>IF(VLOOKUP(K61,价值!$B:$G,5,0)=0,V61,VLOOKUP(K61,价值!$B:$G,5,0)&amp;","&amp;L61)</f>
        <v>item,103,1</v>
      </c>
      <c r="X61" s="2" t="str">
        <f>IF(O61=0,"",VLOOKUP(N61,价值!$B:$G,3,0)&amp;","&amp;O61)</f>
        <v>pack,302,4</v>
      </c>
      <c r="Y61" s="2" t="str">
        <f>IF(O61=0,"",IF(VLOOKUP(N61,价值!$B:$G,5,0)=0,X61,VLOOKUP(N61,价值!$B:$G,5,0)&amp;","&amp;O61))</f>
        <v>item,102,4</v>
      </c>
      <c r="Z61" s="2" t="str">
        <f>VLOOKUP(Q61,价值!$B:$G,3,0)&amp;","&amp;R61</f>
        <v>coin,1600</v>
      </c>
      <c r="AA61" s="2" t="str">
        <f>IF(VLOOKUP(Q61,价值!$B:$G,5,0)=0,Z61,VLOOKUP(Q61,价值!$B:$G,5,0)&amp;","&amp;R61)</f>
        <v>coin,1600</v>
      </c>
      <c r="AB61" s="2" t="str">
        <f t="shared" si="10"/>
        <v>pack,303,1;pack,302,4;coin,1600</v>
      </c>
      <c r="AC61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</v>
      </c>
    </row>
    <row r="62" spans="10:29" x14ac:dyDescent="0.15">
      <c r="J62" s="4">
        <v>13</v>
      </c>
      <c r="K62" s="1" t="s">
        <v>65</v>
      </c>
      <c r="L62" s="4">
        <v>1</v>
      </c>
      <c r="M62" s="4">
        <f>VLOOKUP(K62,价值!$B:$G,6,0)*L62</f>
        <v>50</v>
      </c>
      <c r="N62" s="4" t="s">
        <v>69</v>
      </c>
      <c r="O62" s="4">
        <v>5</v>
      </c>
      <c r="P62" s="4">
        <f t="shared" si="8"/>
        <v>15</v>
      </c>
      <c r="Q62" s="4" t="s">
        <v>66</v>
      </c>
      <c r="R62" s="4">
        <v>1750</v>
      </c>
      <c r="S62" s="4">
        <f>VLOOKUP(Q62,价值!$B:$G,6,0)*R62</f>
        <v>35</v>
      </c>
      <c r="T62" s="4">
        <f t="shared" si="9"/>
        <v>100</v>
      </c>
      <c r="U62" s="5">
        <f>B8</f>
        <v>100</v>
      </c>
      <c r="V62" s="2" t="str">
        <f>VLOOKUP(K62,价值!$B:$G,3,0)&amp;","&amp;L62</f>
        <v>pack,303,1</v>
      </c>
      <c r="W62" s="2" t="str">
        <f>IF(VLOOKUP(K62,价值!$B:$G,5,0)=0,V62,VLOOKUP(K62,价值!$B:$G,5,0)&amp;","&amp;L62)</f>
        <v>item,103,1</v>
      </c>
      <c r="X62" s="2" t="str">
        <f>IF(O62=0,"",VLOOKUP(N62,价值!$B:$G,3,0)&amp;","&amp;O62)</f>
        <v>pack,302,5</v>
      </c>
      <c r="Y62" s="2" t="str">
        <f>IF(O62=0,"",IF(VLOOKUP(N62,价值!$B:$G,5,0)=0,X62,VLOOKUP(N62,价值!$B:$G,5,0)&amp;","&amp;O62))</f>
        <v>item,102,5</v>
      </c>
      <c r="Z62" s="2" t="str">
        <f>VLOOKUP(Q62,价值!$B:$G,3,0)&amp;","&amp;R62</f>
        <v>coin,1750</v>
      </c>
      <c r="AA62" s="2" t="str">
        <f>IF(VLOOKUP(Q62,价值!$B:$G,5,0)=0,Z62,VLOOKUP(Q62,价值!$B:$G,5,0)&amp;","&amp;R62)</f>
        <v>coin,1750</v>
      </c>
      <c r="AB62" s="2" t="str">
        <f t="shared" si="10"/>
        <v>pack,303,1;pack,302,5;coin,1750</v>
      </c>
      <c r="AC62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#S#pack,303,1;pack,302,5;coin,1750</v>
      </c>
    </row>
    <row r="63" spans="10:29" x14ac:dyDescent="0.15">
      <c r="J63" s="1">
        <v>14</v>
      </c>
      <c r="K63" s="1" t="s">
        <v>156</v>
      </c>
      <c r="AB63" s="2" t="str">
        <f>AB62</f>
        <v>pack,303,1;pack,302,5;coin,1750</v>
      </c>
      <c r="AC63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#S#pack,303,1;pack,302,5;coin,1750#S#pack,303,1;pack,302,5;coin,1750</v>
      </c>
    </row>
    <row r="64" spans="10:29" x14ac:dyDescent="0.15">
      <c r="J64" s="4">
        <v>15</v>
      </c>
      <c r="AB64" s="2" t="str">
        <f t="shared" ref="AB64:AB66" si="12">AB63</f>
        <v>pack,303,1;pack,302,5;coin,1750</v>
      </c>
      <c r="AC64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#S#pack,303,1;pack,302,5;coin,1750#S#pack,303,1;pack,302,5;coin,1750#S#pack,303,1;pack,302,5;coin,1750</v>
      </c>
    </row>
    <row r="65" spans="10:29" x14ac:dyDescent="0.15">
      <c r="J65" s="1">
        <v>16</v>
      </c>
      <c r="AB65" s="2" t="str">
        <f t="shared" si="12"/>
        <v>pack,303,1;pack,302,5;coin,1750</v>
      </c>
      <c r="AC65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#S#pack,303,1;pack,302,5;coin,1750#S#pack,303,1;pack,302,5;coin,1750#S#pack,303,1;pack,302,5;coin,1750#S#pack,303,1;pack,302,5;coin,1750</v>
      </c>
    </row>
    <row r="66" spans="10:29" x14ac:dyDescent="0.15">
      <c r="J66" s="4">
        <v>17</v>
      </c>
      <c r="AB66" s="2" t="str">
        <f t="shared" si="12"/>
        <v>pack,303,1;pack,302,5;coin,1750</v>
      </c>
      <c r="AC66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#S#pack,303,1;pack,302,5;coin,1750#S#pack,303,1;pack,302,5;coin,1750#S#pack,303,1;pack,302,5;coin,1750#S#pack,303,1;pack,302,5;coin,1750#S#pack,303,1;pack,302,5;coin,1750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140" zoomScaleNormal="140" zoomScalePageLayoutView="140" workbookViewId="0">
      <selection activeCell="E33" sqref="E33"/>
    </sheetView>
  </sheetViews>
  <sheetFormatPr baseColWidth="10" defaultColWidth="8.83203125" defaultRowHeight="13" x14ac:dyDescent="0.15"/>
  <cols>
    <col min="1" max="1" width="17.33203125" style="3" bestFit="1" customWidth="1"/>
    <col min="2" max="10" width="8.83203125" style="3"/>
    <col min="11" max="11" width="14.33203125" style="3" bestFit="1" customWidth="1"/>
    <col min="12" max="16" width="8.83203125" style="3"/>
    <col min="17" max="17" width="14.33203125" style="3" bestFit="1" customWidth="1"/>
    <col min="18" max="16384" width="8.83203125" style="3"/>
  </cols>
  <sheetData>
    <row r="1" spans="1:24" x14ac:dyDescent="0.15">
      <c r="A1" s="3" t="s">
        <v>4</v>
      </c>
      <c r="D1" s="3" t="s">
        <v>5</v>
      </c>
      <c r="H1" s="3" t="s">
        <v>6</v>
      </c>
      <c r="J1" s="3" t="s">
        <v>20</v>
      </c>
      <c r="N1" s="3" t="s">
        <v>7</v>
      </c>
      <c r="P1" s="3" t="s">
        <v>21</v>
      </c>
      <c r="T1" s="3" t="s">
        <v>13</v>
      </c>
      <c r="V1" s="3" t="s">
        <v>22</v>
      </c>
    </row>
    <row r="2" spans="1:24" x14ac:dyDescent="0.15"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T2" s="3" t="s">
        <v>8</v>
      </c>
      <c r="U2" s="3" t="s">
        <v>14</v>
      </c>
      <c r="V2" s="3" t="s">
        <v>15</v>
      </c>
      <c r="W2" s="3" t="s">
        <v>11</v>
      </c>
      <c r="X2" s="3" t="s">
        <v>12</v>
      </c>
    </row>
    <row r="3" spans="1:24" x14ac:dyDescent="0.15">
      <c r="A3" s="3" t="s">
        <v>16</v>
      </c>
    </row>
    <row r="4" spans="1:24" x14ac:dyDescent="0.15">
      <c r="A4" s="3" t="s">
        <v>17</v>
      </c>
    </row>
    <row r="5" spans="1:24" x14ac:dyDescent="0.15">
      <c r="A5" s="3" t="s">
        <v>18</v>
      </c>
    </row>
    <row r="6" spans="1:24" x14ac:dyDescent="0.15">
      <c r="A6" s="3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topLeftCell="A233" workbookViewId="0">
      <selection activeCell="B234" sqref="B234"/>
    </sheetView>
  </sheetViews>
  <sheetFormatPr baseColWidth="10" defaultColWidth="8.83203125" defaultRowHeight="15" x14ac:dyDescent="0.2"/>
  <cols>
    <col min="2" max="2" width="23.5" bestFit="1" customWidth="1"/>
    <col min="3" max="3" width="61.6640625" customWidth="1"/>
    <col min="4" max="4" width="16.664062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G7">
        <f>[1]物品定价!G7</f>
        <v>0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v>125</v>
      </c>
      <c r="F151">
        <f>[1]物品定价!F151</f>
        <v>0</v>
      </c>
      <c r="G151">
        <v>125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 t="str">
        <f>[1]物品定价!B246</f>
        <v>战栗的龙卷普通技能卡</v>
      </c>
      <c r="C246">
        <f>[1]物品定价!C246</f>
        <v>0</v>
      </c>
      <c r="D246" t="str">
        <f>[1]物品定价!D246</f>
        <v>skill,1</v>
      </c>
      <c r="E246">
        <f>[1]物品定价!E246</f>
        <v>500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 t="str">
        <f>[1]物品定价!B247</f>
        <v>战栗的龙卷主动技能卡-1</v>
      </c>
      <c r="C247">
        <f>[1]物品定价!C247</f>
        <v>0</v>
      </c>
      <c r="D247" t="str">
        <f>[1]物品定价!D247</f>
        <v>skill,2</v>
      </c>
      <c r="E247">
        <f>[1]物品定价!E247</f>
        <v>1000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 t="str">
        <f>[1]物品定价!B248</f>
        <v>战栗的龙卷主动技能卡-2</v>
      </c>
      <c r="C248">
        <f>[1]物品定价!C248</f>
        <v>0</v>
      </c>
      <c r="D248" t="str">
        <f>[1]物品定价!D248</f>
        <v>skill,3</v>
      </c>
      <c r="E248">
        <f>[1]物品定价!E248</f>
        <v>1000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 t="str">
        <f>[1]物品定价!B249</f>
        <v>战栗的龙卷特质1技能卡</v>
      </c>
      <c r="C249">
        <f>[1]物品定价!C249</f>
        <v>0</v>
      </c>
      <c r="D249" t="str">
        <f>[1]物品定价!D249</f>
        <v>skill,4</v>
      </c>
      <c r="E249">
        <f>[1]物品定价!E249</f>
        <v>500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 t="str">
        <f>[1]物品定价!B250</f>
        <v>战栗的龙卷特质2技能卡</v>
      </c>
      <c r="C250">
        <f>[1]物品定价!C250</f>
        <v>0</v>
      </c>
      <c r="D250" t="str">
        <f>[1]物品定价!D250</f>
        <v>skill,5</v>
      </c>
      <c r="E250">
        <f>[1]物品定价!E250</f>
        <v>500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 t="str">
        <f>[1]物品定价!B251</f>
        <v>战栗的龙卷特质3技能卡-1</v>
      </c>
      <c r="C251">
        <f>[1]物品定价!C251</f>
        <v>0</v>
      </c>
      <c r="D251" t="str">
        <f>[1]物品定价!D251</f>
        <v>skill,6</v>
      </c>
      <c r="E251">
        <f>[1]物品定价!E251</f>
        <v>500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 t="str">
        <f>[1]物品定价!B252</f>
        <v>战栗的龙卷特质3技能卡-2</v>
      </c>
      <c r="C252">
        <f>[1]物品定价!C252</f>
        <v>0</v>
      </c>
      <c r="D252" t="str">
        <f>[1]物品定价!D252</f>
        <v>skill,7</v>
      </c>
      <c r="E252">
        <f>[1]物品定价!E252</f>
        <v>500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 t="str">
        <f>[1]物品定价!B253</f>
        <v>战栗的龙卷特质4技能卡</v>
      </c>
      <c r="C253">
        <f>[1]物品定价!C253</f>
        <v>0</v>
      </c>
      <c r="D253" t="str">
        <f>[1]物品定价!D253</f>
        <v>skill,8</v>
      </c>
      <c r="E253">
        <f>[1]物品定价!E253</f>
        <v>500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 t="str">
        <f>[1]物品定价!B254</f>
        <v>地狱的吹雪普通技能卡</v>
      </c>
      <c r="C254">
        <f>[1]物品定价!C254</f>
        <v>0</v>
      </c>
      <c r="D254" t="str">
        <f>[1]物品定价!D254</f>
        <v>skill,9</v>
      </c>
      <c r="E254">
        <f>[1]物品定价!E254</f>
        <v>300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 t="str">
        <f>[1]物品定价!B255</f>
        <v>地狱的吹雪主动技能卡</v>
      </c>
      <c r="C255">
        <f>[1]物品定价!C255</f>
        <v>0</v>
      </c>
      <c r="D255" t="str">
        <f>[1]物品定价!D255</f>
        <v>skill,10</v>
      </c>
      <c r="E255">
        <f>[1]物品定价!E255</f>
        <v>600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 t="str">
        <f>[1]物品定价!B256</f>
        <v>地狱的吹雪特质3技能卡</v>
      </c>
      <c r="C256">
        <f>[1]物品定价!C256</f>
        <v>0</v>
      </c>
      <c r="D256" t="str">
        <f>[1]物品定价!D256</f>
        <v>skill,11</v>
      </c>
      <c r="E256">
        <f>[1]物品定价!E256</f>
        <v>300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 t="s">
        <v>92</v>
      </c>
      <c r="C258">
        <f>[1]物品定价!C258</f>
        <v>0</v>
      </c>
      <c r="D258" t="s">
        <v>93</v>
      </c>
      <c r="E258">
        <v>250</v>
      </c>
      <c r="F258">
        <f>[1]物品定价!F258</f>
        <v>0</v>
      </c>
      <c r="G258">
        <v>250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积分计算</vt:lpstr>
      <vt:lpstr>奖励</vt:lpstr>
      <vt:lpstr>输出</vt:lpstr>
      <vt:lpstr>价值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2019-11-01T09:25:22Z</dcterms:modified>
</cp:coreProperties>
</file>