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xuhaihua\Desktop\OPM数值\OPM经济数值\"/>
    </mc:Choice>
  </mc:AlternateContent>
  <xr:revisionPtr revIDLastSave="0" documentId="13_ncr:1_{5CB98EF9-3B05-4159-8829-EA0E36952B27}" xr6:coauthVersionLast="43" xr6:coauthVersionMax="43" xr10:uidLastSave="{00000000-0000-0000-0000-000000000000}"/>
  <bookViews>
    <workbookView xWindow="-120" yWindow="-120" windowWidth="29040" windowHeight="15840" tabRatio="500" xr2:uid="{00000000-000D-0000-FFFF-FFFF00000000}"/>
  </bookViews>
  <sheets>
    <sheet name="公会副本" sheetId="1" r:id="rId1"/>
    <sheet name="商店" sheetId="4" r:id="rId2"/>
    <sheet name="公会升级" sheetId="2" r:id="rId3"/>
    <sheet name="捐献" sheetId="3" r:id="rId4"/>
  </sheets>
  <calcPr calcId="18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1" i="1" l="1"/>
  <c r="H42" i="1"/>
  <c r="H43" i="1"/>
  <c r="H40" i="1"/>
  <c r="H29" i="1"/>
  <c r="H30" i="1"/>
  <c r="H31" i="1"/>
  <c r="H32" i="1"/>
  <c r="H33" i="1"/>
  <c r="H34" i="1"/>
  <c r="H35" i="1"/>
  <c r="H36" i="1"/>
  <c r="H37" i="1"/>
  <c r="H38" i="1"/>
  <c r="H39" i="1"/>
  <c r="H28" i="1"/>
  <c r="B10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49" i="1"/>
  <c r="M3" i="2"/>
  <c r="M4" i="2"/>
  <c r="M5" i="2"/>
  <c r="M6" i="2"/>
  <c r="M7" i="2"/>
  <c r="M8" i="2"/>
  <c r="M9" i="2"/>
  <c r="M10" i="2"/>
  <c r="M11" i="2"/>
  <c r="M12" i="2"/>
  <c r="B15" i="2"/>
  <c r="O2" i="2"/>
  <c r="R2" i="2"/>
  <c r="M2" i="2"/>
  <c r="Q3" i="2"/>
  <c r="Q4" i="2"/>
  <c r="Q5" i="2"/>
  <c r="Q6" i="2"/>
  <c r="Q7" i="2"/>
  <c r="Q8" i="2"/>
  <c r="Q9" i="2"/>
  <c r="Q10" i="2"/>
  <c r="Q11" i="2"/>
  <c r="Q12" i="2"/>
  <c r="O13" i="2"/>
  <c r="P13" i="2"/>
  <c r="Q13" i="2"/>
  <c r="Q2" i="2"/>
  <c r="O3" i="2"/>
  <c r="O4" i="2"/>
  <c r="O5" i="2"/>
  <c r="O6" i="2"/>
  <c r="O7" i="2"/>
  <c r="O8" i="2"/>
  <c r="O9" i="2"/>
  <c r="O10" i="2"/>
  <c r="O11" i="2"/>
  <c r="O12" i="2"/>
  <c r="D41" i="1"/>
  <c r="D42" i="1"/>
  <c r="D43" i="1"/>
  <c r="D40" i="1"/>
  <c r="E41" i="1"/>
  <c r="E42" i="1"/>
  <c r="E43" i="1"/>
  <c r="E40" i="1"/>
  <c r="C11" i="1"/>
  <c r="B25" i="1"/>
  <c r="G25" i="1"/>
  <c r="B26" i="1"/>
  <c r="G26" i="1"/>
  <c r="B27" i="1"/>
  <c r="G27" i="1"/>
  <c r="C12" i="1"/>
  <c r="B28" i="1"/>
  <c r="G28" i="1"/>
  <c r="B29" i="1"/>
  <c r="G29" i="1"/>
  <c r="B30" i="1"/>
  <c r="G30" i="1"/>
  <c r="B31" i="1"/>
  <c r="G31" i="1"/>
  <c r="B32" i="1"/>
  <c r="G32" i="1"/>
  <c r="B33" i="1"/>
  <c r="G33" i="1"/>
  <c r="B34" i="1"/>
  <c r="G34" i="1"/>
  <c r="B35" i="1"/>
  <c r="G35" i="1"/>
  <c r="B36" i="1"/>
  <c r="G36" i="1"/>
  <c r="B37" i="1"/>
  <c r="G37" i="1"/>
  <c r="B38" i="1"/>
  <c r="G38" i="1"/>
  <c r="B39" i="1"/>
  <c r="G39" i="1"/>
  <c r="C13" i="1"/>
  <c r="B40" i="1"/>
  <c r="G40" i="1"/>
  <c r="B41" i="1"/>
  <c r="G41" i="1"/>
  <c r="B42" i="1"/>
  <c r="G42" i="1"/>
  <c r="B43" i="1"/>
  <c r="G43" i="1"/>
  <c r="B24" i="1"/>
  <c r="G24" i="1"/>
  <c r="B15" i="1"/>
  <c r="B6" i="3"/>
  <c r="G3" i="3"/>
  <c r="G4" i="3"/>
  <c r="G2" i="3"/>
  <c r="F3" i="3"/>
  <c r="F4" i="3"/>
  <c r="F2" i="3"/>
  <c r="E3" i="4"/>
  <c r="E4" i="4"/>
  <c r="E5" i="4"/>
  <c r="E6" i="4"/>
  <c r="E7" i="4"/>
  <c r="E8" i="4"/>
  <c r="E9" i="4"/>
  <c r="E2" i="4"/>
  <c r="N3" i="4"/>
  <c r="N4" i="4"/>
  <c r="N5" i="4"/>
  <c r="N6" i="4"/>
  <c r="N7" i="4"/>
  <c r="N8" i="4"/>
  <c r="N9" i="4"/>
  <c r="N2" i="4"/>
  <c r="K14" i="4"/>
  <c r="B9" i="1"/>
  <c r="H25" i="1"/>
  <c r="H26" i="1"/>
  <c r="H27" i="1"/>
  <c r="H24" i="1"/>
  <c r="V32" i="1"/>
  <c r="W25" i="1"/>
  <c r="W24" i="1"/>
  <c r="W23" i="1"/>
  <c r="T32" i="1"/>
  <c r="U25" i="1"/>
  <c r="U24" i="1"/>
  <c r="U23" i="1"/>
  <c r="R32" i="1"/>
  <c r="S25" i="1"/>
  <c r="S24" i="1"/>
  <c r="S23" i="1"/>
  <c r="P32" i="1"/>
  <c r="Q25" i="1"/>
  <c r="Q24" i="1"/>
  <c r="Q2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6" i="1"/>
  <c r="W27" i="1"/>
  <c r="W28" i="1"/>
  <c r="W29" i="1"/>
  <c r="W30" i="1"/>
  <c r="W31" i="1"/>
  <c r="W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6" i="1"/>
  <c r="U27" i="1"/>
  <c r="U28" i="1"/>
  <c r="U29" i="1"/>
  <c r="U30" i="1"/>
  <c r="U31" i="1"/>
  <c r="U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6" i="1"/>
  <c r="S27" i="1"/>
  <c r="S28" i="1"/>
  <c r="S29" i="1"/>
  <c r="S30" i="1"/>
  <c r="S31" i="1"/>
  <c r="S3" i="1"/>
  <c r="S32" i="1"/>
  <c r="Q30" i="1"/>
  <c r="Q29" i="1"/>
  <c r="Q12" i="1"/>
  <c r="Q11" i="1"/>
  <c r="Q9" i="1"/>
  <c r="Q8" i="1"/>
  <c r="W32" i="1"/>
  <c r="U32" i="1"/>
  <c r="Q3" i="1"/>
  <c r="Q4" i="1"/>
  <c r="Q5" i="1"/>
  <c r="Q6" i="1"/>
  <c r="Q7" i="1"/>
  <c r="Q10" i="1"/>
  <c r="Q13" i="1"/>
  <c r="Q14" i="1"/>
  <c r="Q15" i="1"/>
  <c r="Q16" i="1"/>
  <c r="Q17" i="1"/>
  <c r="Q18" i="1"/>
  <c r="Q19" i="1"/>
  <c r="Q20" i="1"/>
  <c r="Q21" i="1"/>
  <c r="Q22" i="1"/>
  <c r="Q26" i="1"/>
  <c r="Q27" i="1"/>
  <c r="Q28" i="1"/>
  <c r="Q31" i="1"/>
  <c r="Q32" i="1"/>
</calcChain>
</file>

<file path=xl/sharedStrings.xml><?xml version="1.0" encoding="utf-8"?>
<sst xmlns="http://schemas.openxmlformats.org/spreadsheetml/2006/main" count="225" uniqueCount="172">
  <si>
    <t>公会副本</t>
    <rPh sb="0" eb="1">
      <t>gong'hui</t>
    </rPh>
    <rPh sb="2" eb="3">
      <t>fu'ben</t>
    </rPh>
    <phoneticPr fontId="2" type="noConversion"/>
  </si>
  <si>
    <t>体力消耗</t>
    <rPh sb="0" eb="1">
      <t>ti'li</t>
    </rPh>
    <rPh sb="2" eb="3">
      <t>xiao'hao</t>
    </rPh>
    <phoneticPr fontId="2" type="noConversion"/>
  </si>
  <si>
    <t>奖励</t>
    <rPh sb="0" eb="1">
      <t>jiang'li</t>
    </rPh>
    <phoneticPr fontId="2" type="noConversion"/>
  </si>
  <si>
    <t>类型</t>
    <rPh sb="0" eb="1">
      <t>lei'xing</t>
    </rPh>
    <phoneticPr fontId="2" type="noConversion"/>
  </si>
  <si>
    <t>每日进攻次数</t>
    <rPh sb="0" eb="1">
      <t>mei'ri</t>
    </rPh>
    <rPh sb="2" eb="3">
      <t>jin'gong</t>
    </rPh>
    <rPh sb="4" eb="5">
      <t>ci'shu</t>
    </rPh>
    <phoneticPr fontId="2" type="noConversion"/>
  </si>
  <si>
    <t>有效攻击次数</t>
    <rPh sb="0" eb="1">
      <t>you'xiao</t>
    </rPh>
    <rPh sb="2" eb="3">
      <t>gong'ji</t>
    </rPh>
    <rPh sb="4" eb="5">
      <t>ci'shu</t>
    </rPh>
    <phoneticPr fontId="2" type="noConversion"/>
  </si>
  <si>
    <t>获得奖励价值</t>
    <rPh sb="0" eb="1">
      <t>huo'de</t>
    </rPh>
    <rPh sb="2" eb="3">
      <t>jiang'li</t>
    </rPh>
    <rPh sb="4" eb="5">
      <t>jia'zhi</t>
    </rPh>
    <phoneticPr fontId="2" type="noConversion"/>
  </si>
  <si>
    <t>奖励贡献/日</t>
    <rPh sb="0" eb="1">
      <t>jiang'li</t>
    </rPh>
    <rPh sb="5" eb="6">
      <t>ri</t>
    </rPh>
    <phoneticPr fontId="2" type="noConversion"/>
  </si>
  <si>
    <t>奖励贡献/次</t>
    <rPh sb="0" eb="1">
      <t>jiang'li</t>
    </rPh>
    <rPh sb="2" eb="3">
      <t>gong'xian</t>
    </rPh>
    <rPh sb="5" eb="6">
      <t>ci</t>
    </rPh>
    <phoneticPr fontId="2" type="noConversion"/>
  </si>
  <si>
    <t>普通关卡系数</t>
    <rPh sb="0" eb="1">
      <t>pu'tong</t>
    </rPh>
    <rPh sb="2" eb="3">
      <t>guan'ka</t>
    </rPh>
    <rPh sb="4" eb="5">
      <t>xi'shu</t>
    </rPh>
    <phoneticPr fontId="2" type="noConversion"/>
  </si>
  <si>
    <t>难度系数</t>
    <rPh sb="0" eb="1">
      <t>nan'du</t>
    </rPh>
    <rPh sb="2" eb="3">
      <t>xi'shu</t>
    </rPh>
    <phoneticPr fontId="2" type="noConversion"/>
  </si>
  <si>
    <t>Boss关卡系数</t>
    <rPh sb="4" eb="5">
      <t>guan'ka</t>
    </rPh>
    <phoneticPr fontId="2" type="noConversion"/>
  </si>
  <si>
    <t>终极Boss系数</t>
    <rPh sb="0" eb="1">
      <t>zhong'ji</t>
    </rPh>
    <rPh sb="6" eb="7">
      <t>xi'shu</t>
    </rPh>
    <phoneticPr fontId="2" type="noConversion"/>
  </si>
  <si>
    <t>Id</t>
    <phoneticPr fontId="2" type="noConversion"/>
  </si>
  <si>
    <t>普通</t>
    <rPh sb="0" eb="1">
      <t>pu'tong</t>
    </rPh>
    <phoneticPr fontId="2" type="noConversion"/>
  </si>
  <si>
    <t>普通难度1</t>
    <rPh sb="0" eb="1">
      <t>pu'tong</t>
    </rPh>
    <rPh sb="2" eb="3">
      <t>nan'du</t>
    </rPh>
    <phoneticPr fontId="2" type="noConversion"/>
  </si>
  <si>
    <t>普通难度2</t>
    <rPh sb="0" eb="1">
      <t>pu'tong</t>
    </rPh>
    <rPh sb="2" eb="3">
      <t>nan'du</t>
    </rPh>
    <phoneticPr fontId="2" type="noConversion"/>
  </si>
  <si>
    <t>普通难度3</t>
    <rPh sb="0" eb="1">
      <t>pu'tong</t>
    </rPh>
    <rPh sb="2" eb="3">
      <t>nan'du</t>
    </rPh>
    <phoneticPr fontId="2" type="noConversion"/>
  </si>
  <si>
    <t>普通难度4</t>
    <rPh sb="0" eb="1">
      <t>pu'tong</t>
    </rPh>
    <rPh sb="2" eb="3">
      <t>nan'du</t>
    </rPh>
    <phoneticPr fontId="2" type="noConversion"/>
  </si>
  <si>
    <t>格洛里巴斯难度1</t>
    <rPh sb="5" eb="6">
      <t>nan'du</t>
    </rPh>
    <phoneticPr fontId="2" type="noConversion"/>
  </si>
  <si>
    <t>格洛里巴斯难度2</t>
    <rPh sb="5" eb="6">
      <t>nan'du</t>
    </rPh>
    <phoneticPr fontId="2" type="noConversion"/>
  </si>
  <si>
    <t>格洛里巴斯难度3</t>
    <rPh sb="5" eb="6">
      <t>nan'du</t>
    </rPh>
    <phoneticPr fontId="2" type="noConversion"/>
  </si>
  <si>
    <t>格洛里巴斯难度4</t>
    <rPh sb="5" eb="6">
      <t>nan'du</t>
    </rPh>
    <phoneticPr fontId="2" type="noConversion"/>
  </si>
  <si>
    <t>梅鲁扎嘎鲁多难度1</t>
    <rPh sb="6" eb="7">
      <t>nan'du</t>
    </rPh>
    <phoneticPr fontId="2" type="noConversion"/>
  </si>
  <si>
    <t>梅鲁扎嘎鲁多难度2</t>
    <rPh sb="6" eb="7">
      <t>nan'du</t>
    </rPh>
    <phoneticPr fontId="2" type="noConversion"/>
  </si>
  <si>
    <t>梅鲁扎嘎鲁多难度3</t>
    <rPh sb="6" eb="7">
      <t>nan'du</t>
    </rPh>
    <phoneticPr fontId="2" type="noConversion"/>
  </si>
  <si>
    <t>梅鲁扎嘎鲁多难度4</t>
    <rPh sb="6" eb="7">
      <t>nan'du</t>
    </rPh>
    <phoneticPr fontId="2" type="noConversion"/>
  </si>
  <si>
    <t>戈留干修普难度1</t>
    <rPh sb="5" eb="6">
      <t>nan'du</t>
    </rPh>
    <phoneticPr fontId="2" type="noConversion"/>
  </si>
  <si>
    <t>戈留干修普难度2</t>
    <rPh sb="5" eb="6">
      <t>nan'du</t>
    </rPh>
    <phoneticPr fontId="2" type="noConversion"/>
  </si>
  <si>
    <t>戈留干修普难度3</t>
    <rPh sb="5" eb="6">
      <t>nan'du</t>
    </rPh>
    <phoneticPr fontId="2" type="noConversion"/>
  </si>
  <si>
    <t>戈留干修普难度4</t>
    <rPh sb="5" eb="6">
      <t>nan'du</t>
    </rPh>
    <phoneticPr fontId="2" type="noConversion"/>
  </si>
  <si>
    <t>波罗斯难度1</t>
    <rPh sb="3" eb="4">
      <t>nan'du</t>
    </rPh>
    <phoneticPr fontId="2" type="noConversion"/>
  </si>
  <si>
    <t>波罗斯难度2</t>
    <rPh sb="3" eb="4">
      <t>nan'du</t>
    </rPh>
    <phoneticPr fontId="2" type="noConversion"/>
  </si>
  <si>
    <t>波罗斯难度3</t>
    <rPh sb="3" eb="4">
      <t>nan'du</t>
    </rPh>
    <phoneticPr fontId="2" type="noConversion"/>
  </si>
  <si>
    <t>波罗斯难度4</t>
    <rPh sb="3" eb="4">
      <t>nan'du</t>
    </rPh>
    <phoneticPr fontId="2" type="noConversion"/>
  </si>
  <si>
    <t>通用类奖励</t>
    <rPh sb="0" eb="1">
      <t>tong'yong</t>
    </rPh>
    <rPh sb="2" eb="3">
      <t>lei</t>
    </rPh>
    <rPh sb="3" eb="4">
      <t>jiang'li</t>
    </rPh>
    <phoneticPr fontId="2" type="noConversion"/>
  </si>
  <si>
    <t>普通扭蛋币</t>
    <rPh sb="0" eb="1">
      <t>pu'tong</t>
    </rPh>
    <rPh sb="2" eb="3">
      <t>niu'dan'bi</t>
    </rPh>
    <phoneticPr fontId="2" type="noConversion"/>
  </si>
  <si>
    <t>神秘扭蛋币的碎片</t>
    <rPh sb="0" eb="1">
      <t>shen'mi</t>
    </rPh>
    <rPh sb="2" eb="3">
      <t>niu'dan'bi</t>
    </rPh>
    <rPh sb="5" eb="6">
      <t>d</t>
    </rPh>
    <rPh sb="6" eb="7">
      <t>sui'pian</t>
    </rPh>
    <phoneticPr fontId="2" type="noConversion"/>
  </si>
  <si>
    <t>神秘扭蛋币</t>
    <rPh sb="0" eb="1">
      <t>shen'mi</t>
    </rPh>
    <rPh sb="2" eb="3">
      <t>niu'dan'bi</t>
    </rPh>
    <phoneticPr fontId="2" type="noConversion"/>
  </si>
  <si>
    <t>3星万能碎片</t>
    <rPh sb="1" eb="2">
      <t>xing</t>
    </rPh>
    <rPh sb="2" eb="3">
      <t>wan'neng</t>
    </rPh>
    <rPh sb="4" eb="5">
      <t>sui'pian</t>
    </rPh>
    <phoneticPr fontId="2" type="noConversion"/>
  </si>
  <si>
    <t>prop,701</t>
  </si>
  <si>
    <t>prop,702</t>
  </si>
  <si>
    <t>prop,704</t>
    <phoneticPr fontId="2" type="noConversion"/>
  </si>
  <si>
    <t>琦玉一拳</t>
    <rPh sb="0" eb="1">
      <t>qi'yu'yi'quan</t>
    </rPh>
    <phoneticPr fontId="2" type="noConversion"/>
  </si>
  <si>
    <t>琦玉连续拳</t>
    <rPh sb="0" eb="1">
      <t>qi'yu</t>
    </rPh>
    <rPh sb="2" eb="3">
      <t>lian'xu</t>
    </rPh>
    <rPh sb="4" eb="5">
      <t>quan</t>
    </rPh>
    <phoneticPr fontId="2" type="noConversion"/>
  </si>
  <si>
    <t>骰子</t>
    <rPh sb="0" eb="1">
      <t>tou'zi</t>
    </rPh>
    <phoneticPr fontId="2" type="noConversion"/>
  </si>
  <si>
    <t>意念骰子</t>
    <rPh sb="0" eb="1">
      <t>yi'nian'tou'zi</t>
    </rPh>
    <phoneticPr fontId="2" type="noConversion"/>
  </si>
  <si>
    <t>逆行骰子</t>
    <rPh sb="0" eb="1">
      <t>ni'xing</t>
    </rPh>
    <rPh sb="2" eb="3">
      <t>tou'zi</t>
    </rPh>
    <phoneticPr fontId="2" type="noConversion"/>
  </si>
  <si>
    <t>prop,403</t>
  </si>
  <si>
    <t>prop,801</t>
    <phoneticPr fontId="2" type="noConversion"/>
  </si>
  <si>
    <t>prop,802</t>
  </si>
  <si>
    <t>dice</t>
    <phoneticPr fontId="2" type="noConversion"/>
  </si>
  <si>
    <t>prop,803</t>
    <phoneticPr fontId="2" type="noConversion"/>
  </si>
  <si>
    <t>prop,804</t>
    <phoneticPr fontId="2" type="noConversion"/>
  </si>
  <si>
    <t>价值</t>
    <rPh sb="0" eb="1">
      <t>jia'zhi</t>
    </rPh>
    <phoneticPr fontId="2" type="noConversion"/>
  </si>
  <si>
    <t>Boss</t>
    <phoneticPr fontId="2" type="noConversion"/>
  </si>
  <si>
    <t>终极Boss</t>
    <rPh sb="0" eb="1">
      <t>zhong'ji</t>
    </rPh>
    <phoneticPr fontId="2" type="noConversion"/>
  </si>
  <si>
    <t>钻石</t>
    <rPh sb="0" eb="1">
      <t>zuan'shi</t>
    </rPh>
    <phoneticPr fontId="2" type="noConversion"/>
  </si>
  <si>
    <t>cash</t>
    <phoneticPr fontId="2" type="noConversion"/>
  </si>
  <si>
    <t>数量</t>
    <rPh sb="0" eb="1">
      <t>shu'liang</t>
    </rPh>
    <phoneticPr fontId="2" type="noConversion"/>
  </si>
  <si>
    <t>权重</t>
    <rPh sb="0" eb="1">
      <t>quan'zhong</t>
    </rPh>
    <phoneticPr fontId="2" type="noConversion"/>
  </si>
  <si>
    <t>概率</t>
    <rPh sb="0" eb="1">
      <t>gai'lv</t>
    </rPh>
    <phoneticPr fontId="2" type="noConversion"/>
  </si>
  <si>
    <t>描述</t>
    <rPh sb="0" eb="1">
      <t>miao'shu</t>
    </rPh>
    <phoneticPr fontId="2" type="noConversion"/>
  </si>
  <si>
    <t>权重</t>
    <rPh sb="0" eb="1">
      <t>quan'zhogn</t>
    </rPh>
    <phoneticPr fontId="2" type="noConversion"/>
  </si>
  <si>
    <t>额外奖励</t>
    <rPh sb="0" eb="1">
      <t>e'wai</t>
    </rPh>
    <rPh sb="2" eb="3">
      <t>jiang'li</t>
    </rPh>
    <phoneticPr fontId="2" type="noConversion"/>
  </si>
  <si>
    <t>计算</t>
    <rPh sb="0" eb="1">
      <t>ji'suan</t>
    </rPh>
    <phoneticPr fontId="2" type="noConversion"/>
  </si>
  <si>
    <t>最终奖励</t>
    <rPh sb="0" eb="1">
      <t>zui'zhong</t>
    </rPh>
    <rPh sb="2" eb="3">
      <t>jiagn'li</t>
    </rPh>
    <phoneticPr fontId="2" type="noConversion"/>
  </si>
  <si>
    <t>高级觉醒胶囊</t>
    <rPh sb="0" eb="1">
      <t>gao'ji</t>
    </rPh>
    <rPh sb="2" eb="3">
      <t>jue'xign</t>
    </rPh>
    <rPh sb="4" eb="5">
      <t>jiao'nagn</t>
    </rPh>
    <phoneticPr fontId="2" type="noConversion"/>
  </si>
  <si>
    <t>prop,323</t>
    <phoneticPr fontId="2" type="noConversion"/>
  </si>
  <si>
    <t>传说扭蛋币</t>
    <rPh sb="0" eb="1">
      <t>chuan'shuo</t>
    </rPh>
    <rPh sb="2" eb="3">
      <t>niu'dan'bi</t>
    </rPh>
    <phoneticPr fontId="2" type="noConversion"/>
  </si>
  <si>
    <t>prop,703</t>
    <phoneticPr fontId="2" type="noConversion"/>
  </si>
  <si>
    <t>prop,701,1|69;prop,701,2|50;prop,704,2|40;prop,704,4|10;prop,702,1|5;prop,801,1|50;prop,801,2|20;prop,802,1|30;dice,1|80;dice,3|80;dice,5|12;prop,803,1|5;prop,803,2|8;prop,804,1|5;prop,804,2|8;cash,10|50;cash,20|100</t>
    <phoneticPr fontId="2" type="noConversion"/>
  </si>
  <si>
    <t>prop,701,1|50;prop,701,2|50;prop,704,2|40;prop,704,4|10;prop,702,1|15;prop,801,1|50;prop,801,2|20;prop,802,1|30;dice,1|80;dice,3|80;dice,5|12;prop,803,1|5;prop,803,2|10;prop,804,1|5;prop,804,2|10;cash,10|50;cash,20|45;cash,50|46</t>
    <phoneticPr fontId="2" type="noConversion"/>
  </si>
  <si>
    <t>prop,704,1;prop,702,1;prop,403,1;cash,1;prop,323,1;prop,703,1;item,105</t>
    <phoneticPr fontId="2" type="noConversion"/>
  </si>
  <si>
    <t>prop,701,1|100;prop,701,2|50;prop,704,2|40;prop,704,4|10;prop,801,1|50;prop,801,2|20;prop,802,1|30;dice,1|200;dice,3|80;dice,5|12;cash,10|100;cash,20|45</t>
    <phoneticPr fontId="2" type="noConversion"/>
  </si>
  <si>
    <t>类型</t>
  </si>
  <si>
    <t>碎片数量</t>
  </si>
  <si>
    <t>获得贡献值</t>
  </si>
  <si>
    <t>每日攻击次数</t>
    <phoneticPr fontId="2" type="noConversion"/>
  </si>
  <si>
    <t>贡献价值</t>
    <phoneticPr fontId="2" type="noConversion"/>
  </si>
  <si>
    <t>随机4星护符</t>
    <rPh sb="0" eb="1">
      <t>sui'ji</t>
    </rPh>
    <rPh sb="3" eb="4">
      <t>xing</t>
    </rPh>
    <rPh sb="4" eb="5">
      <t>hu'fu</t>
    </rPh>
    <phoneticPr fontId="2" type="noConversion"/>
  </si>
  <si>
    <t>pack,304</t>
    <phoneticPr fontId="2" type="noConversion"/>
  </si>
  <si>
    <t>prop,702,1|40;prop,702,2|20;prop,704,10|53;prop,323,1|50;prop,703,1|5;pack,304,1|10;cash,100|50;cash,150|75;cash,200|100</t>
    <phoneticPr fontId="2" type="noConversion"/>
  </si>
  <si>
    <t>最终奖励价值（钻）/个</t>
    <phoneticPr fontId="2" type="noConversion"/>
  </si>
  <si>
    <t>商品ID</t>
  </si>
  <si>
    <t>商店类型（1=资源商店，2=竞技场，3=公会）</t>
  </si>
  <si>
    <t>最小等级(server)</t>
  </si>
  <si>
    <t>最大等级(server)</t>
  </si>
  <si>
    <t>价格</t>
  </si>
  <si>
    <t>奖励预览</t>
  </si>
  <si>
    <t>奖励(server)</t>
  </si>
  <si>
    <t>限购次数</t>
  </si>
  <si>
    <t>排序字段</t>
  </si>
  <si>
    <t>3001</t>
  </si>
  <si>
    <t>999</t>
  </si>
  <si>
    <t>hero,36</t>
  </si>
  <si>
    <t>3002</t>
  </si>
  <si>
    <t>hero,37</t>
  </si>
  <si>
    <t>3003</t>
  </si>
  <si>
    <t>3004</t>
  </si>
  <si>
    <t>item,103</t>
  </si>
  <si>
    <t>pack,303</t>
  </si>
  <si>
    <t>3005</t>
  </si>
  <si>
    <t>item,131</t>
  </si>
  <si>
    <t>pack,20031</t>
  </si>
  <si>
    <t>3006</t>
  </si>
  <si>
    <t>item,132</t>
  </si>
  <si>
    <t>pack,20032</t>
  </si>
  <si>
    <t>3007</t>
  </si>
  <si>
    <t>item,133</t>
  </si>
  <si>
    <t>pack,20033</t>
  </si>
  <si>
    <t>3008</t>
  </si>
  <si>
    <t>item,134</t>
  </si>
  <si>
    <t>pack,20034</t>
  </si>
  <si>
    <t>prop,301;prop,302;prop,303</t>
  </si>
  <si>
    <t>prop,304;prop,305;prop,306</t>
  </si>
  <si>
    <t>prop,307;prop,308;prop,309</t>
  </si>
  <si>
    <t>prop,310;prop,311;prop,312</t>
  </si>
  <si>
    <t>元气牛肉</t>
  </si>
  <si>
    <t>“Super-X”</t>
  </si>
  <si>
    <t>肌力药剂</t>
  </si>
  <si>
    <t>训练拳套</t>
  </si>
  <si>
    <t>训练刀具</t>
  </si>
  <si>
    <t>训练枪械</t>
  </si>
  <si>
    <t>超能勺子</t>
  </si>
  <si>
    <t>超能飞石</t>
  </si>
  <si>
    <t>超能量球</t>
  </si>
  <si>
    <t>机械配件</t>
  </si>
  <si>
    <t>机械引擎</t>
  </si>
  <si>
    <t>能量核心</t>
  </si>
  <si>
    <t>价值</t>
    <phoneticPr fontId="2" type="noConversion"/>
  </si>
  <si>
    <t>价格</t>
    <phoneticPr fontId="2" type="noConversion"/>
  </si>
  <si>
    <r>
      <rPr>
        <sz val="10"/>
        <color theme="1"/>
        <rFont val="DengXian"/>
        <family val="2"/>
        <charset val="134"/>
      </rPr>
      <t>价值</t>
    </r>
    <phoneticPr fontId="2" type="noConversion"/>
  </si>
  <si>
    <r>
      <rPr>
        <sz val="10"/>
        <color theme="1"/>
        <rFont val="DengXian"/>
        <family val="2"/>
        <charset val="134"/>
      </rPr>
      <t>贡献</t>
    </r>
    <phoneticPr fontId="2" type="noConversion"/>
  </si>
  <si>
    <r>
      <rPr>
        <sz val="10"/>
        <color theme="1"/>
        <rFont val="DengXian"/>
        <family val="2"/>
        <charset val="134"/>
      </rPr>
      <t>贡献比</t>
    </r>
    <phoneticPr fontId="2" type="noConversion"/>
  </si>
  <si>
    <t>每日捐献获得</t>
    <phoneticPr fontId="2" type="noConversion"/>
  </si>
  <si>
    <t>每两周贡献总值</t>
    <phoneticPr fontId="2" type="noConversion"/>
  </si>
  <si>
    <t>玩家经验</t>
    <phoneticPr fontId="2" type="noConversion"/>
  </si>
  <si>
    <t>经验</t>
    <phoneticPr fontId="2" type="noConversion"/>
  </si>
  <si>
    <t>现金</t>
    <phoneticPr fontId="2" type="noConversion"/>
  </si>
  <si>
    <t>ID</t>
  </si>
  <si>
    <t>任务名称</t>
  </si>
  <si>
    <t>条件类型</t>
  </si>
  <si>
    <t>参数1</t>
  </si>
  <si>
    <t>参数2</t>
  </si>
  <si>
    <t>区间范围</t>
  </si>
  <si>
    <t>活跃度</t>
  </si>
  <si>
    <t>4,4,4,4,4,4,4,4,4,4</t>
  </si>
  <si>
    <t>5,5,5,5,5,5,5</t>
  </si>
  <si>
    <t>2,2,2,2,2,2,2,2,2,2</t>
  </si>
  <si>
    <t>5,5,5</t>
  </si>
  <si>
    <t>活跃度/人/天</t>
    <phoneticPr fontId="2" type="noConversion"/>
  </si>
  <si>
    <t>公会人数</t>
    <phoneticPr fontId="2" type="noConversion"/>
  </si>
  <si>
    <t>Id</t>
  </si>
  <si>
    <t>公会等级</t>
  </si>
  <si>
    <t>公会成员人数上限</t>
  </si>
  <si>
    <t>每日活跃上限</t>
    <phoneticPr fontId="2" type="noConversion"/>
  </si>
  <si>
    <t>升级需要天数</t>
    <phoneticPr fontId="2" type="noConversion"/>
  </si>
  <si>
    <t>登录游戏</t>
    <phoneticPr fontId="2" type="noConversion"/>
  </si>
  <si>
    <t>抽卡1</t>
    <phoneticPr fontId="2" type="noConversion"/>
  </si>
  <si>
    <t>抽卡2</t>
    <phoneticPr fontId="2" type="noConversion"/>
  </si>
  <si>
    <t>抽卡3</t>
    <phoneticPr fontId="2" type="noConversion"/>
  </si>
  <si>
    <t>副本战斗</t>
    <phoneticPr fontId="2" type="noConversion"/>
  </si>
  <si>
    <t>进化之家战斗</t>
    <phoneticPr fontId="2" type="noConversion"/>
  </si>
  <si>
    <t>竞技场战斗</t>
    <phoneticPr fontId="2" type="noConversion"/>
  </si>
  <si>
    <t>派遣</t>
    <phoneticPr fontId="2" type="noConversion"/>
  </si>
  <si>
    <t>公会探险</t>
    <phoneticPr fontId="2" type="noConversion"/>
  </si>
  <si>
    <t>赠送碎片</t>
    <phoneticPr fontId="2" type="noConversion"/>
  </si>
  <si>
    <t>投掷色子</t>
    <phoneticPr fontId="2" type="noConversion"/>
  </si>
  <si>
    <t>总天数</t>
    <phoneticPr fontId="2" type="noConversion"/>
  </si>
  <si>
    <t>超区间</t>
    <phoneticPr fontId="2" type="noConversion"/>
  </si>
  <si>
    <t>总值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</si>
</sst>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DengXian"/>
      <family val="2"/>
      <charset val="134"/>
      <scheme val="minor"/>
    </font>
    <font>
      <sz val="11"/>
      <color theme="1"/>
      <name val="DengXian"/>
      <family val="2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0"/>
      <color theme="1"/>
      <name val="Arial"/>
      <family val="2"/>
    </font>
    <font>
      <sz val="11"/>
      <color theme="1"/>
      <name val="DengXian"/>
      <family val="2"/>
      <charset val="134"/>
      <scheme val="minor"/>
    </font>
    <font>
      <sz val="10"/>
      <color theme="1"/>
      <name val="DengXian"/>
      <family val="2"/>
      <charset val="134"/>
      <scheme val="minor"/>
    </font>
    <font>
      <sz val="10"/>
      <name val="DengXian"/>
      <family val="2"/>
      <charset val="134"/>
      <scheme val="minor"/>
    </font>
    <font>
      <sz val="10"/>
      <name val="DengXian"/>
      <family val="3"/>
      <charset val="134"/>
      <scheme val="minor"/>
    </font>
    <font>
      <sz val="10"/>
      <name val="Abadi MT Condensed Extra Bold"/>
    </font>
    <font>
      <b/>
      <sz val="10"/>
      <color theme="1"/>
      <name val="DengXian"/>
      <charset val="134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i/>
      <sz val="12"/>
      <color rgb="FF7F7F7F"/>
      <name val="DengXian"/>
      <family val="2"/>
      <charset val="134"/>
      <scheme val="minor"/>
    </font>
    <font>
      <sz val="10"/>
      <color theme="1"/>
      <name val="DengXian"/>
      <charset val="134"/>
      <scheme val="minor"/>
    </font>
    <font>
      <sz val="10"/>
      <color theme="1"/>
      <name val="DengXian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>
      <alignment vertical="center"/>
    </xf>
    <xf numFmtId="0" fontId="12" fillId="0" borderId="0"/>
    <xf numFmtId="0" fontId="1" fillId="0" borderId="0"/>
    <xf numFmtId="0" fontId="12" fillId="0" borderId="0"/>
    <xf numFmtId="0" fontId="14" fillId="0" borderId="0" applyNumberFormat="0" applyFill="0" applyBorder="0" applyAlignment="0" applyProtection="0"/>
  </cellStyleXfs>
  <cellXfs count="30">
    <xf numFmtId="0" fontId="0" fillId="0" borderId="0" xfId="0"/>
    <xf numFmtId="0" fontId="5" fillId="0" borderId="0" xfId="0" applyFont="1"/>
    <xf numFmtId="0" fontId="5" fillId="0" borderId="0" xfId="9" applyFont="1" applyBorder="1" applyAlignment="1">
      <alignment horizontal="center" wrapText="1"/>
    </xf>
    <xf numFmtId="0" fontId="6" fillId="0" borderId="0" xfId="9" applyBorder="1" applyAlignment="1">
      <alignment horizontal="center" vertical="center"/>
    </xf>
    <xf numFmtId="0" fontId="6" fillId="0" borderId="0" xfId="9" applyFill="1" applyBorder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10" fontId="7" fillId="0" borderId="0" xfId="0" applyNumberFormat="1" applyFont="1" applyAlignment="1">
      <alignment horizontal="center" vertical="center"/>
    </xf>
    <xf numFmtId="0" fontId="10" fillId="0" borderId="0" xfId="0" applyFont="1"/>
    <xf numFmtId="0" fontId="7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9">
      <alignment vertical="center"/>
    </xf>
    <xf numFmtId="0" fontId="8" fillId="0" borderId="0" xfId="0" applyFont="1" applyAlignment="1">
      <alignment vertical="center"/>
    </xf>
    <xf numFmtId="0" fontId="5" fillId="0" borderId="0" xfId="9" applyFont="1" applyFill="1" applyBorder="1" applyAlignment="1">
      <alignment horizontal="center" wrapText="1"/>
    </xf>
    <xf numFmtId="0" fontId="0" fillId="0" borderId="0" xfId="0"/>
    <xf numFmtId="0" fontId="13" fillId="0" borderId="0" xfId="10" applyFont="1" applyAlignment="1"/>
    <xf numFmtId="0" fontId="7" fillId="0" borderId="0" xfId="0" applyFont="1"/>
    <xf numFmtId="0" fontId="15" fillId="0" borderId="0" xfId="0" applyFont="1"/>
    <xf numFmtId="0" fontId="15" fillId="0" borderId="0" xfId="0" applyFont="1" applyAlignment="1">
      <alignment horizontal="center"/>
    </xf>
    <xf numFmtId="0" fontId="7" fillId="0" borderId="0" xfId="9" applyFont="1">
      <alignment vertical="center"/>
    </xf>
    <xf numFmtId="0" fontId="15" fillId="0" borderId="0" xfId="9" applyFont="1" applyAlignment="1">
      <alignment wrapText="1"/>
    </xf>
    <xf numFmtId="0" fontId="15" fillId="0" borderId="0" xfId="9" applyFont="1" applyFill="1" applyAlignment="1">
      <alignment wrapText="1"/>
    </xf>
    <xf numFmtId="0" fontId="15" fillId="0" borderId="0" xfId="9" applyFont="1" applyFill="1">
      <alignment vertical="center"/>
    </xf>
    <xf numFmtId="0" fontId="15" fillId="0" borderId="0" xfId="9" applyFont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9" applyFont="1" applyFill="1" applyAlignment="1">
      <alignment horizontal="center" vertical="center"/>
    </xf>
  </cellXfs>
  <cellStyles count="14">
    <cellStyle name="常规" xfId="0" builtinId="0"/>
    <cellStyle name="常规 2" xfId="9" xr:uid="{818FF3C5-A066-4781-B7EA-3FC23D7C50D1}"/>
    <cellStyle name="常规 3" xfId="11" xr:uid="{431C5C49-BBDB-4B37-96F7-227C7BC986E7}"/>
    <cellStyle name="常规 3 2" xfId="10" xr:uid="{5279825F-0D60-468A-8756-059B1258F55E}"/>
    <cellStyle name="常规 4 2" xfId="12" xr:uid="{085021AE-515E-4D62-98C7-4F8C38A1A993}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解释性文本 2" xfId="13" xr:uid="{A9AEAC26-AFE1-4120-9FE3-0C7025454C00}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8"/>
  <sheetViews>
    <sheetView tabSelected="1" topLeftCell="A19" workbookViewId="0">
      <selection activeCell="L24" sqref="L24"/>
    </sheetView>
  </sheetViews>
  <sheetFormatPr defaultColWidth="11" defaultRowHeight="12.75"/>
  <cols>
    <col min="1" max="1" width="15.625" style="12" customWidth="1"/>
    <col min="2" max="2" width="5.875" style="5" bestFit="1" customWidth="1"/>
    <col min="3" max="3" width="8" style="5" bestFit="1" customWidth="1"/>
    <col min="4" max="4" width="8" style="20" customWidth="1"/>
    <col min="5" max="5" width="8.375" style="5" customWidth="1"/>
    <col min="6" max="6" width="19.375" style="5" bestFit="1" customWidth="1"/>
    <col min="7" max="7" width="17.5" style="5" bestFit="1" customWidth="1"/>
    <col min="8" max="8" width="7.75" style="5" bestFit="1" customWidth="1"/>
    <col min="9" max="9" width="5" style="5" bestFit="1" customWidth="1"/>
    <col min="10" max="11" width="11" style="5"/>
    <col min="12" max="12" width="9.875" style="5" customWidth="1"/>
    <col min="13" max="13" width="11" style="5"/>
    <col min="14" max="14" width="10" style="5" customWidth="1"/>
    <col min="15" max="16" width="11" style="5"/>
    <col min="17" max="17" width="13.5" style="5" bestFit="1" customWidth="1"/>
    <col min="18" max="16384" width="11" style="5"/>
  </cols>
  <sheetData>
    <row r="1" spans="1:23">
      <c r="A1" s="12" t="s">
        <v>0</v>
      </c>
      <c r="G1" s="5" t="s">
        <v>35</v>
      </c>
      <c r="I1" s="5" t="s">
        <v>54</v>
      </c>
      <c r="M1" s="7"/>
      <c r="N1" s="8"/>
      <c r="O1" s="8"/>
      <c r="P1" s="8" t="s">
        <v>14</v>
      </c>
      <c r="Q1" s="8"/>
      <c r="R1" s="8" t="s">
        <v>55</v>
      </c>
      <c r="S1" s="8"/>
      <c r="T1" s="8" t="s">
        <v>56</v>
      </c>
      <c r="U1" s="8"/>
      <c r="V1" s="8" t="s">
        <v>64</v>
      </c>
      <c r="W1" s="8"/>
    </row>
    <row r="2" spans="1:23">
      <c r="A2" s="12" t="s">
        <v>79</v>
      </c>
      <c r="B2" s="12">
        <v>6.25</v>
      </c>
      <c r="G2" s="5" t="s">
        <v>36</v>
      </c>
      <c r="H2" s="6" t="s">
        <v>40</v>
      </c>
      <c r="I2" s="5">
        <v>50</v>
      </c>
      <c r="L2" s="5" t="s">
        <v>3</v>
      </c>
      <c r="M2" s="7" t="s">
        <v>59</v>
      </c>
      <c r="N2" s="8" t="s">
        <v>54</v>
      </c>
      <c r="O2" s="8" t="s">
        <v>62</v>
      </c>
      <c r="P2" s="8" t="s">
        <v>60</v>
      </c>
      <c r="Q2" s="8" t="s">
        <v>61</v>
      </c>
      <c r="R2" s="8" t="s">
        <v>60</v>
      </c>
      <c r="S2" s="8" t="s">
        <v>61</v>
      </c>
      <c r="T2" s="8" t="s">
        <v>63</v>
      </c>
      <c r="U2" s="8" t="s">
        <v>61</v>
      </c>
      <c r="V2" s="8" t="s">
        <v>60</v>
      </c>
      <c r="W2" s="8" t="s">
        <v>61</v>
      </c>
    </row>
    <row r="3" spans="1:23">
      <c r="A3" s="12" t="s">
        <v>1</v>
      </c>
      <c r="B3" s="12">
        <v>1</v>
      </c>
      <c r="G3" s="5" t="s">
        <v>37</v>
      </c>
      <c r="H3" s="5" t="s">
        <v>42</v>
      </c>
      <c r="I3" s="5">
        <v>12.5</v>
      </c>
      <c r="L3" s="5" t="s">
        <v>36</v>
      </c>
      <c r="M3" s="7">
        <v>1</v>
      </c>
      <c r="N3" s="8">
        <f t="shared" ref="N3:N31" si="0">VLOOKUP(L3,$G$2:$I$14,3,0)*M3</f>
        <v>50</v>
      </c>
      <c r="O3" s="8" t="str">
        <f t="shared" ref="O3:O31" si="1">VLOOKUP(L3,$G$2:$I$14,2,0)&amp;","&amp;M3</f>
        <v>prop,701,1</v>
      </c>
      <c r="P3" s="9">
        <v>100</v>
      </c>
      <c r="Q3" s="10">
        <f t="shared" ref="Q3:Q31" si="2">P3/$P$32</f>
        <v>0.13568521031207598</v>
      </c>
      <c r="R3" s="9">
        <v>69</v>
      </c>
      <c r="S3" s="10">
        <f t="shared" ref="S3:S31" si="3">R3/$R$32</f>
        <v>0.11004784688995216</v>
      </c>
      <c r="T3" s="9">
        <v>50</v>
      </c>
      <c r="U3" s="10">
        <f t="shared" ref="U3:U31" si="4">T3/$T$32</f>
        <v>8.2236842105263164E-2</v>
      </c>
      <c r="V3" s="9">
        <v>0</v>
      </c>
      <c r="W3" s="10">
        <f t="shared" ref="W3:W31" si="5">V3/$V$32</f>
        <v>0</v>
      </c>
    </row>
    <row r="4" spans="1:23">
      <c r="A4" s="12" t="s">
        <v>78</v>
      </c>
      <c r="B4" s="12">
        <v>2</v>
      </c>
      <c r="G4" s="5" t="s">
        <v>38</v>
      </c>
      <c r="H4" s="6" t="s">
        <v>41</v>
      </c>
      <c r="I4" s="5">
        <v>280</v>
      </c>
      <c r="L4" s="5" t="s">
        <v>36</v>
      </c>
      <c r="M4" s="7">
        <v>2</v>
      </c>
      <c r="N4" s="8">
        <f t="shared" si="0"/>
        <v>100</v>
      </c>
      <c r="O4" s="8" t="str">
        <f t="shared" si="1"/>
        <v>prop,701,2</v>
      </c>
      <c r="P4" s="9">
        <v>50</v>
      </c>
      <c r="Q4" s="10">
        <f t="shared" si="2"/>
        <v>6.7842605156037988E-2</v>
      </c>
      <c r="R4" s="9">
        <v>50</v>
      </c>
      <c r="S4" s="10">
        <f t="shared" si="3"/>
        <v>7.9744816586921854E-2</v>
      </c>
      <c r="T4" s="9">
        <v>50</v>
      </c>
      <c r="U4" s="10">
        <f t="shared" si="4"/>
        <v>8.2236842105263164E-2</v>
      </c>
      <c r="V4" s="9">
        <v>0</v>
      </c>
      <c r="W4" s="10">
        <f t="shared" si="5"/>
        <v>0</v>
      </c>
    </row>
    <row r="5" spans="1:23">
      <c r="G5" s="5" t="s">
        <v>39</v>
      </c>
      <c r="H5" s="5" t="s">
        <v>48</v>
      </c>
      <c r="I5" s="5">
        <v>100</v>
      </c>
      <c r="L5" s="5" t="s">
        <v>37</v>
      </c>
      <c r="M5" s="7">
        <v>2</v>
      </c>
      <c r="N5" s="8">
        <f t="shared" si="0"/>
        <v>25</v>
      </c>
      <c r="O5" s="8" t="str">
        <f t="shared" si="1"/>
        <v>prop,704,2</v>
      </c>
      <c r="P5" s="9">
        <v>40</v>
      </c>
      <c r="Q5" s="10">
        <f t="shared" si="2"/>
        <v>5.4274084124830396E-2</v>
      </c>
      <c r="R5" s="9">
        <v>40</v>
      </c>
      <c r="S5" s="10">
        <f t="shared" si="3"/>
        <v>6.3795853269537475E-2</v>
      </c>
      <c r="T5" s="9">
        <v>40</v>
      </c>
      <c r="U5" s="10">
        <f t="shared" si="4"/>
        <v>6.5789473684210523E-2</v>
      </c>
      <c r="V5" s="9">
        <v>0</v>
      </c>
      <c r="W5" s="10">
        <f t="shared" si="5"/>
        <v>0</v>
      </c>
    </row>
    <row r="6" spans="1:23">
      <c r="A6" s="12" t="s">
        <v>4</v>
      </c>
      <c r="B6" s="12">
        <v>3</v>
      </c>
      <c r="C6" s="12"/>
      <c r="D6" s="12"/>
      <c r="G6" s="5" t="s">
        <v>43</v>
      </c>
      <c r="H6" s="5" t="s">
        <v>49</v>
      </c>
      <c r="I6" s="5">
        <v>10</v>
      </c>
      <c r="L6" s="5" t="s">
        <v>37</v>
      </c>
      <c r="M6" s="7">
        <v>4</v>
      </c>
      <c r="N6" s="8">
        <f t="shared" si="0"/>
        <v>50</v>
      </c>
      <c r="O6" s="8" t="str">
        <f t="shared" si="1"/>
        <v>prop,704,4</v>
      </c>
      <c r="P6" s="9">
        <v>10</v>
      </c>
      <c r="Q6" s="10">
        <f t="shared" si="2"/>
        <v>1.3568521031207599E-2</v>
      </c>
      <c r="R6" s="9">
        <v>10</v>
      </c>
      <c r="S6" s="10">
        <f t="shared" si="3"/>
        <v>1.5948963317384369E-2</v>
      </c>
      <c r="T6" s="9">
        <v>10</v>
      </c>
      <c r="U6" s="10">
        <f t="shared" si="4"/>
        <v>1.6447368421052631E-2</v>
      </c>
      <c r="V6" s="9">
        <v>0</v>
      </c>
      <c r="W6" s="10">
        <f t="shared" si="5"/>
        <v>0</v>
      </c>
    </row>
    <row r="7" spans="1:23">
      <c r="A7" s="12" t="s">
        <v>5</v>
      </c>
      <c r="B7" s="12">
        <v>2</v>
      </c>
      <c r="C7" s="12"/>
      <c r="D7" s="12"/>
      <c r="G7" s="5" t="s">
        <v>44</v>
      </c>
      <c r="H7" s="5" t="s">
        <v>50</v>
      </c>
      <c r="I7" s="5">
        <v>50</v>
      </c>
      <c r="L7" s="5" t="s">
        <v>38</v>
      </c>
      <c r="M7" s="7">
        <v>1</v>
      </c>
      <c r="N7" s="8">
        <f t="shared" si="0"/>
        <v>280</v>
      </c>
      <c r="O7" s="8" t="str">
        <f t="shared" si="1"/>
        <v>prop,702,1</v>
      </c>
      <c r="P7" s="9">
        <v>0</v>
      </c>
      <c r="Q7" s="10">
        <f t="shared" si="2"/>
        <v>0</v>
      </c>
      <c r="R7" s="9">
        <v>5</v>
      </c>
      <c r="S7" s="10">
        <f t="shared" si="3"/>
        <v>7.9744816586921844E-3</v>
      </c>
      <c r="T7" s="9">
        <v>15</v>
      </c>
      <c r="U7" s="10">
        <f t="shared" si="4"/>
        <v>2.4671052631578948E-2</v>
      </c>
      <c r="V7" s="9">
        <v>40</v>
      </c>
      <c r="W7" s="10">
        <f t="shared" si="5"/>
        <v>9.1324200913242004E-2</v>
      </c>
    </row>
    <row r="8" spans="1:23">
      <c r="A8" s="12" t="s">
        <v>6</v>
      </c>
      <c r="B8" s="12">
        <v>100</v>
      </c>
      <c r="C8" s="12"/>
      <c r="D8" s="12"/>
      <c r="G8" s="5" t="s">
        <v>45</v>
      </c>
      <c r="H8" s="5" t="s">
        <v>51</v>
      </c>
      <c r="I8" s="5">
        <v>5</v>
      </c>
      <c r="L8" s="5" t="s">
        <v>38</v>
      </c>
      <c r="M8" s="7">
        <v>2</v>
      </c>
      <c r="N8" s="8">
        <f t="shared" si="0"/>
        <v>560</v>
      </c>
      <c r="O8" s="8" t="str">
        <f t="shared" si="1"/>
        <v>prop,702,2</v>
      </c>
      <c r="P8" s="9">
        <v>0</v>
      </c>
      <c r="Q8" s="10">
        <f t="shared" si="2"/>
        <v>0</v>
      </c>
      <c r="R8" s="9">
        <v>0</v>
      </c>
      <c r="S8" s="10">
        <f t="shared" si="3"/>
        <v>0</v>
      </c>
      <c r="T8" s="9">
        <v>0</v>
      </c>
      <c r="U8" s="10">
        <f t="shared" si="4"/>
        <v>0</v>
      </c>
      <c r="V8" s="9">
        <v>20</v>
      </c>
      <c r="W8" s="10">
        <f t="shared" si="5"/>
        <v>4.5662100456621002E-2</v>
      </c>
    </row>
    <row r="9" spans="1:23">
      <c r="A9" s="12" t="s">
        <v>7</v>
      </c>
      <c r="B9" s="12">
        <f>B8*B2</f>
        <v>625</v>
      </c>
      <c r="C9" s="12"/>
      <c r="D9" s="12"/>
      <c r="G9" s="5" t="s">
        <v>46</v>
      </c>
      <c r="H9" s="5" t="s">
        <v>52</v>
      </c>
      <c r="I9" s="5">
        <v>15</v>
      </c>
      <c r="K9" s="8"/>
      <c r="L9" s="5" t="s">
        <v>37</v>
      </c>
      <c r="M9" s="7">
        <v>10</v>
      </c>
      <c r="N9" s="8">
        <f t="shared" si="0"/>
        <v>125</v>
      </c>
      <c r="O9" s="8" t="str">
        <f t="shared" si="1"/>
        <v>prop,704,10</v>
      </c>
      <c r="P9" s="9">
        <v>0</v>
      </c>
      <c r="Q9" s="10">
        <f t="shared" si="2"/>
        <v>0</v>
      </c>
      <c r="R9" s="9">
        <v>0</v>
      </c>
      <c r="S9" s="10">
        <f t="shared" si="3"/>
        <v>0</v>
      </c>
      <c r="T9" s="9">
        <v>0</v>
      </c>
      <c r="U9" s="10">
        <f t="shared" si="4"/>
        <v>0</v>
      </c>
      <c r="V9" s="9">
        <v>53</v>
      </c>
      <c r="W9" s="10">
        <f t="shared" si="5"/>
        <v>0.12100456621004566</v>
      </c>
    </row>
    <row r="10" spans="1:23">
      <c r="A10" s="12" t="s">
        <v>8</v>
      </c>
      <c r="B10" s="12">
        <f>B9</f>
        <v>625</v>
      </c>
      <c r="C10" s="12"/>
      <c r="D10" s="12"/>
      <c r="G10" s="5" t="s">
        <v>47</v>
      </c>
      <c r="H10" s="5" t="s">
        <v>53</v>
      </c>
      <c r="I10" s="5">
        <v>15</v>
      </c>
      <c r="J10" s="7"/>
      <c r="K10" s="8"/>
      <c r="L10" s="5" t="s">
        <v>39</v>
      </c>
      <c r="M10" s="7">
        <v>1</v>
      </c>
      <c r="N10" s="8">
        <f t="shared" si="0"/>
        <v>100</v>
      </c>
      <c r="O10" s="8" t="str">
        <f t="shared" si="1"/>
        <v>prop,403,1</v>
      </c>
      <c r="P10" s="9">
        <v>0</v>
      </c>
      <c r="Q10" s="10">
        <f t="shared" si="2"/>
        <v>0</v>
      </c>
      <c r="R10" s="9">
        <v>5</v>
      </c>
      <c r="S10" s="10">
        <f t="shared" si="3"/>
        <v>7.9744816586921844E-3</v>
      </c>
      <c r="T10" s="9">
        <v>0</v>
      </c>
      <c r="U10" s="10">
        <f t="shared" si="4"/>
        <v>0</v>
      </c>
      <c r="V10" s="9">
        <v>0</v>
      </c>
      <c r="W10" s="10">
        <f t="shared" si="5"/>
        <v>0</v>
      </c>
    </row>
    <row r="11" spans="1:23">
      <c r="A11" s="12" t="s">
        <v>9</v>
      </c>
      <c r="B11" s="12">
        <v>0.8</v>
      </c>
      <c r="C11" s="12">
        <f>$B$10*B11/2</f>
        <v>250</v>
      </c>
      <c r="D11" s="12"/>
      <c r="G11" s="5" t="s">
        <v>57</v>
      </c>
      <c r="H11" s="5" t="s">
        <v>58</v>
      </c>
      <c r="I11" s="5">
        <v>1</v>
      </c>
      <c r="J11" s="7"/>
      <c r="K11" s="8"/>
      <c r="L11" s="5" t="s">
        <v>39</v>
      </c>
      <c r="M11" s="7">
        <v>5</v>
      </c>
      <c r="N11" s="8">
        <f t="shared" si="0"/>
        <v>500</v>
      </c>
      <c r="O11" s="8" t="str">
        <f t="shared" si="1"/>
        <v>prop,403,5</v>
      </c>
      <c r="P11" s="9">
        <v>0</v>
      </c>
      <c r="Q11" s="10">
        <f t="shared" si="2"/>
        <v>0</v>
      </c>
      <c r="R11" s="9">
        <v>0</v>
      </c>
      <c r="S11" s="10">
        <f t="shared" si="3"/>
        <v>0</v>
      </c>
      <c r="T11" s="9">
        <v>0</v>
      </c>
      <c r="U11" s="10">
        <f t="shared" si="4"/>
        <v>0</v>
      </c>
      <c r="V11" s="9">
        <v>25</v>
      </c>
      <c r="W11" s="10">
        <f t="shared" si="5"/>
        <v>5.7077625570776253E-2</v>
      </c>
    </row>
    <row r="12" spans="1:23">
      <c r="A12" s="12" t="s">
        <v>11</v>
      </c>
      <c r="B12" s="12">
        <v>1.2</v>
      </c>
      <c r="C12" s="12">
        <f>$B$10*B12/2</f>
        <v>375</v>
      </c>
      <c r="D12" s="12"/>
      <c r="G12" s="5" t="s">
        <v>67</v>
      </c>
      <c r="H12" s="5" t="s">
        <v>68</v>
      </c>
      <c r="I12" s="5">
        <v>200</v>
      </c>
      <c r="J12" s="7"/>
      <c r="K12" s="8"/>
      <c r="L12" s="5" t="s">
        <v>39</v>
      </c>
      <c r="M12" s="7">
        <v>10</v>
      </c>
      <c r="N12" s="8">
        <f t="shared" si="0"/>
        <v>1000</v>
      </c>
      <c r="O12" s="8" t="str">
        <f t="shared" si="1"/>
        <v>prop,403,10</v>
      </c>
      <c r="P12" s="9">
        <v>0</v>
      </c>
      <c r="Q12" s="10">
        <f t="shared" si="2"/>
        <v>0</v>
      </c>
      <c r="R12" s="9">
        <v>0</v>
      </c>
      <c r="S12" s="10">
        <f t="shared" si="3"/>
        <v>0</v>
      </c>
      <c r="T12" s="9">
        <v>0</v>
      </c>
      <c r="U12" s="10">
        <f t="shared" si="4"/>
        <v>0</v>
      </c>
      <c r="V12" s="9">
        <v>10</v>
      </c>
      <c r="W12" s="10">
        <f t="shared" si="5"/>
        <v>2.2831050228310501E-2</v>
      </c>
    </row>
    <row r="13" spans="1:23">
      <c r="A13" s="12" t="s">
        <v>12</v>
      </c>
      <c r="B13" s="12">
        <v>1.5</v>
      </c>
      <c r="C13" s="12">
        <f>CEILING($B$10*B13,10)/2</f>
        <v>470</v>
      </c>
      <c r="D13" s="12"/>
      <c r="G13" s="5" t="s">
        <v>69</v>
      </c>
      <c r="H13" s="5" t="s">
        <v>70</v>
      </c>
      <c r="I13" s="5">
        <v>2500</v>
      </c>
      <c r="J13" s="7"/>
      <c r="K13" s="8"/>
      <c r="L13" s="5" t="s">
        <v>43</v>
      </c>
      <c r="M13" s="11">
        <v>1</v>
      </c>
      <c r="N13" s="8">
        <f t="shared" si="0"/>
        <v>10</v>
      </c>
      <c r="O13" s="8" t="str">
        <f t="shared" si="1"/>
        <v>prop,801,1</v>
      </c>
      <c r="P13" s="9">
        <v>50</v>
      </c>
      <c r="Q13" s="10">
        <f t="shared" si="2"/>
        <v>6.7842605156037988E-2</v>
      </c>
      <c r="R13" s="9">
        <v>50</v>
      </c>
      <c r="S13" s="10">
        <f t="shared" si="3"/>
        <v>7.9744816586921854E-2</v>
      </c>
      <c r="T13" s="9">
        <v>50</v>
      </c>
      <c r="U13" s="10">
        <f t="shared" si="4"/>
        <v>8.2236842105263164E-2</v>
      </c>
      <c r="V13" s="9">
        <v>0</v>
      </c>
      <c r="W13" s="10">
        <f t="shared" si="5"/>
        <v>0</v>
      </c>
    </row>
    <row r="14" spans="1:23">
      <c r="A14" s="12" t="s">
        <v>83</v>
      </c>
      <c r="B14" s="12">
        <v>250</v>
      </c>
      <c r="C14" s="12"/>
      <c r="D14" s="12"/>
      <c r="G14" s="5" t="s">
        <v>80</v>
      </c>
      <c r="H14" s="5" t="s">
        <v>81</v>
      </c>
      <c r="I14" s="5">
        <v>200</v>
      </c>
      <c r="J14" s="7"/>
      <c r="K14" s="8"/>
      <c r="L14" s="5" t="s">
        <v>43</v>
      </c>
      <c r="M14" s="11">
        <v>2</v>
      </c>
      <c r="N14" s="8">
        <f t="shared" si="0"/>
        <v>20</v>
      </c>
      <c r="O14" s="8" t="str">
        <f t="shared" si="1"/>
        <v>prop,801,2</v>
      </c>
      <c r="P14" s="9">
        <v>20</v>
      </c>
      <c r="Q14" s="10">
        <f t="shared" si="2"/>
        <v>2.7137042062415198E-2</v>
      </c>
      <c r="R14" s="9">
        <v>20</v>
      </c>
      <c r="S14" s="10">
        <f t="shared" si="3"/>
        <v>3.1897926634768738E-2</v>
      </c>
      <c r="T14" s="9">
        <v>20</v>
      </c>
      <c r="U14" s="10">
        <f t="shared" si="4"/>
        <v>3.2894736842105261E-2</v>
      </c>
      <c r="V14" s="9">
        <v>0</v>
      </c>
      <c r="W14" s="10">
        <f t="shared" si="5"/>
        <v>0</v>
      </c>
    </row>
    <row r="15" spans="1:23">
      <c r="A15" s="12" t="s">
        <v>136</v>
      </c>
      <c r="B15" s="12">
        <f>B9*14+捐献!B6*14</f>
        <v>10010</v>
      </c>
      <c r="C15" s="12"/>
      <c r="D15" s="12"/>
      <c r="J15" s="7"/>
      <c r="K15" s="8"/>
      <c r="L15" s="5" t="s">
        <v>44</v>
      </c>
      <c r="M15" s="11">
        <v>1</v>
      </c>
      <c r="N15" s="8">
        <f t="shared" si="0"/>
        <v>50</v>
      </c>
      <c r="O15" s="8" t="str">
        <f t="shared" si="1"/>
        <v>prop,802,1</v>
      </c>
      <c r="P15" s="9">
        <v>30</v>
      </c>
      <c r="Q15" s="10">
        <f t="shared" si="2"/>
        <v>4.0705563093622797E-2</v>
      </c>
      <c r="R15" s="9">
        <v>30</v>
      </c>
      <c r="S15" s="10">
        <f t="shared" si="3"/>
        <v>4.784688995215311E-2</v>
      </c>
      <c r="T15" s="9">
        <v>30</v>
      </c>
      <c r="U15" s="10">
        <f t="shared" si="4"/>
        <v>4.9342105263157895E-2</v>
      </c>
      <c r="V15" s="9">
        <v>0</v>
      </c>
      <c r="W15" s="10">
        <f t="shared" si="5"/>
        <v>0</v>
      </c>
    </row>
    <row r="16" spans="1:23">
      <c r="L16" s="5" t="s">
        <v>45</v>
      </c>
      <c r="M16" s="5">
        <v>1</v>
      </c>
      <c r="N16" s="8">
        <f t="shared" si="0"/>
        <v>5</v>
      </c>
      <c r="O16" s="8" t="str">
        <f t="shared" si="1"/>
        <v>dice,1</v>
      </c>
      <c r="P16" s="9">
        <v>200</v>
      </c>
      <c r="Q16" s="10">
        <f t="shared" si="2"/>
        <v>0.27137042062415195</v>
      </c>
      <c r="R16" s="9">
        <v>80</v>
      </c>
      <c r="S16" s="10">
        <f t="shared" si="3"/>
        <v>0.12759170653907495</v>
      </c>
      <c r="T16" s="9">
        <v>80</v>
      </c>
      <c r="U16" s="10">
        <f t="shared" si="4"/>
        <v>0.13157894736842105</v>
      </c>
      <c r="V16" s="9">
        <v>0</v>
      </c>
      <c r="W16" s="10">
        <f t="shared" si="5"/>
        <v>0</v>
      </c>
    </row>
    <row r="17" spans="1:23">
      <c r="A17" s="13" t="s">
        <v>10</v>
      </c>
      <c r="L17" s="5" t="s">
        <v>45</v>
      </c>
      <c r="M17" s="5">
        <v>3</v>
      </c>
      <c r="N17" s="8">
        <f t="shared" si="0"/>
        <v>15</v>
      </c>
      <c r="O17" s="8" t="str">
        <f t="shared" si="1"/>
        <v>dice,3</v>
      </c>
      <c r="P17" s="9">
        <v>80</v>
      </c>
      <c r="Q17" s="10">
        <f t="shared" si="2"/>
        <v>0.10854816824966079</v>
      </c>
      <c r="R17" s="9">
        <v>80</v>
      </c>
      <c r="S17" s="10">
        <f t="shared" si="3"/>
        <v>0.12759170653907495</v>
      </c>
      <c r="T17" s="9">
        <v>80</v>
      </c>
      <c r="U17" s="10">
        <f t="shared" si="4"/>
        <v>0.13157894736842105</v>
      </c>
      <c r="V17" s="9">
        <v>0</v>
      </c>
      <c r="W17" s="10">
        <f t="shared" si="5"/>
        <v>0</v>
      </c>
    </row>
    <row r="18" spans="1:23">
      <c r="A18" s="12">
        <v>1</v>
      </c>
      <c r="B18" s="5">
        <v>0.6</v>
      </c>
      <c r="L18" s="5" t="s">
        <v>45</v>
      </c>
      <c r="M18" s="5">
        <v>5</v>
      </c>
      <c r="N18" s="8">
        <f t="shared" si="0"/>
        <v>25</v>
      </c>
      <c r="O18" s="8" t="str">
        <f t="shared" si="1"/>
        <v>dice,5</v>
      </c>
      <c r="P18" s="9">
        <v>12</v>
      </c>
      <c r="Q18" s="10">
        <f t="shared" si="2"/>
        <v>1.6282225237449117E-2</v>
      </c>
      <c r="R18" s="9">
        <v>12</v>
      </c>
      <c r="S18" s="10">
        <f t="shared" si="3"/>
        <v>1.9138755980861243E-2</v>
      </c>
      <c r="T18" s="9">
        <v>12</v>
      </c>
      <c r="U18" s="10">
        <f t="shared" si="4"/>
        <v>1.9736842105263157E-2</v>
      </c>
      <c r="V18" s="9">
        <v>0</v>
      </c>
      <c r="W18" s="10">
        <f t="shared" si="5"/>
        <v>0</v>
      </c>
    </row>
    <row r="19" spans="1:23">
      <c r="A19" s="12">
        <v>2</v>
      </c>
      <c r="B19" s="5">
        <v>0.7</v>
      </c>
      <c r="L19" s="5" t="s">
        <v>46</v>
      </c>
      <c r="M19" s="5">
        <v>1</v>
      </c>
      <c r="N19" s="8">
        <f t="shared" si="0"/>
        <v>15</v>
      </c>
      <c r="O19" s="8" t="str">
        <f t="shared" si="1"/>
        <v>prop,803,1</v>
      </c>
      <c r="P19" s="9">
        <v>0</v>
      </c>
      <c r="Q19" s="10">
        <f t="shared" si="2"/>
        <v>0</v>
      </c>
      <c r="R19" s="9">
        <v>5</v>
      </c>
      <c r="S19" s="10">
        <f t="shared" si="3"/>
        <v>7.9744816586921844E-3</v>
      </c>
      <c r="T19" s="9">
        <v>5</v>
      </c>
      <c r="U19" s="10">
        <f t="shared" si="4"/>
        <v>8.2236842105263153E-3</v>
      </c>
      <c r="V19" s="9">
        <v>0</v>
      </c>
      <c r="W19" s="10">
        <f t="shared" si="5"/>
        <v>0</v>
      </c>
    </row>
    <row r="20" spans="1:23">
      <c r="A20" s="12">
        <v>3</v>
      </c>
      <c r="B20" s="5">
        <v>0.8</v>
      </c>
      <c r="L20" s="5" t="s">
        <v>46</v>
      </c>
      <c r="M20" s="5">
        <v>2</v>
      </c>
      <c r="N20" s="8">
        <f t="shared" si="0"/>
        <v>30</v>
      </c>
      <c r="O20" s="8" t="str">
        <f t="shared" si="1"/>
        <v>prop,803,2</v>
      </c>
      <c r="P20" s="9">
        <v>0</v>
      </c>
      <c r="Q20" s="10">
        <f t="shared" si="2"/>
        <v>0</v>
      </c>
      <c r="R20" s="9">
        <v>8</v>
      </c>
      <c r="S20" s="10">
        <f t="shared" si="3"/>
        <v>1.2759170653907496E-2</v>
      </c>
      <c r="T20" s="9">
        <v>10</v>
      </c>
      <c r="U20" s="10">
        <f t="shared" si="4"/>
        <v>1.6447368421052631E-2</v>
      </c>
      <c r="V20" s="9">
        <v>0</v>
      </c>
      <c r="W20" s="10">
        <f t="shared" si="5"/>
        <v>0</v>
      </c>
    </row>
    <row r="21" spans="1:23">
      <c r="A21" s="12">
        <v>4</v>
      </c>
      <c r="B21" s="5">
        <v>1</v>
      </c>
      <c r="L21" s="5" t="s">
        <v>47</v>
      </c>
      <c r="M21" s="5">
        <v>1</v>
      </c>
      <c r="N21" s="8">
        <f t="shared" si="0"/>
        <v>15</v>
      </c>
      <c r="O21" s="8" t="str">
        <f t="shared" si="1"/>
        <v>prop,804,1</v>
      </c>
      <c r="P21" s="9">
        <v>0</v>
      </c>
      <c r="Q21" s="10">
        <f t="shared" si="2"/>
        <v>0</v>
      </c>
      <c r="R21" s="9">
        <v>5</v>
      </c>
      <c r="S21" s="10">
        <f t="shared" si="3"/>
        <v>7.9744816586921844E-3</v>
      </c>
      <c r="T21" s="9">
        <v>5</v>
      </c>
      <c r="U21" s="10">
        <f t="shared" si="4"/>
        <v>8.2236842105263153E-3</v>
      </c>
      <c r="V21" s="9">
        <v>0</v>
      </c>
      <c r="W21" s="10">
        <f t="shared" si="5"/>
        <v>0</v>
      </c>
    </row>
    <row r="22" spans="1:23">
      <c r="L22" s="5" t="s">
        <v>47</v>
      </c>
      <c r="M22" s="5">
        <v>2</v>
      </c>
      <c r="N22" s="8">
        <f t="shared" si="0"/>
        <v>30</v>
      </c>
      <c r="O22" s="8" t="str">
        <f t="shared" si="1"/>
        <v>prop,804,2</v>
      </c>
      <c r="P22" s="9">
        <v>0</v>
      </c>
      <c r="Q22" s="10">
        <f t="shared" si="2"/>
        <v>0</v>
      </c>
      <c r="R22" s="9">
        <v>8</v>
      </c>
      <c r="S22" s="10">
        <f t="shared" si="3"/>
        <v>1.2759170653907496E-2</v>
      </c>
      <c r="T22" s="9">
        <v>10</v>
      </c>
      <c r="U22" s="10">
        <f t="shared" si="4"/>
        <v>1.6447368421052631E-2</v>
      </c>
      <c r="V22" s="9">
        <v>0</v>
      </c>
      <c r="W22" s="10">
        <f t="shared" si="5"/>
        <v>0</v>
      </c>
    </row>
    <row r="23" spans="1:23">
      <c r="A23" s="12" t="s">
        <v>13</v>
      </c>
      <c r="B23" s="5" t="s">
        <v>2</v>
      </c>
      <c r="C23" s="5" t="s">
        <v>137</v>
      </c>
      <c r="D23" s="12" t="s">
        <v>138</v>
      </c>
      <c r="E23" s="12" t="s">
        <v>139</v>
      </c>
      <c r="L23" s="5" t="s">
        <v>67</v>
      </c>
      <c r="M23" s="5">
        <v>1</v>
      </c>
      <c r="N23" s="8">
        <f t="shared" si="0"/>
        <v>200</v>
      </c>
      <c r="O23" s="8" t="str">
        <f t="shared" si="1"/>
        <v>prop,323,1</v>
      </c>
      <c r="P23" s="9">
        <v>0</v>
      </c>
      <c r="Q23" s="10">
        <f t="shared" si="2"/>
        <v>0</v>
      </c>
      <c r="R23" s="9">
        <v>0</v>
      </c>
      <c r="S23" s="10">
        <f t="shared" si="3"/>
        <v>0</v>
      </c>
      <c r="T23" s="9">
        <v>0</v>
      </c>
      <c r="U23" s="10">
        <f t="shared" si="4"/>
        <v>0</v>
      </c>
      <c r="V23" s="9">
        <v>50</v>
      </c>
      <c r="W23" s="10">
        <f t="shared" si="5"/>
        <v>0.11415525114155251</v>
      </c>
    </row>
    <row r="24" spans="1:23">
      <c r="A24" s="14">
        <v>200101</v>
      </c>
      <c r="B24" s="7">
        <f>CEILING($C$11*B18,5)</f>
        <v>150</v>
      </c>
      <c r="C24" s="5">
        <v>40</v>
      </c>
      <c r="D24" s="12">
        <v>200</v>
      </c>
      <c r="E24" s="12">
        <v>200</v>
      </c>
      <c r="F24" s="7" t="s">
        <v>15</v>
      </c>
      <c r="G24" s="7" t="str">
        <f t="shared" ref="G24:G43" si="6">"guild_contribution,"&amp;CEILING(B24,5)</f>
        <v>guild_contribution,150</v>
      </c>
      <c r="H24" s="5" t="str">
        <f t="shared" ref="H24:H43" si="7">"guild_contribution,"&amp;CEILING(B24,5)&amp;";pack,118"</f>
        <v>guild_contribution,150;pack,118</v>
      </c>
      <c r="L24" s="5" t="s">
        <v>69</v>
      </c>
      <c r="M24" s="5">
        <v>1</v>
      </c>
      <c r="N24" s="8">
        <f t="shared" si="0"/>
        <v>2500</v>
      </c>
      <c r="O24" s="8" t="str">
        <f t="shared" si="1"/>
        <v>prop,703,1</v>
      </c>
      <c r="P24" s="9">
        <v>0</v>
      </c>
      <c r="Q24" s="10">
        <f t="shared" si="2"/>
        <v>0</v>
      </c>
      <c r="R24" s="9">
        <v>0</v>
      </c>
      <c r="S24" s="10">
        <f t="shared" si="3"/>
        <v>0</v>
      </c>
      <c r="T24" s="9">
        <v>0</v>
      </c>
      <c r="U24" s="10">
        <f t="shared" si="4"/>
        <v>0</v>
      </c>
      <c r="V24" s="9">
        <v>5</v>
      </c>
      <c r="W24" s="10">
        <f t="shared" si="5"/>
        <v>1.1415525114155251E-2</v>
      </c>
    </row>
    <row r="25" spans="1:23">
      <c r="A25" s="14">
        <v>200102</v>
      </c>
      <c r="B25" s="7">
        <f>$C$11*B19</f>
        <v>175</v>
      </c>
      <c r="C25" s="20">
        <v>40</v>
      </c>
      <c r="D25" s="12">
        <v>250</v>
      </c>
      <c r="E25" s="12">
        <v>250</v>
      </c>
      <c r="F25" s="7" t="s">
        <v>16</v>
      </c>
      <c r="G25" s="7" t="str">
        <f t="shared" si="6"/>
        <v>guild_contribution,175</v>
      </c>
      <c r="H25" s="5" t="str">
        <f t="shared" si="7"/>
        <v>guild_contribution,175;pack,118</v>
      </c>
      <c r="L25" s="5" t="s">
        <v>80</v>
      </c>
      <c r="M25" s="5">
        <v>1</v>
      </c>
      <c r="N25" s="8">
        <f t="shared" si="0"/>
        <v>200</v>
      </c>
      <c r="O25" s="8" t="str">
        <f t="shared" si="1"/>
        <v>pack,304,1</v>
      </c>
      <c r="P25" s="9">
        <v>0</v>
      </c>
      <c r="Q25" s="10">
        <f t="shared" si="2"/>
        <v>0</v>
      </c>
      <c r="R25" s="9">
        <v>0</v>
      </c>
      <c r="S25" s="10">
        <f t="shared" si="3"/>
        <v>0</v>
      </c>
      <c r="T25" s="9">
        <v>0</v>
      </c>
      <c r="U25" s="10">
        <f t="shared" si="4"/>
        <v>0</v>
      </c>
      <c r="V25" s="9">
        <v>10</v>
      </c>
      <c r="W25" s="10">
        <f t="shared" si="5"/>
        <v>2.2831050228310501E-2</v>
      </c>
    </row>
    <row r="26" spans="1:23">
      <c r="A26" s="14">
        <v>200103</v>
      </c>
      <c r="B26" s="7">
        <f>$C$11*B20</f>
        <v>200</v>
      </c>
      <c r="C26" s="20">
        <v>40</v>
      </c>
      <c r="D26" s="12">
        <v>300</v>
      </c>
      <c r="E26" s="12">
        <v>300</v>
      </c>
      <c r="F26" s="7" t="s">
        <v>17</v>
      </c>
      <c r="G26" s="7" t="str">
        <f t="shared" si="6"/>
        <v>guild_contribution,200</v>
      </c>
      <c r="H26" s="5" t="str">
        <f t="shared" si="7"/>
        <v>guild_contribution,200;pack,118</v>
      </c>
      <c r="L26" s="5" t="s">
        <v>57</v>
      </c>
      <c r="M26" s="5">
        <v>10</v>
      </c>
      <c r="N26" s="8">
        <f t="shared" si="0"/>
        <v>10</v>
      </c>
      <c r="O26" s="8" t="str">
        <f t="shared" si="1"/>
        <v>cash,10</v>
      </c>
      <c r="P26" s="9">
        <v>100</v>
      </c>
      <c r="Q26" s="10">
        <f t="shared" si="2"/>
        <v>0.13568521031207598</v>
      </c>
      <c r="R26" s="9">
        <v>50</v>
      </c>
      <c r="S26" s="10">
        <f t="shared" si="3"/>
        <v>7.9744816586921854E-2</v>
      </c>
      <c r="T26" s="9">
        <v>50</v>
      </c>
      <c r="U26" s="10">
        <f t="shared" si="4"/>
        <v>8.2236842105263164E-2</v>
      </c>
      <c r="V26" s="9">
        <v>0</v>
      </c>
      <c r="W26" s="10">
        <f t="shared" si="5"/>
        <v>0</v>
      </c>
    </row>
    <row r="27" spans="1:23">
      <c r="A27" s="14">
        <v>200104</v>
      </c>
      <c r="B27" s="7">
        <f>$C$11*B21</f>
        <v>250</v>
      </c>
      <c r="C27" s="20">
        <v>40</v>
      </c>
      <c r="D27" s="12">
        <v>350</v>
      </c>
      <c r="E27" s="12">
        <v>380</v>
      </c>
      <c r="F27" s="7" t="s">
        <v>18</v>
      </c>
      <c r="G27" s="7" t="str">
        <f t="shared" si="6"/>
        <v>guild_contribution,250</v>
      </c>
      <c r="H27" s="5" t="str">
        <f t="shared" si="7"/>
        <v>guild_contribution,250;pack,118</v>
      </c>
      <c r="L27" s="5" t="s">
        <v>57</v>
      </c>
      <c r="M27" s="5">
        <v>20</v>
      </c>
      <c r="N27" s="8">
        <f t="shared" si="0"/>
        <v>20</v>
      </c>
      <c r="O27" s="8" t="str">
        <f t="shared" si="1"/>
        <v>cash,20</v>
      </c>
      <c r="P27" s="9">
        <v>45</v>
      </c>
      <c r="Q27" s="10">
        <f t="shared" si="2"/>
        <v>6.1058344640434192E-2</v>
      </c>
      <c r="R27" s="9">
        <v>100</v>
      </c>
      <c r="S27" s="10">
        <f t="shared" si="3"/>
        <v>0.15948963317384371</v>
      </c>
      <c r="T27" s="9">
        <v>45</v>
      </c>
      <c r="U27" s="10">
        <f t="shared" si="4"/>
        <v>7.4013157894736836E-2</v>
      </c>
      <c r="V27" s="9">
        <v>0</v>
      </c>
      <c r="W27" s="10">
        <f t="shared" si="5"/>
        <v>0</v>
      </c>
    </row>
    <row r="28" spans="1:23">
      <c r="A28" s="14">
        <v>200201</v>
      </c>
      <c r="B28" s="7">
        <f>INT($C$12*B18)</f>
        <v>225</v>
      </c>
      <c r="C28" s="20">
        <v>40</v>
      </c>
      <c r="D28" s="12">
        <v>300</v>
      </c>
      <c r="E28" s="12">
        <v>300</v>
      </c>
      <c r="F28" s="7" t="s">
        <v>19</v>
      </c>
      <c r="G28" s="7" t="str">
        <f t="shared" si="6"/>
        <v>guild_contribution,225</v>
      </c>
      <c r="H28" s="5" t="str">
        <f>"guild_contribution,"&amp;CEILING(B28,5)&amp;";pack,119"</f>
        <v>guild_contribution,225;pack,119</v>
      </c>
      <c r="L28" s="5" t="s">
        <v>57</v>
      </c>
      <c r="M28" s="5">
        <v>50</v>
      </c>
      <c r="N28" s="8">
        <f t="shared" si="0"/>
        <v>50</v>
      </c>
      <c r="O28" s="8" t="str">
        <f t="shared" si="1"/>
        <v>cash,50</v>
      </c>
      <c r="P28" s="9">
        <v>0</v>
      </c>
      <c r="Q28" s="10">
        <f t="shared" si="2"/>
        <v>0</v>
      </c>
      <c r="R28" s="9">
        <v>0</v>
      </c>
      <c r="S28" s="10">
        <f t="shared" si="3"/>
        <v>0</v>
      </c>
      <c r="T28" s="9">
        <v>46</v>
      </c>
      <c r="U28" s="10">
        <f t="shared" si="4"/>
        <v>7.5657894736842105E-2</v>
      </c>
      <c r="V28" s="9">
        <v>0</v>
      </c>
      <c r="W28" s="10">
        <f t="shared" si="5"/>
        <v>0</v>
      </c>
    </row>
    <row r="29" spans="1:23">
      <c r="A29" s="14">
        <v>200202</v>
      </c>
      <c r="B29" s="7">
        <f>INT($C$12*B19)</f>
        <v>262</v>
      </c>
      <c r="C29" s="20">
        <v>40</v>
      </c>
      <c r="D29" s="12">
        <v>375</v>
      </c>
      <c r="E29" s="12">
        <v>375</v>
      </c>
      <c r="F29" s="7" t="s">
        <v>20</v>
      </c>
      <c r="G29" s="7" t="str">
        <f t="shared" si="6"/>
        <v>guild_contribution,265</v>
      </c>
      <c r="H29" s="20" t="str">
        <f t="shared" ref="H29:H39" si="8">"guild_contribution,"&amp;CEILING(B29,5)&amp;";pack,119"</f>
        <v>guild_contribution,265;pack,119</v>
      </c>
      <c r="L29" s="5" t="s">
        <v>57</v>
      </c>
      <c r="M29" s="5">
        <v>100</v>
      </c>
      <c r="N29" s="8">
        <f t="shared" si="0"/>
        <v>100</v>
      </c>
      <c r="O29" s="8" t="str">
        <f t="shared" si="1"/>
        <v>cash,100</v>
      </c>
      <c r="P29" s="9">
        <v>0</v>
      </c>
      <c r="Q29" s="10">
        <f t="shared" si="2"/>
        <v>0</v>
      </c>
      <c r="R29" s="9">
        <v>0</v>
      </c>
      <c r="S29" s="10">
        <f t="shared" si="3"/>
        <v>0</v>
      </c>
      <c r="T29" s="9">
        <v>0</v>
      </c>
      <c r="U29" s="10">
        <f t="shared" si="4"/>
        <v>0</v>
      </c>
      <c r="V29" s="9">
        <v>50</v>
      </c>
      <c r="W29" s="10">
        <f t="shared" si="5"/>
        <v>0.11415525114155251</v>
      </c>
    </row>
    <row r="30" spans="1:23">
      <c r="A30" s="14">
        <v>200203</v>
      </c>
      <c r="B30" s="7">
        <f>INT($C$12*B20)</f>
        <v>300</v>
      </c>
      <c r="C30" s="20">
        <v>40</v>
      </c>
      <c r="D30" s="12">
        <v>450</v>
      </c>
      <c r="E30" s="12">
        <v>450</v>
      </c>
      <c r="F30" s="7" t="s">
        <v>21</v>
      </c>
      <c r="G30" s="7" t="str">
        <f t="shared" si="6"/>
        <v>guild_contribution,300</v>
      </c>
      <c r="H30" s="20" t="str">
        <f t="shared" si="8"/>
        <v>guild_contribution,300;pack,119</v>
      </c>
      <c r="L30" s="5" t="s">
        <v>57</v>
      </c>
      <c r="M30" s="5">
        <v>150</v>
      </c>
      <c r="N30" s="8">
        <f t="shared" si="0"/>
        <v>150</v>
      </c>
      <c r="O30" s="8" t="str">
        <f t="shared" si="1"/>
        <v>cash,150</v>
      </c>
      <c r="P30" s="9">
        <v>0</v>
      </c>
      <c r="Q30" s="10">
        <f t="shared" si="2"/>
        <v>0</v>
      </c>
      <c r="R30" s="9">
        <v>0</v>
      </c>
      <c r="S30" s="10">
        <f t="shared" si="3"/>
        <v>0</v>
      </c>
      <c r="T30" s="9">
        <v>0</v>
      </c>
      <c r="U30" s="10">
        <f t="shared" si="4"/>
        <v>0</v>
      </c>
      <c r="V30" s="9">
        <v>75</v>
      </c>
      <c r="W30" s="10">
        <f t="shared" si="5"/>
        <v>0.17123287671232876</v>
      </c>
    </row>
    <row r="31" spans="1:23">
      <c r="A31" s="14">
        <v>200204</v>
      </c>
      <c r="B31" s="7">
        <f>INT($C$12*B21)</f>
        <v>375</v>
      </c>
      <c r="C31" s="20">
        <v>40</v>
      </c>
      <c r="D31" s="12">
        <v>525</v>
      </c>
      <c r="E31" s="12">
        <v>570</v>
      </c>
      <c r="F31" s="7" t="s">
        <v>22</v>
      </c>
      <c r="G31" s="7" t="str">
        <f t="shared" si="6"/>
        <v>guild_contribution,375</v>
      </c>
      <c r="H31" s="20" t="str">
        <f t="shared" si="8"/>
        <v>guild_contribution,375;pack,119</v>
      </c>
      <c r="L31" s="5" t="s">
        <v>57</v>
      </c>
      <c r="M31" s="5">
        <v>200</v>
      </c>
      <c r="N31" s="8">
        <f t="shared" si="0"/>
        <v>200</v>
      </c>
      <c r="O31" s="8" t="str">
        <f t="shared" si="1"/>
        <v>cash,200</v>
      </c>
      <c r="P31" s="9">
        <v>0</v>
      </c>
      <c r="Q31" s="10">
        <f t="shared" si="2"/>
        <v>0</v>
      </c>
      <c r="R31" s="9">
        <v>0</v>
      </c>
      <c r="S31" s="10">
        <f t="shared" si="3"/>
        <v>0</v>
      </c>
      <c r="T31" s="9">
        <v>0</v>
      </c>
      <c r="U31" s="10">
        <f t="shared" si="4"/>
        <v>0</v>
      </c>
      <c r="V31" s="9">
        <v>100</v>
      </c>
      <c r="W31" s="10">
        <f t="shared" si="5"/>
        <v>0.22831050228310501</v>
      </c>
    </row>
    <row r="32" spans="1:23">
      <c r="A32" s="14">
        <v>200301</v>
      </c>
      <c r="B32" s="7">
        <f>B28</f>
        <v>225</v>
      </c>
      <c r="C32" s="20">
        <v>40</v>
      </c>
      <c r="D32" s="12">
        <v>300</v>
      </c>
      <c r="E32" s="12">
        <v>300</v>
      </c>
      <c r="F32" s="7" t="s">
        <v>23</v>
      </c>
      <c r="G32" s="7" t="str">
        <f t="shared" si="6"/>
        <v>guild_contribution,225</v>
      </c>
      <c r="H32" s="20" t="str">
        <f t="shared" si="8"/>
        <v>guild_contribution,225;pack,119</v>
      </c>
      <c r="O32" s="5" t="s">
        <v>65</v>
      </c>
      <c r="P32" s="12">
        <f>SUM(P3:P31)</f>
        <v>737</v>
      </c>
      <c r="Q32" s="12">
        <f>SUMPRODUCT($N$3:$N$31,Q3:Q31)</f>
        <v>24.830393487109902</v>
      </c>
      <c r="R32" s="12">
        <f>SUM(R3:R31)</f>
        <v>627</v>
      </c>
      <c r="S32" s="12">
        <f>SUMPRODUCT($N$3:$N$31,S3:S31)</f>
        <v>30.749601275917072</v>
      </c>
      <c r="T32" s="12">
        <f>SUM(T3:T31)</f>
        <v>608</v>
      </c>
      <c r="U32" s="12">
        <f>SUMPRODUCT($N$3:$N$31,U3:U31)</f>
        <v>36.10197368421052</v>
      </c>
      <c r="V32" s="12">
        <f>SUM(V3:V31)</f>
        <v>438</v>
      </c>
      <c r="W32" s="12">
        <f>SUMPRODUCT($N$3:$N$31,W3:W31)</f>
        <v>256.33561643835617</v>
      </c>
    </row>
    <row r="33" spans="1:23">
      <c r="A33" s="14">
        <v>200302</v>
      </c>
      <c r="B33" s="7">
        <f t="shared" ref="B33:B39" si="9">B29</f>
        <v>262</v>
      </c>
      <c r="C33" s="20">
        <v>40</v>
      </c>
      <c r="D33" s="12">
        <v>375</v>
      </c>
      <c r="E33" s="12">
        <v>375</v>
      </c>
      <c r="F33" s="7" t="s">
        <v>24</v>
      </c>
      <c r="G33" s="7" t="str">
        <f t="shared" si="6"/>
        <v>guild_contribution,265</v>
      </c>
      <c r="H33" s="20" t="str">
        <f t="shared" si="8"/>
        <v>guild_contribution,265;pack,119</v>
      </c>
    </row>
    <row r="34" spans="1:23">
      <c r="A34" s="14">
        <v>200303</v>
      </c>
      <c r="B34" s="7">
        <f t="shared" si="9"/>
        <v>300</v>
      </c>
      <c r="C34" s="20">
        <v>40</v>
      </c>
      <c r="D34" s="12">
        <v>450</v>
      </c>
      <c r="E34" s="12">
        <v>450</v>
      </c>
      <c r="F34" s="7" t="s">
        <v>25</v>
      </c>
      <c r="G34" s="7" t="str">
        <f t="shared" si="6"/>
        <v>guild_contribution,300</v>
      </c>
      <c r="H34" s="20" t="str">
        <f t="shared" si="8"/>
        <v>guild_contribution,300;pack,119</v>
      </c>
      <c r="M34" s="5" t="s">
        <v>14</v>
      </c>
      <c r="N34" s="5">
        <v>118</v>
      </c>
      <c r="O34" s="1" t="s">
        <v>74</v>
      </c>
      <c r="P34" s="1"/>
      <c r="Q34" s="1"/>
      <c r="S34" s="1"/>
      <c r="T34" s="1"/>
      <c r="V34" s="1"/>
      <c r="W34" s="1"/>
    </row>
    <row r="35" spans="1:23">
      <c r="A35" s="14">
        <v>200304</v>
      </c>
      <c r="B35" s="7">
        <f t="shared" si="9"/>
        <v>375</v>
      </c>
      <c r="C35" s="20">
        <v>40</v>
      </c>
      <c r="D35" s="12">
        <v>525</v>
      </c>
      <c r="E35" s="12">
        <v>570</v>
      </c>
      <c r="F35" s="7" t="s">
        <v>26</v>
      </c>
      <c r="G35" s="7" t="str">
        <f t="shared" si="6"/>
        <v>guild_contribution,375</v>
      </c>
      <c r="H35" s="20" t="str">
        <f t="shared" si="8"/>
        <v>guild_contribution,375;pack,119</v>
      </c>
      <c r="M35" s="5" t="s">
        <v>55</v>
      </c>
      <c r="N35" s="5">
        <v>119</v>
      </c>
      <c r="O35" s="1" t="s">
        <v>71</v>
      </c>
    </row>
    <row r="36" spans="1:23">
      <c r="A36" s="14">
        <v>200401</v>
      </c>
      <c r="B36" s="7">
        <f t="shared" si="9"/>
        <v>225</v>
      </c>
      <c r="C36" s="20">
        <v>40</v>
      </c>
      <c r="D36" s="12">
        <v>300</v>
      </c>
      <c r="E36" s="12">
        <v>300</v>
      </c>
      <c r="F36" s="7" t="s">
        <v>27</v>
      </c>
      <c r="G36" s="7" t="str">
        <f t="shared" si="6"/>
        <v>guild_contribution,225</v>
      </c>
      <c r="H36" s="20" t="str">
        <f t="shared" si="8"/>
        <v>guild_contribution,225;pack,119</v>
      </c>
      <c r="M36" s="5" t="s">
        <v>56</v>
      </c>
      <c r="N36" s="5">
        <v>120</v>
      </c>
      <c r="O36" s="1" t="s">
        <v>72</v>
      </c>
    </row>
    <row r="37" spans="1:23">
      <c r="A37" s="14">
        <v>200402</v>
      </c>
      <c r="B37" s="7">
        <f t="shared" si="9"/>
        <v>262</v>
      </c>
      <c r="C37" s="20">
        <v>40</v>
      </c>
      <c r="D37" s="12">
        <v>375</v>
      </c>
      <c r="E37" s="12">
        <v>375</v>
      </c>
      <c r="F37" s="7" t="s">
        <v>28</v>
      </c>
      <c r="G37" s="7" t="str">
        <f t="shared" si="6"/>
        <v>guild_contribution,265</v>
      </c>
      <c r="H37" s="20" t="str">
        <f t="shared" si="8"/>
        <v>guild_contribution,265;pack,119</v>
      </c>
      <c r="M37" s="5" t="s">
        <v>66</v>
      </c>
      <c r="N37" s="5">
        <v>121</v>
      </c>
      <c r="O37" s="1" t="s">
        <v>82</v>
      </c>
    </row>
    <row r="38" spans="1:23">
      <c r="A38" s="14">
        <v>200403</v>
      </c>
      <c r="B38" s="7">
        <f t="shared" si="9"/>
        <v>300</v>
      </c>
      <c r="C38" s="20">
        <v>40</v>
      </c>
      <c r="D38" s="12">
        <v>450</v>
      </c>
      <c r="E38" s="12">
        <v>450</v>
      </c>
      <c r="F38" s="7" t="s">
        <v>29</v>
      </c>
      <c r="G38" s="7" t="str">
        <f t="shared" si="6"/>
        <v>guild_contribution,300</v>
      </c>
      <c r="H38" s="20" t="str">
        <f t="shared" si="8"/>
        <v>guild_contribution,300;pack,119</v>
      </c>
      <c r="O38" s="5" t="s">
        <v>73</v>
      </c>
    </row>
    <row r="39" spans="1:23">
      <c r="A39" s="14">
        <v>200404</v>
      </c>
      <c r="B39" s="7">
        <f t="shared" si="9"/>
        <v>375</v>
      </c>
      <c r="C39" s="20">
        <v>40</v>
      </c>
      <c r="D39" s="12">
        <v>525</v>
      </c>
      <c r="E39" s="12">
        <v>570</v>
      </c>
      <c r="F39" s="7" t="s">
        <v>30</v>
      </c>
      <c r="G39" s="7" t="str">
        <f t="shared" si="6"/>
        <v>guild_contribution,375</v>
      </c>
      <c r="H39" s="20" t="str">
        <f t="shared" si="8"/>
        <v>guild_contribution,375;pack,119</v>
      </c>
    </row>
    <row r="40" spans="1:23">
      <c r="A40" s="14">
        <v>200501</v>
      </c>
      <c r="B40" s="7">
        <f>ROUND($C$13*B18,-1)</f>
        <v>280</v>
      </c>
      <c r="C40" s="20">
        <v>40</v>
      </c>
      <c r="D40" s="12">
        <f>D24*2</f>
        <v>400</v>
      </c>
      <c r="E40" s="12">
        <f>E24*2</f>
        <v>400</v>
      </c>
      <c r="F40" s="7" t="s">
        <v>31</v>
      </c>
      <c r="G40" s="7" t="str">
        <f t="shared" si="6"/>
        <v>guild_contribution,280</v>
      </c>
      <c r="H40" s="5" t="str">
        <f>"guild_contribution,"&amp;CEILING(B40,5)&amp;";pack,120"</f>
        <v>guild_contribution,280;pack,120</v>
      </c>
    </row>
    <row r="41" spans="1:23">
      <c r="A41" s="14">
        <v>200502</v>
      </c>
      <c r="B41" s="7">
        <f>ROUND($C$13*B19,-1)</f>
        <v>330</v>
      </c>
      <c r="C41" s="20">
        <v>40</v>
      </c>
      <c r="D41" s="12">
        <f t="shared" ref="D41:D43" si="10">D25*2</f>
        <v>500</v>
      </c>
      <c r="E41" s="12">
        <f t="shared" ref="E41:E43" si="11">E25*2</f>
        <v>500</v>
      </c>
      <c r="F41" s="7" t="s">
        <v>32</v>
      </c>
      <c r="G41" s="7" t="str">
        <f t="shared" si="6"/>
        <v>guild_contribution,330</v>
      </c>
      <c r="H41" s="20" t="str">
        <f t="shared" ref="H41:H43" si="12">"guild_contribution,"&amp;CEILING(B41,5)&amp;";pack,120"</f>
        <v>guild_contribution,330;pack,120</v>
      </c>
    </row>
    <row r="42" spans="1:23">
      <c r="A42" s="14">
        <v>200503</v>
      </c>
      <c r="B42" s="7">
        <f>ROUND($C$13*B20,-1)</f>
        <v>380</v>
      </c>
      <c r="C42" s="20">
        <v>40</v>
      </c>
      <c r="D42" s="12">
        <f t="shared" si="10"/>
        <v>600</v>
      </c>
      <c r="E42" s="12">
        <f t="shared" si="11"/>
        <v>600</v>
      </c>
      <c r="F42" s="7" t="s">
        <v>33</v>
      </c>
      <c r="G42" s="7" t="str">
        <f t="shared" si="6"/>
        <v>guild_contribution,380</v>
      </c>
      <c r="H42" s="20" t="str">
        <f t="shared" si="12"/>
        <v>guild_contribution,380;pack,120</v>
      </c>
    </row>
    <row r="43" spans="1:23">
      <c r="A43" s="14">
        <v>200504</v>
      </c>
      <c r="B43" s="7">
        <f>ROUND($C$13*B21,-1)</f>
        <v>470</v>
      </c>
      <c r="C43" s="20">
        <v>40</v>
      </c>
      <c r="D43" s="12">
        <f t="shared" si="10"/>
        <v>700</v>
      </c>
      <c r="E43" s="12">
        <f t="shared" si="11"/>
        <v>760</v>
      </c>
      <c r="F43" s="7" t="s">
        <v>34</v>
      </c>
      <c r="G43" s="7" t="str">
        <f t="shared" si="6"/>
        <v>guild_contribution,470</v>
      </c>
      <c r="H43" s="20" t="str">
        <f t="shared" si="12"/>
        <v>guild_contribution,470;pack,120</v>
      </c>
    </row>
    <row r="49" spans="2:8">
      <c r="B49" s="5">
        <v>20</v>
      </c>
      <c r="C49" s="5">
        <v>30</v>
      </c>
      <c r="D49" s="20">
        <v>40</v>
      </c>
      <c r="E49" s="5">
        <f>SUM($B$49:D49)</f>
        <v>90</v>
      </c>
      <c r="G49" s="20"/>
      <c r="H49" s="20"/>
    </row>
    <row r="50" spans="2:8">
      <c r="B50" s="20">
        <v>30</v>
      </c>
      <c r="C50" s="5">
        <v>45</v>
      </c>
      <c r="D50" s="20">
        <v>60</v>
      </c>
      <c r="E50" s="20">
        <f>SUM($B$49:D50)</f>
        <v>225</v>
      </c>
      <c r="F50" s="20"/>
      <c r="G50" s="20"/>
      <c r="H50" s="20"/>
    </row>
    <row r="51" spans="2:8">
      <c r="B51" s="20">
        <v>40</v>
      </c>
      <c r="C51" s="5">
        <v>60</v>
      </c>
      <c r="D51" s="20">
        <v>80</v>
      </c>
      <c r="E51" s="20">
        <f>SUM($B$49:D51)</f>
        <v>405</v>
      </c>
      <c r="F51" s="20"/>
      <c r="G51" s="20"/>
      <c r="H51" s="20"/>
    </row>
    <row r="52" spans="2:8">
      <c r="B52" s="20">
        <v>50</v>
      </c>
      <c r="C52" s="5">
        <v>75</v>
      </c>
      <c r="D52" s="20">
        <v>100</v>
      </c>
      <c r="E52" s="20">
        <f>SUM($B$49:D52)</f>
        <v>630</v>
      </c>
      <c r="F52" s="20"/>
      <c r="G52" s="20"/>
      <c r="H52" s="20"/>
    </row>
    <row r="53" spans="2:8">
      <c r="B53" s="20">
        <v>20</v>
      </c>
      <c r="C53" s="5">
        <v>30</v>
      </c>
      <c r="D53" s="20">
        <v>40</v>
      </c>
      <c r="E53" s="20">
        <f>SUM($B$49:D53)</f>
        <v>720</v>
      </c>
      <c r="F53" s="20"/>
      <c r="G53" s="20"/>
      <c r="H53" s="20"/>
    </row>
    <row r="54" spans="2:8">
      <c r="B54" s="20">
        <v>30</v>
      </c>
      <c r="C54" s="5">
        <v>45</v>
      </c>
      <c r="D54" s="20">
        <v>60</v>
      </c>
      <c r="E54" s="20">
        <f>SUM($B$49:D54)</f>
        <v>855</v>
      </c>
      <c r="F54" s="20"/>
      <c r="G54" s="20"/>
      <c r="H54" s="20"/>
    </row>
    <row r="55" spans="2:8">
      <c r="B55" s="20">
        <v>40</v>
      </c>
      <c r="C55" s="5">
        <v>60</v>
      </c>
      <c r="D55" s="20">
        <v>80</v>
      </c>
      <c r="E55" s="20">
        <f>SUM($B$49:D55)</f>
        <v>1035</v>
      </c>
      <c r="F55" s="20"/>
      <c r="G55" s="20"/>
      <c r="H55" s="20"/>
    </row>
    <row r="56" spans="2:8">
      <c r="B56" s="20">
        <v>50</v>
      </c>
      <c r="C56" s="5">
        <v>75</v>
      </c>
      <c r="D56" s="20">
        <v>100</v>
      </c>
      <c r="E56" s="20">
        <f>SUM($B$49:D56)</f>
        <v>1260</v>
      </c>
      <c r="F56" s="20"/>
      <c r="G56" s="20"/>
      <c r="H56" s="20"/>
    </row>
    <row r="57" spans="2:8">
      <c r="B57" s="20">
        <v>20</v>
      </c>
      <c r="C57" s="5">
        <v>30</v>
      </c>
      <c r="D57" s="20">
        <v>40</v>
      </c>
      <c r="E57" s="20">
        <f>SUM($B$49:D57)</f>
        <v>1350</v>
      </c>
      <c r="F57" s="20"/>
      <c r="G57" s="20"/>
      <c r="H57" s="20"/>
    </row>
    <row r="58" spans="2:8">
      <c r="B58" s="20">
        <v>30</v>
      </c>
      <c r="C58" s="5">
        <v>45</v>
      </c>
      <c r="D58" s="20">
        <v>60</v>
      </c>
      <c r="E58" s="20">
        <f>SUM($B$49:D58)</f>
        <v>1485</v>
      </c>
      <c r="F58" s="20"/>
      <c r="G58" s="20"/>
      <c r="H58" s="20"/>
    </row>
    <row r="59" spans="2:8">
      <c r="B59" s="20">
        <v>40</v>
      </c>
      <c r="C59" s="5">
        <v>60</v>
      </c>
      <c r="D59" s="20">
        <v>80</v>
      </c>
      <c r="E59" s="20">
        <f>SUM($B$49:D59)</f>
        <v>1665</v>
      </c>
      <c r="F59" s="20"/>
      <c r="G59" s="20"/>
      <c r="H59" s="20"/>
    </row>
    <row r="60" spans="2:8">
      <c r="B60" s="20">
        <v>50</v>
      </c>
      <c r="C60" s="5">
        <v>75</v>
      </c>
      <c r="D60" s="20">
        <v>100</v>
      </c>
      <c r="E60" s="20">
        <f>SUM($B$49:D60)</f>
        <v>1890</v>
      </c>
      <c r="F60" s="20"/>
      <c r="G60" s="20"/>
      <c r="H60" s="20"/>
    </row>
    <row r="61" spans="2:8">
      <c r="B61" s="20">
        <v>30</v>
      </c>
      <c r="C61" s="5">
        <v>45</v>
      </c>
      <c r="D61" s="20">
        <v>60</v>
      </c>
      <c r="E61" s="20">
        <f>SUM($B$49:D61)</f>
        <v>2025</v>
      </c>
      <c r="F61" s="20"/>
      <c r="G61" s="20"/>
      <c r="H61" s="20"/>
    </row>
    <row r="62" spans="2:8">
      <c r="B62" s="20">
        <v>45</v>
      </c>
      <c r="C62" s="5">
        <v>70</v>
      </c>
      <c r="D62" s="20">
        <v>90</v>
      </c>
      <c r="E62" s="20">
        <f>SUM($B$49:D62)</f>
        <v>2230</v>
      </c>
      <c r="F62" s="20"/>
      <c r="G62" s="20"/>
      <c r="H62" s="20"/>
    </row>
    <row r="63" spans="2:8">
      <c r="B63" s="20">
        <v>60</v>
      </c>
      <c r="C63" s="5">
        <v>90</v>
      </c>
      <c r="D63" s="20">
        <v>120</v>
      </c>
      <c r="E63" s="20">
        <f>SUM($B$49:D63)</f>
        <v>2500</v>
      </c>
      <c r="F63" s="20"/>
      <c r="G63" s="20"/>
      <c r="H63" s="20"/>
    </row>
    <row r="64" spans="2:8">
      <c r="B64" s="20">
        <v>75</v>
      </c>
      <c r="C64" s="5">
        <v>115</v>
      </c>
      <c r="D64" s="20">
        <v>150</v>
      </c>
      <c r="E64" s="20">
        <f>SUM($B$49:D64)</f>
        <v>2840</v>
      </c>
      <c r="F64" s="20"/>
      <c r="G64" s="20"/>
      <c r="H64" s="20"/>
    </row>
    <row r="65" spans="2:8">
      <c r="B65" s="20">
        <v>30</v>
      </c>
      <c r="C65" s="5">
        <v>45</v>
      </c>
      <c r="D65" s="20">
        <v>60</v>
      </c>
      <c r="E65" s="20">
        <f>SUM($B$49:D65)</f>
        <v>2975</v>
      </c>
      <c r="F65" s="20"/>
      <c r="G65" s="20"/>
      <c r="H65" s="20"/>
    </row>
    <row r="66" spans="2:8">
      <c r="B66" s="20">
        <v>45</v>
      </c>
      <c r="C66" s="5">
        <v>70</v>
      </c>
      <c r="D66" s="20">
        <v>90</v>
      </c>
      <c r="E66" s="20">
        <f>SUM($B$49:D66)</f>
        <v>3180</v>
      </c>
      <c r="F66" s="20"/>
      <c r="G66" s="20"/>
      <c r="H66" s="20"/>
    </row>
    <row r="67" spans="2:8">
      <c r="B67" s="20">
        <v>60</v>
      </c>
      <c r="C67" s="5">
        <v>90</v>
      </c>
      <c r="D67" s="20">
        <v>120</v>
      </c>
      <c r="E67" s="20">
        <f>SUM($B$49:D67)</f>
        <v>3450</v>
      </c>
      <c r="F67" s="20"/>
      <c r="G67" s="20"/>
      <c r="H67" s="20"/>
    </row>
    <row r="68" spans="2:8">
      <c r="B68" s="20">
        <v>75</v>
      </c>
      <c r="C68" s="5">
        <v>115</v>
      </c>
      <c r="D68" s="20">
        <v>150</v>
      </c>
      <c r="E68" s="20">
        <f>SUM($B$49:D68)</f>
        <v>3790</v>
      </c>
      <c r="F68" s="20"/>
      <c r="G68" s="20"/>
      <c r="H68" s="20"/>
    </row>
    <row r="69" spans="2:8">
      <c r="B69" s="20">
        <v>30</v>
      </c>
      <c r="C69" s="5">
        <v>45</v>
      </c>
      <c r="D69" s="20">
        <v>60</v>
      </c>
      <c r="E69" s="20">
        <f>SUM($B$49:D69)</f>
        <v>3925</v>
      </c>
      <c r="F69" s="20"/>
      <c r="G69" s="20"/>
      <c r="H69" s="20"/>
    </row>
    <row r="70" spans="2:8">
      <c r="B70" s="20">
        <v>45</v>
      </c>
      <c r="C70" s="5">
        <v>70</v>
      </c>
      <c r="D70" s="20">
        <v>90</v>
      </c>
      <c r="E70" s="20">
        <f>SUM($B$49:D70)</f>
        <v>4130</v>
      </c>
      <c r="F70" s="20"/>
      <c r="G70" s="20"/>
      <c r="H70" s="20"/>
    </row>
    <row r="71" spans="2:8">
      <c r="B71" s="20">
        <v>60</v>
      </c>
      <c r="C71" s="5">
        <v>90</v>
      </c>
      <c r="D71" s="20">
        <v>120</v>
      </c>
      <c r="E71" s="20">
        <f>SUM($B$49:D71)</f>
        <v>4400</v>
      </c>
      <c r="F71" s="20"/>
      <c r="G71" s="20"/>
      <c r="H71" s="20"/>
    </row>
    <row r="72" spans="2:8">
      <c r="B72" s="20">
        <v>75</v>
      </c>
      <c r="C72" s="5">
        <v>115</v>
      </c>
      <c r="D72" s="20">
        <v>150</v>
      </c>
      <c r="E72" s="20">
        <f>SUM($B$49:D72)</f>
        <v>4740</v>
      </c>
      <c r="F72" s="20"/>
      <c r="G72" s="20"/>
      <c r="H72" s="20"/>
    </row>
    <row r="73" spans="2:8">
      <c r="B73" s="20">
        <v>40</v>
      </c>
      <c r="C73" s="5">
        <v>60</v>
      </c>
      <c r="D73" s="20">
        <v>80</v>
      </c>
      <c r="E73" s="20">
        <f>SUM($B$49:D73)</f>
        <v>4920</v>
      </c>
      <c r="F73" s="20"/>
      <c r="G73" s="20"/>
      <c r="H73" s="20"/>
    </row>
    <row r="74" spans="2:8">
      <c r="B74" s="20">
        <v>60</v>
      </c>
      <c r="C74" s="5">
        <v>90</v>
      </c>
      <c r="D74" s="20">
        <v>120</v>
      </c>
      <c r="E74" s="20">
        <f>SUM($B$49:D74)</f>
        <v>5190</v>
      </c>
      <c r="F74" s="20"/>
      <c r="G74" s="20"/>
      <c r="H74" s="20"/>
    </row>
    <row r="75" spans="2:8">
      <c r="B75" s="20">
        <v>80</v>
      </c>
      <c r="C75" s="5">
        <v>120</v>
      </c>
      <c r="D75" s="20">
        <v>160</v>
      </c>
      <c r="E75" s="20">
        <f>SUM($B$49:D75)</f>
        <v>5550</v>
      </c>
      <c r="F75" s="20"/>
      <c r="G75" s="20"/>
      <c r="H75" s="20"/>
    </row>
    <row r="76" spans="2:8">
      <c r="B76" s="20">
        <v>100</v>
      </c>
      <c r="C76" s="5">
        <v>150</v>
      </c>
      <c r="D76" s="20">
        <v>200</v>
      </c>
      <c r="E76" s="20">
        <f>SUM($B$49:D76)</f>
        <v>6000</v>
      </c>
      <c r="F76" s="20"/>
      <c r="G76" s="20"/>
      <c r="H76" s="20"/>
    </row>
    <row r="77" spans="2:8">
      <c r="B77" s="20">
        <v>40</v>
      </c>
      <c r="C77" s="5">
        <v>60</v>
      </c>
      <c r="D77" s="20">
        <v>80</v>
      </c>
      <c r="E77" s="20">
        <f>SUM($B$49:D77)</f>
        <v>6180</v>
      </c>
      <c r="F77" s="20"/>
      <c r="G77" s="20"/>
      <c r="H77" s="20"/>
    </row>
    <row r="78" spans="2:8">
      <c r="B78" s="20">
        <v>60</v>
      </c>
      <c r="C78" s="5">
        <v>90</v>
      </c>
      <c r="D78" s="20">
        <v>120</v>
      </c>
      <c r="E78" s="20">
        <f>SUM($B$49:D78)</f>
        <v>6450</v>
      </c>
      <c r="F78" s="20"/>
      <c r="G78" s="20"/>
      <c r="H78" s="20"/>
    </row>
    <row r="79" spans="2:8">
      <c r="B79" s="20">
        <v>80</v>
      </c>
      <c r="C79" s="5">
        <v>120</v>
      </c>
      <c r="D79" s="20">
        <v>160</v>
      </c>
      <c r="E79" s="20">
        <f>SUM($B$49:D79)</f>
        <v>6810</v>
      </c>
      <c r="F79" s="20"/>
      <c r="G79" s="20"/>
      <c r="H79" s="20"/>
    </row>
    <row r="80" spans="2:8">
      <c r="B80" s="20">
        <v>100</v>
      </c>
      <c r="C80" s="5">
        <v>150</v>
      </c>
      <c r="D80" s="20">
        <v>200</v>
      </c>
      <c r="E80" s="20">
        <f>SUM($B$49:D80)</f>
        <v>7260</v>
      </c>
      <c r="F80" s="20"/>
      <c r="G80" s="20"/>
      <c r="H80" s="20"/>
    </row>
    <row r="81" spans="2:8">
      <c r="B81" s="20">
        <v>40</v>
      </c>
      <c r="C81" s="5">
        <v>60</v>
      </c>
      <c r="D81" s="20">
        <v>80</v>
      </c>
      <c r="E81" s="20">
        <f>SUM($B$49:D81)</f>
        <v>7440</v>
      </c>
      <c r="F81" s="20"/>
      <c r="G81" s="20"/>
      <c r="H81" s="20"/>
    </row>
    <row r="82" spans="2:8">
      <c r="B82" s="20">
        <v>60</v>
      </c>
      <c r="C82" s="5">
        <v>90</v>
      </c>
      <c r="D82" s="20">
        <v>120</v>
      </c>
      <c r="E82" s="20">
        <f>SUM($B$49:D82)</f>
        <v>7710</v>
      </c>
      <c r="F82" s="20"/>
      <c r="G82" s="20"/>
      <c r="H82" s="20"/>
    </row>
    <row r="83" spans="2:8">
      <c r="B83" s="20">
        <v>80</v>
      </c>
      <c r="C83" s="5">
        <v>120</v>
      </c>
      <c r="D83" s="20">
        <v>160</v>
      </c>
      <c r="E83" s="20">
        <f>SUM($B$49:D83)</f>
        <v>8070</v>
      </c>
      <c r="F83" s="20"/>
      <c r="G83" s="20"/>
      <c r="H83" s="20"/>
    </row>
    <row r="84" spans="2:8">
      <c r="B84" s="20">
        <v>100</v>
      </c>
      <c r="C84" s="5">
        <v>150</v>
      </c>
      <c r="D84" s="20">
        <v>200</v>
      </c>
      <c r="E84" s="20">
        <f>SUM($B$49:D84)</f>
        <v>8520</v>
      </c>
      <c r="F84" s="20"/>
      <c r="G84" s="20"/>
      <c r="H84" s="20"/>
    </row>
    <row r="85" spans="2:8">
      <c r="B85" s="20">
        <v>40</v>
      </c>
      <c r="C85" s="5">
        <v>60</v>
      </c>
      <c r="D85" s="20">
        <v>80</v>
      </c>
      <c r="E85" s="20">
        <f>SUM($B$49:D85)</f>
        <v>8700</v>
      </c>
      <c r="F85" s="20"/>
      <c r="G85" s="20"/>
      <c r="H85" s="20"/>
    </row>
    <row r="86" spans="2:8">
      <c r="B86" s="20">
        <v>60</v>
      </c>
      <c r="C86" s="5">
        <v>90</v>
      </c>
      <c r="D86" s="20">
        <v>120</v>
      </c>
      <c r="E86" s="20">
        <f>SUM($B$49:D86)</f>
        <v>8970</v>
      </c>
      <c r="F86" s="20"/>
      <c r="G86" s="20"/>
      <c r="H86" s="20"/>
    </row>
    <row r="87" spans="2:8">
      <c r="B87" s="20">
        <v>80</v>
      </c>
      <c r="C87" s="5">
        <v>120</v>
      </c>
      <c r="D87" s="20">
        <v>160</v>
      </c>
      <c r="E87" s="20">
        <f>SUM($B$49:D87)</f>
        <v>9330</v>
      </c>
      <c r="F87" s="20"/>
      <c r="G87" s="20"/>
      <c r="H87" s="20"/>
    </row>
    <row r="88" spans="2:8">
      <c r="B88" s="20">
        <v>100</v>
      </c>
      <c r="C88" s="5">
        <v>150</v>
      </c>
      <c r="D88" s="20">
        <v>200</v>
      </c>
      <c r="E88" s="20">
        <f>SUM($B$49:D88)</f>
        <v>9780</v>
      </c>
      <c r="F88" s="20"/>
      <c r="G88" s="20"/>
      <c r="H88" s="20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8FE24-84B1-41DF-BF20-3EC923814C19}">
  <dimension ref="A1:O25"/>
  <sheetViews>
    <sheetView workbookViewId="0">
      <selection activeCell="G14" sqref="G14"/>
    </sheetView>
  </sheetViews>
  <sheetFormatPr defaultRowHeight="15.75"/>
  <cols>
    <col min="5" max="5" width="23" bestFit="1" customWidth="1"/>
    <col min="7" max="7" width="11.875" bestFit="1" customWidth="1"/>
  </cols>
  <sheetData>
    <row r="1" spans="1:15">
      <c r="A1" s="12" t="s">
        <v>84</v>
      </c>
      <c r="B1" s="12" t="s">
        <v>85</v>
      </c>
      <c r="C1" s="12" t="s">
        <v>86</v>
      </c>
      <c r="D1" s="12" t="s">
        <v>87</v>
      </c>
      <c r="E1" s="12" t="s">
        <v>88</v>
      </c>
      <c r="F1" s="12" t="s">
        <v>89</v>
      </c>
      <c r="G1" s="12" t="s">
        <v>90</v>
      </c>
      <c r="H1" s="12" t="s">
        <v>91</v>
      </c>
      <c r="I1" s="12" t="s">
        <v>92</v>
      </c>
      <c r="M1" s="12" t="s">
        <v>130</v>
      </c>
      <c r="N1" s="22" t="s">
        <v>131</v>
      </c>
      <c r="O1" s="22"/>
    </row>
    <row r="2" spans="1:15">
      <c r="A2" s="12" t="s">
        <v>93</v>
      </c>
      <c r="B2" s="12">
        <v>3</v>
      </c>
      <c r="C2" s="12">
        <v>1</v>
      </c>
      <c r="D2" s="12" t="s">
        <v>94</v>
      </c>
      <c r="E2" s="12" t="str">
        <f>"guild_contribution,"&amp;O2</f>
        <v>guild_contribution,10000</v>
      </c>
      <c r="F2" s="12" t="s">
        <v>95</v>
      </c>
      <c r="G2" s="12" t="s">
        <v>95</v>
      </c>
      <c r="H2" s="12">
        <v>1</v>
      </c>
      <c r="I2" s="12">
        <v>1</v>
      </c>
      <c r="M2" s="22">
        <v>1600</v>
      </c>
      <c r="N2" s="22">
        <f>M2*6.25</f>
        <v>10000</v>
      </c>
      <c r="O2" s="22">
        <v>10000</v>
      </c>
    </row>
    <row r="3" spans="1:15">
      <c r="A3" s="12" t="s">
        <v>96</v>
      </c>
      <c r="B3" s="12">
        <v>3</v>
      </c>
      <c r="C3" s="12">
        <v>1</v>
      </c>
      <c r="D3" s="12" t="s">
        <v>94</v>
      </c>
      <c r="E3" s="12" t="str">
        <f t="shared" ref="E3:E9" si="0">"guild_contribution,"&amp;O3</f>
        <v>guild_contribution,10000</v>
      </c>
      <c r="F3" s="12" t="s">
        <v>97</v>
      </c>
      <c r="G3" s="12" t="s">
        <v>97</v>
      </c>
      <c r="H3" s="12">
        <v>1</v>
      </c>
      <c r="I3" s="12">
        <v>2</v>
      </c>
      <c r="M3" s="22">
        <v>1600</v>
      </c>
      <c r="N3" s="12">
        <f t="shared" ref="N3:N9" si="1">M3*6.25</f>
        <v>10000</v>
      </c>
      <c r="O3" s="22">
        <v>10000</v>
      </c>
    </row>
    <row r="4" spans="1:15">
      <c r="A4" s="12" t="s">
        <v>98</v>
      </c>
      <c r="B4" s="12">
        <v>3</v>
      </c>
      <c r="C4" s="12">
        <v>1</v>
      </c>
      <c r="D4" s="12" t="s">
        <v>94</v>
      </c>
      <c r="E4" s="12" t="str">
        <f t="shared" si="0"/>
        <v>guild_contribution,1500</v>
      </c>
      <c r="F4" s="12" t="s">
        <v>41</v>
      </c>
      <c r="G4" s="12" t="s">
        <v>41</v>
      </c>
      <c r="H4" s="12">
        <v>5</v>
      </c>
      <c r="I4" s="12">
        <v>3</v>
      </c>
      <c r="M4" s="22">
        <v>250</v>
      </c>
      <c r="N4" s="12">
        <f t="shared" si="1"/>
        <v>1562.5</v>
      </c>
      <c r="O4" s="22">
        <v>1500</v>
      </c>
    </row>
    <row r="5" spans="1:15">
      <c r="A5" s="12" t="s">
        <v>99</v>
      </c>
      <c r="B5" s="12">
        <v>3</v>
      </c>
      <c r="C5" s="12">
        <v>1</v>
      </c>
      <c r="D5" s="12" t="s">
        <v>94</v>
      </c>
      <c r="E5" s="12" t="str">
        <f t="shared" si="0"/>
        <v>guild_contribution,300</v>
      </c>
      <c r="F5" s="12" t="s">
        <v>100</v>
      </c>
      <c r="G5" s="12" t="s">
        <v>101</v>
      </c>
      <c r="H5" s="12">
        <v>10</v>
      </c>
      <c r="I5" s="12">
        <v>4</v>
      </c>
      <c r="M5" s="22">
        <v>50</v>
      </c>
      <c r="N5" s="12">
        <f t="shared" si="1"/>
        <v>312.5</v>
      </c>
      <c r="O5" s="22">
        <v>300</v>
      </c>
    </row>
    <row r="6" spans="1:15">
      <c r="A6" s="12" t="s">
        <v>102</v>
      </c>
      <c r="B6" s="12">
        <v>3</v>
      </c>
      <c r="C6" s="12">
        <v>1</v>
      </c>
      <c r="D6" s="12" t="s">
        <v>94</v>
      </c>
      <c r="E6" s="12" t="str">
        <f t="shared" si="0"/>
        <v>guild_contribution,350</v>
      </c>
      <c r="F6" s="12" t="s">
        <v>103</v>
      </c>
      <c r="G6" s="12" t="s">
        <v>104</v>
      </c>
      <c r="H6" s="12">
        <v>20</v>
      </c>
      <c r="I6" s="12">
        <v>5</v>
      </c>
      <c r="M6" s="22">
        <v>56.6</v>
      </c>
      <c r="N6" s="12">
        <f t="shared" si="1"/>
        <v>353.75</v>
      </c>
      <c r="O6" s="22">
        <v>350</v>
      </c>
    </row>
    <row r="7" spans="1:15">
      <c r="A7" s="12" t="s">
        <v>105</v>
      </c>
      <c r="B7" s="12">
        <v>3</v>
      </c>
      <c r="C7" s="12">
        <v>1</v>
      </c>
      <c r="D7" s="12" t="s">
        <v>94</v>
      </c>
      <c r="E7" s="12" t="str">
        <f t="shared" si="0"/>
        <v>guild_contribution,350</v>
      </c>
      <c r="F7" s="12" t="s">
        <v>106</v>
      </c>
      <c r="G7" s="12" t="s">
        <v>107</v>
      </c>
      <c r="H7" s="12">
        <v>20</v>
      </c>
      <c r="I7" s="12">
        <v>6</v>
      </c>
      <c r="M7" s="22">
        <v>56.6</v>
      </c>
      <c r="N7" s="12">
        <f t="shared" si="1"/>
        <v>353.75</v>
      </c>
      <c r="O7" s="22">
        <v>350</v>
      </c>
    </row>
    <row r="8" spans="1:15">
      <c r="A8" s="12" t="s">
        <v>108</v>
      </c>
      <c r="B8" s="12">
        <v>3</v>
      </c>
      <c r="C8" s="12">
        <v>1</v>
      </c>
      <c r="D8" s="12" t="s">
        <v>94</v>
      </c>
      <c r="E8" s="12" t="str">
        <f t="shared" si="0"/>
        <v>guild_contribution,350</v>
      </c>
      <c r="F8" s="12" t="s">
        <v>109</v>
      </c>
      <c r="G8" s="12" t="s">
        <v>110</v>
      </c>
      <c r="H8" s="12">
        <v>20</v>
      </c>
      <c r="I8" s="12">
        <v>7</v>
      </c>
      <c r="M8" s="22">
        <v>56.6</v>
      </c>
      <c r="N8" s="12">
        <f t="shared" si="1"/>
        <v>353.75</v>
      </c>
      <c r="O8" s="12">
        <v>350</v>
      </c>
    </row>
    <row r="9" spans="1:15">
      <c r="A9" s="12" t="s">
        <v>111</v>
      </c>
      <c r="B9" s="12">
        <v>3</v>
      </c>
      <c r="C9" s="12">
        <v>1</v>
      </c>
      <c r="D9" s="12" t="s">
        <v>94</v>
      </c>
      <c r="E9" s="12" t="str">
        <f t="shared" si="0"/>
        <v>guild_contribution,350</v>
      </c>
      <c r="F9" s="12" t="s">
        <v>112</v>
      </c>
      <c r="G9" s="12" t="s">
        <v>113</v>
      </c>
      <c r="H9" s="12">
        <v>20</v>
      </c>
      <c r="I9" s="12">
        <v>8</v>
      </c>
      <c r="M9" s="22">
        <v>56.6</v>
      </c>
      <c r="N9" s="12">
        <f t="shared" si="1"/>
        <v>353.75</v>
      </c>
      <c r="O9" s="12">
        <v>350</v>
      </c>
    </row>
    <row r="14" spans="1:15">
      <c r="A14" s="15">
        <v>20031</v>
      </c>
      <c r="B14" s="15">
        <v>1</v>
      </c>
      <c r="C14" s="15" t="s">
        <v>114</v>
      </c>
      <c r="G14">
        <v>301</v>
      </c>
      <c r="H14" s="16" t="s">
        <v>118</v>
      </c>
      <c r="I14" s="19">
        <v>20</v>
      </c>
      <c r="K14">
        <f>AVERAGE(I14:I16)</f>
        <v>56.666666666666664</v>
      </c>
    </row>
    <row r="15" spans="1:15">
      <c r="A15" s="15">
        <v>20032</v>
      </c>
      <c r="B15" s="15">
        <v>1</v>
      </c>
      <c r="C15" s="15" t="s">
        <v>115</v>
      </c>
      <c r="G15">
        <v>302</v>
      </c>
      <c r="H15" s="16" t="s">
        <v>119</v>
      </c>
      <c r="I15" s="19">
        <v>50</v>
      </c>
    </row>
    <row r="16" spans="1:15">
      <c r="A16" s="15">
        <v>20033</v>
      </c>
      <c r="B16" s="15">
        <v>1</v>
      </c>
      <c r="C16" s="15" t="s">
        <v>116</v>
      </c>
      <c r="G16">
        <v>303</v>
      </c>
      <c r="H16" s="16" t="s">
        <v>120</v>
      </c>
      <c r="I16" s="19">
        <v>100</v>
      </c>
    </row>
    <row r="17" spans="1:9">
      <c r="A17" s="15">
        <v>20034</v>
      </c>
      <c r="B17" s="15">
        <v>1</v>
      </c>
      <c r="C17" s="15" t="s">
        <v>117</v>
      </c>
      <c r="G17">
        <v>304</v>
      </c>
      <c r="H17" s="16" t="s">
        <v>121</v>
      </c>
      <c r="I17" s="19">
        <v>20</v>
      </c>
    </row>
    <row r="18" spans="1:9">
      <c r="G18">
        <v>305</v>
      </c>
      <c r="H18" s="16" t="s">
        <v>122</v>
      </c>
      <c r="I18" s="19">
        <v>50</v>
      </c>
    </row>
    <row r="19" spans="1:9">
      <c r="G19">
        <v>306</v>
      </c>
      <c r="H19" s="16" t="s">
        <v>123</v>
      </c>
      <c r="I19" s="19">
        <v>100</v>
      </c>
    </row>
    <row r="20" spans="1:9">
      <c r="G20">
        <v>307</v>
      </c>
      <c r="H20" s="16" t="s">
        <v>124</v>
      </c>
      <c r="I20" s="19">
        <v>20</v>
      </c>
    </row>
    <row r="21" spans="1:9">
      <c r="G21">
        <v>308</v>
      </c>
      <c r="H21" s="16" t="s">
        <v>125</v>
      </c>
      <c r="I21" s="19">
        <v>50</v>
      </c>
    </row>
    <row r="22" spans="1:9">
      <c r="G22">
        <v>309</v>
      </c>
      <c r="H22" s="16" t="s">
        <v>126</v>
      </c>
      <c r="I22" s="19">
        <v>100</v>
      </c>
    </row>
    <row r="23" spans="1:9">
      <c r="G23">
        <v>310</v>
      </c>
      <c r="H23" s="16" t="s">
        <v>127</v>
      </c>
      <c r="I23" s="19">
        <v>20</v>
      </c>
    </row>
    <row r="24" spans="1:9">
      <c r="G24">
        <v>311</v>
      </c>
      <c r="H24" s="16" t="s">
        <v>128</v>
      </c>
      <c r="I24" s="19">
        <v>50</v>
      </c>
    </row>
    <row r="25" spans="1:9">
      <c r="G25">
        <v>312</v>
      </c>
      <c r="H25" s="16" t="s">
        <v>129</v>
      </c>
      <c r="I25" s="19">
        <v>100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45673-4D69-4C9A-A34F-032E2CEF5F0D}">
  <dimension ref="A1:R16"/>
  <sheetViews>
    <sheetView workbookViewId="0">
      <selection activeCell="M19" sqref="M19"/>
    </sheetView>
  </sheetViews>
  <sheetFormatPr defaultRowHeight="12.75"/>
  <cols>
    <col min="1" max="1" width="11" style="21" bestFit="1" customWidth="1"/>
    <col min="2" max="2" width="11.375" style="21" bestFit="1" customWidth="1"/>
    <col min="3" max="3" width="8" style="21" bestFit="1" customWidth="1"/>
    <col min="4" max="5" width="5.625" style="21" bestFit="1" customWidth="1"/>
    <col min="6" max="6" width="8" style="21" bestFit="1" customWidth="1"/>
    <col min="7" max="7" width="14" style="21" bestFit="1" customWidth="1"/>
    <col min="8" max="8" width="6.375" style="21" bestFit="1" customWidth="1"/>
    <col min="9" max="9" width="9" style="22"/>
    <col min="10" max="10" width="9" style="21"/>
    <col min="11" max="11" width="3.25" style="21" bestFit="1" customWidth="1"/>
    <col min="12" max="12" width="8" style="21" bestFit="1" customWidth="1"/>
    <col min="13" max="13" width="7.625" style="21" bestFit="1" customWidth="1"/>
    <col min="14" max="16" width="8" style="21" bestFit="1" customWidth="1"/>
    <col min="17" max="17" width="6.375" style="21" bestFit="1" customWidth="1"/>
    <col min="18" max="18" width="7.625" style="21" bestFit="1" customWidth="1"/>
    <col min="19" max="16384" width="9" style="21"/>
  </cols>
  <sheetData>
    <row r="1" spans="1:18" ht="25.5">
      <c r="A1" s="23" t="s">
        <v>140</v>
      </c>
      <c r="B1" s="23" t="s">
        <v>141</v>
      </c>
      <c r="C1" s="23" t="s">
        <v>142</v>
      </c>
      <c r="D1" s="23" t="s">
        <v>143</v>
      </c>
      <c r="E1" s="23" t="s">
        <v>144</v>
      </c>
      <c r="F1" s="23" t="s">
        <v>145</v>
      </c>
      <c r="G1" s="23" t="s">
        <v>146</v>
      </c>
      <c r="H1" s="23" t="s">
        <v>170</v>
      </c>
      <c r="I1" s="28" t="s">
        <v>171</v>
      </c>
      <c r="K1" s="24" t="s">
        <v>153</v>
      </c>
      <c r="L1" s="24" t="s">
        <v>154</v>
      </c>
      <c r="M1" s="24" t="s">
        <v>138</v>
      </c>
      <c r="N1" s="24" t="s">
        <v>155</v>
      </c>
      <c r="O1" s="25" t="s">
        <v>156</v>
      </c>
      <c r="P1" s="25" t="s">
        <v>157</v>
      </c>
      <c r="Q1" s="25" t="s">
        <v>169</v>
      </c>
    </row>
    <row r="2" spans="1:18">
      <c r="A2" s="23">
        <v>1</v>
      </c>
      <c r="B2" s="23" t="s">
        <v>158</v>
      </c>
      <c r="C2" s="23">
        <v>1</v>
      </c>
      <c r="D2" s="23">
        <v>0</v>
      </c>
      <c r="E2" s="23">
        <v>0</v>
      </c>
      <c r="F2" s="23">
        <v>1</v>
      </c>
      <c r="G2" s="23">
        <v>20</v>
      </c>
      <c r="H2" s="23">
        <v>0</v>
      </c>
      <c r="I2" s="29">
        <v>20</v>
      </c>
      <c r="K2" s="27">
        <v>1</v>
      </c>
      <c r="L2" s="27">
        <v>1</v>
      </c>
      <c r="M2" s="27">
        <f>R2</f>
        <v>1500</v>
      </c>
      <c r="N2" s="27">
        <v>18</v>
      </c>
      <c r="O2" s="21">
        <f>N2*$B$15*0.6</f>
        <v>2905.2</v>
      </c>
      <c r="P2" s="21">
        <v>0.5</v>
      </c>
      <c r="Q2" s="21">
        <f>SUM($P$2:P2)</f>
        <v>0.5</v>
      </c>
      <c r="R2" s="21">
        <f>CEILING(O2*P2,100)</f>
        <v>1500</v>
      </c>
    </row>
    <row r="3" spans="1:18">
      <c r="A3" s="23">
        <v>2</v>
      </c>
      <c r="B3" s="23" t="s">
        <v>159</v>
      </c>
      <c r="C3" s="23">
        <v>4</v>
      </c>
      <c r="D3" s="23">
        <v>2</v>
      </c>
      <c r="E3" s="23">
        <v>0</v>
      </c>
      <c r="F3" s="23">
        <v>10</v>
      </c>
      <c r="G3" s="23" t="s">
        <v>147</v>
      </c>
      <c r="H3" s="23">
        <v>1</v>
      </c>
      <c r="I3" s="22">
        <v>40</v>
      </c>
      <c r="K3" s="27">
        <v>2</v>
      </c>
      <c r="L3" s="27">
        <v>2</v>
      </c>
      <c r="M3" s="27">
        <f t="shared" ref="M3:M12" si="0">R3</f>
        <v>5000</v>
      </c>
      <c r="N3" s="27">
        <v>20</v>
      </c>
      <c r="O3" s="21">
        <f t="shared" ref="O3:O13" si="1">N3*$B$15*0.6</f>
        <v>3228</v>
      </c>
      <c r="P3" s="21">
        <v>1.5</v>
      </c>
      <c r="Q3" s="21">
        <f>SUM($P$2:P3)</f>
        <v>2</v>
      </c>
      <c r="R3" s="21">
        <v>5000</v>
      </c>
    </row>
    <row r="4" spans="1:18">
      <c r="A4" s="23">
        <v>3</v>
      </c>
      <c r="B4" s="23" t="s">
        <v>160</v>
      </c>
      <c r="C4" s="23">
        <v>4</v>
      </c>
      <c r="D4" s="23">
        <v>3</v>
      </c>
      <c r="E4" s="23">
        <v>0</v>
      </c>
      <c r="F4" s="23">
        <v>10</v>
      </c>
      <c r="G4" s="23" t="s">
        <v>147</v>
      </c>
      <c r="H4" s="23">
        <v>1</v>
      </c>
      <c r="I4" s="22">
        <v>8</v>
      </c>
      <c r="K4" s="27">
        <v>3</v>
      </c>
      <c r="L4" s="27">
        <v>3</v>
      </c>
      <c r="M4" s="27">
        <f t="shared" si="0"/>
        <v>15000</v>
      </c>
      <c r="N4" s="27">
        <v>22</v>
      </c>
      <c r="O4" s="21">
        <f t="shared" si="1"/>
        <v>3550.7999999999997</v>
      </c>
      <c r="P4" s="21">
        <v>4</v>
      </c>
      <c r="Q4" s="21">
        <f>SUM($P$2:P4)</f>
        <v>6</v>
      </c>
      <c r="R4" s="21">
        <v>15000</v>
      </c>
    </row>
    <row r="5" spans="1:18">
      <c r="A5" s="23">
        <v>4</v>
      </c>
      <c r="B5" s="23" t="s">
        <v>161</v>
      </c>
      <c r="C5" s="23">
        <v>4</v>
      </c>
      <c r="D5" s="23">
        <v>4</v>
      </c>
      <c r="E5" s="23">
        <v>0</v>
      </c>
      <c r="F5" s="23">
        <v>10</v>
      </c>
      <c r="G5" s="23" t="s">
        <v>147</v>
      </c>
      <c r="H5" s="23">
        <v>1</v>
      </c>
      <c r="I5" s="22">
        <v>0</v>
      </c>
      <c r="K5" s="27">
        <v>4</v>
      </c>
      <c r="L5" s="27">
        <v>4</v>
      </c>
      <c r="M5" s="27">
        <f t="shared" si="0"/>
        <v>30000</v>
      </c>
      <c r="N5" s="27">
        <v>24</v>
      </c>
      <c r="O5" s="21">
        <f t="shared" si="1"/>
        <v>3873.6</v>
      </c>
      <c r="P5" s="21">
        <v>8</v>
      </c>
      <c r="Q5" s="21">
        <f>SUM($P$2:P5)</f>
        <v>14</v>
      </c>
      <c r="R5" s="21">
        <v>30000</v>
      </c>
    </row>
    <row r="6" spans="1:18">
      <c r="A6" s="23">
        <v>5</v>
      </c>
      <c r="B6" s="23" t="s">
        <v>162</v>
      </c>
      <c r="C6" s="23">
        <v>6</v>
      </c>
      <c r="D6" s="23">
        <v>0</v>
      </c>
      <c r="E6" s="23">
        <v>0</v>
      </c>
      <c r="F6" s="23">
        <v>1</v>
      </c>
      <c r="G6" s="23">
        <v>1</v>
      </c>
      <c r="H6" s="23">
        <v>1</v>
      </c>
      <c r="I6" s="29">
        <v>100</v>
      </c>
      <c r="K6" s="27">
        <v>5</v>
      </c>
      <c r="L6" s="27">
        <v>5</v>
      </c>
      <c r="M6" s="27">
        <f t="shared" si="0"/>
        <v>70000</v>
      </c>
      <c r="N6" s="27">
        <v>26</v>
      </c>
      <c r="O6" s="21">
        <f t="shared" si="1"/>
        <v>4196.3999999999996</v>
      </c>
      <c r="P6" s="21">
        <v>16</v>
      </c>
      <c r="Q6" s="21">
        <f>SUM($P$2:P6)</f>
        <v>30</v>
      </c>
      <c r="R6" s="21">
        <v>70000</v>
      </c>
    </row>
    <row r="7" spans="1:18">
      <c r="A7" s="23">
        <v>6</v>
      </c>
      <c r="B7" s="23" t="s">
        <v>163</v>
      </c>
      <c r="C7" s="23">
        <v>10</v>
      </c>
      <c r="D7" s="23">
        <v>0</v>
      </c>
      <c r="E7" s="23">
        <v>0</v>
      </c>
      <c r="F7" s="23">
        <v>7</v>
      </c>
      <c r="G7" s="23" t="s">
        <v>148</v>
      </c>
      <c r="H7" s="23">
        <v>2</v>
      </c>
      <c r="I7" s="22">
        <v>20</v>
      </c>
      <c r="K7" s="27">
        <v>6</v>
      </c>
      <c r="L7" s="27">
        <v>6</v>
      </c>
      <c r="M7" s="27">
        <f t="shared" si="0"/>
        <v>135000</v>
      </c>
      <c r="N7" s="27">
        <v>28</v>
      </c>
      <c r="O7" s="21">
        <f t="shared" si="1"/>
        <v>4519.2</v>
      </c>
      <c r="P7" s="21">
        <v>30</v>
      </c>
      <c r="Q7" s="21">
        <f>SUM($P$2:P7)</f>
        <v>60</v>
      </c>
      <c r="R7" s="21">
        <v>135000</v>
      </c>
    </row>
    <row r="8" spans="1:18">
      <c r="A8" s="23">
        <v>7</v>
      </c>
      <c r="B8" s="23" t="s">
        <v>164</v>
      </c>
      <c r="C8" s="23">
        <v>11</v>
      </c>
      <c r="D8" s="23">
        <v>0</v>
      </c>
      <c r="E8" s="23">
        <v>0</v>
      </c>
      <c r="F8" s="23">
        <v>1</v>
      </c>
      <c r="G8" s="23">
        <v>1</v>
      </c>
      <c r="H8" s="23">
        <v>1</v>
      </c>
      <c r="I8" s="29">
        <v>12</v>
      </c>
      <c r="K8" s="27">
        <v>7</v>
      </c>
      <c r="L8" s="27">
        <v>7</v>
      </c>
      <c r="M8" s="27">
        <f t="shared" si="0"/>
        <v>300000</v>
      </c>
      <c r="N8" s="27">
        <v>30</v>
      </c>
      <c r="O8" s="21">
        <f t="shared" si="1"/>
        <v>4842</v>
      </c>
      <c r="P8" s="21">
        <v>60</v>
      </c>
      <c r="Q8" s="21">
        <f>SUM($P$2:P8)</f>
        <v>120</v>
      </c>
      <c r="R8" s="21">
        <v>300000</v>
      </c>
    </row>
    <row r="9" spans="1:18">
      <c r="A9" s="23">
        <v>8</v>
      </c>
      <c r="B9" s="23" t="s">
        <v>165</v>
      </c>
      <c r="C9" s="23">
        <v>12</v>
      </c>
      <c r="D9" s="23">
        <v>0</v>
      </c>
      <c r="E9" s="23">
        <v>0</v>
      </c>
      <c r="F9" s="23">
        <v>10</v>
      </c>
      <c r="G9" s="23" t="s">
        <v>149</v>
      </c>
      <c r="H9" s="23">
        <v>1</v>
      </c>
      <c r="I9" s="22">
        <v>20</v>
      </c>
      <c r="K9" s="27">
        <v>8</v>
      </c>
      <c r="L9" s="27">
        <v>8</v>
      </c>
      <c r="M9" s="27">
        <f t="shared" si="0"/>
        <v>450000</v>
      </c>
      <c r="N9" s="27">
        <v>32</v>
      </c>
      <c r="O9" s="21">
        <f t="shared" si="1"/>
        <v>5164.8</v>
      </c>
      <c r="P9" s="21">
        <v>90</v>
      </c>
      <c r="Q9" s="21">
        <f>SUM($P$2:P9)</f>
        <v>210</v>
      </c>
      <c r="R9" s="21">
        <v>450000</v>
      </c>
    </row>
    <row r="10" spans="1:18">
      <c r="A10" s="23">
        <v>9</v>
      </c>
      <c r="B10" s="23" t="s">
        <v>166</v>
      </c>
      <c r="C10" s="23">
        <v>18</v>
      </c>
      <c r="D10" s="23">
        <v>0</v>
      </c>
      <c r="E10" s="23">
        <v>0</v>
      </c>
      <c r="F10" s="23">
        <v>3</v>
      </c>
      <c r="G10" s="23" t="s">
        <v>150</v>
      </c>
      <c r="H10" s="23">
        <v>0</v>
      </c>
      <c r="I10" s="29">
        <v>15</v>
      </c>
      <c r="K10" s="27">
        <v>9</v>
      </c>
      <c r="L10" s="27">
        <v>9</v>
      </c>
      <c r="M10" s="27">
        <f t="shared" si="0"/>
        <v>650000</v>
      </c>
      <c r="N10" s="27">
        <v>34</v>
      </c>
      <c r="O10" s="21">
        <f t="shared" si="1"/>
        <v>5487.5999999999995</v>
      </c>
      <c r="P10" s="21">
        <v>120</v>
      </c>
      <c r="Q10" s="21">
        <f>SUM($P$2:P10)</f>
        <v>330</v>
      </c>
      <c r="R10" s="21">
        <v>650000</v>
      </c>
    </row>
    <row r="11" spans="1:18">
      <c r="A11" s="23">
        <v>10</v>
      </c>
      <c r="B11" s="23" t="s">
        <v>167</v>
      </c>
      <c r="C11" s="23">
        <v>15</v>
      </c>
      <c r="D11" s="23">
        <v>0</v>
      </c>
      <c r="E11" s="23">
        <v>0</v>
      </c>
      <c r="F11" s="23">
        <v>10</v>
      </c>
      <c r="G11" s="23" t="s">
        <v>149</v>
      </c>
      <c r="H11" s="23">
        <v>1</v>
      </c>
      <c r="I11" s="22">
        <v>4</v>
      </c>
      <c r="K11" s="27">
        <v>10</v>
      </c>
      <c r="L11" s="27">
        <v>10</v>
      </c>
      <c r="M11" s="27">
        <f t="shared" si="0"/>
        <v>1000000</v>
      </c>
      <c r="N11" s="27">
        <v>36</v>
      </c>
      <c r="O11" s="21">
        <f t="shared" si="1"/>
        <v>5810.4</v>
      </c>
      <c r="P11" s="21">
        <v>180</v>
      </c>
      <c r="Q11" s="21">
        <f>SUM($P$2:P11)</f>
        <v>510</v>
      </c>
      <c r="R11" s="21">
        <v>1000000</v>
      </c>
    </row>
    <row r="12" spans="1:18">
      <c r="A12" s="23">
        <v>11</v>
      </c>
      <c r="B12" s="23" t="s">
        <v>168</v>
      </c>
      <c r="C12" s="23">
        <v>24</v>
      </c>
      <c r="D12" s="23">
        <v>0</v>
      </c>
      <c r="E12" s="23">
        <v>0</v>
      </c>
      <c r="F12" s="23">
        <v>1</v>
      </c>
      <c r="G12" s="23">
        <v>1</v>
      </c>
      <c r="H12" s="23">
        <v>1</v>
      </c>
      <c r="I12" s="29">
        <v>30</v>
      </c>
      <c r="K12" s="27">
        <v>11</v>
      </c>
      <c r="L12" s="27">
        <v>11</v>
      </c>
      <c r="M12" s="27">
        <f t="shared" si="0"/>
        <v>1500000</v>
      </c>
      <c r="N12" s="27">
        <v>38</v>
      </c>
      <c r="O12" s="21">
        <f t="shared" si="1"/>
        <v>6133.2</v>
      </c>
      <c r="P12" s="21">
        <v>240</v>
      </c>
      <c r="Q12" s="21">
        <f>SUM($P$2:P12)</f>
        <v>750</v>
      </c>
      <c r="R12" s="21">
        <v>1500000</v>
      </c>
    </row>
    <row r="13" spans="1:18">
      <c r="K13" s="27">
        <v>12</v>
      </c>
      <c r="L13" s="27">
        <v>12</v>
      </c>
      <c r="M13" s="27">
        <v>0</v>
      </c>
      <c r="N13" s="27">
        <v>40</v>
      </c>
      <c r="O13" s="21">
        <f t="shared" si="1"/>
        <v>6456</v>
      </c>
      <c r="P13" s="21">
        <f t="shared" ref="P13" si="2">M13/O13</f>
        <v>0</v>
      </c>
      <c r="Q13" s="21">
        <f>SUM($P$2:P13)</f>
        <v>750</v>
      </c>
    </row>
    <row r="15" spans="1:18">
      <c r="A15" s="21" t="s">
        <v>151</v>
      </c>
      <c r="B15" s="26">
        <f>SUM(I2:I12)</f>
        <v>269</v>
      </c>
    </row>
    <row r="16" spans="1:18">
      <c r="A16" s="21" t="s">
        <v>152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2C1CB-8B20-4120-9ECC-4709844496F0}">
  <dimension ref="A1:H6"/>
  <sheetViews>
    <sheetView workbookViewId="0">
      <selection activeCell="B7" sqref="B7"/>
    </sheetView>
  </sheetViews>
  <sheetFormatPr defaultRowHeight="15.75"/>
  <cols>
    <col min="1" max="1" width="13.875" bestFit="1" customWidth="1"/>
  </cols>
  <sheetData>
    <row r="1" spans="1:8">
      <c r="A1" s="2" t="s">
        <v>75</v>
      </c>
      <c r="B1" s="2" t="s">
        <v>76</v>
      </c>
      <c r="C1" s="2" t="s">
        <v>77</v>
      </c>
      <c r="E1" s="17" t="s">
        <v>132</v>
      </c>
      <c r="F1" s="17" t="s">
        <v>133</v>
      </c>
      <c r="G1" s="17" t="s">
        <v>134</v>
      </c>
      <c r="H1">
        <v>0.3</v>
      </c>
    </row>
    <row r="2" spans="1:8">
      <c r="A2" s="3">
        <v>1</v>
      </c>
      <c r="B2" s="3">
        <v>3</v>
      </c>
      <c r="C2" s="3">
        <v>20</v>
      </c>
      <c r="E2" s="4">
        <v>10</v>
      </c>
      <c r="F2" s="4">
        <f>E2*6.25</f>
        <v>62.5</v>
      </c>
      <c r="G2">
        <f>F2*$H$1</f>
        <v>18.75</v>
      </c>
    </row>
    <row r="3" spans="1:8">
      <c r="A3" s="3">
        <v>2</v>
      </c>
      <c r="B3" s="3">
        <v>2</v>
      </c>
      <c r="C3" s="3">
        <v>40</v>
      </c>
      <c r="E3" s="4">
        <v>20</v>
      </c>
      <c r="F3" s="4">
        <f t="shared" ref="F3:F4" si="0">E3*6.25</f>
        <v>125</v>
      </c>
      <c r="G3" s="18">
        <f t="shared" ref="G3:G4" si="1">F3*$H$1</f>
        <v>37.5</v>
      </c>
    </row>
    <row r="4" spans="1:8">
      <c r="A4" s="3">
        <v>3</v>
      </c>
      <c r="B4" s="3">
        <v>1</v>
      </c>
      <c r="C4" s="3">
        <v>100</v>
      </c>
      <c r="E4" s="4">
        <v>100</v>
      </c>
      <c r="F4" s="4">
        <f t="shared" si="0"/>
        <v>625</v>
      </c>
      <c r="G4" s="18">
        <f t="shared" si="1"/>
        <v>187.5</v>
      </c>
    </row>
    <row r="6" spans="1:8">
      <c r="A6" t="s">
        <v>135</v>
      </c>
      <c r="B6">
        <f>AVERAGE(C3*B3,C4)</f>
        <v>90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公会副本</vt:lpstr>
      <vt:lpstr>商店</vt:lpstr>
      <vt:lpstr>公会升级</vt:lpstr>
      <vt:lpstr>捐献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sky</cp:lastModifiedBy>
  <dcterms:created xsi:type="dcterms:W3CDTF">2019-06-20T13:48:45Z</dcterms:created>
  <dcterms:modified xsi:type="dcterms:W3CDTF">2019-08-29T03:52:35Z</dcterms:modified>
</cp:coreProperties>
</file>