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2.0/"/>
    </mc:Choice>
  </mc:AlternateContent>
  <bookViews>
    <workbookView xWindow="-37740" yWindow="760" windowWidth="38400" windowHeight="20080" tabRatio="500" activeTab="2"/>
  </bookViews>
  <sheets>
    <sheet name="分类" sheetId="1" r:id="rId1"/>
    <sheet name="卡牌" sheetId="5" r:id="rId2"/>
    <sheet name="装备" sheetId="2" r:id="rId3"/>
    <sheet name="专属装备" sheetId="3" r:id="rId4"/>
    <sheet name="总属性" sheetId="4" r:id="rId5"/>
    <sheet name="最终状态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2" l="1"/>
  <c r="X2" i="2"/>
  <c r="V3" i="2"/>
  <c r="X3" i="2"/>
  <c r="V4" i="2"/>
  <c r="X4" i="2"/>
  <c r="V5" i="2"/>
  <c r="X5" i="2"/>
  <c r="V6" i="2"/>
  <c r="X6" i="2"/>
  <c r="V7" i="2"/>
  <c r="X7" i="2"/>
  <c r="V8" i="2"/>
  <c r="X8" i="2"/>
  <c r="V9" i="2"/>
  <c r="X9" i="2"/>
  <c r="V10" i="2"/>
  <c r="X10" i="2"/>
  <c r="V11" i="2"/>
  <c r="X11" i="2"/>
  <c r="V12" i="2"/>
  <c r="X12" i="2"/>
  <c r="V13" i="2"/>
  <c r="X13" i="2"/>
  <c r="V14" i="2"/>
  <c r="X14" i="2"/>
  <c r="V15" i="2"/>
  <c r="X15" i="2"/>
  <c r="V16" i="2"/>
  <c r="X16" i="2"/>
  <c r="V17" i="2"/>
  <c r="X17" i="2"/>
  <c r="V18" i="2"/>
  <c r="X18" i="2"/>
  <c r="V19" i="2"/>
  <c r="X19" i="2"/>
  <c r="V20" i="2"/>
  <c r="X20" i="2"/>
  <c r="V21" i="2"/>
  <c r="X21" i="2"/>
  <c r="V22" i="2"/>
  <c r="X22" i="2"/>
  <c r="V23" i="2"/>
  <c r="X23" i="2"/>
  <c r="V24" i="2"/>
  <c r="X24" i="2"/>
  <c r="V25" i="2"/>
  <c r="X25" i="2"/>
  <c r="V26" i="2"/>
  <c r="X26" i="2"/>
  <c r="V27" i="2"/>
  <c r="X27" i="2"/>
  <c r="V28" i="2"/>
  <c r="X28" i="2"/>
  <c r="V29" i="2"/>
  <c r="X29" i="2"/>
  <c r="V30" i="2"/>
  <c r="X30" i="2"/>
  <c r="V31" i="2"/>
  <c r="X31" i="2"/>
  <c r="V32" i="2"/>
  <c r="X32" i="2"/>
  <c r="V33" i="2"/>
  <c r="X33" i="2"/>
  <c r="V34" i="2"/>
  <c r="X34" i="2"/>
  <c r="V35" i="2"/>
  <c r="X35" i="2"/>
  <c r="V36" i="2"/>
  <c r="X36" i="2"/>
  <c r="V37" i="2"/>
  <c r="X37" i="2"/>
  <c r="V38" i="2"/>
  <c r="X38" i="2"/>
  <c r="V39" i="2"/>
  <c r="X39" i="2"/>
  <c r="V40" i="2"/>
  <c r="X40" i="2"/>
  <c r="V41" i="2"/>
  <c r="X41" i="2"/>
  <c r="V42" i="2"/>
  <c r="X42" i="2"/>
  <c r="V43" i="2"/>
  <c r="X43" i="2"/>
  <c r="V44" i="2"/>
  <c r="X44" i="2"/>
  <c r="V45" i="2"/>
  <c r="X45" i="2"/>
  <c r="V46" i="2"/>
  <c r="X46" i="2"/>
  <c r="V47" i="2"/>
  <c r="X47" i="2"/>
  <c r="V48" i="2"/>
  <c r="X48" i="2"/>
  <c r="V49" i="2"/>
  <c r="X49" i="2"/>
  <c r="V50" i="2"/>
  <c r="X50" i="2"/>
  <c r="V51" i="2"/>
  <c r="X51" i="2"/>
  <c r="V52" i="2"/>
  <c r="X52" i="2"/>
  <c r="V53" i="2"/>
  <c r="X53" i="2"/>
  <c r="V54" i="2"/>
  <c r="X54" i="2"/>
  <c r="V55" i="2"/>
  <c r="X55" i="2"/>
  <c r="V56" i="2"/>
  <c r="X56" i="2"/>
  <c r="V57" i="2"/>
  <c r="X57" i="2"/>
  <c r="V58" i="2"/>
  <c r="X58" i="2"/>
  <c r="V59" i="2"/>
  <c r="X59" i="2"/>
  <c r="V60" i="2"/>
  <c r="X60" i="2"/>
  <c r="V61" i="2"/>
  <c r="X61" i="2"/>
  <c r="V62" i="2"/>
  <c r="X62" i="2"/>
  <c r="V63" i="2"/>
  <c r="X63" i="2"/>
  <c r="V64" i="2"/>
  <c r="X64" i="2"/>
  <c r="V65" i="2"/>
  <c r="X65" i="2"/>
  <c r="V66" i="2"/>
  <c r="X66" i="2"/>
  <c r="V67" i="2"/>
  <c r="X67" i="2"/>
  <c r="V68" i="2"/>
  <c r="X68" i="2"/>
  <c r="V69" i="2"/>
  <c r="X69" i="2"/>
  <c r="V70" i="2"/>
  <c r="X70" i="2"/>
  <c r="V71" i="2"/>
  <c r="X71" i="2"/>
  <c r="V72" i="2"/>
  <c r="X72" i="2"/>
  <c r="V73" i="2"/>
  <c r="X73" i="2"/>
  <c r="V74" i="2"/>
  <c r="X74" i="2"/>
  <c r="V75" i="2"/>
  <c r="X75" i="2"/>
  <c r="V76" i="2"/>
  <c r="X76" i="2"/>
  <c r="V77" i="2"/>
  <c r="X77" i="2"/>
  <c r="V78" i="2"/>
  <c r="X78" i="2"/>
  <c r="V79" i="2"/>
  <c r="X79" i="2"/>
  <c r="V80" i="2"/>
  <c r="X80" i="2"/>
  <c r="V81" i="2"/>
  <c r="X81" i="2"/>
  <c r="V82" i="2"/>
  <c r="X82" i="2"/>
  <c r="V83" i="2"/>
  <c r="X83" i="2"/>
  <c r="V84" i="2"/>
  <c r="X84" i="2"/>
  <c r="V85" i="2"/>
  <c r="X85" i="2"/>
  <c r="V86" i="2"/>
  <c r="X86" i="2"/>
  <c r="V87" i="2"/>
  <c r="X87" i="2"/>
  <c r="V88" i="2"/>
  <c r="X88" i="2"/>
  <c r="V89" i="2"/>
  <c r="X89" i="2"/>
  <c r="V90" i="2"/>
  <c r="X90" i="2"/>
  <c r="V91" i="2"/>
  <c r="X91" i="2"/>
  <c r="V92" i="2"/>
  <c r="X92" i="2"/>
  <c r="V93" i="2"/>
  <c r="X93" i="2"/>
  <c r="V94" i="2"/>
  <c r="X94" i="2"/>
  <c r="V95" i="2"/>
  <c r="X95" i="2"/>
  <c r="V96" i="2"/>
  <c r="X96" i="2"/>
  <c r="V97" i="2"/>
  <c r="X97" i="2"/>
  <c r="V98" i="2"/>
  <c r="X98" i="2"/>
  <c r="V99" i="2"/>
  <c r="X99" i="2"/>
  <c r="V100" i="2"/>
  <c r="X100" i="2"/>
  <c r="V101" i="2"/>
  <c r="X101" i="2"/>
  <c r="V102" i="2"/>
  <c r="X102" i="2"/>
  <c r="V103" i="2"/>
  <c r="X103" i="2"/>
  <c r="V104" i="2"/>
  <c r="X104" i="2"/>
  <c r="V105" i="2"/>
  <c r="X105" i="2"/>
  <c r="V106" i="2"/>
  <c r="X106" i="2"/>
  <c r="V107" i="2"/>
  <c r="X107" i="2"/>
  <c r="V108" i="2"/>
  <c r="X108" i="2"/>
  <c r="V109" i="2"/>
  <c r="X109" i="2"/>
  <c r="G30" i="2"/>
  <c r="G31" i="2"/>
  <c r="G32" i="2"/>
  <c r="G33" i="2"/>
  <c r="G34" i="2"/>
  <c r="G35" i="2"/>
  <c r="G36" i="2"/>
  <c r="G37" i="2"/>
  <c r="G38" i="2"/>
  <c r="G29" i="2"/>
  <c r="D10" i="6"/>
  <c r="D9" i="6"/>
  <c r="D8" i="6"/>
  <c r="D7" i="6"/>
  <c r="D6" i="6"/>
  <c r="B22" i="6"/>
  <c r="B20" i="6"/>
  <c r="D13" i="6"/>
  <c r="E13" i="6"/>
  <c r="F13" i="6"/>
  <c r="D12" i="6"/>
  <c r="E12" i="6"/>
  <c r="F12" i="6"/>
  <c r="D11" i="6"/>
  <c r="E11" i="6"/>
  <c r="F11" i="6"/>
  <c r="B9" i="6"/>
  <c r="E7" i="6"/>
  <c r="F7" i="6"/>
  <c r="E8" i="6"/>
  <c r="F8" i="6"/>
  <c r="C9" i="6"/>
  <c r="E9" i="6"/>
  <c r="F9" i="6"/>
  <c r="E10" i="6"/>
  <c r="F10" i="6"/>
  <c r="E6" i="6"/>
  <c r="F6" i="6"/>
  <c r="B18" i="6"/>
  <c r="C7" i="6"/>
  <c r="C8" i="6"/>
  <c r="C10" i="6"/>
  <c r="C6" i="6"/>
  <c r="B6" i="6"/>
  <c r="B8" i="6"/>
  <c r="B7" i="6"/>
  <c r="B10" i="6"/>
  <c r="B21" i="6"/>
  <c r="B14" i="6"/>
  <c r="B13" i="6"/>
  <c r="B11" i="6"/>
  <c r="B12" i="6"/>
  <c r="B6" i="2"/>
  <c r="H29" i="2"/>
  <c r="D16" i="2"/>
  <c r="H38" i="2"/>
  <c r="D25" i="2"/>
  <c r="F16" i="2"/>
  <c r="B7" i="2"/>
  <c r="G16" i="2"/>
  <c r="B8" i="2"/>
  <c r="H16" i="2"/>
  <c r="B9" i="2"/>
  <c r="I16" i="2"/>
  <c r="B10" i="2"/>
  <c r="J16" i="2"/>
  <c r="B11" i="2"/>
  <c r="K16" i="2"/>
  <c r="B12" i="2"/>
  <c r="L16" i="2"/>
  <c r="B13" i="2"/>
  <c r="M16" i="2"/>
  <c r="H30" i="2"/>
  <c r="D17" i="2"/>
  <c r="F17" i="2"/>
  <c r="G17" i="2"/>
  <c r="H17" i="2"/>
  <c r="I17" i="2"/>
  <c r="J17" i="2"/>
  <c r="K17" i="2"/>
  <c r="L17" i="2"/>
  <c r="M17" i="2"/>
  <c r="H31" i="2"/>
  <c r="D18" i="2"/>
  <c r="F18" i="2"/>
  <c r="G18" i="2"/>
  <c r="H18" i="2"/>
  <c r="I18" i="2"/>
  <c r="J18" i="2"/>
  <c r="K18" i="2"/>
  <c r="L18" i="2"/>
  <c r="M18" i="2"/>
  <c r="H32" i="2"/>
  <c r="D19" i="2"/>
  <c r="F19" i="2"/>
  <c r="G19" i="2"/>
  <c r="H19" i="2"/>
  <c r="I19" i="2"/>
  <c r="J19" i="2"/>
  <c r="K19" i="2"/>
  <c r="L19" i="2"/>
  <c r="M19" i="2"/>
  <c r="H33" i="2"/>
  <c r="D20" i="2"/>
  <c r="F20" i="2"/>
  <c r="G20" i="2"/>
  <c r="H20" i="2"/>
  <c r="I20" i="2"/>
  <c r="J20" i="2"/>
  <c r="K20" i="2"/>
  <c r="L20" i="2"/>
  <c r="M20" i="2"/>
  <c r="H34" i="2"/>
  <c r="D21" i="2"/>
  <c r="F21" i="2"/>
  <c r="G21" i="2"/>
  <c r="H21" i="2"/>
  <c r="I21" i="2"/>
  <c r="J21" i="2"/>
  <c r="K21" i="2"/>
  <c r="L21" i="2"/>
  <c r="M21" i="2"/>
  <c r="H35" i="2"/>
  <c r="D22" i="2"/>
  <c r="F22" i="2"/>
  <c r="G22" i="2"/>
  <c r="H22" i="2"/>
  <c r="I22" i="2"/>
  <c r="J22" i="2"/>
  <c r="K22" i="2"/>
  <c r="L22" i="2"/>
  <c r="M22" i="2"/>
  <c r="H36" i="2"/>
  <c r="D23" i="2"/>
  <c r="F23" i="2"/>
  <c r="G23" i="2"/>
  <c r="H23" i="2"/>
  <c r="I23" i="2"/>
  <c r="J23" i="2"/>
  <c r="K23" i="2"/>
  <c r="L23" i="2"/>
  <c r="M23" i="2"/>
  <c r="H37" i="2"/>
  <c r="D24" i="2"/>
  <c r="F24" i="2"/>
  <c r="G24" i="2"/>
  <c r="H24" i="2"/>
  <c r="I24" i="2"/>
  <c r="J24" i="2"/>
  <c r="K24" i="2"/>
  <c r="L24" i="2"/>
  <c r="M24" i="2"/>
  <c r="F25" i="2"/>
  <c r="G25" i="2"/>
  <c r="H25" i="2"/>
  <c r="I25" i="2"/>
  <c r="J25" i="2"/>
  <c r="K25" i="2"/>
  <c r="L25" i="2"/>
  <c r="M25" i="2"/>
  <c r="B5" i="2"/>
  <c r="E16" i="2"/>
  <c r="E17" i="2"/>
  <c r="E18" i="2"/>
  <c r="E19" i="2"/>
  <c r="E20" i="2"/>
  <c r="E21" i="2"/>
  <c r="E22" i="2"/>
  <c r="E23" i="2"/>
  <c r="E24" i="2"/>
  <c r="E25" i="2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M23" i="6"/>
  <c r="N23" i="6"/>
  <c r="M24" i="6"/>
  <c r="N24" i="6"/>
  <c r="M25" i="6"/>
  <c r="N25" i="6"/>
  <c r="M26" i="6"/>
  <c r="N26" i="6"/>
  <c r="N2" i="6"/>
  <c r="M22" i="6"/>
  <c r="M21" i="6"/>
  <c r="M20" i="6"/>
  <c r="M19" i="6"/>
  <c r="M15" i="6"/>
  <c r="M16" i="6"/>
  <c r="M14" i="6"/>
  <c r="M17" i="6"/>
  <c r="M18" i="6"/>
  <c r="G53" i="1"/>
  <c r="G54" i="1"/>
  <c r="G52" i="1"/>
  <c r="F54" i="1"/>
  <c r="F53" i="1"/>
  <c r="F52" i="1"/>
  <c r="E53" i="1"/>
  <c r="E52" i="1"/>
  <c r="D53" i="1"/>
  <c r="D52" i="1"/>
  <c r="C54" i="1"/>
  <c r="C53" i="1"/>
  <c r="C52" i="1"/>
  <c r="B54" i="1"/>
  <c r="B53" i="1"/>
  <c r="B52" i="1"/>
  <c r="R4" i="1"/>
  <c r="B26" i="1"/>
  <c r="E26" i="1"/>
  <c r="B9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5" i="1"/>
  <c r="B27" i="1"/>
  <c r="E27" i="1"/>
  <c r="B10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" i="1"/>
  <c r="B25" i="1"/>
  <c r="E25" i="1"/>
  <c r="B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3" i="5"/>
  <c r="C34" i="5"/>
  <c r="C35" i="5"/>
  <c r="C32" i="5"/>
  <c r="B68" i="5"/>
  <c r="B69" i="5"/>
  <c r="B70" i="5"/>
  <c r="B36" i="5"/>
  <c r="B37" i="5"/>
  <c r="B35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A46" i="5"/>
  <c r="A49" i="5"/>
  <c r="A52" i="5"/>
  <c r="A55" i="5"/>
  <c r="A58" i="5"/>
  <c r="A61" i="5"/>
  <c r="A64" i="5"/>
  <c r="A67" i="5"/>
  <c r="A44" i="5"/>
  <c r="A47" i="5"/>
  <c r="A50" i="5"/>
  <c r="A53" i="5"/>
  <c r="A56" i="5"/>
  <c r="A59" i="5"/>
  <c r="A62" i="5"/>
  <c r="A65" i="5"/>
  <c r="A68" i="5"/>
  <c r="A45" i="5"/>
  <c r="A48" i="5"/>
  <c r="A51" i="5"/>
  <c r="A54" i="5"/>
  <c r="A57" i="5"/>
  <c r="A60" i="5"/>
  <c r="A63" i="5"/>
  <c r="A66" i="5"/>
  <c r="A69" i="5"/>
  <c r="A70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2" i="6"/>
  <c r="P14" i="6"/>
  <c r="P26" i="6"/>
  <c r="P2" i="6"/>
  <c r="B2" i="5"/>
  <c r="B3" i="5"/>
  <c r="H9" i="5"/>
  <c r="K9" i="5"/>
  <c r="C26" i="1"/>
  <c r="F26" i="1"/>
  <c r="C9" i="5"/>
  <c r="I9" i="5"/>
  <c r="L9" i="5"/>
  <c r="D26" i="1"/>
  <c r="G26" i="1"/>
  <c r="D9" i="5"/>
  <c r="J9" i="5"/>
  <c r="M9" i="5"/>
  <c r="H10" i="5"/>
  <c r="K10" i="5"/>
  <c r="C27" i="1"/>
  <c r="F27" i="1"/>
  <c r="C10" i="5"/>
  <c r="I10" i="5"/>
  <c r="L10" i="5"/>
  <c r="D27" i="1"/>
  <c r="G27" i="1"/>
  <c r="D10" i="5"/>
  <c r="J10" i="5"/>
  <c r="M10" i="5"/>
  <c r="C25" i="1"/>
  <c r="F25" i="1"/>
  <c r="C8" i="5"/>
  <c r="I8" i="5"/>
  <c r="L8" i="5"/>
  <c r="D25" i="1"/>
  <c r="G25" i="1"/>
  <c r="D8" i="5"/>
  <c r="J8" i="5"/>
  <c r="M8" i="5"/>
  <c r="H8" i="5"/>
  <c r="K8" i="5"/>
  <c r="F8" i="5"/>
  <c r="G8" i="5"/>
  <c r="F9" i="5"/>
  <c r="G9" i="5"/>
  <c r="F10" i="5"/>
  <c r="G10" i="5"/>
  <c r="E9" i="5"/>
  <c r="E10" i="5"/>
  <c r="E8" i="5"/>
  <c r="H6" i="1"/>
  <c r="E28" i="1"/>
  <c r="F28" i="1"/>
  <c r="G28" i="1"/>
  <c r="H26" i="1"/>
  <c r="I26" i="1"/>
  <c r="C6" i="2"/>
  <c r="J26" i="1"/>
  <c r="D6" i="2"/>
  <c r="H27" i="1"/>
  <c r="I27" i="1"/>
  <c r="C7" i="2"/>
  <c r="J27" i="1"/>
  <c r="D7" i="2"/>
  <c r="I6" i="1"/>
  <c r="H28" i="1"/>
  <c r="I28" i="1"/>
  <c r="C8" i="2"/>
  <c r="J28" i="1"/>
  <c r="D8" i="2"/>
  <c r="C9" i="2"/>
  <c r="D9" i="2"/>
  <c r="B30" i="1"/>
  <c r="H30" i="1"/>
  <c r="C30" i="1"/>
  <c r="I30" i="1"/>
  <c r="C10" i="2"/>
  <c r="D10" i="2"/>
  <c r="B31" i="1"/>
  <c r="H31" i="1"/>
  <c r="C31" i="1"/>
  <c r="I31" i="1"/>
  <c r="C11" i="2"/>
  <c r="D11" i="2"/>
  <c r="C12" i="2"/>
  <c r="D12" i="2"/>
  <c r="C13" i="2"/>
  <c r="D13" i="2"/>
  <c r="I25" i="1"/>
  <c r="C5" i="2"/>
  <c r="J25" i="1"/>
  <c r="D5" i="2"/>
  <c r="H25" i="1"/>
  <c r="E37" i="1"/>
  <c r="B44" i="1"/>
  <c r="D37" i="1"/>
  <c r="C44" i="1"/>
  <c r="F37" i="1"/>
  <c r="D44" i="1"/>
  <c r="K37" i="1"/>
  <c r="E44" i="1"/>
  <c r="G37" i="1"/>
  <c r="G44" i="1"/>
  <c r="H37" i="1"/>
  <c r="H44" i="1"/>
  <c r="E38" i="1"/>
  <c r="B45" i="1"/>
  <c r="D38" i="1"/>
  <c r="C45" i="1"/>
  <c r="F38" i="1"/>
  <c r="D45" i="1"/>
  <c r="K38" i="1"/>
  <c r="E45" i="1"/>
  <c r="G38" i="1"/>
  <c r="G45" i="1"/>
  <c r="H38" i="1"/>
  <c r="H45" i="1"/>
  <c r="E39" i="1"/>
  <c r="B46" i="1"/>
  <c r="D39" i="1"/>
  <c r="C46" i="1"/>
  <c r="F39" i="1"/>
  <c r="D46" i="1"/>
  <c r="K39" i="1"/>
  <c r="E46" i="1"/>
  <c r="G39" i="1"/>
  <c r="G46" i="1"/>
  <c r="H39" i="1"/>
  <c r="H46" i="1"/>
  <c r="E40" i="1"/>
  <c r="B47" i="1"/>
  <c r="D40" i="1"/>
  <c r="C47" i="1"/>
  <c r="F40" i="1"/>
  <c r="D47" i="1"/>
  <c r="K40" i="1"/>
  <c r="E47" i="1"/>
  <c r="G40" i="1"/>
  <c r="G47" i="1"/>
  <c r="H40" i="1"/>
  <c r="H47" i="1"/>
  <c r="H36" i="1"/>
  <c r="H43" i="1"/>
  <c r="G36" i="1"/>
  <c r="G43" i="1"/>
  <c r="K36" i="1"/>
  <c r="E43" i="1"/>
  <c r="F36" i="1"/>
  <c r="D43" i="1"/>
  <c r="D36" i="1"/>
  <c r="C43" i="1"/>
  <c r="E36" i="1"/>
  <c r="B43" i="1"/>
  <c r="J36" i="1"/>
  <c r="L36" i="1"/>
  <c r="J37" i="1"/>
  <c r="L37" i="1"/>
  <c r="J38" i="1"/>
  <c r="L38" i="1"/>
  <c r="J39" i="1"/>
  <c r="L39" i="1"/>
  <c r="J40" i="1"/>
  <c r="L40" i="1"/>
  <c r="I37" i="1"/>
  <c r="I38" i="1"/>
  <c r="I39" i="1"/>
  <c r="I40" i="1"/>
  <c r="I36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3" i="1"/>
  <c r="C28" i="1"/>
  <c r="D28" i="1"/>
  <c r="C29" i="1"/>
  <c r="D29" i="1"/>
  <c r="D30" i="1"/>
  <c r="D31" i="1"/>
  <c r="C32" i="1"/>
  <c r="D32" i="1"/>
  <c r="B28" i="1"/>
  <c r="B29" i="1"/>
  <c r="B32" i="1"/>
  <c r="R6" i="1"/>
  <c r="R7" i="1"/>
  <c r="R8" i="1"/>
  <c r="R9" i="1"/>
  <c r="R10" i="1"/>
  <c r="R11" i="1"/>
  <c r="K3" i="1"/>
  <c r="O25" i="1"/>
  <c r="P25" i="1"/>
  <c r="K4" i="1"/>
  <c r="O26" i="1"/>
  <c r="P26" i="1"/>
  <c r="K5" i="1"/>
  <c r="O27" i="1"/>
  <c r="P27" i="1"/>
  <c r="K6" i="1"/>
  <c r="O28" i="1"/>
  <c r="P28" i="1"/>
  <c r="K7" i="1"/>
  <c r="O29" i="1"/>
  <c r="P29" i="1"/>
  <c r="K8" i="1"/>
  <c r="O30" i="1"/>
  <c r="P30" i="1"/>
  <c r="K9" i="1"/>
  <c r="O31" i="1"/>
  <c r="P31" i="1"/>
  <c r="K10" i="1"/>
  <c r="O32" i="1"/>
  <c r="P32" i="1"/>
  <c r="N26" i="1"/>
  <c r="N27" i="1"/>
  <c r="N28" i="1"/>
  <c r="N29" i="1"/>
  <c r="N30" i="1"/>
  <c r="N31" i="1"/>
  <c r="N32" i="1"/>
  <c r="N25" i="1"/>
  <c r="J3" i="1"/>
  <c r="L25" i="1"/>
  <c r="M25" i="1"/>
  <c r="J4" i="1"/>
  <c r="L26" i="1"/>
  <c r="M26" i="1"/>
  <c r="J5" i="1"/>
  <c r="L27" i="1"/>
  <c r="M27" i="1"/>
  <c r="J6" i="1"/>
  <c r="L28" i="1"/>
  <c r="M28" i="1"/>
  <c r="J7" i="1"/>
  <c r="L29" i="1"/>
  <c r="M29" i="1"/>
  <c r="J8" i="1"/>
  <c r="L30" i="1"/>
  <c r="M30" i="1"/>
  <c r="J9" i="1"/>
  <c r="L31" i="1"/>
  <c r="M31" i="1"/>
  <c r="J10" i="1"/>
  <c r="L32" i="1"/>
  <c r="M32" i="1"/>
  <c r="K26" i="1"/>
  <c r="K27" i="1"/>
  <c r="K28" i="1"/>
  <c r="K29" i="1"/>
  <c r="K30" i="1"/>
  <c r="K31" i="1"/>
  <c r="K32" i="1"/>
  <c r="K25" i="1"/>
  <c r="K11" i="1"/>
  <c r="J11" i="1"/>
  <c r="H4" i="1"/>
  <c r="H5" i="1"/>
  <c r="H7" i="1"/>
  <c r="H8" i="1"/>
  <c r="H9" i="1"/>
  <c r="H10" i="1"/>
  <c r="I4" i="1"/>
  <c r="I5" i="1"/>
  <c r="I7" i="1"/>
  <c r="I8" i="1"/>
  <c r="I9" i="1"/>
  <c r="I10" i="1"/>
  <c r="I11" i="1"/>
  <c r="I3" i="1"/>
  <c r="I29" i="1"/>
  <c r="J29" i="1"/>
  <c r="J30" i="1"/>
  <c r="J31" i="1"/>
  <c r="I32" i="1"/>
  <c r="J32" i="1"/>
  <c r="H29" i="1"/>
  <c r="H32" i="1"/>
  <c r="E29" i="1"/>
  <c r="F29" i="1"/>
  <c r="G29" i="1"/>
  <c r="E30" i="1"/>
  <c r="F30" i="1"/>
  <c r="G30" i="1"/>
  <c r="E31" i="1"/>
  <c r="F31" i="1"/>
  <c r="G31" i="1"/>
  <c r="E32" i="1"/>
  <c r="F32" i="1"/>
  <c r="G32" i="1"/>
  <c r="H3" i="1"/>
  <c r="U23" i="3"/>
  <c r="T25" i="3"/>
  <c r="T24" i="3"/>
  <c r="T23" i="3"/>
  <c r="V19" i="3"/>
  <c r="V20" i="3"/>
  <c r="V18" i="3"/>
  <c r="U19" i="3"/>
  <c r="U20" i="3"/>
  <c r="U18" i="3"/>
  <c r="K19" i="3"/>
  <c r="R19" i="3"/>
  <c r="P19" i="3"/>
  <c r="S19" i="3"/>
  <c r="R20" i="3"/>
  <c r="P20" i="3"/>
  <c r="S20" i="3"/>
  <c r="N18" i="3"/>
  <c r="R18" i="3"/>
  <c r="P18" i="3"/>
  <c r="S18" i="3"/>
  <c r="K21" i="3"/>
  <c r="J11" i="3"/>
  <c r="J10" i="3"/>
  <c r="J9" i="3"/>
  <c r="J7" i="3"/>
  <c r="J6" i="3"/>
  <c r="E32" i="3"/>
  <c r="E22" i="3"/>
  <c r="E12" i="3"/>
</calcChain>
</file>

<file path=xl/sharedStrings.xml><?xml version="1.0" encoding="utf-8"?>
<sst xmlns="http://schemas.openxmlformats.org/spreadsheetml/2006/main" count="1108" uniqueCount="421">
  <si>
    <t>属性分类</t>
    <rPh sb="0" eb="1">
      <t>shu'xign</t>
    </rPh>
    <rPh sb="2" eb="3">
      <t>fen'lei</t>
    </rPh>
    <phoneticPr fontId="2" type="noConversion"/>
  </si>
  <si>
    <t>基础属性占比</t>
    <rPh sb="0" eb="1">
      <t>ji'chu</t>
    </rPh>
    <rPh sb="2" eb="3">
      <t>shu'xing</t>
    </rPh>
    <rPh sb="4" eb="5">
      <t>zhan'bi</t>
    </rPh>
    <phoneticPr fontId="2" type="noConversion"/>
  </si>
  <si>
    <t>卡牌</t>
    <rPh sb="0" eb="1">
      <t>ka'pai</t>
    </rPh>
    <phoneticPr fontId="2" type="noConversion"/>
  </si>
  <si>
    <t>装备</t>
    <rPh sb="0" eb="1">
      <t>zhuang'bei</t>
    </rPh>
    <phoneticPr fontId="2" type="noConversion"/>
  </si>
  <si>
    <t>羁绊</t>
    <rPh sb="0" eb="1">
      <t>ji'ban</t>
    </rPh>
    <phoneticPr fontId="2" type="noConversion"/>
  </si>
  <si>
    <t>专属装备</t>
    <rPh sb="0" eb="1">
      <t>zhuan'shu</t>
    </rPh>
    <rPh sb="2" eb="3">
      <t>zhuang'bei</t>
    </rPh>
    <phoneticPr fontId="2" type="noConversion"/>
  </si>
  <si>
    <t>生命</t>
    <rPh sb="0" eb="1">
      <t>sheng'ming</t>
    </rPh>
    <phoneticPr fontId="2" type="noConversion"/>
  </si>
  <si>
    <t>攻击</t>
    <rPh sb="0" eb="1">
      <t>gong'ji</t>
    </rPh>
    <phoneticPr fontId="2" type="noConversion"/>
  </si>
  <si>
    <t>防御</t>
    <rPh sb="0" eb="1">
      <t>fang'yu</t>
    </rPh>
    <phoneticPr fontId="2" type="noConversion"/>
  </si>
  <si>
    <t>暴击</t>
    <rPh sb="0" eb="1">
      <t>bao'ji</t>
    </rPh>
    <phoneticPr fontId="2" type="noConversion"/>
  </si>
  <si>
    <t>暴击抵抗</t>
    <rPh sb="0" eb="1">
      <t>bao'ji</t>
    </rPh>
    <rPh sb="2" eb="3">
      <t>di'kang</t>
    </rPh>
    <phoneticPr fontId="2" type="noConversion"/>
  </si>
  <si>
    <t>伤害减免</t>
    <rPh sb="0" eb="1">
      <t>shang'hai</t>
    </rPh>
    <rPh sb="2" eb="3">
      <t>jian'mian</t>
    </rPh>
    <phoneticPr fontId="2" type="noConversion"/>
  </si>
  <si>
    <t>初始怒气</t>
    <rPh sb="0" eb="1">
      <t>chu'shi</t>
    </rPh>
    <rPh sb="2" eb="3">
      <t>nu'qi</t>
    </rPh>
    <phoneticPr fontId="2" type="noConversion"/>
  </si>
  <si>
    <t>卡牌初始怒气固定为50点</t>
    <rPh sb="0" eb="1">
      <t>ka'pai</t>
    </rPh>
    <rPh sb="2" eb="3">
      <t>chu'shi</t>
    </rPh>
    <rPh sb="4" eb="5">
      <t>nu'qi</t>
    </rPh>
    <rPh sb="6" eb="7">
      <t>gu'ding</t>
    </rPh>
    <rPh sb="8" eb="9">
      <t>wei</t>
    </rPh>
    <rPh sb="11" eb="12">
      <t>dian</t>
    </rPh>
    <phoneticPr fontId="2" type="noConversion"/>
  </si>
  <si>
    <t>力量</t>
    <rPh sb="0" eb="1">
      <t>li'liang</t>
    </rPh>
    <phoneticPr fontId="2" type="noConversion"/>
  </si>
  <si>
    <t>敏捷</t>
    <rPh sb="0" eb="1">
      <t>min'jie</t>
    </rPh>
    <phoneticPr fontId="2" type="noConversion"/>
  </si>
  <si>
    <t>智力</t>
    <rPh sb="0" eb="1">
      <t>zhi'li</t>
    </rPh>
    <phoneticPr fontId="2" type="noConversion"/>
  </si>
  <si>
    <t>卡牌属性</t>
    <rPh sb="0" eb="1">
      <t>ka'pai</t>
    </rPh>
    <rPh sb="2" eb="3">
      <t>shu'xing</t>
    </rPh>
    <phoneticPr fontId="2" type="noConversion"/>
  </si>
  <si>
    <t>装备属性</t>
    <rPh sb="0" eb="1">
      <t>zhuang'bei</t>
    </rPh>
    <rPh sb="2" eb="3">
      <t>shu'xing</t>
    </rPh>
    <phoneticPr fontId="2" type="noConversion"/>
  </si>
  <si>
    <t>羁绊属性</t>
    <rPh sb="0" eb="1">
      <t>ji'ban</t>
    </rPh>
    <rPh sb="2" eb="3">
      <t>shu'xing</t>
    </rPh>
    <phoneticPr fontId="2" type="noConversion"/>
  </si>
  <si>
    <t>标准卡</t>
  </si>
  <si>
    <t>总属性</t>
    <rPh sb="0" eb="1">
      <t>zong</t>
    </rPh>
    <rPh sb="1" eb="2">
      <t>shu'xing</t>
    </rPh>
    <phoneticPr fontId="2" type="noConversion"/>
  </si>
  <si>
    <t>卡牌具有固定的5%初始暴击</t>
    <rPh sb="0" eb="1">
      <t>ka'p</t>
    </rPh>
    <rPh sb="2" eb="3">
      <t>ju'you</t>
    </rPh>
    <rPh sb="4" eb="5">
      <t>gu'ding</t>
    </rPh>
    <rPh sb="6" eb="7">
      <t>d</t>
    </rPh>
    <rPh sb="9" eb="10">
      <t>chu'shi</t>
    </rPh>
    <rPh sb="11" eb="12">
      <t>bao'ji</t>
    </rPh>
    <phoneticPr fontId="2" type="noConversion"/>
  </si>
  <si>
    <t>羁绊属性</t>
    <rPh sb="0" eb="1">
      <t>ji'ban</t>
    </rPh>
    <rPh sb="2" eb="3">
      <t>shu'xign</t>
    </rPh>
    <phoneticPr fontId="2" type="noConversion"/>
  </si>
  <si>
    <t>不同的羁绊为卡牌增加的属性不一样</t>
    <rPh sb="0" eb="1">
      <t>bu'tong</t>
    </rPh>
    <rPh sb="2" eb="3">
      <t>d</t>
    </rPh>
    <rPh sb="3" eb="4">
      <t>ji'ban</t>
    </rPh>
    <rPh sb="5" eb="6">
      <t>wei</t>
    </rPh>
    <rPh sb="6" eb="7">
      <t>ka'pai</t>
    </rPh>
    <rPh sb="8" eb="9">
      <t>zeng'jia</t>
    </rPh>
    <rPh sb="10" eb="11">
      <t>d</t>
    </rPh>
    <rPh sb="11" eb="12">
      <t>shu'xign</t>
    </rPh>
    <rPh sb="13" eb="14">
      <t>bu'yi'yagn</t>
    </rPh>
    <phoneticPr fontId="2" type="noConversion"/>
  </si>
  <si>
    <t>羁绊属性分3档，1档加固定值，2档加副属性和少量百分比，3挡加百分比属性</t>
    <rPh sb="0" eb="1">
      <t>ji'ban</t>
    </rPh>
    <rPh sb="2" eb="3">
      <t>shu'xing</t>
    </rPh>
    <rPh sb="4" eb="5">
      <t>fen</t>
    </rPh>
    <rPh sb="6" eb="7">
      <t>dang</t>
    </rPh>
    <rPh sb="9" eb="10">
      <t>dang</t>
    </rPh>
    <rPh sb="10" eb="11">
      <t>jia</t>
    </rPh>
    <rPh sb="11" eb="12">
      <t>gu'ding'zhi</t>
    </rPh>
    <rPh sb="16" eb="17">
      <t>dang</t>
    </rPh>
    <rPh sb="17" eb="18">
      <t>jia</t>
    </rPh>
    <rPh sb="18" eb="19">
      <t>fu'shu'xign</t>
    </rPh>
    <rPh sb="21" eb="22">
      <t>he</t>
    </rPh>
    <rPh sb="22" eb="23">
      <t>shao'laing</t>
    </rPh>
    <rPh sb="24" eb="25">
      <t>bai'fen'bi</t>
    </rPh>
    <rPh sb="29" eb="30">
      <t>dang</t>
    </rPh>
    <rPh sb="30" eb="31">
      <t>jia</t>
    </rPh>
    <rPh sb="31" eb="32">
      <t>bai'fen'bi</t>
    </rPh>
    <rPh sb="34" eb="35">
      <t>shu'xing</t>
    </rPh>
    <phoneticPr fontId="2" type="noConversion"/>
  </si>
  <si>
    <t>属性来源</t>
    <rPh sb="0" eb="1">
      <t>shu'xing</t>
    </rPh>
    <rPh sb="2" eb="3">
      <t>lai'yuan</t>
    </rPh>
    <phoneticPr fontId="2" type="noConversion"/>
  </si>
  <si>
    <t>卡牌基础属性值*(1+专属装备加成+羁绊加成)+装备属性值+羁绊属性值+专属装备属性值</t>
    <rPh sb="0" eb="1">
      <t>ka'pai</t>
    </rPh>
    <rPh sb="2" eb="3">
      <t>ji'chu</t>
    </rPh>
    <rPh sb="4" eb="5">
      <t>shu'xing</t>
    </rPh>
    <rPh sb="6" eb="7">
      <t>zhi</t>
    </rPh>
    <rPh sb="11" eb="12">
      <t>zhuan'shu'zhuang'bei</t>
    </rPh>
    <rPh sb="15" eb="16">
      <t>jia'cheng</t>
    </rPh>
    <rPh sb="18" eb="19">
      <t>ji'ban</t>
    </rPh>
    <rPh sb="20" eb="21">
      <t>jia'cheng</t>
    </rPh>
    <rPh sb="24" eb="25">
      <t>zhuang'bei</t>
    </rPh>
    <rPh sb="26" eb="27">
      <t>shu'xign</t>
    </rPh>
    <rPh sb="28" eb="29">
      <t>zhi</t>
    </rPh>
    <rPh sb="30" eb="31">
      <t>ji'ban</t>
    </rPh>
    <rPh sb="32" eb="33">
      <t>shu'xign</t>
    </rPh>
    <rPh sb="34" eb="35">
      <t>zhi</t>
    </rPh>
    <rPh sb="36" eb="37">
      <t>zhuan'shu</t>
    </rPh>
    <rPh sb="38" eb="39">
      <t>zhuang'bei</t>
    </rPh>
    <rPh sb="40" eb="41">
      <t>shu'xing'zhi</t>
    </rPh>
    <phoneticPr fontId="2" type="noConversion"/>
  </si>
  <si>
    <t>开启</t>
    <rPh sb="0" eb="1">
      <t>kai'qi</t>
    </rPh>
    <phoneticPr fontId="2" type="noConversion"/>
  </si>
  <si>
    <t>紫</t>
    <rPh sb="0" eb="1">
      <t>zi</t>
    </rPh>
    <phoneticPr fontId="2" type="noConversion"/>
  </si>
  <si>
    <t>黄</t>
    <rPh sb="0" eb="1">
      <t>huang</t>
    </rPh>
    <phoneticPr fontId="2" type="noConversion"/>
  </si>
  <si>
    <t>红</t>
    <rPh sb="0" eb="1">
      <t>hong</t>
    </rPh>
    <phoneticPr fontId="2" type="noConversion"/>
  </si>
  <si>
    <t>17章后|巅峰王座</t>
    <rPh sb="2" eb="3">
      <t>zhang</t>
    </rPh>
    <rPh sb="3" eb="4">
      <t>hou</t>
    </rPh>
    <rPh sb="5" eb="6">
      <t>dian'feng</t>
    </rPh>
    <rPh sb="7" eb="8">
      <t>wang'zuo</t>
    </rPh>
    <phoneticPr fontId="2" type="noConversion"/>
  </si>
  <si>
    <t>18章后|巅峰王座</t>
    <rPh sb="2" eb="3">
      <t>zhang</t>
    </rPh>
    <rPh sb="3" eb="4">
      <t>hou</t>
    </rPh>
    <phoneticPr fontId="2" type="noConversion"/>
  </si>
  <si>
    <t>19章后|巅峰王座</t>
    <rPh sb="2" eb="3">
      <t>zhang</t>
    </rPh>
    <rPh sb="3" eb="4">
      <t>hou</t>
    </rPh>
    <phoneticPr fontId="2" type="noConversion"/>
  </si>
  <si>
    <t>强化等级</t>
    <rPh sb="0" eb="1">
      <t>qiang'hua</t>
    </rPh>
    <rPh sb="2" eb="3">
      <t>deng'ji</t>
    </rPh>
    <phoneticPr fontId="2" type="noConversion"/>
  </si>
  <si>
    <t>材料</t>
    <rPh sb="0" eb="1">
      <t>cia'liao</t>
    </rPh>
    <phoneticPr fontId="2" type="noConversion"/>
  </si>
  <si>
    <t>数量</t>
    <rPh sb="0" eb="1">
      <t>shu'liang</t>
    </rPh>
    <phoneticPr fontId="2" type="noConversion"/>
  </si>
  <si>
    <t>属性加成</t>
    <rPh sb="0" eb="1">
      <t>shu'xing</t>
    </rPh>
    <rPh sb="2" eb="3">
      <t>jia'cheng</t>
    </rPh>
    <phoneticPr fontId="2" type="noConversion"/>
  </si>
  <si>
    <t>吸血</t>
    <rPh sb="0" eb="1">
      <t>xi'xue</t>
    </rPh>
    <phoneticPr fontId="2" type="noConversion"/>
  </si>
  <si>
    <t>攻击</t>
    <rPh sb="0" eb="1">
      <t>ogng'ji</t>
    </rPh>
    <phoneticPr fontId="2" type="noConversion"/>
  </si>
  <si>
    <t>生命</t>
    <rPh sb="0" eb="1">
      <t>sheng'm</t>
    </rPh>
    <phoneticPr fontId="2" type="noConversion"/>
  </si>
  <si>
    <t>命中</t>
    <rPh sb="0" eb="1">
      <t>m'z</t>
    </rPh>
    <phoneticPr fontId="2" type="noConversion"/>
  </si>
  <si>
    <t>闪避</t>
    <rPh sb="0" eb="1">
      <t>shan'bi</t>
    </rPh>
    <phoneticPr fontId="2" type="noConversion"/>
  </si>
  <si>
    <t>急速</t>
    <rPh sb="0" eb="1">
      <t>ji'su</t>
    </rPh>
    <phoneticPr fontId="2" type="noConversion"/>
  </si>
  <si>
    <t>回复</t>
    <rPh sb="0" eb="1">
      <t>hui'fu</t>
    </rPh>
    <phoneticPr fontId="2" type="noConversion"/>
  </si>
  <si>
    <t>魔法减伤</t>
    <rPh sb="0" eb="1">
      <t>mo'fa</t>
    </rPh>
    <rPh sb="2" eb="3">
      <t>jian'shang</t>
    </rPh>
    <phoneticPr fontId="2" type="noConversion"/>
  </si>
  <si>
    <t>物理减伤</t>
    <rPh sb="0" eb="1">
      <t>wu'li</t>
    </rPh>
    <rPh sb="2" eb="3">
      <t>jian'shang</t>
    </rPh>
    <phoneticPr fontId="2" type="noConversion"/>
  </si>
  <si>
    <t>紫1</t>
    <rPh sb="0" eb="1">
      <t>zi</t>
    </rPh>
    <phoneticPr fontId="2" type="noConversion"/>
  </si>
  <si>
    <t>贝琳达</t>
    <rPh sb="0" eb="1">
      <t>bei'lin'da</t>
    </rPh>
    <phoneticPr fontId="2" type="noConversion"/>
  </si>
  <si>
    <t>蛮血战神</t>
    <phoneticPr fontId="2" type="noConversion"/>
  </si>
  <si>
    <t>命中</t>
    <rPh sb="0" eb="1">
      <t>ming'z</t>
    </rPh>
    <phoneticPr fontId="2" type="noConversion"/>
  </si>
  <si>
    <t>吸血等级</t>
    <rPh sb="0" eb="1">
      <t>xi'xue</t>
    </rPh>
    <rPh sb="2" eb="3">
      <t>deng'ji</t>
    </rPh>
    <phoneticPr fontId="2" type="noConversion"/>
  </si>
  <si>
    <t>无畏之锋</t>
    <rPh sb="0" eb="1">
      <t>wu'wei'zhi'feng</t>
    </rPh>
    <rPh sb="3" eb="4">
      <t>feng</t>
    </rPh>
    <phoneticPr fontId="2" type="noConversion"/>
  </si>
  <si>
    <t>力量</t>
    <rPh sb="0" eb="1">
      <t>li'l</t>
    </rPh>
    <phoneticPr fontId="2" type="noConversion"/>
  </si>
  <si>
    <t>暴击率</t>
    <rPh sb="0" eb="1">
      <t>bao'ji</t>
    </rPh>
    <rPh sb="2" eb="3">
      <t>lv</t>
    </rPh>
    <phoneticPr fontId="2" type="noConversion"/>
  </si>
  <si>
    <t>送葬者</t>
    <rPh sb="0" eb="1">
      <t>song'zang'zhe</t>
    </rPh>
    <phoneticPr fontId="2" type="noConversion"/>
  </si>
  <si>
    <t>剑舞忍者</t>
    <rPh sb="0" eb="1">
      <t>jian'wu</t>
    </rPh>
    <rPh sb="2" eb="3">
      <t>ren'zhe</t>
    </rPh>
    <phoneticPr fontId="2" type="noConversion"/>
  </si>
  <si>
    <t>摄魂恐魔</t>
    <rPh sb="0" eb="1">
      <t>she'hun'kong'mo</t>
    </rPh>
    <phoneticPr fontId="2" type="noConversion"/>
  </si>
  <si>
    <t>专属装备为卡牌的加成各不相同</t>
    <rPh sb="0" eb="1">
      <t>zhuan'shu</t>
    </rPh>
    <rPh sb="2" eb="3">
      <t>zhuang'bei</t>
    </rPh>
    <rPh sb="4" eb="5">
      <t>wei</t>
    </rPh>
    <rPh sb="5" eb="6">
      <t>ka'pai</t>
    </rPh>
    <rPh sb="7" eb="8">
      <t>d</t>
    </rPh>
    <rPh sb="8" eb="9">
      <t>jia'chegn</t>
    </rPh>
    <rPh sb="10" eb="11">
      <t>ge'bu'xiang'tong</t>
    </rPh>
    <phoneticPr fontId="2" type="noConversion"/>
  </si>
  <si>
    <t>百分比加成(基于卡牌)</t>
    <rPh sb="0" eb="1">
      <t>bai'fen'bi</t>
    </rPh>
    <rPh sb="3" eb="4">
      <t>jia'cheng</t>
    </rPh>
    <rPh sb="6" eb="7">
      <t>ji'yu</t>
    </rPh>
    <rPh sb="8" eb="9">
      <t>ka'pai</t>
    </rPh>
    <phoneticPr fontId="2" type="noConversion"/>
  </si>
  <si>
    <t>实际占比</t>
    <rPh sb="0" eb="1">
      <t>shi'ji</t>
    </rPh>
    <rPh sb="2" eb="3">
      <t>zhan'bi</t>
    </rPh>
    <phoneticPr fontId="2" type="noConversion"/>
  </si>
  <si>
    <t>暴击伤害</t>
  </si>
  <si>
    <t>暴击伤害</t>
    <rPh sb="0" eb="1">
      <t>bao'ji</t>
    </rPh>
    <rPh sb="2" eb="3">
      <t>shang'hai</t>
    </rPh>
    <phoneticPr fontId="2" type="noConversion"/>
  </si>
  <si>
    <t>精准率</t>
  </si>
  <si>
    <t>精准率</t>
    <rPh sb="0" eb="1">
      <t>jing'zhun'lv</t>
    </rPh>
    <phoneticPr fontId="2" type="noConversion"/>
  </si>
  <si>
    <t>格挡率</t>
  </si>
  <si>
    <t>格挡率</t>
    <rPh sb="0" eb="1">
      <t>ge'dang</t>
    </rPh>
    <phoneticPr fontId="2" type="noConversion"/>
  </si>
  <si>
    <t>强攻</t>
  </si>
  <si>
    <t>强攻</t>
    <rPh sb="0" eb="1">
      <t>qiang'gong</t>
    </rPh>
    <phoneticPr fontId="2" type="noConversion"/>
  </si>
  <si>
    <t>灵巧</t>
  </si>
  <si>
    <t>灵巧</t>
    <rPh sb="0" eb="1">
      <t>lign'qiao</t>
    </rPh>
    <phoneticPr fontId="2" type="noConversion"/>
  </si>
  <si>
    <t>策略</t>
  </si>
  <si>
    <t>策略</t>
    <rPh sb="0" eb="1">
      <t>ce'lue</t>
    </rPh>
    <phoneticPr fontId="2" type="noConversion"/>
  </si>
  <si>
    <t>职业属性分配</t>
    <rPh sb="0" eb="1">
      <t>zhi'ye</t>
    </rPh>
    <rPh sb="2" eb="3">
      <t>shu'xing</t>
    </rPh>
    <rPh sb="4" eb="5">
      <t>fen'pei</t>
    </rPh>
    <phoneticPr fontId="2" type="noConversion"/>
  </si>
  <si>
    <t>标准</t>
    <rPh sb="0" eb="1">
      <t>biao'zhun</t>
    </rPh>
    <phoneticPr fontId="2" type="noConversion"/>
  </si>
  <si>
    <t>标准属性值</t>
    <rPh sb="0" eb="1">
      <t>biao'zhun</t>
    </rPh>
    <rPh sb="2" eb="3">
      <t>shu'xign</t>
    </rPh>
    <rPh sb="4" eb="5">
      <t>zhi</t>
    </rPh>
    <phoneticPr fontId="2" type="noConversion"/>
  </si>
  <si>
    <t>灵巧</t>
    <rPh sb="0" eb="1">
      <t>ling'qiao</t>
    </rPh>
    <phoneticPr fontId="2" type="noConversion"/>
  </si>
  <si>
    <t>基础固有值</t>
    <rPh sb="0" eb="1">
      <t>ji'chu</t>
    </rPh>
    <rPh sb="2" eb="3">
      <t>gu'you'zhi</t>
    </rPh>
    <rPh sb="4" eb="5">
      <t>zhi</t>
    </rPh>
    <phoneticPr fontId="2" type="noConversion"/>
  </si>
  <si>
    <t>分配值</t>
    <rPh sb="0" eb="1">
      <t>fen'pei'zhi</t>
    </rPh>
    <rPh sb="2" eb="3">
      <t>zhi</t>
    </rPh>
    <phoneticPr fontId="2" type="noConversion"/>
  </si>
  <si>
    <t>属性设定</t>
    <rPh sb="0" eb="1">
      <t>shu'xing</t>
    </rPh>
    <rPh sb="2" eb="3">
      <t>she'ding</t>
    </rPh>
    <phoneticPr fontId="2" type="noConversion"/>
  </si>
  <si>
    <t>无证骑士</t>
    <phoneticPr fontId="2" type="noConversion"/>
  </si>
  <si>
    <t>山猿</t>
    <rPh sb="0" eb="1">
      <t>shan'yuan</t>
    </rPh>
    <phoneticPr fontId="2" type="noConversion"/>
  </si>
  <si>
    <t>螳螂男</t>
    <phoneticPr fontId="2" type="noConversion"/>
  </si>
  <si>
    <t>睫毛</t>
    <rPh sb="0" eb="1">
      <t>jie'mao</t>
    </rPh>
    <phoneticPr fontId="2" type="noConversion"/>
  </si>
  <si>
    <t>三节棍莉莉</t>
    <phoneticPr fontId="2" type="noConversion"/>
  </si>
  <si>
    <t>模型</t>
    <rPh sb="0" eb="1">
      <t>mo'xing</t>
    </rPh>
    <phoneticPr fontId="2" type="noConversion"/>
  </si>
  <si>
    <t>偏移</t>
    <rPh sb="0" eb="1">
      <t>pian'yi</t>
    </rPh>
    <phoneticPr fontId="2" type="noConversion"/>
  </si>
  <si>
    <t>伤害减免</t>
  </si>
  <si>
    <t>初始怒气</t>
  </si>
  <si>
    <t>攻击</t>
  </si>
  <si>
    <t>生命</t>
  </si>
  <si>
    <t>防御</t>
  </si>
  <si>
    <t>暴击</t>
  </si>
  <si>
    <t>格挡率</t>
    <phoneticPr fontId="2" type="noConversion"/>
  </si>
  <si>
    <t>格挡率</t>
    <rPh sb="0" eb="1">
      <t>ge'dang'lv</t>
    </rPh>
    <phoneticPr fontId="2" type="noConversion"/>
  </si>
  <si>
    <t>贯穿</t>
    <rPh sb="0" eb="1">
      <t>guan'chuan</t>
    </rPh>
    <phoneticPr fontId="2" type="noConversion"/>
  </si>
  <si>
    <t>效果命中</t>
    <rPh sb="0" eb="1">
      <t>xiao'guo</t>
    </rPh>
    <rPh sb="2" eb="3">
      <t>ming'z</t>
    </rPh>
    <phoneticPr fontId="2" type="noConversion"/>
  </si>
  <si>
    <t>效果抵抗</t>
    <rPh sb="0" eb="1">
      <t>xiao'guo</t>
    </rPh>
    <rPh sb="2" eb="3">
      <t>di'k</t>
    </rPh>
    <phoneticPr fontId="2" type="noConversion"/>
  </si>
  <si>
    <t>先攻</t>
    <rPh sb="0" eb="1">
      <t>xian'gong</t>
    </rPh>
    <phoneticPr fontId="2" type="noConversion"/>
  </si>
  <si>
    <t>坚毅</t>
    <rPh sb="0" eb="1">
      <t>jian'yi</t>
    </rPh>
    <phoneticPr fontId="2" type="noConversion"/>
  </si>
  <si>
    <t>装备属性</t>
    <rPh sb="0" eb="1">
      <t>zhuang'bei</t>
    </rPh>
    <phoneticPr fontId="2" type="noConversion"/>
  </si>
  <si>
    <t>属性</t>
    <rPh sb="0" eb="1">
      <t>shu'xing</t>
    </rPh>
    <phoneticPr fontId="2" type="noConversion"/>
  </si>
  <si>
    <t>总值</t>
    <rPh sb="0" eb="1">
      <t>zong'zhi</t>
    </rPh>
    <phoneticPr fontId="2" type="noConversion"/>
  </si>
  <si>
    <t>强攻装备属性比例</t>
    <rPh sb="0" eb="1">
      <t>qiang'gong</t>
    </rPh>
    <rPh sb="2" eb="3">
      <t>zhuang'bei</t>
    </rPh>
    <rPh sb="4" eb="5">
      <t>shu'xing</t>
    </rPh>
    <rPh sb="6" eb="7">
      <t>bi'li</t>
    </rPh>
    <phoneticPr fontId="2" type="noConversion"/>
  </si>
  <si>
    <t>武器</t>
    <rPh sb="0" eb="1">
      <t>wu'qi</t>
    </rPh>
    <phoneticPr fontId="2" type="noConversion"/>
  </si>
  <si>
    <t>护甲</t>
    <rPh sb="0" eb="1">
      <t>hu'jia</t>
    </rPh>
    <phoneticPr fontId="2" type="noConversion"/>
  </si>
  <si>
    <t>头盔</t>
    <rPh sb="0" eb="1">
      <t>tou'kui</t>
    </rPh>
    <phoneticPr fontId="2" type="noConversion"/>
  </si>
  <si>
    <t>鞋子</t>
    <rPh sb="0" eb="1">
      <t>xie'zi</t>
    </rPh>
    <phoneticPr fontId="2" type="noConversion"/>
  </si>
  <si>
    <t>灵巧装备属性比例</t>
    <rPh sb="0" eb="1">
      <t>ling'qiao</t>
    </rPh>
    <rPh sb="2" eb="3">
      <t>zhuang'bei</t>
    </rPh>
    <rPh sb="4" eb="5">
      <t>shu'xing</t>
    </rPh>
    <rPh sb="6" eb="7">
      <t>bi'li</t>
    </rPh>
    <phoneticPr fontId="2" type="noConversion"/>
  </si>
  <si>
    <t>策略装备属性比例</t>
    <rPh sb="0" eb="1">
      <t>ce'lue</t>
    </rPh>
    <rPh sb="2" eb="3">
      <t>zhuang'bei</t>
    </rPh>
    <rPh sb="4" eb="5">
      <t>shu'xing</t>
    </rPh>
    <rPh sb="6" eb="7">
      <t>bi'li</t>
    </rPh>
    <phoneticPr fontId="2" type="noConversion"/>
  </si>
  <si>
    <t>测试数据</t>
    <rPh sb="0" eb="1">
      <t>ce'shi</t>
    </rPh>
    <rPh sb="2" eb="3">
      <t>shu'ju</t>
    </rPh>
    <phoneticPr fontId="2" type="noConversion"/>
  </si>
  <si>
    <t/>
  </si>
  <si>
    <t>基础属性</t>
    <rPh sb="0" eb="1">
      <t>ji'chu</t>
    </rPh>
    <rPh sb="2" eb="3">
      <t>shu'xing</t>
    </rPh>
    <phoneticPr fontId="2" type="noConversion"/>
  </si>
  <si>
    <t>成长属性占比</t>
    <rPh sb="0" eb="1">
      <t>cheng'zhang</t>
    </rPh>
    <rPh sb="2" eb="3">
      <t>shu'xing</t>
    </rPh>
    <rPh sb="4" eb="5">
      <t>zhan'bi</t>
    </rPh>
    <phoneticPr fontId="2" type="noConversion"/>
  </si>
  <si>
    <t>成长属性</t>
    <rPh sb="0" eb="1">
      <t>cheng'zhang</t>
    </rPh>
    <rPh sb="2" eb="3">
      <t>shu'xing</t>
    </rPh>
    <phoneticPr fontId="2" type="noConversion"/>
  </si>
  <si>
    <t>成长值</t>
    <rPh sb="0" eb="1">
      <t>cheng'zhang'zhi</t>
    </rPh>
    <phoneticPr fontId="2" type="noConversion"/>
  </si>
  <si>
    <t>总等级</t>
    <rPh sb="0" eb="1">
      <t>zong'deng'ji</t>
    </rPh>
    <phoneticPr fontId="2" type="noConversion"/>
  </si>
  <si>
    <t>到达240级后，减伤问题，跟等级挂钩</t>
    <rPh sb="0" eb="1">
      <t>dao'da</t>
    </rPh>
    <rPh sb="5" eb="6">
      <t>ji</t>
    </rPh>
    <rPh sb="6" eb="7">
      <t>hou</t>
    </rPh>
    <rPh sb="8" eb="9">
      <t>jian'shang</t>
    </rPh>
    <rPh sb="10" eb="11">
      <t>wen'ti</t>
    </rPh>
    <rPh sb="13" eb="14">
      <t>gen</t>
    </rPh>
    <rPh sb="14" eb="15">
      <t>deng'ji</t>
    </rPh>
    <rPh sb="16" eb="17">
      <t>gua'gou</t>
    </rPh>
    <phoneticPr fontId="2" type="noConversion"/>
  </si>
  <si>
    <t>伤害公式</t>
    <rPh sb="0" eb="1">
      <t>shang'hai</t>
    </rPh>
    <rPh sb="2" eb="3">
      <t>gong'shi</t>
    </rPh>
    <phoneticPr fontId="2" type="noConversion"/>
  </si>
  <si>
    <t>=攻击*减伤系数</t>
    <rPh sb="2" eb="3">
      <t>gong'ji</t>
    </rPh>
    <rPh sb="5" eb="6">
      <t>jian'shang</t>
    </rPh>
    <rPh sb="7" eb="8">
      <t>xi'shu</t>
    </rPh>
    <phoneticPr fontId="2" type="noConversion"/>
  </si>
  <si>
    <t>减伤系数</t>
    <rPh sb="0" eb="1">
      <t>jian'shang</t>
    </rPh>
    <rPh sb="2" eb="3">
      <t>xi'shu</t>
    </rPh>
    <phoneticPr fontId="2" type="noConversion"/>
  </si>
  <si>
    <t>=防御/（防御+防御参数+等级系数）</t>
    <rPh sb="2" eb="3">
      <t>fang'yu</t>
    </rPh>
    <rPh sb="6" eb="7">
      <t>fang'yu</t>
    </rPh>
    <rPh sb="8" eb="9">
      <t>fang'yu</t>
    </rPh>
    <rPh sb="10" eb="11">
      <t>can'shu</t>
    </rPh>
    <rPh sb="14" eb="15">
      <t>deng'ji</t>
    </rPh>
    <rPh sb="15" eb="16">
      <t>xi'shu</t>
    </rPh>
    <phoneticPr fontId="2" type="noConversion"/>
  </si>
  <si>
    <t>等级系数</t>
    <rPh sb="0" eb="1">
      <t>deng'ji</t>
    </rPh>
    <rPh sb="2" eb="3">
      <t>xi'shu</t>
    </rPh>
    <phoneticPr fontId="2" type="noConversion"/>
  </si>
  <si>
    <t>=等级参数*等级</t>
    <phoneticPr fontId="2" type="noConversion"/>
  </si>
  <si>
    <t>防御参数</t>
    <rPh sb="0" eb="1">
      <t>fang'yu</t>
    </rPh>
    <rPh sb="2" eb="3">
      <t>can'shu</t>
    </rPh>
    <phoneticPr fontId="2" type="noConversion"/>
  </si>
  <si>
    <t>等级参数</t>
    <rPh sb="0" eb="1">
      <t>deng'ji</t>
    </rPh>
    <rPh sb="2" eb="3">
      <t>can'shu</t>
    </rPh>
    <phoneticPr fontId="2" type="noConversion"/>
  </si>
  <si>
    <t>等级</t>
    <rPh sb="0" eb="1">
      <t>deng'ji</t>
    </rPh>
    <phoneticPr fontId="2" type="noConversion"/>
  </si>
  <si>
    <t>卡牌品质成长</t>
    <rPh sb="2" eb="3">
      <t>pin'zhi</t>
    </rPh>
    <rPh sb="4" eb="5">
      <t>cheng'zhang</t>
    </rPh>
    <phoneticPr fontId="2" type="noConversion"/>
  </si>
  <si>
    <t>卡牌进阶消耗</t>
    <rPh sb="2" eb="3">
      <t>jin'jie</t>
    </rPh>
    <rPh sb="4" eb="5">
      <t>xiao'hao</t>
    </rPh>
    <phoneticPr fontId="2" type="noConversion"/>
  </si>
  <si>
    <t>成长值比例</t>
    <rPh sb="0" eb="1">
      <t>cheng'zhang'zhi</t>
    </rPh>
    <rPh sb="3" eb="4">
      <t>bi'li</t>
    </rPh>
    <phoneticPr fontId="2" type="noConversion"/>
  </si>
  <si>
    <t>满级属性</t>
    <rPh sb="0" eb="1">
      <t>man'ji'shu'xign</t>
    </rPh>
    <phoneticPr fontId="2" type="noConversion"/>
  </si>
  <si>
    <t>品质颜色</t>
    <rPh sb="0" eb="1">
      <t>pin'zhi</t>
    </rPh>
    <rPh sb="2" eb="3">
      <t>yan'se</t>
    </rPh>
    <phoneticPr fontId="2" type="noConversion"/>
  </si>
  <si>
    <t>品质名称</t>
    <rPh sb="0" eb="1">
      <t>pin'zhi</t>
    </rPh>
    <rPh sb="2" eb="3">
      <t>ming'cheng</t>
    </rPh>
    <phoneticPr fontId="2" type="noConversion"/>
  </si>
  <si>
    <t>消耗类型</t>
    <rPh sb="0" eb="1">
      <t>xiao'hao</t>
    </rPh>
    <rPh sb="2" eb="3">
      <t>lei'xing</t>
    </rPh>
    <phoneticPr fontId="2" type="noConversion"/>
  </si>
  <si>
    <t>消耗品质</t>
    <rPh sb="0" eb="1">
      <t>xiao'hao</t>
    </rPh>
    <rPh sb="2" eb="3">
      <t>pin'zhi</t>
    </rPh>
    <phoneticPr fontId="2" type="noConversion"/>
  </si>
  <si>
    <t>消耗数量</t>
    <rPh sb="0" eb="1">
      <t>xiao'hao</t>
    </rPh>
    <rPh sb="2" eb="3">
      <t>shu'liang</t>
    </rPh>
    <phoneticPr fontId="2" type="noConversion"/>
  </si>
  <si>
    <t>等级上限</t>
    <rPh sb="0" eb="1">
      <t>deng'ji</t>
    </rPh>
    <rPh sb="2" eb="3">
      <t>shang'xian</t>
    </rPh>
    <phoneticPr fontId="2" type="noConversion"/>
  </si>
  <si>
    <t>绿</t>
    <rPh sb="0" eb="1">
      <t>lv</t>
    </rPh>
    <phoneticPr fontId="2" type="noConversion"/>
  </si>
  <si>
    <t>普通</t>
    <rPh sb="0" eb="1">
      <t>pu'tong</t>
    </rPh>
    <phoneticPr fontId="2" type="noConversion"/>
  </si>
  <si>
    <t>-</t>
    <phoneticPr fontId="2" type="noConversion"/>
  </si>
  <si>
    <t>蓝</t>
    <rPh sb="0" eb="1">
      <t>lan</t>
    </rPh>
    <phoneticPr fontId="2" type="noConversion"/>
  </si>
  <si>
    <t>稀有</t>
    <rPh sb="0" eb="1">
      <t>xi'you</t>
    </rPh>
    <phoneticPr fontId="2" type="noConversion"/>
  </si>
  <si>
    <t>自己</t>
    <rPh sb="0" eb="1">
      <t>zi'ji</t>
    </rPh>
    <phoneticPr fontId="2" type="noConversion"/>
  </si>
  <si>
    <t>蓝+</t>
    <rPh sb="0" eb="1">
      <t>lan</t>
    </rPh>
    <phoneticPr fontId="2" type="noConversion"/>
  </si>
  <si>
    <t>稀有+</t>
    <rPh sb="0" eb="1">
      <t>xi'you</t>
    </rPh>
    <phoneticPr fontId="2" type="noConversion"/>
  </si>
  <si>
    <t>同族</t>
    <rPh sb="0" eb="1">
      <t>tong'zu</t>
    </rPh>
    <phoneticPr fontId="2" type="noConversion"/>
  </si>
  <si>
    <t>精英</t>
    <rPh sb="0" eb="1">
      <t>jing'ying</t>
    </rPh>
    <phoneticPr fontId="2" type="noConversion"/>
  </si>
  <si>
    <t>紫+</t>
    <rPh sb="0" eb="1">
      <t>zi</t>
    </rPh>
    <phoneticPr fontId="2" type="noConversion"/>
  </si>
  <si>
    <t>精英+</t>
    <rPh sb="0" eb="1">
      <t>jing'ying</t>
    </rPh>
    <phoneticPr fontId="2" type="noConversion"/>
  </si>
  <si>
    <t>传说</t>
    <rPh sb="0" eb="1">
      <t>chuan'shuo</t>
    </rPh>
    <phoneticPr fontId="2" type="noConversion"/>
  </si>
  <si>
    <t>黄+</t>
    <rPh sb="0" eb="1">
      <t>huagn</t>
    </rPh>
    <phoneticPr fontId="2" type="noConversion"/>
  </si>
  <si>
    <t>传说+</t>
    <rPh sb="0" eb="1">
      <t>chuan'shuo</t>
    </rPh>
    <phoneticPr fontId="2" type="noConversion"/>
  </si>
  <si>
    <t>神话</t>
    <rPh sb="0" eb="1">
      <t>shen'hua</t>
    </rPh>
    <phoneticPr fontId="2" type="noConversion"/>
  </si>
  <si>
    <t>红+</t>
    <rPh sb="0" eb="1">
      <t>hong</t>
    </rPh>
    <phoneticPr fontId="2" type="noConversion"/>
  </si>
  <si>
    <t>神话+</t>
    <rPh sb="0" eb="1">
      <t>shen'hua</t>
    </rPh>
    <phoneticPr fontId="2" type="noConversion"/>
  </si>
  <si>
    <t>银</t>
    <rPh sb="0" eb="1">
      <t>yin</t>
    </rPh>
    <phoneticPr fontId="2" type="noConversion"/>
  </si>
  <si>
    <t>进阶</t>
    <rPh sb="0" eb="1">
      <t>jin'jie</t>
    </rPh>
    <phoneticPr fontId="2" type="noConversion"/>
  </si>
  <si>
    <t>银1星</t>
    <rPh sb="0" eb="1">
      <t>yin</t>
    </rPh>
    <rPh sb="2" eb="3">
      <t>xing</t>
    </rPh>
    <phoneticPr fontId="2" type="noConversion"/>
  </si>
  <si>
    <t>进价1☆</t>
    <rPh sb="0" eb="1">
      <t>jin'jia</t>
    </rPh>
    <phoneticPr fontId="2" type="noConversion"/>
  </si>
  <si>
    <t>银2星</t>
    <rPh sb="0" eb="1">
      <t>yin</t>
    </rPh>
    <rPh sb="2" eb="3">
      <t>xing</t>
    </rPh>
    <phoneticPr fontId="2" type="noConversion"/>
  </si>
  <si>
    <t>进价2☆</t>
    <rPh sb="0" eb="1">
      <t>jin'jia</t>
    </rPh>
    <phoneticPr fontId="2" type="noConversion"/>
  </si>
  <si>
    <t>银3星</t>
    <rPh sb="0" eb="1">
      <t>yin</t>
    </rPh>
    <rPh sb="2" eb="3">
      <t>xing</t>
    </rPh>
    <phoneticPr fontId="2" type="noConversion"/>
  </si>
  <si>
    <t>进价3☆</t>
    <rPh sb="0" eb="1">
      <t>jin'jia</t>
    </rPh>
    <phoneticPr fontId="2" type="noConversion"/>
  </si>
  <si>
    <t>银4星</t>
    <rPh sb="0" eb="1">
      <t>yin</t>
    </rPh>
    <rPh sb="2" eb="3">
      <t>xing</t>
    </rPh>
    <phoneticPr fontId="2" type="noConversion"/>
  </si>
  <si>
    <t>进价4☆</t>
    <rPh sb="0" eb="1">
      <t>jin'jia</t>
    </rPh>
    <phoneticPr fontId="2" type="noConversion"/>
  </si>
  <si>
    <t>银5星</t>
    <rPh sb="0" eb="1">
      <t>yin</t>
    </rPh>
    <rPh sb="2" eb="3">
      <t>xing</t>
    </rPh>
    <phoneticPr fontId="2" type="noConversion"/>
  </si>
  <si>
    <t>进价5☆</t>
    <rPh sb="0" eb="1">
      <t>jin'jia</t>
    </rPh>
    <phoneticPr fontId="2" type="noConversion"/>
  </si>
  <si>
    <t>防御</t>
    <rPh sb="0" eb="1">
      <t>fang'y</t>
    </rPh>
    <phoneticPr fontId="2" type="noConversion"/>
  </si>
  <si>
    <t>突破等级</t>
    <rPh sb="0" eb="1">
      <t>tu'po</t>
    </rPh>
    <rPh sb="2" eb="3">
      <t>deng'ji</t>
    </rPh>
    <phoneticPr fontId="2" type="noConversion"/>
  </si>
  <si>
    <t>基础值</t>
    <rPh sb="0" eb="1">
      <t>ji'chu'zhi</t>
    </rPh>
    <phoneticPr fontId="2" type="noConversion"/>
  </si>
  <si>
    <t>白</t>
    <rPh sb="0" eb="1">
      <t>bai</t>
    </rPh>
    <phoneticPr fontId="2" type="noConversion"/>
  </si>
  <si>
    <t>粗糙</t>
    <rPh sb="0" eb="1">
      <t>cu'cao</t>
    </rPh>
    <phoneticPr fontId="2" type="noConversion"/>
  </si>
  <si>
    <t>战力参考</t>
    <rPh sb="0" eb="1">
      <t>zhan'li</t>
    </rPh>
    <rPh sb="2" eb="3">
      <t>can'kao</t>
    </rPh>
    <phoneticPr fontId="2" type="noConversion"/>
  </si>
  <si>
    <t>战力占比</t>
    <rPh sb="0" eb="1">
      <t>zhan'li</t>
    </rPh>
    <rPh sb="2" eb="3">
      <t>zhan'bi</t>
    </rPh>
    <phoneticPr fontId="2" type="noConversion"/>
  </si>
  <si>
    <t>总属性需要调平战力</t>
    <rPh sb="0" eb="1">
      <t>zong'shu'xing</t>
    </rPh>
    <rPh sb="3" eb="4">
      <t>xu'yao</t>
    </rPh>
    <rPh sb="5" eb="6">
      <t>tiao'ping</t>
    </rPh>
    <rPh sb="7" eb="8">
      <t>zhan'li</t>
    </rPh>
    <phoneticPr fontId="2" type="noConversion"/>
  </si>
  <si>
    <t>生存属性</t>
    <rPh sb="0" eb="1">
      <t>sheng'cun</t>
    </rPh>
    <rPh sb="2" eb="3">
      <t>shu'xign</t>
    </rPh>
    <phoneticPr fontId="2" type="noConversion"/>
  </si>
  <si>
    <t>攻击属性</t>
    <rPh sb="0" eb="1">
      <t>gong'ji</t>
    </rPh>
    <rPh sb="2" eb="3">
      <t>shu'xing</t>
    </rPh>
    <phoneticPr fontId="2" type="noConversion"/>
  </si>
  <si>
    <t>攻击</t>
    <rPh sb="0" eb="1">
      <t>gong'j</t>
    </rPh>
    <phoneticPr fontId="2" type="noConversion"/>
  </si>
  <si>
    <t>防御</t>
    <rPh sb="0" eb="1">
      <t>f'y</t>
    </rPh>
    <phoneticPr fontId="2" type="noConversion"/>
  </si>
  <si>
    <t>标准属性上限</t>
    <rPh sb="0" eb="1">
      <t>biao'zhun</t>
    </rPh>
    <rPh sb="2" eb="3">
      <t>shu'xing</t>
    </rPh>
    <rPh sb="4" eb="5">
      <t>shang'xian</t>
    </rPh>
    <phoneticPr fontId="2" type="noConversion"/>
  </si>
  <si>
    <t>总属性</t>
    <rPh sb="0" eb="1">
      <t>zong'shu'xing</t>
    </rPh>
    <phoneticPr fontId="2" type="noConversion"/>
  </si>
  <si>
    <t>减伤率</t>
    <rPh sb="0" eb="1">
      <t>jian'shang'lv</t>
    </rPh>
    <phoneticPr fontId="2" type="noConversion"/>
  </si>
  <si>
    <t>属性价值</t>
    <rPh sb="0" eb="1">
      <t>shu'xing</t>
    </rPh>
    <rPh sb="2" eb="3">
      <t>jia'zhi</t>
    </rPh>
    <phoneticPr fontId="2" type="noConversion"/>
  </si>
  <si>
    <t>品质id</t>
    <rPh sb="0" eb="1">
      <t>pin'zhi</t>
    </rPh>
    <phoneticPr fontId="2" type="noConversion"/>
  </si>
  <si>
    <t>位置</t>
    <rPh sb="0" eb="1">
      <t>wei'zhi</t>
    </rPh>
    <phoneticPr fontId="2" type="noConversion"/>
  </si>
  <si>
    <t>位置id</t>
    <rPh sb="0" eb="1">
      <t>wei'zhi</t>
    </rPh>
    <phoneticPr fontId="2" type="noConversion"/>
  </si>
  <si>
    <t>衣服</t>
    <rPh sb="0" eb="1">
      <t>yi'fu</t>
    </rPh>
    <phoneticPr fontId="2" type="noConversion"/>
  </si>
  <si>
    <t>种族</t>
    <rPh sb="0" eb="1">
      <t>zhong'zu</t>
    </rPh>
    <phoneticPr fontId="2" type="noConversion"/>
  </si>
  <si>
    <t>种族id</t>
    <rPh sb="0" eb="1">
      <t>zhong'zu</t>
    </rPh>
    <phoneticPr fontId="2" type="noConversion"/>
  </si>
  <si>
    <t>Plate Armor</t>
  </si>
  <si>
    <t>tank</t>
  </si>
  <si>
    <t>boot</t>
  </si>
  <si>
    <t>Worn by the mightiest warriors in the land of Esperia.</t>
  </si>
  <si>
    <t>Guardian's Greaves</t>
  </si>
  <si>
    <t>Leather Armor</t>
  </si>
  <si>
    <t>archer</t>
  </si>
  <si>
    <t>shoes</t>
  </si>
  <si>
    <t>Victory favors the bold and those who persevere.</t>
  </si>
  <si>
    <t>Ancelot's Perseverence</t>
  </si>
  <si>
    <t>Padded Armor</t>
  </si>
  <si>
    <t>magician</t>
  </si>
  <si>
    <t>sandal</t>
  </si>
  <si>
    <t>A pair of powerful magic boots.</t>
  </si>
  <si>
    <t>Mystic's Boots of Magic</t>
  </si>
  <si>
    <t>metal_armor</t>
  </si>
  <si>
    <t>Guardian's Breastplate</t>
  </si>
  <si>
    <t>chain_armor</t>
  </si>
  <si>
    <t>Lord Ancelot's raiment. Worn by Lord Ancelot himself.</t>
  </si>
  <si>
    <t>Ancelot's Honor</t>
  </si>
  <si>
    <t>cloth_armor</t>
  </si>
  <si>
    <t>A beautiful magic garment.</t>
  </si>
  <si>
    <t>Mystic's Coat of Magic</t>
  </si>
  <si>
    <t>helmet</t>
  </si>
  <si>
    <t>Guardian's Helm</t>
  </si>
  <si>
    <t>mask</t>
  </si>
  <si>
    <t>Lord Ancelot sacrificed his own life to protect his people. Put this to good use.</t>
  </si>
  <si>
    <t>Ancelot's Refuge</t>
  </si>
  <si>
    <t>hat</t>
  </si>
  <si>
    <t>A powerful magic hat.</t>
  </si>
  <si>
    <t>Mystic's Hat of Magic</t>
  </si>
  <si>
    <t>Heavy Weapon</t>
  </si>
  <si>
    <t>heavy_weapon</t>
  </si>
  <si>
    <t>Yielded by the mightiest warriors in the land of Esperia</t>
  </si>
  <si>
    <t>Guardian's Flail</t>
  </si>
  <si>
    <t>Light Weapon</t>
  </si>
  <si>
    <t>light_weapon</t>
  </si>
  <si>
    <t>Ancelot lead his men into battle many times with this illustrious spear.</t>
  </si>
  <si>
    <t>Ancelot's Edge</t>
  </si>
  <si>
    <t>Magic Staff</t>
  </si>
  <si>
    <t>wand</t>
  </si>
  <si>
    <t>A powerful magic staff.</t>
  </si>
  <si>
    <t>Mystic's Staff of Magic</t>
  </si>
  <si>
    <t>Push forth and break the enemies' will.</t>
  </si>
  <si>
    <t>Berserker's Greaves</t>
  </si>
  <si>
    <t>Boots worn by the soldiers of Rayne.</t>
  </si>
  <si>
    <t>Rayne's Defiance</t>
  </si>
  <si>
    <t>Move quickly through the world and enlighten one's self.</t>
  </si>
  <si>
    <t>Boots of the Enlightened</t>
  </si>
  <si>
    <t>Those who gaze upon the Berserker's Thunder are filled with fear.</t>
  </si>
  <si>
    <t>Berserker's Thunder</t>
  </si>
  <si>
    <t>Sturdy armor worn by the soldiers of the Rayne household.</t>
  </si>
  <si>
    <t>Rayne's Valor</t>
  </si>
  <si>
    <t>Only the enlightened few know the way.</t>
  </si>
  <si>
    <t>Cloak of the Enlightened</t>
  </si>
  <si>
    <t>A fearful looking helmet worn by the fiercest berserkers.</t>
  </si>
  <si>
    <t>Berserker's Helm</t>
  </si>
  <si>
    <t>An embossed helmet worn by the soldiers of the Rayne household.</t>
  </si>
  <si>
    <t>Rayne's Protection</t>
  </si>
  <si>
    <t>Seeing is believing. Enlightenment is truth.</t>
  </si>
  <si>
    <t>Hat of the Enlightened</t>
  </si>
  <si>
    <t>Strike fear into your enemies' hearts.</t>
  </si>
  <si>
    <t>Berserker's Treachery</t>
  </si>
  <si>
    <t>A deadly spear used in battle by the House of Rayne's finest.</t>
  </si>
  <si>
    <t>Rayne's Might</t>
  </si>
  <si>
    <t>Enlightenment is power.</t>
  </si>
  <si>
    <t>Staff of the Enlightened</t>
  </si>
  <si>
    <t>Worn by the King's Guards</t>
  </si>
  <si>
    <t>Vow of Intrepidity</t>
  </si>
  <si>
    <t>Made from the finest steel in the land.</t>
  </si>
  <si>
    <t>Slayer's Advance</t>
  </si>
  <si>
    <t>Choose a wise path.</t>
  </si>
  <si>
    <t>Wisdom's Path</t>
  </si>
  <si>
    <t>Vow of Fortitude</t>
  </si>
  <si>
    <t>This is said to belong to a mighty ancient warrior.</t>
  </si>
  <si>
    <t>Slayer's Image</t>
  </si>
  <si>
    <t>Wisdom speaks to the wise.</t>
  </si>
  <si>
    <t>Wisdom's Raiment</t>
  </si>
  <si>
    <t>Vow of Valor</t>
  </si>
  <si>
    <t>Slayer's Breath</t>
  </si>
  <si>
    <t>Only the most adept mages may wear this hat.</t>
  </si>
  <si>
    <t>Wisdom's Nest</t>
  </si>
  <si>
    <t>Wielded by the King's Guards</t>
  </si>
  <si>
    <t>Vow of Force</t>
  </si>
  <si>
    <t>Slayer's Touch</t>
  </si>
  <si>
    <t>Only the most adept mages may wield this staff.</t>
  </si>
  <si>
    <t>Wisdom's Will</t>
  </si>
  <si>
    <t>Worn by the King's finest</t>
  </si>
  <si>
    <t>Temple Greaves</t>
  </si>
  <si>
    <t>Do not make tracks without the moon's guidance.</t>
  </si>
  <si>
    <t>Moonlight Boots</t>
  </si>
  <si>
    <t>Made from real leather.</t>
  </si>
  <si>
    <t>High Caster Boots</t>
  </si>
  <si>
    <t>Temple Plate</t>
  </si>
  <si>
    <t>Used by some of the finest warriors in the land.</t>
  </si>
  <si>
    <t>Moonlight Armor</t>
  </si>
  <si>
    <t>Kill your enemies in style.</t>
  </si>
  <si>
    <t>High Caster's Coat</t>
  </si>
  <si>
    <t>Temple Helm</t>
  </si>
  <si>
    <t>May the moon protect you.</t>
  </si>
  <si>
    <t>Moonlight Helm</t>
  </si>
  <si>
    <t>Show everyone that you're a star.</t>
  </si>
  <si>
    <t>High Caster's Hat</t>
  </si>
  <si>
    <t>Wielded by the King's finest</t>
  </si>
  <si>
    <t>Temple Flail</t>
  </si>
  <si>
    <t>Lunar's Spear</t>
  </si>
  <si>
    <t>Spear of Moonlight</t>
  </si>
  <si>
    <t>Packs a punch.</t>
  </si>
  <si>
    <t>High Caster Wand</t>
  </si>
  <si>
    <t>Crafted for the knight's of the divine order.</t>
  </si>
  <si>
    <t>Zealot Greaves</t>
  </si>
  <si>
    <t>Keep your feet in one piece.</t>
  </si>
  <si>
    <t>Shadowskin Boots</t>
  </si>
  <si>
    <t>Celestial boots from the divine order.</t>
  </si>
  <si>
    <t>Firmament Boots</t>
  </si>
  <si>
    <t>Zealot's Plate</t>
  </si>
  <si>
    <t>An intimidating piece of gear.</t>
  </si>
  <si>
    <t>Shadowskin Rigout</t>
  </si>
  <si>
    <t>Celestial robes from the divine order.</t>
  </si>
  <si>
    <t>Firmament Robes</t>
  </si>
  <si>
    <t>Zealot's Helm</t>
  </si>
  <si>
    <t>Shadowskin Helm</t>
  </si>
  <si>
    <t>A celestial hat from the divine order.</t>
  </si>
  <si>
    <t>Firmament Hat</t>
  </si>
  <si>
    <t>Forged for the knight's of the divine order.</t>
  </si>
  <si>
    <t>Zealot's Axe</t>
  </si>
  <si>
    <t>A beautifully forged zweihander.</t>
  </si>
  <si>
    <t>Sword of Shadow</t>
  </si>
  <si>
    <t>A celestial wand from the divine order.</t>
  </si>
  <si>
    <t>Firmament Wand</t>
  </si>
  <si>
    <t>Those who venture into the unknown must be well-protected.</t>
  </si>
  <si>
    <t>Dusk Greaves</t>
  </si>
  <si>
    <t>Your toes will thank you for it.</t>
  </si>
  <si>
    <t>Nightskin Boots</t>
  </si>
  <si>
    <t>Divine boots.</t>
  </si>
  <si>
    <t>Boots of Dawn</t>
  </si>
  <si>
    <t>Dusk Plate</t>
  </si>
  <si>
    <t>A beautifully designed piece of armor.</t>
  </si>
  <si>
    <t>Nightskin Rigout</t>
  </si>
  <si>
    <t>These robes illuminate their surroundings.</t>
  </si>
  <si>
    <t>Robes of Dawn</t>
  </si>
  <si>
    <t>A dazzling great helm.</t>
  </si>
  <si>
    <t>Dusk Helm</t>
  </si>
  <si>
    <t>Effective at keeping your head in one piece.</t>
  </si>
  <si>
    <t>Nightskin Helm</t>
  </si>
  <si>
    <t>A hat woven with divine magic.</t>
  </si>
  <si>
    <t>Hat of Dawn</t>
  </si>
  <si>
    <t>Not many types of armor can withstand the Mace of Dusk.</t>
  </si>
  <si>
    <t>Mace of Dusk</t>
  </si>
  <si>
    <t>A beautifully forged longsword.</t>
  </si>
  <si>
    <t>Sword of Night</t>
  </si>
  <si>
    <t>A wand crafted with divine magic.</t>
  </si>
  <si>
    <t>Wand of Dawn</t>
  </si>
  <si>
    <t>Suitable for all terrains.</t>
  </si>
  <si>
    <t>Vanguard Greaves</t>
  </si>
  <si>
    <t>Tough and light.</t>
  </si>
  <si>
    <t>Assassin's Boots</t>
  </si>
  <si>
    <t>These boots can help a mage get from A to B more quickly.</t>
  </si>
  <si>
    <t>Conjurer's Boots</t>
  </si>
  <si>
    <t>This'll save your life.</t>
  </si>
  <si>
    <t>Vanguard Plate</t>
  </si>
  <si>
    <t>Assassin's Cuirass</t>
  </si>
  <si>
    <t>It seems to be brimming with magic.</t>
  </si>
  <si>
    <t xml:space="preserve">Conjurer's Robes </t>
  </si>
  <si>
    <t>Made from good steel.</t>
  </si>
  <si>
    <t>Vanguard Helm</t>
  </si>
  <si>
    <t>Assassin's Helm</t>
  </si>
  <si>
    <t>A magical cowl!</t>
  </si>
  <si>
    <t>Conjurer's Cowl</t>
  </si>
  <si>
    <t>Heavy and deadly.</t>
  </si>
  <si>
    <t>Vanguard Axe</t>
  </si>
  <si>
    <t>Long, sharp and fatal.</t>
  </si>
  <si>
    <t>Assassin's Blade</t>
  </si>
  <si>
    <t>Use with caution.</t>
  </si>
  <si>
    <t>Conjurer's Staff</t>
  </si>
  <si>
    <t>A castle guard's greaves.</t>
  </si>
  <si>
    <t>Guardian Greaves</t>
  </si>
  <si>
    <t>Protects your feet from the harshest environments.</t>
  </si>
  <si>
    <t>Mercenary Boots</t>
  </si>
  <si>
    <t>Functional as well as stylish.</t>
  </si>
  <si>
    <t>Master's Boots</t>
  </si>
  <si>
    <t>A castle guard's chest plate.</t>
  </si>
  <si>
    <t>Guardian's Plate</t>
  </si>
  <si>
    <t>Made from fine bear fur.</t>
  </si>
  <si>
    <t>Mercenary Furs</t>
  </si>
  <si>
    <t>Even mages need to stay warm and dry.</t>
  </si>
  <si>
    <t>Master's Robes</t>
  </si>
  <si>
    <t>A castle guard's plate helm</t>
  </si>
  <si>
    <t>Protects your ears from the cold.</t>
  </si>
  <si>
    <t>Mercenary Hood</t>
  </si>
  <si>
    <t>Wear this in case of bad hair day.</t>
  </si>
  <si>
    <t>Master's Hood</t>
  </si>
  <si>
    <t>A castle guard's axe.</t>
  </si>
  <si>
    <t>Guardian's Axe</t>
  </si>
  <si>
    <t>Sharp and deadly.</t>
  </si>
  <si>
    <t>Mercenary Knife</t>
  </si>
  <si>
    <t>Note: not to be used as fire wood.</t>
  </si>
  <si>
    <t>Master's Staff</t>
  </si>
  <si>
    <t xml:space="preserve">These will protect your toes.  </t>
  </si>
  <si>
    <t>Leather Boots</t>
  </si>
  <si>
    <t>A better option to bare feet.</t>
  </si>
  <si>
    <t>Soft Boots</t>
  </si>
  <si>
    <t>Common boots, suitable for an apprentice.</t>
  </si>
  <si>
    <t>Apprentice Boots</t>
  </si>
  <si>
    <t>This might stop an arrow or two if you're lucky.</t>
  </si>
  <si>
    <t>Crude Plate</t>
  </si>
  <si>
    <t>Light and protective.</t>
  </si>
  <si>
    <t xml:space="preserve">Agility Garb </t>
  </si>
  <si>
    <t>Common robes, suitable for an apprentice.</t>
  </si>
  <si>
    <t>Apprentice Robes</t>
  </si>
  <si>
    <t>A barbarous looking cap. Offers some protection but not very comfortable.</t>
  </si>
  <si>
    <t>Wolfskin Cap</t>
  </si>
  <si>
    <t>You can better hide your identity with this mask.</t>
  </si>
  <si>
    <t>Burlap Mask</t>
  </si>
  <si>
    <t>A common hood, suitable for an apprentice.</t>
  </si>
  <si>
    <t>Rogue's Hood</t>
  </si>
  <si>
    <t>A low quality mace.</t>
  </si>
  <si>
    <t>Weathered Mallet</t>
  </si>
  <si>
    <t xml:space="preserve">Looks may be deceiving. </t>
  </si>
  <si>
    <t>Wooden Knife</t>
  </si>
  <si>
    <t>A common staff, suitable for an apprentice.</t>
  </si>
  <si>
    <t>Apprentice's Staff</t>
  </si>
  <si>
    <t>品质</t>
    <rPh sb="0" eb="1">
      <t>pin'zhi</t>
    </rPh>
    <phoneticPr fontId="2" type="noConversion"/>
  </si>
  <si>
    <t>DisplayType</t>
  </si>
  <si>
    <t>Job</t>
  </si>
  <si>
    <t>Type</t>
  </si>
  <si>
    <t>Description</t>
  </si>
  <si>
    <t>Name</t>
  </si>
  <si>
    <t>Position</t>
  </si>
  <si>
    <t>Quality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</si>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</sst>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Abadi MT Condensed Extra Bold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Border="1"/>
    <xf numFmtId="0" fontId="1" fillId="0" borderId="2" xfId="0" applyFont="1" applyFill="1" applyBorder="1"/>
    <xf numFmtId="10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Border="1"/>
    <xf numFmtId="0" fontId="0" fillId="0" borderId="20" xfId="0" applyBorder="1"/>
    <xf numFmtId="0" fontId="1" fillId="0" borderId="0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6" xfId="0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0" fillId="0" borderId="0" xfId="0" quotePrefix="1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23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9" fontId="0" fillId="0" borderId="0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3" xfId="0" applyFont="1" applyBorder="1"/>
    <xf numFmtId="0" fontId="0" fillId="2" borderId="1" xfId="0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4" workbookViewId="0">
      <selection activeCell="L40" sqref="L40"/>
    </sheetView>
  </sheetViews>
  <sheetFormatPr baseColWidth="10" defaultRowHeight="16" x14ac:dyDescent="0.2"/>
  <cols>
    <col min="13" max="13" width="10" style="4" customWidth="1"/>
    <col min="14" max="15" width="10.83203125" style="3"/>
    <col min="16" max="16" width="11.5" style="3" bestFit="1" customWidth="1"/>
    <col min="17" max="17" width="13.6640625" style="3" customWidth="1"/>
    <col min="18" max="19" width="10.83203125" style="3"/>
  </cols>
  <sheetData>
    <row r="1" spans="1:19" x14ac:dyDescent="0.2">
      <c r="A1" s="86" t="s">
        <v>0</v>
      </c>
      <c r="B1" s="87" t="s">
        <v>1</v>
      </c>
      <c r="C1" s="88"/>
      <c r="D1" s="88"/>
      <c r="E1" s="88"/>
      <c r="F1" s="88" t="s">
        <v>60</v>
      </c>
      <c r="G1" s="89"/>
      <c r="H1" s="87" t="s">
        <v>61</v>
      </c>
      <c r="I1" s="88"/>
      <c r="J1" s="88"/>
      <c r="K1" s="89"/>
      <c r="L1" s="90" t="s">
        <v>74</v>
      </c>
      <c r="M1" s="91"/>
      <c r="N1" s="91"/>
      <c r="O1" s="91"/>
      <c r="P1" s="92" t="s">
        <v>80</v>
      </c>
      <c r="Q1" s="93"/>
      <c r="R1" s="94"/>
    </row>
    <row r="2" spans="1:19" x14ac:dyDescent="0.2">
      <c r="A2" s="86"/>
      <c r="B2" s="22" t="s">
        <v>2</v>
      </c>
      <c r="C2" s="11" t="s">
        <v>3</v>
      </c>
      <c r="D2" s="11" t="s">
        <v>4</v>
      </c>
      <c r="E2" s="11" t="s">
        <v>5</v>
      </c>
      <c r="F2" s="11" t="s">
        <v>5</v>
      </c>
      <c r="G2" s="23" t="s">
        <v>4</v>
      </c>
      <c r="H2" s="22" t="s">
        <v>2</v>
      </c>
      <c r="I2" s="11" t="s">
        <v>3</v>
      </c>
      <c r="J2" s="11" t="s">
        <v>4</v>
      </c>
      <c r="K2" s="23" t="s">
        <v>5</v>
      </c>
      <c r="L2" s="22" t="s">
        <v>75</v>
      </c>
      <c r="M2" s="11" t="s">
        <v>69</v>
      </c>
      <c r="N2" s="11" t="s">
        <v>71</v>
      </c>
      <c r="O2" s="12" t="s">
        <v>73</v>
      </c>
      <c r="P2" s="35" t="s">
        <v>76</v>
      </c>
      <c r="Q2" s="2" t="s">
        <v>78</v>
      </c>
      <c r="R2" s="31" t="s">
        <v>79</v>
      </c>
    </row>
    <row r="3" spans="1:19" x14ac:dyDescent="0.2">
      <c r="A3" s="19" t="s">
        <v>6</v>
      </c>
      <c r="B3" s="24">
        <v>0.6</v>
      </c>
      <c r="C3" s="1">
        <v>0.35</v>
      </c>
      <c r="D3" s="1">
        <v>0.05</v>
      </c>
      <c r="E3" s="1">
        <v>0</v>
      </c>
      <c r="F3" s="1">
        <v>0.2</v>
      </c>
      <c r="G3" s="25">
        <v>0.05</v>
      </c>
      <c r="H3" s="24">
        <f>B3/($B3*(1+$F3+$G3)+$C3+$D3+$E3)</f>
        <v>0.52173913043478248</v>
      </c>
      <c r="I3" s="1">
        <f t="shared" ref="I3:K11" si="0">C3/($B3*(1+$F3+$G3)+$C3+$D3+$E3)</f>
        <v>0.30434782608695649</v>
      </c>
      <c r="J3" s="1">
        <f t="shared" si="0"/>
        <v>4.3478260869565216E-2</v>
      </c>
      <c r="K3" s="25">
        <f t="shared" si="0"/>
        <v>0</v>
      </c>
      <c r="L3" s="35">
        <v>1</v>
      </c>
      <c r="M3" s="2">
        <v>1.2</v>
      </c>
      <c r="N3" s="2">
        <v>0.9</v>
      </c>
      <c r="O3" s="41">
        <v>0.95</v>
      </c>
      <c r="P3" s="35">
        <v>600000</v>
      </c>
      <c r="Q3" s="2">
        <v>0</v>
      </c>
      <c r="R3" s="31">
        <f>P3-Q3</f>
        <v>600000</v>
      </c>
    </row>
    <row r="4" spans="1:19" x14ac:dyDescent="0.2">
      <c r="A4" s="19" t="s">
        <v>7</v>
      </c>
      <c r="B4" s="24">
        <v>0.6</v>
      </c>
      <c r="C4" s="1">
        <v>0.35</v>
      </c>
      <c r="D4" s="1">
        <v>0.05</v>
      </c>
      <c r="E4" s="1">
        <v>0</v>
      </c>
      <c r="F4" s="1">
        <v>0.2</v>
      </c>
      <c r="G4" s="25">
        <v>0.05</v>
      </c>
      <c r="H4" s="24">
        <f t="shared" ref="H4:H10" si="1">B4/($B4*(1+$F4+$G4)+$C4+$D4+$E4)</f>
        <v>0.52173913043478248</v>
      </c>
      <c r="I4" s="1">
        <f t="shared" si="0"/>
        <v>0.30434782608695649</v>
      </c>
      <c r="J4" s="1">
        <f t="shared" si="0"/>
        <v>4.3478260869565216E-2</v>
      </c>
      <c r="K4" s="25">
        <f t="shared" si="0"/>
        <v>0</v>
      </c>
      <c r="L4" s="35">
        <v>1</v>
      </c>
      <c r="M4" s="2">
        <v>0.9</v>
      </c>
      <c r="N4" s="2">
        <v>1.1499999999999999</v>
      </c>
      <c r="O4" s="41">
        <v>1.08</v>
      </c>
      <c r="P4" s="35">
        <v>45000</v>
      </c>
      <c r="Q4" s="2">
        <v>0</v>
      </c>
      <c r="R4" s="31">
        <f t="shared" ref="R4:R11" si="2">P4-Q4</f>
        <v>45000</v>
      </c>
    </row>
    <row r="5" spans="1:19" x14ac:dyDescent="0.2">
      <c r="A5" s="19" t="s">
        <v>8</v>
      </c>
      <c r="B5" s="24">
        <v>0.6</v>
      </c>
      <c r="C5" s="1">
        <v>0.35</v>
      </c>
      <c r="D5" s="1">
        <v>0.05</v>
      </c>
      <c r="E5" s="1">
        <v>0</v>
      </c>
      <c r="F5" s="1">
        <v>0.2</v>
      </c>
      <c r="G5" s="25">
        <v>0.05</v>
      </c>
      <c r="H5" s="24">
        <f t="shared" si="1"/>
        <v>0.52173913043478248</v>
      </c>
      <c r="I5" s="1">
        <f t="shared" si="0"/>
        <v>0.30434782608695649</v>
      </c>
      <c r="J5" s="1">
        <f t="shared" si="0"/>
        <v>4.3478260869565216E-2</v>
      </c>
      <c r="K5" s="25">
        <f t="shared" si="0"/>
        <v>0</v>
      </c>
      <c r="L5" s="35">
        <v>1</v>
      </c>
      <c r="M5" s="2">
        <v>1.1000000000000001</v>
      </c>
      <c r="N5" s="2">
        <v>0.8</v>
      </c>
      <c r="O5" s="41">
        <v>0.9</v>
      </c>
      <c r="P5" s="35">
        <v>8000</v>
      </c>
      <c r="Q5" s="2">
        <v>0</v>
      </c>
      <c r="R5" s="31">
        <f t="shared" si="2"/>
        <v>8000</v>
      </c>
    </row>
    <row r="6" spans="1:19" x14ac:dyDescent="0.2">
      <c r="A6" s="19" t="s">
        <v>9</v>
      </c>
      <c r="B6" s="24">
        <v>0</v>
      </c>
      <c r="C6" s="1">
        <v>0.4</v>
      </c>
      <c r="D6" s="1">
        <v>0.05</v>
      </c>
      <c r="E6" s="1">
        <v>0.55000000000000004</v>
      </c>
      <c r="F6" s="1">
        <v>0</v>
      </c>
      <c r="G6" s="25">
        <v>0</v>
      </c>
      <c r="H6" s="24">
        <f t="shared" si="1"/>
        <v>0</v>
      </c>
      <c r="I6" s="1">
        <f t="shared" si="0"/>
        <v>0.4</v>
      </c>
      <c r="J6" s="1">
        <f t="shared" si="0"/>
        <v>0.05</v>
      </c>
      <c r="K6" s="25">
        <f t="shared" si="0"/>
        <v>0.55000000000000004</v>
      </c>
      <c r="L6" s="35">
        <v>1</v>
      </c>
      <c r="M6" s="2">
        <v>0.7</v>
      </c>
      <c r="N6" s="2">
        <v>1.5</v>
      </c>
      <c r="O6" s="41">
        <v>2.5</v>
      </c>
      <c r="P6" s="43">
        <v>1500</v>
      </c>
      <c r="Q6" s="2">
        <v>500</v>
      </c>
      <c r="R6" s="31">
        <f t="shared" si="2"/>
        <v>1000</v>
      </c>
    </row>
    <row r="7" spans="1:19" x14ac:dyDescent="0.2">
      <c r="A7" s="19" t="s">
        <v>63</v>
      </c>
      <c r="B7" s="24">
        <v>0</v>
      </c>
      <c r="C7" s="1">
        <v>0.4</v>
      </c>
      <c r="D7" s="1">
        <v>0.05</v>
      </c>
      <c r="E7" s="1">
        <v>0.55000000000000004</v>
      </c>
      <c r="F7" s="1">
        <v>0</v>
      </c>
      <c r="G7" s="25">
        <v>0</v>
      </c>
      <c r="H7" s="24">
        <f t="shared" si="1"/>
        <v>0</v>
      </c>
      <c r="I7" s="1">
        <f t="shared" si="0"/>
        <v>0.4</v>
      </c>
      <c r="J7" s="1">
        <f t="shared" si="0"/>
        <v>0.05</v>
      </c>
      <c r="K7" s="25">
        <f t="shared" si="0"/>
        <v>0.55000000000000004</v>
      </c>
      <c r="L7" s="35">
        <v>1</v>
      </c>
      <c r="M7" s="2">
        <v>1</v>
      </c>
      <c r="N7" s="2">
        <v>1.2</v>
      </c>
      <c r="O7" s="41">
        <v>1.5</v>
      </c>
      <c r="P7" s="43">
        <v>15000</v>
      </c>
      <c r="Q7" s="2">
        <v>15000</v>
      </c>
      <c r="R7" s="31">
        <f t="shared" si="2"/>
        <v>0</v>
      </c>
    </row>
    <row r="8" spans="1:19" x14ac:dyDescent="0.2">
      <c r="A8" s="34" t="s">
        <v>65</v>
      </c>
      <c r="B8" s="24">
        <v>0</v>
      </c>
      <c r="C8" s="1">
        <v>0.4</v>
      </c>
      <c r="D8" s="1">
        <v>0.05</v>
      </c>
      <c r="E8" s="1">
        <v>0.55000000000000004</v>
      </c>
      <c r="F8" s="1">
        <v>0</v>
      </c>
      <c r="G8" s="25">
        <v>0</v>
      </c>
      <c r="H8" s="24">
        <f t="shared" si="1"/>
        <v>0</v>
      </c>
      <c r="I8" s="1">
        <f t="shared" si="0"/>
        <v>0.4</v>
      </c>
      <c r="J8" s="1">
        <f t="shared" si="0"/>
        <v>0.05</v>
      </c>
      <c r="K8" s="25">
        <f t="shared" si="0"/>
        <v>0.55000000000000004</v>
      </c>
      <c r="L8" s="35">
        <v>1</v>
      </c>
      <c r="M8" s="2">
        <v>0.5</v>
      </c>
      <c r="N8" s="2">
        <v>1.5</v>
      </c>
      <c r="O8" s="41">
        <v>0</v>
      </c>
      <c r="P8" s="43">
        <v>2000</v>
      </c>
      <c r="Q8" s="2">
        <v>0</v>
      </c>
      <c r="R8" s="31">
        <f t="shared" si="2"/>
        <v>2000</v>
      </c>
      <c r="S8" s="10"/>
    </row>
    <row r="9" spans="1:19" x14ac:dyDescent="0.2">
      <c r="A9" s="20" t="s">
        <v>67</v>
      </c>
      <c r="B9" s="26">
        <v>0</v>
      </c>
      <c r="C9" s="18">
        <v>0.4</v>
      </c>
      <c r="D9" s="18">
        <v>0.05</v>
      </c>
      <c r="E9" s="18">
        <v>0.55000000000000004</v>
      </c>
      <c r="F9" s="1">
        <v>0</v>
      </c>
      <c r="G9" s="25">
        <v>0</v>
      </c>
      <c r="H9" s="24">
        <f t="shared" si="1"/>
        <v>0</v>
      </c>
      <c r="I9" s="1">
        <f t="shared" si="0"/>
        <v>0.4</v>
      </c>
      <c r="J9" s="1">
        <f t="shared" si="0"/>
        <v>0.05</v>
      </c>
      <c r="K9" s="25">
        <f t="shared" si="0"/>
        <v>0.55000000000000004</v>
      </c>
      <c r="L9" s="35">
        <v>1</v>
      </c>
      <c r="M9" s="2">
        <v>1.5</v>
      </c>
      <c r="N9" s="2">
        <v>0.5</v>
      </c>
      <c r="O9" s="41">
        <v>0</v>
      </c>
      <c r="P9" s="43">
        <v>2000</v>
      </c>
      <c r="Q9" s="2">
        <v>0</v>
      </c>
      <c r="R9" s="31">
        <f t="shared" si="2"/>
        <v>2000</v>
      </c>
    </row>
    <row r="10" spans="1:19" x14ac:dyDescent="0.2">
      <c r="A10" s="19" t="s">
        <v>11</v>
      </c>
      <c r="B10" s="26">
        <v>0</v>
      </c>
      <c r="C10" s="1">
        <v>0.4</v>
      </c>
      <c r="D10" s="1">
        <v>0.05</v>
      </c>
      <c r="E10" s="1">
        <v>0.55000000000000004</v>
      </c>
      <c r="F10" s="1">
        <v>0</v>
      </c>
      <c r="G10" s="25">
        <v>0</v>
      </c>
      <c r="H10" s="24">
        <f t="shared" si="1"/>
        <v>0</v>
      </c>
      <c r="I10" s="1">
        <f t="shared" si="0"/>
        <v>0.4</v>
      </c>
      <c r="J10" s="1">
        <f t="shared" si="0"/>
        <v>0.05</v>
      </c>
      <c r="K10" s="25">
        <f t="shared" si="0"/>
        <v>0.55000000000000004</v>
      </c>
      <c r="L10" s="35">
        <v>1</v>
      </c>
      <c r="M10" s="2">
        <v>5</v>
      </c>
      <c r="N10" s="2">
        <v>1</v>
      </c>
      <c r="O10" s="41">
        <v>0.5</v>
      </c>
      <c r="P10" s="43">
        <v>500</v>
      </c>
      <c r="Q10" s="2">
        <v>0</v>
      </c>
      <c r="R10" s="31">
        <f t="shared" si="2"/>
        <v>500</v>
      </c>
    </row>
    <row r="11" spans="1:19" ht="17" thickBot="1" x14ac:dyDescent="0.25">
      <c r="A11" s="21" t="s">
        <v>12</v>
      </c>
      <c r="B11" s="27">
        <v>1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  <c r="H11" s="24">
        <v>0</v>
      </c>
      <c r="I11" s="1">
        <f t="shared" si="0"/>
        <v>0</v>
      </c>
      <c r="J11" s="1">
        <f t="shared" si="0"/>
        <v>0</v>
      </c>
      <c r="K11" s="25">
        <f t="shared" si="0"/>
        <v>0</v>
      </c>
      <c r="L11" s="36">
        <v>1</v>
      </c>
      <c r="M11" s="32">
        <v>1</v>
      </c>
      <c r="N11" s="32">
        <v>1</v>
      </c>
      <c r="O11" s="42">
        <v>1</v>
      </c>
      <c r="P11" s="44">
        <v>0</v>
      </c>
      <c r="Q11" s="32">
        <v>0</v>
      </c>
      <c r="R11" s="33">
        <f t="shared" si="2"/>
        <v>0</v>
      </c>
    </row>
    <row r="13" spans="1:19" x14ac:dyDescent="0.2">
      <c r="A13" s="7" t="s">
        <v>26</v>
      </c>
      <c r="B13" s="6" t="s">
        <v>27</v>
      </c>
    </row>
    <row r="14" spans="1:19" x14ac:dyDescent="0.2">
      <c r="A14" t="s">
        <v>23</v>
      </c>
      <c r="B14" t="s">
        <v>24</v>
      </c>
    </row>
    <row r="15" spans="1:19" x14ac:dyDescent="0.2">
      <c r="B15" t="s">
        <v>25</v>
      </c>
    </row>
    <row r="16" spans="1:19" x14ac:dyDescent="0.2">
      <c r="A16" t="s">
        <v>5</v>
      </c>
      <c r="B16" t="s">
        <v>59</v>
      </c>
    </row>
    <row r="17" spans="1:19" x14ac:dyDescent="0.2">
      <c r="A17" t="s">
        <v>12</v>
      </c>
      <c r="B17" t="s">
        <v>13</v>
      </c>
    </row>
    <row r="18" spans="1:19" x14ac:dyDescent="0.2">
      <c r="A18" t="s">
        <v>9</v>
      </c>
      <c r="B18" t="s">
        <v>22</v>
      </c>
    </row>
    <row r="23" spans="1:19" x14ac:dyDescent="0.2">
      <c r="A23" s="48" t="s">
        <v>20</v>
      </c>
      <c r="B23" s="85" t="s">
        <v>21</v>
      </c>
      <c r="C23" s="85"/>
      <c r="D23" s="85"/>
      <c r="E23" s="85" t="s">
        <v>17</v>
      </c>
      <c r="F23" s="85"/>
      <c r="G23" s="85"/>
      <c r="H23" s="85" t="s">
        <v>18</v>
      </c>
      <c r="I23" s="85"/>
      <c r="J23" s="85"/>
      <c r="K23" s="85" t="s">
        <v>19</v>
      </c>
      <c r="L23" s="85"/>
      <c r="M23" s="85"/>
      <c r="N23" s="85" t="s">
        <v>5</v>
      </c>
      <c r="O23" s="85"/>
      <c r="P23" s="85"/>
      <c r="Q23" s="84"/>
      <c r="R23" s="84"/>
      <c r="S23" s="84"/>
    </row>
    <row r="24" spans="1:19" x14ac:dyDescent="0.2">
      <c r="A24" s="14"/>
      <c r="B24" s="2" t="s">
        <v>69</v>
      </c>
      <c r="C24" s="2" t="s">
        <v>77</v>
      </c>
      <c r="D24" s="2" t="s">
        <v>73</v>
      </c>
      <c r="E24" s="2" t="s">
        <v>69</v>
      </c>
      <c r="F24" s="2" t="s">
        <v>77</v>
      </c>
      <c r="G24" s="2" t="s">
        <v>73</v>
      </c>
      <c r="H24" s="2" t="s">
        <v>69</v>
      </c>
      <c r="I24" s="2" t="s">
        <v>77</v>
      </c>
      <c r="J24" s="2" t="s">
        <v>73</v>
      </c>
      <c r="K24" s="2" t="s">
        <v>69</v>
      </c>
      <c r="L24" s="2" t="s">
        <v>77</v>
      </c>
      <c r="M24" s="2" t="s">
        <v>73</v>
      </c>
      <c r="N24" s="2" t="s">
        <v>69</v>
      </c>
      <c r="O24" s="2" t="s">
        <v>77</v>
      </c>
      <c r="P24" s="2" t="s">
        <v>73</v>
      </c>
      <c r="Q24" s="13"/>
      <c r="R24" s="13"/>
      <c r="S24" s="13"/>
    </row>
    <row r="25" spans="1:19" x14ac:dyDescent="0.2">
      <c r="A25" s="14" t="s">
        <v>6</v>
      </c>
      <c r="B25" s="2">
        <f>M3*$R3</f>
        <v>720000</v>
      </c>
      <c r="C25" s="2">
        <f t="shared" ref="C25:D32" si="3">N3*$R3</f>
        <v>540000</v>
      </c>
      <c r="D25" s="2">
        <f t="shared" si="3"/>
        <v>570000</v>
      </c>
      <c r="E25" s="2">
        <f>INT(B25*$H3)</f>
        <v>375652</v>
      </c>
      <c r="F25" s="2">
        <f t="shared" ref="F25:G25" si="4">INT(C25*$H3)</f>
        <v>281739</v>
      </c>
      <c r="G25" s="2">
        <f t="shared" si="4"/>
        <v>297391</v>
      </c>
      <c r="H25" s="2">
        <f>INT(B25*$I3)</f>
        <v>219130</v>
      </c>
      <c r="I25" s="2">
        <f t="shared" ref="I25:J32" si="5">INT(C25*$I3)</f>
        <v>164347</v>
      </c>
      <c r="J25" s="2">
        <f t="shared" si="5"/>
        <v>173478</v>
      </c>
      <c r="K25" s="2">
        <f>INT(B25*$J3)</f>
        <v>31304</v>
      </c>
      <c r="L25" s="2">
        <f t="shared" ref="L25:M32" si="6">INT(C25*$J3)</f>
        <v>23478</v>
      </c>
      <c r="M25" s="2">
        <f t="shared" si="6"/>
        <v>24782</v>
      </c>
      <c r="N25" s="2">
        <f>INT(B25*$K3)</f>
        <v>0</v>
      </c>
      <c r="O25" s="2">
        <f t="shared" ref="O25:P32" si="7">INT(C25*$K3)</f>
        <v>0</v>
      </c>
      <c r="P25" s="2">
        <f t="shared" si="7"/>
        <v>0</v>
      </c>
      <c r="Q25" s="13"/>
      <c r="R25" s="13"/>
      <c r="S25" s="13"/>
    </row>
    <row r="26" spans="1:19" x14ac:dyDescent="0.2">
      <c r="A26" s="2" t="s">
        <v>7</v>
      </c>
      <c r="B26" s="2">
        <f t="shared" ref="B26:B33" si="8">M4*$R4</f>
        <v>40500</v>
      </c>
      <c r="C26" s="2">
        <f t="shared" si="3"/>
        <v>51749.999999999993</v>
      </c>
      <c r="D26" s="2">
        <f t="shared" si="3"/>
        <v>48600</v>
      </c>
      <c r="E26" s="2">
        <f t="shared" ref="E26:E32" si="9">INT(B26*$H4)</f>
        <v>21130</v>
      </c>
      <c r="F26" s="2">
        <f t="shared" ref="F26:F32" si="10">INT(C26*$H4)</f>
        <v>27000</v>
      </c>
      <c r="G26" s="2">
        <f t="shared" ref="G26:G32" si="11">INT(D26*$H4)</f>
        <v>25356</v>
      </c>
      <c r="H26" s="2">
        <f t="shared" ref="H26:H32" si="12">INT(B26*$I4)</f>
        <v>12326</v>
      </c>
      <c r="I26" s="2">
        <f t="shared" si="5"/>
        <v>15750</v>
      </c>
      <c r="J26" s="2">
        <f t="shared" si="5"/>
        <v>14791</v>
      </c>
      <c r="K26" s="2">
        <f t="shared" ref="K26:K32" si="13">INT(B26*$J4)</f>
        <v>1760</v>
      </c>
      <c r="L26" s="2">
        <f t="shared" si="6"/>
        <v>2250</v>
      </c>
      <c r="M26" s="2">
        <f t="shared" si="6"/>
        <v>2113</v>
      </c>
      <c r="N26" s="2">
        <f t="shared" ref="N26:N32" si="14">INT(B26*$K4)</f>
        <v>0</v>
      </c>
      <c r="O26" s="2">
        <f t="shared" si="7"/>
        <v>0</v>
      </c>
      <c r="P26" s="2">
        <f t="shared" si="7"/>
        <v>0</v>
      </c>
      <c r="Q26" s="13"/>
      <c r="R26" s="13"/>
      <c r="S26" s="13"/>
    </row>
    <row r="27" spans="1:19" x14ac:dyDescent="0.2">
      <c r="A27" s="2" t="s">
        <v>8</v>
      </c>
      <c r="B27" s="2">
        <f t="shared" si="8"/>
        <v>8800</v>
      </c>
      <c r="C27" s="2">
        <f t="shared" si="3"/>
        <v>6400</v>
      </c>
      <c r="D27" s="2">
        <f t="shared" si="3"/>
        <v>7200</v>
      </c>
      <c r="E27" s="2">
        <f t="shared" si="9"/>
        <v>4591</v>
      </c>
      <c r="F27" s="2">
        <f t="shared" si="10"/>
        <v>3339</v>
      </c>
      <c r="G27" s="2">
        <f t="shared" si="11"/>
        <v>3756</v>
      </c>
      <c r="H27" s="2">
        <f t="shared" si="12"/>
        <v>2678</v>
      </c>
      <c r="I27" s="2">
        <f t="shared" si="5"/>
        <v>1947</v>
      </c>
      <c r="J27" s="2">
        <f t="shared" si="5"/>
        <v>2191</v>
      </c>
      <c r="K27" s="2">
        <f t="shared" si="13"/>
        <v>382</v>
      </c>
      <c r="L27" s="2">
        <f t="shared" si="6"/>
        <v>278</v>
      </c>
      <c r="M27" s="2">
        <f t="shared" si="6"/>
        <v>313</v>
      </c>
      <c r="N27" s="2">
        <f t="shared" si="14"/>
        <v>0</v>
      </c>
      <c r="O27" s="2">
        <f t="shared" si="7"/>
        <v>0</v>
      </c>
      <c r="P27" s="2">
        <f t="shared" si="7"/>
        <v>0</v>
      </c>
      <c r="Q27" s="13"/>
      <c r="R27" s="13"/>
      <c r="S27" s="13"/>
    </row>
    <row r="28" spans="1:19" x14ac:dyDescent="0.2">
      <c r="A28" s="2" t="s">
        <v>9</v>
      </c>
      <c r="B28" s="2">
        <f t="shared" si="8"/>
        <v>700</v>
      </c>
      <c r="C28" s="2">
        <f t="shared" si="3"/>
        <v>1500</v>
      </c>
      <c r="D28" s="2">
        <f t="shared" si="3"/>
        <v>2500</v>
      </c>
      <c r="E28" s="2">
        <f t="shared" si="9"/>
        <v>0</v>
      </c>
      <c r="F28" s="2">
        <f t="shared" si="10"/>
        <v>0</v>
      </c>
      <c r="G28" s="2">
        <f t="shared" si="11"/>
        <v>0</v>
      </c>
      <c r="H28" s="2">
        <f t="shared" si="12"/>
        <v>280</v>
      </c>
      <c r="I28" s="2">
        <f t="shared" si="5"/>
        <v>600</v>
      </c>
      <c r="J28" s="2">
        <f t="shared" si="5"/>
        <v>1000</v>
      </c>
      <c r="K28" s="2">
        <f t="shared" si="13"/>
        <v>35</v>
      </c>
      <c r="L28" s="2">
        <f t="shared" si="6"/>
        <v>75</v>
      </c>
      <c r="M28" s="2">
        <f t="shared" si="6"/>
        <v>125</v>
      </c>
      <c r="N28" s="2">
        <f t="shared" si="14"/>
        <v>385</v>
      </c>
      <c r="O28" s="2">
        <f t="shared" si="7"/>
        <v>825</v>
      </c>
      <c r="P28" s="2">
        <f t="shared" si="7"/>
        <v>1375</v>
      </c>
      <c r="Q28" s="13"/>
      <c r="R28" s="13"/>
      <c r="S28" s="13"/>
    </row>
    <row r="29" spans="1:19" x14ac:dyDescent="0.2">
      <c r="A29" s="2" t="s">
        <v>63</v>
      </c>
      <c r="B29" s="2">
        <f t="shared" si="8"/>
        <v>0</v>
      </c>
      <c r="C29" s="2">
        <f t="shared" si="3"/>
        <v>0</v>
      </c>
      <c r="D29" s="2">
        <f t="shared" si="3"/>
        <v>0</v>
      </c>
      <c r="E29" s="2">
        <f t="shared" si="9"/>
        <v>0</v>
      </c>
      <c r="F29" s="2">
        <f t="shared" si="10"/>
        <v>0</v>
      </c>
      <c r="G29" s="2">
        <f t="shared" si="11"/>
        <v>0</v>
      </c>
      <c r="H29" s="2">
        <f t="shared" si="12"/>
        <v>0</v>
      </c>
      <c r="I29" s="2">
        <f t="shared" si="5"/>
        <v>0</v>
      </c>
      <c r="J29" s="2">
        <f t="shared" si="5"/>
        <v>0</v>
      </c>
      <c r="K29" s="2">
        <f t="shared" si="13"/>
        <v>0</v>
      </c>
      <c r="L29" s="2">
        <f t="shared" si="6"/>
        <v>0</v>
      </c>
      <c r="M29" s="2">
        <f t="shared" si="6"/>
        <v>0</v>
      </c>
      <c r="N29" s="2">
        <f t="shared" si="14"/>
        <v>0</v>
      </c>
      <c r="O29" s="2">
        <f t="shared" si="7"/>
        <v>0</v>
      </c>
      <c r="P29" s="2">
        <f t="shared" si="7"/>
        <v>0</v>
      </c>
      <c r="Q29" s="13"/>
      <c r="R29" s="13"/>
      <c r="S29" s="13"/>
    </row>
    <row r="30" spans="1:19" x14ac:dyDescent="0.2">
      <c r="A30" s="2" t="s">
        <v>65</v>
      </c>
      <c r="B30" s="2">
        <f t="shared" si="8"/>
        <v>1000</v>
      </c>
      <c r="C30" s="2">
        <f t="shared" si="3"/>
        <v>3000</v>
      </c>
      <c r="D30" s="2">
        <f t="shared" si="3"/>
        <v>0</v>
      </c>
      <c r="E30" s="2">
        <f t="shared" si="9"/>
        <v>0</v>
      </c>
      <c r="F30" s="2">
        <f t="shared" si="10"/>
        <v>0</v>
      </c>
      <c r="G30" s="2">
        <f t="shared" si="11"/>
        <v>0</v>
      </c>
      <c r="H30" s="2">
        <f t="shared" si="12"/>
        <v>400</v>
      </c>
      <c r="I30" s="2">
        <f t="shared" si="5"/>
        <v>1200</v>
      </c>
      <c r="J30" s="2">
        <f t="shared" si="5"/>
        <v>0</v>
      </c>
      <c r="K30" s="2">
        <f t="shared" si="13"/>
        <v>50</v>
      </c>
      <c r="L30" s="2">
        <f t="shared" si="6"/>
        <v>150</v>
      </c>
      <c r="M30" s="2">
        <f t="shared" si="6"/>
        <v>0</v>
      </c>
      <c r="N30" s="2">
        <f t="shared" si="14"/>
        <v>550</v>
      </c>
      <c r="O30" s="2">
        <f t="shared" si="7"/>
        <v>1650</v>
      </c>
      <c r="P30" s="2">
        <f t="shared" si="7"/>
        <v>0</v>
      </c>
      <c r="Q30" s="13"/>
      <c r="R30" s="13"/>
      <c r="S30" s="13"/>
    </row>
    <row r="31" spans="1:19" x14ac:dyDescent="0.2">
      <c r="A31" s="2" t="s">
        <v>95</v>
      </c>
      <c r="B31" s="2">
        <f t="shared" si="8"/>
        <v>3000</v>
      </c>
      <c r="C31" s="2">
        <f t="shared" si="3"/>
        <v>1000</v>
      </c>
      <c r="D31" s="2">
        <f t="shared" si="3"/>
        <v>0</v>
      </c>
      <c r="E31" s="2">
        <f t="shared" si="9"/>
        <v>0</v>
      </c>
      <c r="F31" s="2">
        <f t="shared" si="10"/>
        <v>0</v>
      </c>
      <c r="G31" s="2">
        <f t="shared" si="11"/>
        <v>0</v>
      </c>
      <c r="H31" s="2">
        <f t="shared" si="12"/>
        <v>1200</v>
      </c>
      <c r="I31" s="2">
        <f t="shared" si="5"/>
        <v>400</v>
      </c>
      <c r="J31" s="2">
        <f t="shared" si="5"/>
        <v>0</v>
      </c>
      <c r="K31" s="2">
        <f t="shared" si="13"/>
        <v>150</v>
      </c>
      <c r="L31" s="2">
        <f t="shared" si="6"/>
        <v>50</v>
      </c>
      <c r="M31" s="2">
        <f t="shared" si="6"/>
        <v>0</v>
      </c>
      <c r="N31" s="2">
        <f t="shared" si="14"/>
        <v>1650</v>
      </c>
      <c r="O31" s="2">
        <f t="shared" si="7"/>
        <v>550</v>
      </c>
      <c r="P31" s="2">
        <f t="shared" si="7"/>
        <v>0</v>
      </c>
      <c r="Q31" s="13"/>
      <c r="R31" s="13"/>
      <c r="S31" s="13"/>
    </row>
    <row r="32" spans="1:19" x14ac:dyDescent="0.2">
      <c r="A32" s="2" t="s">
        <v>11</v>
      </c>
      <c r="B32" s="2">
        <f t="shared" si="8"/>
        <v>2500</v>
      </c>
      <c r="C32" s="2">
        <f t="shared" si="3"/>
        <v>500</v>
      </c>
      <c r="D32" s="2">
        <f t="shared" si="3"/>
        <v>250</v>
      </c>
      <c r="E32" s="2">
        <f t="shared" si="9"/>
        <v>0</v>
      </c>
      <c r="F32" s="2">
        <f t="shared" si="10"/>
        <v>0</v>
      </c>
      <c r="G32" s="2">
        <f t="shared" si="11"/>
        <v>0</v>
      </c>
      <c r="H32" s="2">
        <f t="shared" si="12"/>
        <v>1000</v>
      </c>
      <c r="I32" s="2">
        <f t="shared" si="5"/>
        <v>200</v>
      </c>
      <c r="J32" s="2">
        <f t="shared" si="5"/>
        <v>100</v>
      </c>
      <c r="K32" s="2">
        <f t="shared" si="13"/>
        <v>125</v>
      </c>
      <c r="L32" s="2">
        <f t="shared" si="6"/>
        <v>25</v>
      </c>
      <c r="M32" s="2">
        <f t="shared" si="6"/>
        <v>12</v>
      </c>
      <c r="N32" s="2">
        <f t="shared" si="14"/>
        <v>1375</v>
      </c>
      <c r="O32" s="2">
        <f t="shared" si="7"/>
        <v>275</v>
      </c>
      <c r="P32" s="2">
        <f t="shared" si="7"/>
        <v>137</v>
      </c>
      <c r="Q32" s="13"/>
      <c r="R32" s="13"/>
      <c r="S32" s="13"/>
    </row>
    <row r="33" spans="1:19" x14ac:dyDescent="0.2">
      <c r="A33" s="47" t="s">
        <v>12</v>
      </c>
      <c r="B33" s="2">
        <f t="shared" si="8"/>
        <v>0</v>
      </c>
      <c r="C33" s="2">
        <f t="shared" ref="C33" si="15">N11*$R11</f>
        <v>0</v>
      </c>
      <c r="D33" s="2">
        <f t="shared" ref="D33" si="16">O11*$R11</f>
        <v>0</v>
      </c>
      <c r="E33" s="2">
        <f t="shared" ref="E33" si="17">INT(B33*$H11)</f>
        <v>0</v>
      </c>
      <c r="F33" s="2">
        <f t="shared" ref="F33" si="18">INT(C33*$H11)</f>
        <v>0</v>
      </c>
      <c r="G33" s="2">
        <f t="shared" ref="G33" si="19">INT(D33*$H11)</f>
        <v>0</v>
      </c>
      <c r="H33" s="2">
        <f t="shared" ref="H33" si="20">INT(B33*$I11)</f>
        <v>0</v>
      </c>
      <c r="I33" s="2">
        <f t="shared" ref="I33" si="21">INT(C33*$I11)</f>
        <v>0</v>
      </c>
      <c r="J33" s="2">
        <f t="shared" ref="J33" si="22">INT(D33*$I11)</f>
        <v>0</v>
      </c>
      <c r="K33" s="2">
        <f t="shared" ref="K33" si="23">INT(B33*$J11)</f>
        <v>0</v>
      </c>
      <c r="L33" s="2">
        <f t="shared" ref="L33" si="24">INT(C33*$J11)</f>
        <v>0</v>
      </c>
      <c r="M33" s="2">
        <f t="shared" ref="M33" si="25">INT(D33*$J11)</f>
        <v>0</v>
      </c>
      <c r="N33" s="2">
        <f t="shared" ref="N33" si="26">INT(B33*$K11)</f>
        <v>0</v>
      </c>
      <c r="O33" s="2">
        <f t="shared" ref="O33" si="27">INT(C33*$K11)</f>
        <v>0</v>
      </c>
      <c r="P33" s="2">
        <f t="shared" ref="P33" si="28">INT(D33*$K11)</f>
        <v>0</v>
      </c>
      <c r="Q33" s="13"/>
      <c r="R33" s="13"/>
      <c r="S33" s="13"/>
    </row>
    <row r="34" spans="1:19" x14ac:dyDescent="0.2">
      <c r="M34" s="10"/>
      <c r="N34" s="10"/>
      <c r="O34" s="10"/>
      <c r="P34" s="10"/>
      <c r="Q34" s="15"/>
      <c r="R34" s="15"/>
      <c r="S34" s="15"/>
    </row>
    <row r="35" spans="1:19" x14ac:dyDescent="0.2">
      <c r="A35" s="51" t="s">
        <v>111</v>
      </c>
      <c r="B35" s="10" t="s">
        <v>86</v>
      </c>
      <c r="C35" s="10" t="s">
        <v>87</v>
      </c>
      <c r="D35" s="30" t="s">
        <v>6</v>
      </c>
      <c r="E35" s="15" t="s">
        <v>7</v>
      </c>
      <c r="F35" s="15" t="s">
        <v>8</v>
      </c>
      <c r="G35" s="15" t="s">
        <v>9</v>
      </c>
      <c r="H35" s="15" t="s">
        <v>63</v>
      </c>
      <c r="I35" s="15" t="s">
        <v>65</v>
      </c>
      <c r="J35" s="15" t="s">
        <v>94</v>
      </c>
      <c r="K35" s="15" t="s">
        <v>11</v>
      </c>
      <c r="L35" t="s">
        <v>12</v>
      </c>
      <c r="Q35" s="13"/>
      <c r="R35" s="13"/>
      <c r="S35" s="13"/>
    </row>
    <row r="36" spans="1:19" x14ac:dyDescent="0.2">
      <c r="A36" s="45" t="s">
        <v>81</v>
      </c>
      <c r="B36" s="46" t="s">
        <v>69</v>
      </c>
      <c r="C36" s="45">
        <v>1</v>
      </c>
      <c r="D36" s="45">
        <f>VLOOKUP(D$35,$A$25:$D$33,1+$C36,0)/100</f>
        <v>7200</v>
      </c>
      <c r="E36" s="45">
        <f t="shared" ref="E36:F36" si="29">VLOOKUP(E$35,$A$25:$D$33,1+$C36,0)/100</f>
        <v>405</v>
      </c>
      <c r="F36" s="45">
        <f t="shared" si="29"/>
        <v>88</v>
      </c>
      <c r="G36" s="45">
        <f>VLOOKUP(G$35,$A$25:$D$33,1+$C36,0)+500</f>
        <v>1200</v>
      </c>
      <c r="H36" s="45">
        <f>VLOOKUP(H$35,$A$25:$D$33,1+$C36,0)+15000</f>
        <v>15000</v>
      </c>
      <c r="I36" s="45">
        <f>VLOOKUP(I$35,$A$25:$D$33,1+$C36,0)</f>
        <v>1000</v>
      </c>
      <c r="J36" s="45">
        <f t="shared" ref="J36:L36" si="30">VLOOKUP(J$35,$A$25:$D$33,1+$C36,0)</f>
        <v>3000</v>
      </c>
      <c r="K36" s="45">
        <f t="shared" si="30"/>
        <v>2500</v>
      </c>
      <c r="L36" s="45">
        <f t="shared" si="30"/>
        <v>0</v>
      </c>
      <c r="Q36" s="13"/>
      <c r="R36" s="13"/>
      <c r="S36" s="13"/>
    </row>
    <row r="37" spans="1:19" x14ac:dyDescent="0.2">
      <c r="A37" s="45" t="s">
        <v>82</v>
      </c>
      <c r="B37" s="10" t="s">
        <v>69</v>
      </c>
      <c r="C37" s="10">
        <v>1</v>
      </c>
      <c r="D37" s="45">
        <f t="shared" ref="D37:F40" si="31">VLOOKUP(D$35,$A$25:$D$33,1+$C37,0)/100</f>
        <v>7200</v>
      </c>
      <c r="E37" s="45">
        <f t="shared" si="31"/>
        <v>405</v>
      </c>
      <c r="F37" s="45">
        <f t="shared" si="31"/>
        <v>88</v>
      </c>
      <c r="G37" s="45">
        <f t="shared" ref="G37:G40" si="32">VLOOKUP(G$35,$A$25:$D$33,1+$C37,0)+500</f>
        <v>1200</v>
      </c>
      <c r="H37" s="45">
        <f t="shared" ref="H37:H40" si="33">VLOOKUP(H$35,$A$25:$D$33,1+$C37,0)+15000</f>
        <v>15000</v>
      </c>
      <c r="I37" s="45">
        <f t="shared" ref="I37:L40" si="34">VLOOKUP(I$35,$A$25:$D$33,1+$C37,0)</f>
        <v>1000</v>
      </c>
      <c r="J37" s="45">
        <f t="shared" si="34"/>
        <v>3000</v>
      </c>
      <c r="K37" s="45">
        <f t="shared" si="34"/>
        <v>2500</v>
      </c>
      <c r="L37" s="45">
        <f t="shared" si="34"/>
        <v>0</v>
      </c>
    </row>
    <row r="38" spans="1:19" x14ac:dyDescent="0.2">
      <c r="A38" s="45" t="s">
        <v>83</v>
      </c>
      <c r="B38" s="10" t="s">
        <v>77</v>
      </c>
      <c r="C38" s="10">
        <v>2</v>
      </c>
      <c r="D38" s="45">
        <f t="shared" si="31"/>
        <v>5400</v>
      </c>
      <c r="E38" s="45">
        <f t="shared" si="31"/>
        <v>517.49999999999989</v>
      </c>
      <c r="F38" s="45">
        <f t="shared" si="31"/>
        <v>64</v>
      </c>
      <c r="G38" s="45">
        <f t="shared" si="32"/>
        <v>2000</v>
      </c>
      <c r="H38" s="45">
        <f t="shared" si="33"/>
        <v>15000</v>
      </c>
      <c r="I38" s="45">
        <f t="shared" si="34"/>
        <v>3000</v>
      </c>
      <c r="J38" s="45">
        <f t="shared" si="34"/>
        <v>1000</v>
      </c>
      <c r="K38" s="45">
        <f t="shared" si="34"/>
        <v>500</v>
      </c>
      <c r="L38" s="45">
        <f t="shared" si="34"/>
        <v>0</v>
      </c>
    </row>
    <row r="39" spans="1:19" x14ac:dyDescent="0.2">
      <c r="A39" s="45" t="s">
        <v>84</v>
      </c>
      <c r="B39" s="10" t="s">
        <v>77</v>
      </c>
      <c r="C39" s="10">
        <v>2</v>
      </c>
      <c r="D39" s="45">
        <f t="shared" si="31"/>
        <v>5400</v>
      </c>
      <c r="E39" s="45">
        <f t="shared" si="31"/>
        <v>517.49999999999989</v>
      </c>
      <c r="F39" s="45">
        <f t="shared" si="31"/>
        <v>64</v>
      </c>
      <c r="G39" s="45">
        <f t="shared" si="32"/>
        <v>2000</v>
      </c>
      <c r="H39" s="45">
        <f t="shared" si="33"/>
        <v>15000</v>
      </c>
      <c r="I39" s="45">
        <f t="shared" si="34"/>
        <v>3000</v>
      </c>
      <c r="J39" s="45">
        <f t="shared" si="34"/>
        <v>1000</v>
      </c>
      <c r="K39" s="45">
        <f t="shared" si="34"/>
        <v>500</v>
      </c>
      <c r="L39" s="45">
        <f t="shared" si="34"/>
        <v>0</v>
      </c>
    </row>
    <row r="40" spans="1:19" x14ac:dyDescent="0.2">
      <c r="A40" s="45" t="s">
        <v>85</v>
      </c>
      <c r="B40" s="10" t="s">
        <v>73</v>
      </c>
      <c r="C40" s="10">
        <v>3</v>
      </c>
      <c r="D40" s="45">
        <f t="shared" si="31"/>
        <v>5700</v>
      </c>
      <c r="E40" s="45">
        <f t="shared" si="31"/>
        <v>486</v>
      </c>
      <c r="F40" s="45">
        <f t="shared" si="31"/>
        <v>72</v>
      </c>
      <c r="G40" s="45">
        <f t="shared" si="32"/>
        <v>3000</v>
      </c>
      <c r="H40" s="45">
        <f t="shared" si="33"/>
        <v>15000</v>
      </c>
      <c r="I40" s="45">
        <f t="shared" si="34"/>
        <v>0</v>
      </c>
      <c r="J40" s="45">
        <f t="shared" si="34"/>
        <v>0</v>
      </c>
      <c r="K40" s="45">
        <f t="shared" si="34"/>
        <v>250</v>
      </c>
      <c r="L40" s="45">
        <f t="shared" si="34"/>
        <v>0</v>
      </c>
    </row>
    <row r="42" spans="1:19" x14ac:dyDescent="0.2">
      <c r="B42" t="s">
        <v>7</v>
      </c>
      <c r="C42" t="s">
        <v>6</v>
      </c>
      <c r="D42" t="s">
        <v>8</v>
      </c>
      <c r="E42" t="s">
        <v>11</v>
      </c>
      <c r="F42" t="s">
        <v>10</v>
      </c>
      <c r="G42" t="s">
        <v>9</v>
      </c>
      <c r="H42" t="s">
        <v>63</v>
      </c>
      <c r="I42" t="s">
        <v>96</v>
      </c>
      <c r="J42" t="s">
        <v>97</v>
      </c>
      <c r="K42" s="4" t="s">
        <v>98</v>
      </c>
      <c r="L42" s="3" t="s">
        <v>99</v>
      </c>
      <c r="M42" s="3" t="s">
        <v>100</v>
      </c>
    </row>
    <row r="43" spans="1:19" x14ac:dyDescent="0.2">
      <c r="A43" s="45" t="s">
        <v>81</v>
      </c>
      <c r="B43">
        <f>E36</f>
        <v>405</v>
      </c>
      <c r="C43">
        <f>D36</f>
        <v>7200</v>
      </c>
      <c r="D43">
        <f>F36</f>
        <v>88</v>
      </c>
      <c r="E43">
        <f>K36</f>
        <v>2500</v>
      </c>
      <c r="F43">
        <v>0</v>
      </c>
      <c r="G43">
        <f>G36</f>
        <v>1200</v>
      </c>
      <c r="H43">
        <f>H36</f>
        <v>15000</v>
      </c>
      <c r="I43">
        <v>0</v>
      </c>
      <c r="J43">
        <v>0</v>
      </c>
      <c r="K43">
        <v>0</v>
      </c>
      <c r="L43">
        <v>0</v>
      </c>
      <c r="M43" s="4">
        <v>0</v>
      </c>
    </row>
    <row r="44" spans="1:19" x14ac:dyDescent="0.2">
      <c r="A44" s="45" t="s">
        <v>82</v>
      </c>
      <c r="B44">
        <f t="shared" ref="B44:B47" si="35">E37</f>
        <v>405</v>
      </c>
      <c r="C44">
        <f t="shared" ref="C44:C47" si="36">D37</f>
        <v>7200</v>
      </c>
      <c r="D44">
        <f t="shared" ref="D44:D47" si="37">F37</f>
        <v>88</v>
      </c>
      <c r="E44">
        <f t="shared" ref="E44:E47" si="38">K37</f>
        <v>2500</v>
      </c>
      <c r="F44">
        <v>1</v>
      </c>
      <c r="G44">
        <f t="shared" ref="G44:H44" si="39">G37</f>
        <v>1200</v>
      </c>
      <c r="H44">
        <f t="shared" si="39"/>
        <v>15000</v>
      </c>
      <c r="I44">
        <v>0</v>
      </c>
      <c r="J44">
        <v>0</v>
      </c>
      <c r="K44">
        <v>0</v>
      </c>
      <c r="L44">
        <v>0</v>
      </c>
      <c r="M44" s="10">
        <v>0</v>
      </c>
    </row>
    <row r="45" spans="1:19" x14ac:dyDescent="0.2">
      <c r="A45" s="45" t="s">
        <v>83</v>
      </c>
      <c r="B45">
        <f t="shared" si="35"/>
        <v>517.49999999999989</v>
      </c>
      <c r="C45">
        <f t="shared" si="36"/>
        <v>5400</v>
      </c>
      <c r="D45">
        <f t="shared" si="37"/>
        <v>64</v>
      </c>
      <c r="E45">
        <f t="shared" si="38"/>
        <v>500</v>
      </c>
      <c r="F45">
        <v>2</v>
      </c>
      <c r="G45">
        <f t="shared" ref="G45:H45" si="40">G38</f>
        <v>2000</v>
      </c>
      <c r="H45">
        <f t="shared" si="40"/>
        <v>15000</v>
      </c>
      <c r="I45">
        <v>0</v>
      </c>
      <c r="J45">
        <v>0</v>
      </c>
      <c r="K45">
        <v>0</v>
      </c>
      <c r="L45">
        <v>0</v>
      </c>
      <c r="M45" s="10">
        <v>0</v>
      </c>
    </row>
    <row r="46" spans="1:19" x14ac:dyDescent="0.2">
      <c r="A46" s="45" t="s">
        <v>84</v>
      </c>
      <c r="B46">
        <f t="shared" si="35"/>
        <v>517.49999999999989</v>
      </c>
      <c r="C46">
        <f t="shared" si="36"/>
        <v>5400</v>
      </c>
      <c r="D46">
        <f t="shared" si="37"/>
        <v>64</v>
      </c>
      <c r="E46">
        <f t="shared" si="38"/>
        <v>500</v>
      </c>
      <c r="F46">
        <v>3</v>
      </c>
      <c r="G46">
        <f t="shared" ref="G46:H46" si="41">G39</f>
        <v>2000</v>
      </c>
      <c r="H46">
        <f t="shared" si="41"/>
        <v>15000</v>
      </c>
      <c r="I46">
        <v>0</v>
      </c>
      <c r="J46">
        <v>0</v>
      </c>
      <c r="K46">
        <v>0</v>
      </c>
      <c r="L46">
        <v>0</v>
      </c>
      <c r="M46" s="10">
        <v>0</v>
      </c>
    </row>
    <row r="47" spans="1:19" x14ac:dyDescent="0.2">
      <c r="A47" s="45" t="s">
        <v>85</v>
      </c>
      <c r="B47">
        <f t="shared" si="35"/>
        <v>486</v>
      </c>
      <c r="C47">
        <f t="shared" si="36"/>
        <v>5700</v>
      </c>
      <c r="D47">
        <f t="shared" si="37"/>
        <v>72</v>
      </c>
      <c r="E47">
        <f t="shared" si="38"/>
        <v>250</v>
      </c>
      <c r="F47">
        <v>4</v>
      </c>
      <c r="G47">
        <f t="shared" ref="G47:H47" si="42">G40</f>
        <v>3000</v>
      </c>
      <c r="H47">
        <f t="shared" si="42"/>
        <v>15000</v>
      </c>
      <c r="I47">
        <v>0</v>
      </c>
      <c r="J47">
        <v>0</v>
      </c>
      <c r="K47">
        <v>0</v>
      </c>
      <c r="L47">
        <v>0</v>
      </c>
      <c r="M47" s="10">
        <v>0</v>
      </c>
    </row>
    <row r="52" spans="2:7" x14ac:dyDescent="0.2">
      <c r="B52">
        <f>98205/14.4*100</f>
        <v>681979.16666666663</v>
      </c>
      <c r="C52">
        <f>69245/0.144</f>
        <v>480868.05555555562</v>
      </c>
      <c r="D52">
        <f>5902/0.009</f>
        <v>655777.77777777787</v>
      </c>
      <c r="E52">
        <f>176261/0.288</f>
        <v>612017.36111111112</v>
      </c>
      <c r="F52">
        <f>74789/0.112</f>
        <v>667758.92857142852</v>
      </c>
      <c r="G52">
        <f>AVERAGE(B52:F52)</f>
        <v>619680.25793650793</v>
      </c>
    </row>
    <row r="53" spans="2:7" x14ac:dyDescent="0.2">
      <c r="B53">
        <f>3581/0.09</f>
        <v>39788.888888888891</v>
      </c>
      <c r="C53">
        <f>4932/0.096</f>
        <v>51375</v>
      </c>
      <c r="D53">
        <f>168/0.004</f>
        <v>42000</v>
      </c>
      <c r="E53">
        <f>3148/0.072</f>
        <v>43722.222222222226</v>
      </c>
      <c r="F53">
        <f>2657/0.064</f>
        <v>41515.625</v>
      </c>
      <c r="G53">
        <f t="shared" ref="G53:G54" si="43">AVERAGE(B53:F53)</f>
        <v>43680.347222222219</v>
      </c>
    </row>
    <row r="54" spans="2:7" x14ac:dyDescent="0.2">
      <c r="B54">
        <f>1102/0.126</f>
        <v>8746.0317460317456</v>
      </c>
      <c r="C54">
        <f>1134/0.144</f>
        <v>7875.0000000000009</v>
      </c>
      <c r="F54">
        <f>834/0.096</f>
        <v>8687.5</v>
      </c>
      <c r="G54">
        <f t="shared" si="43"/>
        <v>8436.1772486772479</v>
      </c>
    </row>
  </sheetData>
  <mergeCells count="12">
    <mergeCell ref="Q23:S23"/>
    <mergeCell ref="N23:P23"/>
    <mergeCell ref="A1:A2"/>
    <mergeCell ref="B1:E1"/>
    <mergeCell ref="F1:G1"/>
    <mergeCell ref="B23:D23"/>
    <mergeCell ref="H23:J23"/>
    <mergeCell ref="K23:M23"/>
    <mergeCell ref="E23:G23"/>
    <mergeCell ref="H1:K1"/>
    <mergeCell ref="L1:O1"/>
    <mergeCell ref="P1:R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workbookViewId="0">
      <selection activeCell="F14" sqref="F14:F28"/>
    </sheetView>
  </sheetViews>
  <sheetFormatPr baseColWidth="10" defaultRowHeight="16" x14ac:dyDescent="0.2"/>
  <cols>
    <col min="1" max="1" width="13.5" bestFit="1" customWidth="1"/>
    <col min="3" max="3" width="9" customWidth="1"/>
    <col min="5" max="5" width="13.5" style="10" bestFit="1" customWidth="1"/>
    <col min="6" max="10" width="10.83203125" style="10"/>
  </cols>
  <sheetData>
    <row r="1" spans="1:21" x14ac:dyDescent="0.2">
      <c r="A1" t="s">
        <v>17</v>
      </c>
    </row>
    <row r="2" spans="1:21" x14ac:dyDescent="0.2">
      <c r="A2" t="s">
        <v>1</v>
      </c>
      <c r="B2">
        <f>17.6/400</f>
        <v>4.4000000000000004E-2</v>
      </c>
      <c r="P2" t="s">
        <v>118</v>
      </c>
    </row>
    <row r="3" spans="1:21" x14ac:dyDescent="0.2">
      <c r="A3" t="s">
        <v>114</v>
      </c>
      <c r="B3">
        <f>1-B2</f>
        <v>0.95599999999999996</v>
      </c>
    </row>
    <row r="4" spans="1:21" x14ac:dyDescent="0.2">
      <c r="A4" t="s">
        <v>117</v>
      </c>
      <c r="B4">
        <v>240</v>
      </c>
    </row>
    <row r="6" spans="1:21" x14ac:dyDescent="0.2">
      <c r="A6" s="65"/>
      <c r="B6" s="98" t="s">
        <v>103</v>
      </c>
      <c r="C6" s="98"/>
      <c r="D6" s="98"/>
      <c r="E6" s="99" t="s">
        <v>113</v>
      </c>
      <c r="F6" s="99"/>
      <c r="G6" s="99"/>
      <c r="H6" s="99" t="s">
        <v>115</v>
      </c>
      <c r="I6" s="99"/>
      <c r="J6" s="99"/>
      <c r="K6" s="98" t="s">
        <v>116</v>
      </c>
      <c r="L6" s="98"/>
      <c r="M6" s="98"/>
    </row>
    <row r="7" spans="1:21" x14ac:dyDescent="0.2">
      <c r="A7" s="65"/>
      <c r="B7" s="11" t="s">
        <v>69</v>
      </c>
      <c r="C7" s="11" t="s">
        <v>77</v>
      </c>
      <c r="D7" s="11" t="s">
        <v>73</v>
      </c>
      <c r="E7" s="66" t="s">
        <v>68</v>
      </c>
      <c r="F7" s="66" t="s">
        <v>70</v>
      </c>
      <c r="G7" s="66" t="s">
        <v>72</v>
      </c>
      <c r="H7" s="66" t="s">
        <v>68</v>
      </c>
      <c r="I7" s="66" t="s">
        <v>70</v>
      </c>
      <c r="J7" s="66" t="s">
        <v>72</v>
      </c>
      <c r="K7" s="66" t="s">
        <v>68</v>
      </c>
      <c r="L7" s="66" t="s">
        <v>70</v>
      </c>
      <c r="M7" s="66" t="s">
        <v>72</v>
      </c>
    </row>
    <row r="8" spans="1:21" x14ac:dyDescent="0.2">
      <c r="A8" s="65" t="s">
        <v>6</v>
      </c>
      <c r="B8" s="2">
        <f>分类!E25</f>
        <v>375652</v>
      </c>
      <c r="C8" s="2">
        <f>分类!F25</f>
        <v>281739</v>
      </c>
      <c r="D8" s="2">
        <f>分类!G25</f>
        <v>297391</v>
      </c>
      <c r="E8" s="2">
        <f>INT(B8*$B$2)</f>
        <v>16528</v>
      </c>
      <c r="F8" s="2">
        <f t="shared" ref="F8:G10" si="0">INT(C8*$B$2)</f>
        <v>12396</v>
      </c>
      <c r="G8" s="2">
        <f t="shared" si="0"/>
        <v>13085</v>
      </c>
      <c r="H8" s="2">
        <f>INT(B8*$B$3)</f>
        <v>359123</v>
      </c>
      <c r="I8" s="2">
        <f t="shared" ref="I8:J8" si="1">INT(C8*$B$3)</f>
        <v>269342</v>
      </c>
      <c r="J8" s="2">
        <f t="shared" si="1"/>
        <v>284305</v>
      </c>
      <c r="K8" s="2">
        <f>INT(H8/$B$4)</f>
        <v>1496</v>
      </c>
      <c r="L8" s="2">
        <f t="shared" ref="L8:M8" si="2">INT(I8/$B$4)</f>
        <v>1122</v>
      </c>
      <c r="M8" s="2">
        <f t="shared" si="2"/>
        <v>1184</v>
      </c>
    </row>
    <row r="9" spans="1:21" x14ac:dyDescent="0.2">
      <c r="A9" s="65" t="s">
        <v>7</v>
      </c>
      <c r="B9" s="2">
        <f>分类!E26</f>
        <v>21130</v>
      </c>
      <c r="C9" s="2">
        <f>分类!F26</f>
        <v>27000</v>
      </c>
      <c r="D9" s="2">
        <f>分类!G26</f>
        <v>25356</v>
      </c>
      <c r="E9" s="2">
        <f t="shared" ref="E9:E10" si="3">INT(B9*$B$2)</f>
        <v>929</v>
      </c>
      <c r="F9" s="2">
        <f t="shared" si="0"/>
        <v>1188</v>
      </c>
      <c r="G9" s="2">
        <f t="shared" si="0"/>
        <v>1115</v>
      </c>
      <c r="H9" s="2">
        <f t="shared" ref="H9:H10" si="4">INT(B9*$B$3)</f>
        <v>20200</v>
      </c>
      <c r="I9" s="2">
        <f t="shared" ref="I9:I10" si="5">INT(C9*$B$3)</f>
        <v>25812</v>
      </c>
      <c r="J9" s="2">
        <f t="shared" ref="J9:J10" si="6">INT(D9*$B$3)</f>
        <v>24240</v>
      </c>
      <c r="K9" s="2">
        <f t="shared" ref="K9:K10" si="7">INT(H9/$B$4)</f>
        <v>84</v>
      </c>
      <c r="L9" s="2">
        <f t="shared" ref="L9:L10" si="8">INT(I9/$B$4)</f>
        <v>107</v>
      </c>
      <c r="M9" s="2">
        <f t="shared" ref="M9:M10" si="9">INT(J9/$B$4)</f>
        <v>101</v>
      </c>
    </row>
    <row r="10" spans="1:21" x14ac:dyDescent="0.2">
      <c r="A10" s="65" t="s">
        <v>8</v>
      </c>
      <c r="B10" s="2">
        <f>分类!E27</f>
        <v>4591</v>
      </c>
      <c r="C10" s="2">
        <f>分类!F27</f>
        <v>3339</v>
      </c>
      <c r="D10" s="2">
        <f>分类!G27</f>
        <v>3756</v>
      </c>
      <c r="E10" s="2">
        <f t="shared" si="3"/>
        <v>202</v>
      </c>
      <c r="F10" s="2">
        <f t="shared" si="0"/>
        <v>146</v>
      </c>
      <c r="G10" s="2">
        <f t="shared" si="0"/>
        <v>165</v>
      </c>
      <c r="H10" s="2">
        <f t="shared" si="4"/>
        <v>4388</v>
      </c>
      <c r="I10" s="2">
        <f t="shared" si="5"/>
        <v>3192</v>
      </c>
      <c r="J10" s="2">
        <f t="shared" si="6"/>
        <v>3590</v>
      </c>
      <c r="K10" s="2">
        <f t="shared" si="7"/>
        <v>18</v>
      </c>
      <c r="L10" s="2">
        <f t="shared" si="8"/>
        <v>13</v>
      </c>
      <c r="M10" s="2">
        <f t="shared" si="9"/>
        <v>14</v>
      </c>
    </row>
    <row r="12" spans="1:21" ht="16" customHeight="1" x14ac:dyDescent="0.2">
      <c r="A12" s="95" t="s">
        <v>128</v>
      </c>
      <c r="B12" s="95"/>
      <c r="C12" s="95" t="s">
        <v>129</v>
      </c>
      <c r="D12" s="95"/>
      <c r="E12" s="95"/>
      <c r="F12" s="95"/>
      <c r="G12" s="69" t="s">
        <v>113</v>
      </c>
      <c r="H12" s="95" t="s">
        <v>130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6" t="s">
        <v>131</v>
      </c>
    </row>
    <row r="13" spans="1:21" x14ac:dyDescent="0.2">
      <c r="A13" s="61" t="s">
        <v>132</v>
      </c>
      <c r="B13" s="61" t="s">
        <v>133</v>
      </c>
      <c r="C13" s="61" t="s">
        <v>134</v>
      </c>
      <c r="D13" s="61" t="s">
        <v>135</v>
      </c>
      <c r="E13" s="61" t="s">
        <v>136</v>
      </c>
      <c r="F13" s="61" t="s">
        <v>137</v>
      </c>
      <c r="G13" s="70">
        <v>0</v>
      </c>
      <c r="H13" s="62">
        <v>1</v>
      </c>
      <c r="I13" s="62">
        <v>11</v>
      </c>
      <c r="J13" s="62">
        <v>21</v>
      </c>
      <c r="K13" s="2">
        <v>41</v>
      </c>
      <c r="L13" s="2">
        <v>61</v>
      </c>
      <c r="M13" s="2">
        <v>81</v>
      </c>
      <c r="N13" s="2">
        <v>101</v>
      </c>
      <c r="O13" s="2">
        <v>121</v>
      </c>
      <c r="P13" s="2">
        <v>141</v>
      </c>
      <c r="Q13" s="2">
        <v>161</v>
      </c>
      <c r="R13" s="2">
        <v>181</v>
      </c>
      <c r="S13" s="2">
        <v>201</v>
      </c>
      <c r="T13" s="97"/>
      <c r="U13" t="s">
        <v>184</v>
      </c>
    </row>
    <row r="14" spans="1:21" x14ac:dyDescent="0.2">
      <c r="A14" s="2" t="s">
        <v>138</v>
      </c>
      <c r="B14" s="2" t="s">
        <v>139</v>
      </c>
      <c r="C14" s="2" t="s">
        <v>140</v>
      </c>
      <c r="D14" s="2" t="s">
        <v>140</v>
      </c>
      <c r="E14" s="2" t="s">
        <v>140</v>
      </c>
      <c r="F14" s="2">
        <v>100</v>
      </c>
      <c r="G14" s="63">
        <v>1</v>
      </c>
      <c r="H14" s="64">
        <v>5.5E-2</v>
      </c>
      <c r="I14" s="64">
        <v>7.4999999999999997E-2</v>
      </c>
      <c r="J14" s="64">
        <v>9.5000000000000001E-2</v>
      </c>
      <c r="K14" s="64">
        <v>0.115</v>
      </c>
      <c r="L14" s="64">
        <v>0.14000000000000001</v>
      </c>
      <c r="M14" s="64">
        <v>0.17499999999999999</v>
      </c>
      <c r="N14" s="64"/>
      <c r="O14" s="64"/>
      <c r="P14" s="64"/>
      <c r="Q14" s="64"/>
      <c r="R14" s="64"/>
      <c r="S14" s="64"/>
      <c r="T14" s="2">
        <f>G14+(F14-1)*MAX(H14:S14)</f>
        <v>18.324999999999999</v>
      </c>
      <c r="U14">
        <v>2</v>
      </c>
    </row>
    <row r="15" spans="1:21" x14ac:dyDescent="0.2">
      <c r="A15" s="2" t="s">
        <v>141</v>
      </c>
      <c r="B15" s="2" t="s">
        <v>142</v>
      </c>
      <c r="C15" s="2" t="s">
        <v>143</v>
      </c>
      <c r="D15" s="2" t="s">
        <v>142</v>
      </c>
      <c r="E15" s="2">
        <v>2</v>
      </c>
      <c r="F15" s="2">
        <v>100</v>
      </c>
      <c r="G15" s="63">
        <v>1.125</v>
      </c>
      <c r="H15" s="64">
        <v>6.5000000000000002E-2</v>
      </c>
      <c r="I15" s="64">
        <v>8.5000000000000006E-2</v>
      </c>
      <c r="J15" s="64">
        <v>0.1125</v>
      </c>
      <c r="K15" s="64">
        <v>0.13750000000000001</v>
      </c>
      <c r="L15" s="64">
        <v>0.16250000000000001</v>
      </c>
      <c r="M15" s="64">
        <v>0.2</v>
      </c>
      <c r="N15" s="64"/>
      <c r="O15" s="64"/>
      <c r="P15" s="64"/>
      <c r="Q15" s="64"/>
      <c r="R15" s="64"/>
      <c r="S15" s="64"/>
      <c r="T15" s="2">
        <f t="shared" ref="T15:T27" si="10">G15+(F15-1)*MAX(H15:S15)</f>
        <v>20.925000000000001</v>
      </c>
      <c r="U15">
        <v>3</v>
      </c>
    </row>
    <row r="16" spans="1:21" x14ac:dyDescent="0.2">
      <c r="A16" s="2" t="s">
        <v>144</v>
      </c>
      <c r="B16" s="2" t="s">
        <v>145</v>
      </c>
      <c r="C16" s="2" t="s">
        <v>146</v>
      </c>
      <c r="D16" s="2" t="s">
        <v>145</v>
      </c>
      <c r="E16" s="2">
        <v>2</v>
      </c>
      <c r="F16" s="2">
        <v>100</v>
      </c>
      <c r="G16" s="63">
        <v>1.875</v>
      </c>
      <c r="H16" s="64">
        <v>7.4999999999999997E-2</v>
      </c>
      <c r="I16" s="64">
        <v>0.1</v>
      </c>
      <c r="J16" s="64">
        <v>0.125</v>
      </c>
      <c r="K16" s="64">
        <v>0.15</v>
      </c>
      <c r="L16" s="64">
        <v>0.1875</v>
      </c>
      <c r="M16" s="64">
        <v>0.22500000000000001</v>
      </c>
      <c r="N16" s="64"/>
      <c r="O16" s="64"/>
      <c r="P16" s="64"/>
      <c r="Q16" s="64"/>
      <c r="R16" s="64"/>
      <c r="S16" s="64"/>
      <c r="T16" s="2">
        <f t="shared" si="10"/>
        <v>24.150000000000002</v>
      </c>
      <c r="U16">
        <v>4</v>
      </c>
    </row>
    <row r="17" spans="1:21" x14ac:dyDescent="0.2">
      <c r="A17" s="2" t="s">
        <v>29</v>
      </c>
      <c r="B17" s="2" t="s">
        <v>147</v>
      </c>
      <c r="C17" s="2" t="s">
        <v>143</v>
      </c>
      <c r="D17" s="2" t="s">
        <v>147</v>
      </c>
      <c r="E17" s="2">
        <v>1</v>
      </c>
      <c r="F17" s="2">
        <v>100</v>
      </c>
      <c r="G17" s="63">
        <v>3.125</v>
      </c>
      <c r="H17" s="64">
        <v>8.7499999999999994E-2</v>
      </c>
      <c r="I17" s="64">
        <v>0.1125</v>
      </c>
      <c r="J17" s="64">
        <v>0.15</v>
      </c>
      <c r="K17" s="64">
        <v>0.17499999999999999</v>
      </c>
      <c r="L17" s="64">
        <v>0.21249999999999999</v>
      </c>
      <c r="M17" s="64">
        <v>0.26250000000000001</v>
      </c>
      <c r="N17" s="64"/>
      <c r="O17" s="64"/>
      <c r="P17" s="64"/>
      <c r="Q17" s="64"/>
      <c r="R17" s="64"/>
      <c r="S17" s="64"/>
      <c r="T17" s="2">
        <f t="shared" si="10"/>
        <v>29.112500000000001</v>
      </c>
      <c r="U17">
        <v>5</v>
      </c>
    </row>
    <row r="18" spans="1:21" x14ac:dyDescent="0.2">
      <c r="A18" s="2" t="s">
        <v>148</v>
      </c>
      <c r="B18" s="2" t="s">
        <v>149</v>
      </c>
      <c r="C18" s="2" t="s">
        <v>146</v>
      </c>
      <c r="D18" s="2" t="s">
        <v>149</v>
      </c>
      <c r="E18" s="2">
        <v>2</v>
      </c>
      <c r="F18" s="2">
        <v>120</v>
      </c>
      <c r="G18" s="63">
        <v>4.375</v>
      </c>
      <c r="H18" s="64">
        <v>0.1</v>
      </c>
      <c r="I18" s="64">
        <v>0.125</v>
      </c>
      <c r="J18" s="64">
        <v>0.16250000000000001</v>
      </c>
      <c r="K18" s="64">
        <v>0.2</v>
      </c>
      <c r="L18" s="64">
        <v>0.23749999999999999</v>
      </c>
      <c r="M18" s="64">
        <v>0.3</v>
      </c>
      <c r="N18" s="64">
        <v>0.375</v>
      </c>
      <c r="O18" s="64"/>
      <c r="P18" s="64"/>
      <c r="Q18" s="64"/>
      <c r="R18" s="64"/>
      <c r="S18" s="64"/>
      <c r="T18" s="2">
        <f t="shared" si="10"/>
        <v>49</v>
      </c>
      <c r="U18">
        <v>6</v>
      </c>
    </row>
    <row r="19" spans="1:21" x14ac:dyDescent="0.2">
      <c r="A19" s="2" t="s">
        <v>30</v>
      </c>
      <c r="B19" s="2" t="s">
        <v>150</v>
      </c>
      <c r="C19" s="2" t="s">
        <v>143</v>
      </c>
      <c r="D19" s="2" t="s">
        <v>149</v>
      </c>
      <c r="E19" s="2">
        <v>1</v>
      </c>
      <c r="F19" s="2">
        <v>140</v>
      </c>
      <c r="G19" s="63">
        <v>5.625</v>
      </c>
      <c r="H19" s="64">
        <v>0.1125</v>
      </c>
      <c r="I19" s="64">
        <v>0.15</v>
      </c>
      <c r="J19" s="64">
        <v>0.1875</v>
      </c>
      <c r="K19" s="64">
        <v>0.23749999999999999</v>
      </c>
      <c r="L19" s="64">
        <v>0.28749999999999998</v>
      </c>
      <c r="M19" s="64">
        <v>0.35</v>
      </c>
      <c r="N19" s="64">
        <v>0.45</v>
      </c>
      <c r="O19" s="64">
        <v>0.55000000000000004</v>
      </c>
      <c r="P19" s="64"/>
      <c r="Q19" s="64"/>
      <c r="R19" s="64"/>
      <c r="S19" s="64"/>
      <c r="T19" s="2">
        <f t="shared" si="10"/>
        <v>82.075000000000003</v>
      </c>
      <c r="U19">
        <v>7</v>
      </c>
    </row>
    <row r="20" spans="1:21" x14ac:dyDescent="0.2">
      <c r="A20" s="2" t="s">
        <v>151</v>
      </c>
      <c r="B20" s="2" t="s">
        <v>152</v>
      </c>
      <c r="C20" s="2" t="s">
        <v>146</v>
      </c>
      <c r="D20" s="2" t="s">
        <v>152</v>
      </c>
      <c r="E20" s="2">
        <v>1</v>
      </c>
      <c r="F20" s="2">
        <v>160</v>
      </c>
      <c r="G20" s="63">
        <v>6.875</v>
      </c>
      <c r="H20" s="64">
        <v>0.125</v>
      </c>
      <c r="I20" s="64">
        <v>0.17499999999999999</v>
      </c>
      <c r="J20" s="64">
        <v>0.21249999999999999</v>
      </c>
      <c r="K20" s="64">
        <v>0.27500000000000002</v>
      </c>
      <c r="L20" s="64">
        <v>0.33750000000000002</v>
      </c>
      <c r="M20" s="64">
        <v>0.4</v>
      </c>
      <c r="N20" s="64">
        <v>0.5</v>
      </c>
      <c r="O20" s="64">
        <v>0.6</v>
      </c>
      <c r="P20" s="64">
        <v>0.7</v>
      </c>
      <c r="Q20" s="64"/>
      <c r="R20" s="64"/>
      <c r="S20" s="64"/>
      <c r="T20" s="2">
        <f t="shared" si="10"/>
        <v>118.175</v>
      </c>
      <c r="U20">
        <v>8</v>
      </c>
    </row>
    <row r="21" spans="1:21" x14ac:dyDescent="0.2">
      <c r="A21" s="2" t="s">
        <v>31</v>
      </c>
      <c r="B21" s="2" t="s">
        <v>153</v>
      </c>
      <c r="C21" s="2" t="s">
        <v>146</v>
      </c>
      <c r="D21" s="2" t="s">
        <v>152</v>
      </c>
      <c r="E21" s="2">
        <v>1</v>
      </c>
      <c r="F21" s="2">
        <v>180</v>
      </c>
      <c r="G21" s="63">
        <v>8.125</v>
      </c>
      <c r="H21" s="64">
        <v>0.13750000000000001</v>
      </c>
      <c r="I21" s="64">
        <v>0.2</v>
      </c>
      <c r="J21" s="64">
        <v>0.23749999999999999</v>
      </c>
      <c r="K21" s="64">
        <v>0.3125</v>
      </c>
      <c r="L21" s="64">
        <v>0.38750000000000001</v>
      </c>
      <c r="M21" s="64">
        <v>0.45</v>
      </c>
      <c r="N21" s="64">
        <v>0.55000000000000004</v>
      </c>
      <c r="O21" s="64">
        <v>0.65</v>
      </c>
      <c r="P21" s="64">
        <v>0.75</v>
      </c>
      <c r="Q21" s="64">
        <v>0.85</v>
      </c>
      <c r="R21" s="64"/>
      <c r="S21" s="64"/>
      <c r="T21" s="2">
        <f t="shared" si="10"/>
        <v>160.27500000000001</v>
      </c>
      <c r="U21">
        <v>9</v>
      </c>
    </row>
    <row r="22" spans="1:21" x14ac:dyDescent="0.2">
      <c r="A22" s="2" t="s">
        <v>154</v>
      </c>
      <c r="B22" s="2" t="s">
        <v>155</v>
      </c>
      <c r="C22" s="2" t="s">
        <v>143</v>
      </c>
      <c r="D22" s="2" t="s">
        <v>149</v>
      </c>
      <c r="E22" s="2">
        <v>2</v>
      </c>
      <c r="F22" s="2">
        <v>200</v>
      </c>
      <c r="G22" s="63">
        <v>9.375</v>
      </c>
      <c r="H22" s="64">
        <v>0.15</v>
      </c>
      <c r="I22" s="64">
        <v>0.22500000000000001</v>
      </c>
      <c r="J22" s="64">
        <v>0.26250000000000001</v>
      </c>
      <c r="K22" s="64">
        <v>0.35</v>
      </c>
      <c r="L22" s="64">
        <v>0.4375</v>
      </c>
      <c r="M22" s="64">
        <v>0.5</v>
      </c>
      <c r="N22" s="64">
        <v>0.6</v>
      </c>
      <c r="O22" s="64">
        <v>0.7</v>
      </c>
      <c r="P22" s="64">
        <v>0.8</v>
      </c>
      <c r="Q22" s="64">
        <v>0.9</v>
      </c>
      <c r="R22" s="64">
        <v>1</v>
      </c>
      <c r="S22" s="64"/>
      <c r="T22" s="2">
        <f t="shared" si="10"/>
        <v>208.375</v>
      </c>
      <c r="U22">
        <v>10</v>
      </c>
    </row>
    <row r="23" spans="1:21" x14ac:dyDescent="0.2">
      <c r="A23" s="2" t="s">
        <v>156</v>
      </c>
      <c r="B23" s="2" t="s">
        <v>157</v>
      </c>
      <c r="C23" s="2" t="s">
        <v>143</v>
      </c>
      <c r="D23" s="2" t="s">
        <v>149</v>
      </c>
      <c r="E23" s="2">
        <v>1</v>
      </c>
      <c r="F23" s="2">
        <v>240</v>
      </c>
      <c r="G23" s="63">
        <v>10.625</v>
      </c>
      <c r="H23" s="64">
        <v>0.16250000000000001</v>
      </c>
      <c r="I23" s="64">
        <v>0.25</v>
      </c>
      <c r="J23" s="64">
        <v>0.28749999999999998</v>
      </c>
      <c r="K23" s="64">
        <v>0.38750000000000001</v>
      </c>
      <c r="L23" s="64">
        <v>0.48749999999999999</v>
      </c>
      <c r="M23" s="64">
        <v>0.55000000000000004</v>
      </c>
      <c r="N23" s="64">
        <v>0.65</v>
      </c>
      <c r="O23" s="64">
        <v>0.75</v>
      </c>
      <c r="P23" s="64">
        <v>0.85</v>
      </c>
      <c r="Q23" s="64">
        <v>0.95</v>
      </c>
      <c r="R23" s="64">
        <v>1.05</v>
      </c>
      <c r="S23" s="64">
        <v>1.1000000000000001</v>
      </c>
      <c r="T23" s="80">
        <f t="shared" si="10"/>
        <v>273.52500000000003</v>
      </c>
      <c r="U23">
        <v>11</v>
      </c>
    </row>
    <row r="24" spans="1:21" x14ac:dyDescent="0.2">
      <c r="A24" s="47" t="s">
        <v>158</v>
      </c>
      <c r="B24" s="47" t="s">
        <v>159</v>
      </c>
      <c r="C24" s="2" t="s">
        <v>143</v>
      </c>
      <c r="D24" s="2" t="s">
        <v>149</v>
      </c>
      <c r="E24" s="47">
        <v>1</v>
      </c>
      <c r="F24" s="2">
        <v>240</v>
      </c>
      <c r="G24" s="63">
        <v>11.9</v>
      </c>
      <c r="H24" s="64">
        <v>0.17499999999999999</v>
      </c>
      <c r="I24" s="64">
        <v>0.27500000000000002</v>
      </c>
      <c r="J24" s="64">
        <v>0.3125</v>
      </c>
      <c r="K24" s="64">
        <v>0.42499999999999999</v>
      </c>
      <c r="L24" s="64">
        <v>0.53749999999999998</v>
      </c>
      <c r="M24" s="64">
        <v>0.6</v>
      </c>
      <c r="N24" s="64">
        <v>0.7</v>
      </c>
      <c r="O24" s="64">
        <v>0.8</v>
      </c>
      <c r="P24" s="64">
        <v>0.9</v>
      </c>
      <c r="Q24" s="64">
        <v>1</v>
      </c>
      <c r="R24" s="64">
        <v>1.1000000000000001</v>
      </c>
      <c r="S24" s="64">
        <v>1.2</v>
      </c>
      <c r="T24" s="2">
        <f t="shared" si="10"/>
        <v>298.7</v>
      </c>
      <c r="U24">
        <v>12</v>
      </c>
    </row>
    <row r="25" spans="1:21" x14ac:dyDescent="0.2">
      <c r="A25" s="47" t="s">
        <v>160</v>
      </c>
      <c r="B25" s="47" t="s">
        <v>161</v>
      </c>
      <c r="C25" s="2" t="s">
        <v>143</v>
      </c>
      <c r="D25" s="2" t="s">
        <v>149</v>
      </c>
      <c r="E25" s="2">
        <v>1</v>
      </c>
      <c r="F25" s="2">
        <v>240</v>
      </c>
      <c r="G25" s="63">
        <v>13.2</v>
      </c>
      <c r="H25" s="64">
        <v>0.1875</v>
      </c>
      <c r="I25" s="64">
        <v>0.3</v>
      </c>
      <c r="J25" s="64">
        <v>0.33750000000000002</v>
      </c>
      <c r="K25" s="64">
        <v>0.46250000000000002</v>
      </c>
      <c r="L25" s="64">
        <v>0.58750000000000002</v>
      </c>
      <c r="M25" s="64">
        <v>0.65</v>
      </c>
      <c r="N25" s="64">
        <v>0.75</v>
      </c>
      <c r="O25" s="64">
        <v>0.85</v>
      </c>
      <c r="P25" s="64">
        <v>0.95</v>
      </c>
      <c r="Q25" s="64">
        <v>1.05</v>
      </c>
      <c r="R25" s="64">
        <v>1.1499999999999999</v>
      </c>
      <c r="S25" s="64">
        <v>1.3</v>
      </c>
      <c r="T25" s="2">
        <f t="shared" si="10"/>
        <v>323.89999999999998</v>
      </c>
      <c r="U25">
        <v>13</v>
      </c>
    </row>
    <row r="26" spans="1:21" x14ac:dyDescent="0.2">
      <c r="A26" s="47" t="s">
        <v>162</v>
      </c>
      <c r="B26" s="47" t="s">
        <v>163</v>
      </c>
      <c r="C26" s="2" t="s">
        <v>143</v>
      </c>
      <c r="D26" s="2" t="s">
        <v>149</v>
      </c>
      <c r="E26" s="47">
        <v>1</v>
      </c>
      <c r="F26" s="2">
        <v>240</v>
      </c>
      <c r="G26" s="63">
        <v>14.4</v>
      </c>
      <c r="H26" s="64">
        <v>0.2</v>
      </c>
      <c r="I26" s="64">
        <v>0.32500000000000001</v>
      </c>
      <c r="J26" s="64">
        <v>0.36249999999999999</v>
      </c>
      <c r="K26" s="64">
        <v>0.5</v>
      </c>
      <c r="L26" s="64">
        <v>0.63749999999999996</v>
      </c>
      <c r="M26" s="64">
        <v>0.7</v>
      </c>
      <c r="N26" s="64">
        <v>0.8</v>
      </c>
      <c r="O26" s="64">
        <v>0.9</v>
      </c>
      <c r="P26" s="64">
        <v>1</v>
      </c>
      <c r="Q26" s="64">
        <v>1.1000000000000001</v>
      </c>
      <c r="R26" s="64">
        <v>1.2</v>
      </c>
      <c r="S26" s="64">
        <v>1.4</v>
      </c>
      <c r="T26" s="2">
        <f t="shared" si="10"/>
        <v>348.99999999999994</v>
      </c>
      <c r="U26">
        <v>14</v>
      </c>
    </row>
    <row r="27" spans="1:21" x14ac:dyDescent="0.2">
      <c r="A27" s="47" t="s">
        <v>164</v>
      </c>
      <c r="B27" s="47" t="s">
        <v>165</v>
      </c>
      <c r="C27" s="2" t="s">
        <v>143</v>
      </c>
      <c r="D27" s="2" t="s">
        <v>149</v>
      </c>
      <c r="E27" s="47">
        <v>1</v>
      </c>
      <c r="F27" s="2">
        <v>240</v>
      </c>
      <c r="G27" s="63">
        <v>15.7</v>
      </c>
      <c r="H27" s="64">
        <v>0.21249999999999999</v>
      </c>
      <c r="I27" s="64">
        <v>0.35</v>
      </c>
      <c r="J27" s="64">
        <v>0.38750000000000001</v>
      </c>
      <c r="K27" s="64">
        <v>0.53749999999999998</v>
      </c>
      <c r="L27" s="64">
        <v>0.6875</v>
      </c>
      <c r="M27" s="64">
        <v>0.75</v>
      </c>
      <c r="N27" s="64">
        <v>0.85</v>
      </c>
      <c r="O27" s="64">
        <v>0.95</v>
      </c>
      <c r="P27" s="64">
        <v>1.05</v>
      </c>
      <c r="Q27" s="64">
        <v>1.1499999999999999</v>
      </c>
      <c r="R27" s="64">
        <v>1.25</v>
      </c>
      <c r="S27" s="64">
        <v>1.5</v>
      </c>
      <c r="T27" s="2">
        <f t="shared" si="10"/>
        <v>374.2</v>
      </c>
      <c r="U27">
        <v>15</v>
      </c>
    </row>
    <row r="28" spans="1:21" x14ac:dyDescent="0.2">
      <c r="A28" s="47" t="s">
        <v>166</v>
      </c>
      <c r="B28" s="47" t="s">
        <v>167</v>
      </c>
      <c r="C28" s="2" t="s">
        <v>140</v>
      </c>
      <c r="D28" s="2" t="s">
        <v>140</v>
      </c>
      <c r="E28" s="2" t="s">
        <v>140</v>
      </c>
      <c r="F28" s="2">
        <v>240</v>
      </c>
      <c r="G28" s="63">
        <v>17.600000000000001</v>
      </c>
      <c r="H28" s="64">
        <v>0.22500000000000001</v>
      </c>
      <c r="I28" s="64">
        <v>0.375</v>
      </c>
      <c r="J28" s="64">
        <v>0.41249999999999998</v>
      </c>
      <c r="K28" s="64">
        <v>0.57499999999999996</v>
      </c>
      <c r="L28" s="64">
        <v>0.73750000000000004</v>
      </c>
      <c r="M28" s="64">
        <v>0.8</v>
      </c>
      <c r="N28" s="64">
        <v>0.9</v>
      </c>
      <c r="O28" s="64">
        <v>1</v>
      </c>
      <c r="P28" s="64">
        <v>1.1000000000000001</v>
      </c>
      <c r="Q28" s="64">
        <v>1.2</v>
      </c>
      <c r="R28" s="64">
        <v>1.3</v>
      </c>
      <c r="S28" s="64">
        <v>1.6</v>
      </c>
      <c r="T28" s="2">
        <v>400</v>
      </c>
      <c r="U28">
        <v>16</v>
      </c>
    </row>
    <row r="30" spans="1:21" x14ac:dyDescent="0.2">
      <c r="A30" s="45" t="s">
        <v>170</v>
      </c>
    </row>
    <row r="31" spans="1:21" x14ac:dyDescent="0.2">
      <c r="A31" s="45" t="s">
        <v>169</v>
      </c>
      <c r="B31" s="45" t="s">
        <v>102</v>
      </c>
      <c r="C31" s="2" t="s">
        <v>138</v>
      </c>
      <c r="D31" s="2" t="s">
        <v>141</v>
      </c>
      <c r="E31" s="2" t="s">
        <v>144</v>
      </c>
      <c r="F31" s="2" t="s">
        <v>29</v>
      </c>
      <c r="G31" s="2" t="s">
        <v>148</v>
      </c>
      <c r="H31" s="2" t="s">
        <v>30</v>
      </c>
      <c r="I31" s="2" t="s">
        <v>151</v>
      </c>
      <c r="J31" s="2" t="s">
        <v>31</v>
      </c>
      <c r="K31" s="2" t="s">
        <v>154</v>
      </c>
      <c r="L31" s="2" t="s">
        <v>156</v>
      </c>
      <c r="M31" s="47" t="s">
        <v>158</v>
      </c>
      <c r="N31" s="47" t="s">
        <v>160</v>
      </c>
      <c r="O31" s="47" t="s">
        <v>162</v>
      </c>
      <c r="P31" s="47" t="s">
        <v>164</v>
      </c>
      <c r="Q31" s="47" t="s">
        <v>166</v>
      </c>
    </row>
    <row r="32" spans="1:21" x14ac:dyDescent="0.2">
      <c r="A32" s="45">
        <v>0</v>
      </c>
      <c r="B32" s="45" t="s">
        <v>41</v>
      </c>
      <c r="C32" s="68">
        <f>ROUND(VLOOKUP(C$31,$A$14:$S$28,MATCH($A32,$A$13:$S$13,0),0)/$T$28*INDEX($B$8:$B$10,MATCH($B32,$A$8:$A$10,0)),1)</f>
        <v>939.1</v>
      </c>
      <c r="D32" s="68">
        <f t="shared" ref="D32:Q32" si="11">ROUND(VLOOKUP(D$31,$A$14:$S$28,MATCH($A32,$A$13:$S$13,0),0)/$T$28*INDEX($B$8:$B$10,MATCH($B32,$A$8:$A$10,0)),1)</f>
        <v>1056.5</v>
      </c>
      <c r="E32" s="68">
        <f t="shared" si="11"/>
        <v>1760.9</v>
      </c>
      <c r="F32" s="68">
        <f t="shared" si="11"/>
        <v>2934.8</v>
      </c>
      <c r="G32" s="68">
        <f t="shared" si="11"/>
        <v>4108.7</v>
      </c>
      <c r="H32" s="68">
        <f t="shared" si="11"/>
        <v>5282.6</v>
      </c>
      <c r="I32" s="68">
        <f t="shared" si="11"/>
        <v>6456.5</v>
      </c>
      <c r="J32" s="68">
        <f t="shared" si="11"/>
        <v>7630.4</v>
      </c>
      <c r="K32" s="68">
        <f t="shared" si="11"/>
        <v>8804.2999999999993</v>
      </c>
      <c r="L32" s="68">
        <f t="shared" si="11"/>
        <v>9978.2999999999993</v>
      </c>
      <c r="M32" s="68">
        <f t="shared" si="11"/>
        <v>11175.6</v>
      </c>
      <c r="N32" s="68">
        <f t="shared" si="11"/>
        <v>12396.5</v>
      </c>
      <c r="O32" s="68">
        <f t="shared" si="11"/>
        <v>13523.5</v>
      </c>
      <c r="P32" s="68">
        <f t="shared" si="11"/>
        <v>14744.3</v>
      </c>
      <c r="Q32" s="68">
        <f t="shared" si="11"/>
        <v>16528.7</v>
      </c>
    </row>
    <row r="33" spans="1:17" x14ac:dyDescent="0.2">
      <c r="A33" s="45">
        <v>0</v>
      </c>
      <c r="B33" s="45" t="s">
        <v>7</v>
      </c>
      <c r="C33" s="68">
        <f t="shared" ref="C33:Q48" si="12">ROUND(VLOOKUP(C$31,$A$14:$S$28,MATCH($A33,$A$13:$S$13,0),0)/$T$28*INDEX($B$8:$B$10,MATCH($B33,$A$8:$A$10,0)),1)</f>
        <v>52.8</v>
      </c>
      <c r="D33" s="68">
        <f t="shared" si="12"/>
        <v>59.4</v>
      </c>
      <c r="E33" s="68">
        <f t="shared" si="12"/>
        <v>99</v>
      </c>
      <c r="F33" s="68">
        <f t="shared" si="12"/>
        <v>165.1</v>
      </c>
      <c r="G33" s="68">
        <f t="shared" si="12"/>
        <v>231.1</v>
      </c>
      <c r="H33" s="68">
        <f t="shared" si="12"/>
        <v>297.10000000000002</v>
      </c>
      <c r="I33" s="68">
        <f t="shared" si="12"/>
        <v>363.2</v>
      </c>
      <c r="J33" s="68">
        <f t="shared" si="12"/>
        <v>429.2</v>
      </c>
      <c r="K33" s="68">
        <f t="shared" si="12"/>
        <v>495.2</v>
      </c>
      <c r="L33" s="68">
        <f t="shared" si="12"/>
        <v>561.29999999999995</v>
      </c>
      <c r="M33" s="68">
        <f t="shared" si="12"/>
        <v>628.6</v>
      </c>
      <c r="N33" s="68">
        <f t="shared" si="12"/>
        <v>697.3</v>
      </c>
      <c r="O33" s="68">
        <f t="shared" si="12"/>
        <v>760.7</v>
      </c>
      <c r="P33" s="68">
        <f t="shared" si="12"/>
        <v>829.4</v>
      </c>
      <c r="Q33" s="68">
        <f t="shared" si="12"/>
        <v>929.7</v>
      </c>
    </row>
    <row r="34" spans="1:17" x14ac:dyDescent="0.2">
      <c r="A34" s="45">
        <v>0</v>
      </c>
      <c r="B34" s="45" t="s">
        <v>168</v>
      </c>
      <c r="C34" s="68">
        <f t="shared" si="12"/>
        <v>11.5</v>
      </c>
      <c r="D34" s="68">
        <f t="shared" si="12"/>
        <v>12.9</v>
      </c>
      <c r="E34" s="68">
        <f t="shared" si="12"/>
        <v>21.5</v>
      </c>
      <c r="F34" s="68">
        <f t="shared" si="12"/>
        <v>35.9</v>
      </c>
      <c r="G34" s="68">
        <f t="shared" si="12"/>
        <v>50.2</v>
      </c>
      <c r="H34" s="68">
        <f t="shared" si="12"/>
        <v>64.599999999999994</v>
      </c>
      <c r="I34" s="68">
        <f t="shared" si="12"/>
        <v>78.900000000000006</v>
      </c>
      <c r="J34" s="68">
        <f t="shared" si="12"/>
        <v>93.3</v>
      </c>
      <c r="K34" s="68">
        <f t="shared" si="12"/>
        <v>107.6</v>
      </c>
      <c r="L34" s="68">
        <f t="shared" si="12"/>
        <v>121.9</v>
      </c>
      <c r="M34" s="68">
        <f t="shared" si="12"/>
        <v>136.6</v>
      </c>
      <c r="N34" s="68">
        <f t="shared" si="12"/>
        <v>151.5</v>
      </c>
      <c r="O34" s="68">
        <f t="shared" si="12"/>
        <v>165.3</v>
      </c>
      <c r="P34" s="68">
        <f t="shared" si="12"/>
        <v>180.2</v>
      </c>
      <c r="Q34" s="68">
        <f t="shared" si="12"/>
        <v>202</v>
      </c>
    </row>
    <row r="35" spans="1:17" x14ac:dyDescent="0.2">
      <c r="A35" s="17">
        <v>1</v>
      </c>
      <c r="B35" s="17" t="str">
        <f>B32</f>
        <v>生命</v>
      </c>
      <c r="C35" s="68">
        <f t="shared" si="12"/>
        <v>51.7</v>
      </c>
      <c r="D35" s="68">
        <f t="shared" si="12"/>
        <v>61</v>
      </c>
      <c r="E35" s="68">
        <f t="shared" si="12"/>
        <v>70.400000000000006</v>
      </c>
      <c r="F35" s="68">
        <f t="shared" si="12"/>
        <v>82.2</v>
      </c>
      <c r="G35" s="68">
        <f t="shared" si="12"/>
        <v>93.9</v>
      </c>
      <c r="H35" s="68">
        <f t="shared" si="12"/>
        <v>105.7</v>
      </c>
      <c r="I35" s="68">
        <f t="shared" si="12"/>
        <v>117.4</v>
      </c>
      <c r="J35" s="68">
        <f t="shared" si="12"/>
        <v>129.1</v>
      </c>
      <c r="K35" s="68">
        <f t="shared" si="12"/>
        <v>140.9</v>
      </c>
      <c r="L35" s="68">
        <f t="shared" si="12"/>
        <v>152.6</v>
      </c>
      <c r="M35" s="68">
        <f t="shared" si="12"/>
        <v>164.3</v>
      </c>
      <c r="N35" s="68">
        <f t="shared" si="12"/>
        <v>176.1</v>
      </c>
      <c r="O35" s="68">
        <f t="shared" si="12"/>
        <v>187.8</v>
      </c>
      <c r="P35" s="68">
        <f t="shared" si="12"/>
        <v>199.6</v>
      </c>
      <c r="Q35" s="68">
        <f t="shared" si="12"/>
        <v>211.3</v>
      </c>
    </row>
    <row r="36" spans="1:17" x14ac:dyDescent="0.2">
      <c r="A36" s="17">
        <v>1</v>
      </c>
      <c r="B36" s="17" t="str">
        <f t="shared" ref="B36:B70" si="13">B33</f>
        <v>攻击</v>
      </c>
      <c r="C36" s="68">
        <f t="shared" si="12"/>
        <v>2.9</v>
      </c>
      <c r="D36" s="68">
        <f t="shared" si="12"/>
        <v>3.4</v>
      </c>
      <c r="E36" s="68">
        <f t="shared" si="12"/>
        <v>4</v>
      </c>
      <c r="F36" s="68">
        <f t="shared" si="12"/>
        <v>4.5999999999999996</v>
      </c>
      <c r="G36" s="68">
        <f t="shared" si="12"/>
        <v>5.3</v>
      </c>
      <c r="H36" s="68">
        <f t="shared" si="12"/>
        <v>5.9</v>
      </c>
      <c r="I36" s="68">
        <f t="shared" si="12"/>
        <v>6.6</v>
      </c>
      <c r="J36" s="68">
        <f t="shared" si="12"/>
        <v>7.3</v>
      </c>
      <c r="K36" s="68">
        <f t="shared" si="12"/>
        <v>7.9</v>
      </c>
      <c r="L36" s="68">
        <f t="shared" si="12"/>
        <v>8.6</v>
      </c>
      <c r="M36" s="68">
        <f t="shared" si="12"/>
        <v>9.1999999999999993</v>
      </c>
      <c r="N36" s="68">
        <f t="shared" si="12"/>
        <v>9.9</v>
      </c>
      <c r="O36" s="68">
        <f t="shared" si="12"/>
        <v>10.6</v>
      </c>
      <c r="P36" s="68">
        <f t="shared" si="12"/>
        <v>11.2</v>
      </c>
      <c r="Q36" s="68">
        <f t="shared" si="12"/>
        <v>11.9</v>
      </c>
    </row>
    <row r="37" spans="1:17" x14ac:dyDescent="0.2">
      <c r="A37" s="17">
        <v>1</v>
      </c>
      <c r="B37" s="17" t="str">
        <f t="shared" si="13"/>
        <v>防御</v>
      </c>
      <c r="C37" s="68">
        <f t="shared" si="12"/>
        <v>0.6</v>
      </c>
      <c r="D37" s="68">
        <f t="shared" si="12"/>
        <v>0.7</v>
      </c>
      <c r="E37" s="68">
        <f t="shared" si="12"/>
        <v>0.9</v>
      </c>
      <c r="F37" s="68">
        <f t="shared" si="12"/>
        <v>1</v>
      </c>
      <c r="G37" s="68">
        <f t="shared" si="12"/>
        <v>1.1000000000000001</v>
      </c>
      <c r="H37" s="68">
        <f t="shared" si="12"/>
        <v>1.3</v>
      </c>
      <c r="I37" s="68">
        <f t="shared" si="12"/>
        <v>1.4</v>
      </c>
      <c r="J37" s="68">
        <f t="shared" si="12"/>
        <v>1.6</v>
      </c>
      <c r="K37" s="68">
        <f t="shared" si="12"/>
        <v>1.7</v>
      </c>
      <c r="L37" s="68">
        <f t="shared" si="12"/>
        <v>1.9</v>
      </c>
      <c r="M37" s="68">
        <f t="shared" si="12"/>
        <v>2</v>
      </c>
      <c r="N37" s="68">
        <f t="shared" si="12"/>
        <v>2.2000000000000002</v>
      </c>
      <c r="O37" s="68">
        <f t="shared" si="12"/>
        <v>2.2999999999999998</v>
      </c>
      <c r="P37" s="68">
        <f t="shared" si="12"/>
        <v>2.4</v>
      </c>
      <c r="Q37" s="68">
        <f t="shared" si="12"/>
        <v>2.6</v>
      </c>
    </row>
    <row r="38" spans="1:17" x14ac:dyDescent="0.2">
      <c r="A38" s="17">
        <v>11</v>
      </c>
      <c r="B38" s="17" t="str">
        <f t="shared" si="13"/>
        <v>生命</v>
      </c>
      <c r="C38" s="68">
        <f t="shared" si="12"/>
        <v>70.400000000000006</v>
      </c>
      <c r="D38" s="68">
        <f t="shared" si="12"/>
        <v>79.8</v>
      </c>
      <c r="E38" s="68">
        <f t="shared" si="12"/>
        <v>93.9</v>
      </c>
      <c r="F38" s="68">
        <f t="shared" si="12"/>
        <v>105.7</v>
      </c>
      <c r="G38" s="68">
        <f t="shared" si="12"/>
        <v>117.4</v>
      </c>
      <c r="H38" s="68">
        <f t="shared" si="12"/>
        <v>140.9</v>
      </c>
      <c r="I38" s="68">
        <f t="shared" si="12"/>
        <v>164.3</v>
      </c>
      <c r="J38" s="68">
        <f t="shared" si="12"/>
        <v>187.8</v>
      </c>
      <c r="K38" s="68">
        <f t="shared" si="12"/>
        <v>211.3</v>
      </c>
      <c r="L38" s="68">
        <f t="shared" si="12"/>
        <v>234.8</v>
      </c>
      <c r="M38" s="68">
        <f t="shared" si="12"/>
        <v>258.3</v>
      </c>
      <c r="N38" s="68">
        <f t="shared" si="12"/>
        <v>281.7</v>
      </c>
      <c r="O38" s="68">
        <f t="shared" si="12"/>
        <v>305.2</v>
      </c>
      <c r="P38" s="68">
        <f t="shared" si="12"/>
        <v>328.7</v>
      </c>
      <c r="Q38" s="68">
        <f t="shared" si="12"/>
        <v>352.2</v>
      </c>
    </row>
    <row r="39" spans="1:17" x14ac:dyDescent="0.2">
      <c r="A39" s="17">
        <v>11</v>
      </c>
      <c r="B39" s="17" t="str">
        <f t="shared" si="13"/>
        <v>攻击</v>
      </c>
      <c r="C39" s="68">
        <f t="shared" si="12"/>
        <v>4</v>
      </c>
      <c r="D39" s="68">
        <f t="shared" si="12"/>
        <v>4.5</v>
      </c>
      <c r="E39" s="68">
        <f t="shared" si="12"/>
        <v>5.3</v>
      </c>
      <c r="F39" s="68">
        <f t="shared" si="12"/>
        <v>5.9</v>
      </c>
      <c r="G39" s="68">
        <f t="shared" si="12"/>
        <v>6.6</v>
      </c>
      <c r="H39" s="68">
        <f t="shared" si="12"/>
        <v>7.9</v>
      </c>
      <c r="I39" s="68">
        <f t="shared" si="12"/>
        <v>9.1999999999999993</v>
      </c>
      <c r="J39" s="68">
        <f t="shared" si="12"/>
        <v>10.6</v>
      </c>
      <c r="K39" s="68">
        <f t="shared" si="12"/>
        <v>11.9</v>
      </c>
      <c r="L39" s="68">
        <f t="shared" si="12"/>
        <v>13.2</v>
      </c>
      <c r="M39" s="68">
        <f t="shared" si="12"/>
        <v>14.5</v>
      </c>
      <c r="N39" s="68">
        <f t="shared" si="12"/>
        <v>15.8</v>
      </c>
      <c r="O39" s="68">
        <f t="shared" si="12"/>
        <v>17.2</v>
      </c>
      <c r="P39" s="68">
        <f t="shared" si="12"/>
        <v>18.5</v>
      </c>
      <c r="Q39" s="68">
        <f t="shared" si="12"/>
        <v>19.8</v>
      </c>
    </row>
    <row r="40" spans="1:17" x14ac:dyDescent="0.2">
      <c r="A40" s="17">
        <v>11</v>
      </c>
      <c r="B40" s="17" t="str">
        <f t="shared" si="13"/>
        <v>防御</v>
      </c>
      <c r="C40" s="68">
        <f t="shared" si="12"/>
        <v>0.9</v>
      </c>
      <c r="D40" s="68">
        <f t="shared" si="12"/>
        <v>1</v>
      </c>
      <c r="E40" s="68">
        <f t="shared" si="12"/>
        <v>1.1000000000000001</v>
      </c>
      <c r="F40" s="68">
        <f t="shared" si="12"/>
        <v>1.3</v>
      </c>
      <c r="G40" s="68">
        <f t="shared" si="12"/>
        <v>1.4</v>
      </c>
      <c r="H40" s="68">
        <f t="shared" si="12"/>
        <v>1.7</v>
      </c>
      <c r="I40" s="68">
        <f t="shared" si="12"/>
        <v>2</v>
      </c>
      <c r="J40" s="68">
        <f t="shared" si="12"/>
        <v>2.2999999999999998</v>
      </c>
      <c r="K40" s="68">
        <f t="shared" si="12"/>
        <v>2.6</v>
      </c>
      <c r="L40" s="68">
        <f t="shared" si="12"/>
        <v>2.9</v>
      </c>
      <c r="M40" s="68">
        <f t="shared" si="12"/>
        <v>3.2</v>
      </c>
      <c r="N40" s="68">
        <f t="shared" si="12"/>
        <v>3.4</v>
      </c>
      <c r="O40" s="68">
        <f t="shared" si="12"/>
        <v>3.7</v>
      </c>
      <c r="P40" s="68">
        <f t="shared" si="12"/>
        <v>4</v>
      </c>
      <c r="Q40" s="68">
        <f t="shared" si="12"/>
        <v>4.3</v>
      </c>
    </row>
    <row r="41" spans="1:17" x14ac:dyDescent="0.2">
      <c r="A41" s="17">
        <v>21</v>
      </c>
      <c r="B41" s="17" t="str">
        <f t="shared" si="13"/>
        <v>生命</v>
      </c>
      <c r="C41" s="68">
        <f t="shared" si="12"/>
        <v>89.2</v>
      </c>
      <c r="D41" s="68">
        <f t="shared" si="12"/>
        <v>105.7</v>
      </c>
      <c r="E41" s="68">
        <f t="shared" si="12"/>
        <v>117.4</v>
      </c>
      <c r="F41" s="68">
        <f t="shared" si="12"/>
        <v>140.9</v>
      </c>
      <c r="G41" s="68">
        <f t="shared" si="12"/>
        <v>152.6</v>
      </c>
      <c r="H41" s="68">
        <f t="shared" si="12"/>
        <v>176.1</v>
      </c>
      <c r="I41" s="68">
        <f t="shared" si="12"/>
        <v>199.6</v>
      </c>
      <c r="J41" s="68">
        <f t="shared" si="12"/>
        <v>223</v>
      </c>
      <c r="K41" s="68">
        <f t="shared" si="12"/>
        <v>246.5</v>
      </c>
      <c r="L41" s="68">
        <f t="shared" si="12"/>
        <v>270</v>
      </c>
      <c r="M41" s="68">
        <f t="shared" si="12"/>
        <v>293.5</v>
      </c>
      <c r="N41" s="68">
        <f t="shared" si="12"/>
        <v>317</v>
      </c>
      <c r="O41" s="68">
        <f t="shared" si="12"/>
        <v>340.4</v>
      </c>
      <c r="P41" s="68">
        <f t="shared" si="12"/>
        <v>363.9</v>
      </c>
      <c r="Q41" s="68">
        <f t="shared" si="12"/>
        <v>387.4</v>
      </c>
    </row>
    <row r="42" spans="1:17" x14ac:dyDescent="0.2">
      <c r="A42" s="17">
        <v>21</v>
      </c>
      <c r="B42" s="17" t="str">
        <f t="shared" si="13"/>
        <v>攻击</v>
      </c>
      <c r="C42" s="68">
        <f t="shared" si="12"/>
        <v>5</v>
      </c>
      <c r="D42" s="68">
        <f t="shared" si="12"/>
        <v>5.9</v>
      </c>
      <c r="E42" s="68">
        <f t="shared" si="12"/>
        <v>6.6</v>
      </c>
      <c r="F42" s="68">
        <f t="shared" si="12"/>
        <v>7.9</v>
      </c>
      <c r="G42" s="68">
        <f t="shared" si="12"/>
        <v>8.6</v>
      </c>
      <c r="H42" s="68">
        <f t="shared" si="12"/>
        <v>9.9</v>
      </c>
      <c r="I42" s="68">
        <f t="shared" si="12"/>
        <v>11.2</v>
      </c>
      <c r="J42" s="68">
        <f t="shared" si="12"/>
        <v>12.5</v>
      </c>
      <c r="K42" s="68">
        <f t="shared" si="12"/>
        <v>13.9</v>
      </c>
      <c r="L42" s="68">
        <f t="shared" si="12"/>
        <v>15.2</v>
      </c>
      <c r="M42" s="68">
        <f t="shared" si="12"/>
        <v>16.5</v>
      </c>
      <c r="N42" s="68">
        <f t="shared" si="12"/>
        <v>17.8</v>
      </c>
      <c r="O42" s="68">
        <f t="shared" si="12"/>
        <v>19.100000000000001</v>
      </c>
      <c r="P42" s="68">
        <f t="shared" si="12"/>
        <v>20.5</v>
      </c>
      <c r="Q42" s="68">
        <f t="shared" si="12"/>
        <v>21.8</v>
      </c>
    </row>
    <row r="43" spans="1:17" x14ac:dyDescent="0.2">
      <c r="A43" s="17">
        <v>21</v>
      </c>
      <c r="B43" s="17" t="str">
        <f t="shared" si="13"/>
        <v>防御</v>
      </c>
      <c r="C43" s="68">
        <f t="shared" si="12"/>
        <v>1.1000000000000001</v>
      </c>
      <c r="D43" s="68">
        <f t="shared" si="12"/>
        <v>1.3</v>
      </c>
      <c r="E43" s="68">
        <f t="shared" si="12"/>
        <v>1.4</v>
      </c>
      <c r="F43" s="68">
        <f t="shared" si="12"/>
        <v>1.7</v>
      </c>
      <c r="G43" s="68">
        <f t="shared" si="12"/>
        <v>1.9</v>
      </c>
      <c r="H43" s="68">
        <f t="shared" si="12"/>
        <v>2.2000000000000002</v>
      </c>
      <c r="I43" s="68">
        <f t="shared" si="12"/>
        <v>2.4</v>
      </c>
      <c r="J43" s="68">
        <f t="shared" si="12"/>
        <v>2.7</v>
      </c>
      <c r="K43" s="68">
        <f t="shared" si="12"/>
        <v>3</v>
      </c>
      <c r="L43" s="68">
        <f t="shared" si="12"/>
        <v>3.3</v>
      </c>
      <c r="M43" s="68">
        <f t="shared" si="12"/>
        <v>3.6</v>
      </c>
      <c r="N43" s="68">
        <f t="shared" si="12"/>
        <v>3.9</v>
      </c>
      <c r="O43" s="68">
        <f t="shared" si="12"/>
        <v>4.2</v>
      </c>
      <c r="P43" s="68">
        <f t="shared" si="12"/>
        <v>4.4000000000000004</v>
      </c>
      <c r="Q43" s="68">
        <f t="shared" si="12"/>
        <v>4.7</v>
      </c>
    </row>
    <row r="44" spans="1:17" x14ac:dyDescent="0.2">
      <c r="A44" s="17">
        <f>A41+20</f>
        <v>41</v>
      </c>
      <c r="B44" s="17" t="str">
        <f t="shared" si="13"/>
        <v>生命</v>
      </c>
      <c r="C44" s="68">
        <f t="shared" si="12"/>
        <v>108</v>
      </c>
      <c r="D44" s="68">
        <f t="shared" si="12"/>
        <v>129.1</v>
      </c>
      <c r="E44" s="68">
        <f t="shared" si="12"/>
        <v>140.9</v>
      </c>
      <c r="F44" s="68">
        <f t="shared" si="12"/>
        <v>164.3</v>
      </c>
      <c r="G44" s="68">
        <f t="shared" si="12"/>
        <v>187.8</v>
      </c>
      <c r="H44" s="68">
        <f t="shared" si="12"/>
        <v>223</v>
      </c>
      <c r="I44" s="68">
        <f t="shared" si="12"/>
        <v>258.3</v>
      </c>
      <c r="J44" s="68">
        <f t="shared" si="12"/>
        <v>293.5</v>
      </c>
      <c r="K44" s="68">
        <f t="shared" si="12"/>
        <v>328.7</v>
      </c>
      <c r="L44" s="68">
        <f t="shared" si="12"/>
        <v>363.9</v>
      </c>
      <c r="M44" s="68">
        <f t="shared" si="12"/>
        <v>399.1</v>
      </c>
      <c r="N44" s="68">
        <f t="shared" si="12"/>
        <v>434.3</v>
      </c>
      <c r="O44" s="68">
        <f t="shared" si="12"/>
        <v>469.6</v>
      </c>
      <c r="P44" s="68">
        <f t="shared" si="12"/>
        <v>504.8</v>
      </c>
      <c r="Q44" s="68">
        <f t="shared" si="12"/>
        <v>540</v>
      </c>
    </row>
    <row r="45" spans="1:17" x14ac:dyDescent="0.2">
      <c r="A45" s="17">
        <f t="shared" ref="A45:A70" si="14">A42+20</f>
        <v>41</v>
      </c>
      <c r="B45" s="17" t="str">
        <f t="shared" si="13"/>
        <v>攻击</v>
      </c>
      <c r="C45" s="68">
        <f t="shared" si="12"/>
        <v>6.1</v>
      </c>
      <c r="D45" s="68">
        <f t="shared" si="12"/>
        <v>7.3</v>
      </c>
      <c r="E45" s="68">
        <f t="shared" si="12"/>
        <v>7.9</v>
      </c>
      <c r="F45" s="68">
        <f t="shared" si="12"/>
        <v>9.1999999999999993</v>
      </c>
      <c r="G45" s="68">
        <f t="shared" si="12"/>
        <v>10.6</v>
      </c>
      <c r="H45" s="68">
        <f t="shared" si="12"/>
        <v>12.5</v>
      </c>
      <c r="I45" s="68">
        <f t="shared" si="12"/>
        <v>14.5</v>
      </c>
      <c r="J45" s="68">
        <f t="shared" si="12"/>
        <v>16.5</v>
      </c>
      <c r="K45" s="68">
        <f t="shared" si="12"/>
        <v>18.5</v>
      </c>
      <c r="L45" s="68">
        <f t="shared" si="12"/>
        <v>20.5</v>
      </c>
      <c r="M45" s="68">
        <f t="shared" si="12"/>
        <v>22.5</v>
      </c>
      <c r="N45" s="68">
        <f t="shared" si="12"/>
        <v>24.4</v>
      </c>
      <c r="O45" s="68">
        <f t="shared" si="12"/>
        <v>26.4</v>
      </c>
      <c r="P45" s="68">
        <f t="shared" si="12"/>
        <v>28.4</v>
      </c>
      <c r="Q45" s="68">
        <f t="shared" si="12"/>
        <v>30.4</v>
      </c>
    </row>
    <row r="46" spans="1:17" x14ac:dyDescent="0.2">
      <c r="A46" s="17">
        <f t="shared" si="14"/>
        <v>41</v>
      </c>
      <c r="B46" s="17" t="str">
        <f t="shared" si="13"/>
        <v>防御</v>
      </c>
      <c r="C46" s="68">
        <f t="shared" si="12"/>
        <v>1.3</v>
      </c>
      <c r="D46" s="68">
        <f t="shared" si="12"/>
        <v>1.6</v>
      </c>
      <c r="E46" s="68">
        <f t="shared" si="12"/>
        <v>1.7</v>
      </c>
      <c r="F46" s="68">
        <f t="shared" si="12"/>
        <v>2</v>
      </c>
      <c r="G46" s="68">
        <f t="shared" si="12"/>
        <v>2.2999999999999998</v>
      </c>
      <c r="H46" s="68">
        <f t="shared" si="12"/>
        <v>2.7</v>
      </c>
      <c r="I46" s="68">
        <f t="shared" si="12"/>
        <v>3.2</v>
      </c>
      <c r="J46" s="68">
        <f t="shared" si="12"/>
        <v>3.6</v>
      </c>
      <c r="K46" s="68">
        <f t="shared" si="12"/>
        <v>4</v>
      </c>
      <c r="L46" s="68">
        <f t="shared" si="12"/>
        <v>4.4000000000000004</v>
      </c>
      <c r="M46" s="68">
        <f t="shared" si="12"/>
        <v>4.9000000000000004</v>
      </c>
      <c r="N46" s="68">
        <f t="shared" si="12"/>
        <v>5.3</v>
      </c>
      <c r="O46" s="68">
        <f t="shared" si="12"/>
        <v>5.7</v>
      </c>
      <c r="P46" s="68">
        <f t="shared" si="12"/>
        <v>6.2</v>
      </c>
      <c r="Q46" s="68">
        <f t="shared" si="12"/>
        <v>6.6</v>
      </c>
    </row>
    <row r="47" spans="1:17" x14ac:dyDescent="0.2">
      <c r="A47" s="17">
        <f t="shared" si="14"/>
        <v>61</v>
      </c>
      <c r="B47" s="17" t="str">
        <f t="shared" si="13"/>
        <v>生命</v>
      </c>
      <c r="C47" s="68">
        <f t="shared" si="12"/>
        <v>131.5</v>
      </c>
      <c r="D47" s="68">
        <f t="shared" si="12"/>
        <v>152.6</v>
      </c>
      <c r="E47" s="68">
        <f t="shared" si="12"/>
        <v>176.1</v>
      </c>
      <c r="F47" s="68">
        <f t="shared" si="12"/>
        <v>199.6</v>
      </c>
      <c r="G47" s="68">
        <f t="shared" si="12"/>
        <v>223</v>
      </c>
      <c r="H47" s="68">
        <f t="shared" si="12"/>
        <v>270</v>
      </c>
      <c r="I47" s="68">
        <f t="shared" si="12"/>
        <v>317</v>
      </c>
      <c r="J47" s="68">
        <f t="shared" si="12"/>
        <v>363.9</v>
      </c>
      <c r="K47" s="68">
        <f t="shared" si="12"/>
        <v>410.9</v>
      </c>
      <c r="L47" s="68">
        <f t="shared" si="12"/>
        <v>457.8</v>
      </c>
      <c r="M47" s="68">
        <f t="shared" si="12"/>
        <v>504.8</v>
      </c>
      <c r="N47" s="68">
        <f t="shared" si="12"/>
        <v>551.70000000000005</v>
      </c>
      <c r="O47" s="68">
        <f t="shared" si="12"/>
        <v>598.70000000000005</v>
      </c>
      <c r="P47" s="68">
        <f t="shared" si="12"/>
        <v>645.70000000000005</v>
      </c>
      <c r="Q47" s="68">
        <f t="shared" si="12"/>
        <v>692.6</v>
      </c>
    </row>
    <row r="48" spans="1:17" x14ac:dyDescent="0.2">
      <c r="A48" s="17">
        <f t="shared" si="14"/>
        <v>61</v>
      </c>
      <c r="B48" s="17" t="str">
        <f t="shared" si="13"/>
        <v>攻击</v>
      </c>
      <c r="C48" s="68">
        <f t="shared" si="12"/>
        <v>7.4</v>
      </c>
      <c r="D48" s="68">
        <f t="shared" si="12"/>
        <v>8.6</v>
      </c>
      <c r="E48" s="68">
        <f t="shared" si="12"/>
        <v>9.9</v>
      </c>
      <c r="F48" s="68">
        <f t="shared" si="12"/>
        <v>11.2</v>
      </c>
      <c r="G48" s="68">
        <f t="shared" si="12"/>
        <v>12.5</v>
      </c>
      <c r="H48" s="68">
        <f t="shared" si="12"/>
        <v>15.2</v>
      </c>
      <c r="I48" s="68">
        <f t="shared" si="12"/>
        <v>17.8</v>
      </c>
      <c r="J48" s="68">
        <f t="shared" si="12"/>
        <v>20.5</v>
      </c>
      <c r="K48" s="68">
        <f t="shared" si="12"/>
        <v>23.1</v>
      </c>
      <c r="L48" s="68">
        <f t="shared" si="12"/>
        <v>25.8</v>
      </c>
      <c r="M48" s="68">
        <f t="shared" si="12"/>
        <v>28.4</v>
      </c>
      <c r="N48" s="68">
        <f t="shared" si="12"/>
        <v>31</v>
      </c>
      <c r="O48" s="68">
        <f t="shared" si="12"/>
        <v>33.700000000000003</v>
      </c>
      <c r="P48" s="68">
        <f t="shared" si="12"/>
        <v>36.299999999999997</v>
      </c>
      <c r="Q48" s="68">
        <f t="shared" si="12"/>
        <v>39</v>
      </c>
    </row>
    <row r="49" spans="1:17" x14ac:dyDescent="0.2">
      <c r="A49" s="17">
        <f t="shared" si="14"/>
        <v>61</v>
      </c>
      <c r="B49" s="17" t="str">
        <f t="shared" si="13"/>
        <v>防御</v>
      </c>
      <c r="C49" s="68">
        <f t="shared" ref="C49:Q65" si="15">ROUND(VLOOKUP(C$31,$A$14:$S$28,MATCH($A49,$A$13:$S$13,0),0)/$T$28*INDEX($B$8:$B$10,MATCH($B49,$A$8:$A$10,0)),1)</f>
        <v>1.6</v>
      </c>
      <c r="D49" s="68">
        <f t="shared" si="15"/>
        <v>1.9</v>
      </c>
      <c r="E49" s="68">
        <f t="shared" si="15"/>
        <v>2.2000000000000002</v>
      </c>
      <c r="F49" s="68">
        <f t="shared" si="15"/>
        <v>2.4</v>
      </c>
      <c r="G49" s="68">
        <f t="shared" si="15"/>
        <v>2.7</v>
      </c>
      <c r="H49" s="68">
        <f t="shared" si="15"/>
        <v>3.3</v>
      </c>
      <c r="I49" s="68">
        <f t="shared" si="15"/>
        <v>3.9</v>
      </c>
      <c r="J49" s="68">
        <f t="shared" si="15"/>
        <v>4.4000000000000004</v>
      </c>
      <c r="K49" s="68">
        <f t="shared" si="15"/>
        <v>5</v>
      </c>
      <c r="L49" s="68">
        <f t="shared" si="15"/>
        <v>5.6</v>
      </c>
      <c r="M49" s="68">
        <f t="shared" si="15"/>
        <v>6.2</v>
      </c>
      <c r="N49" s="68">
        <f t="shared" si="15"/>
        <v>6.7</v>
      </c>
      <c r="O49" s="68">
        <f t="shared" si="15"/>
        <v>7.3</v>
      </c>
      <c r="P49" s="68">
        <f t="shared" si="15"/>
        <v>7.9</v>
      </c>
      <c r="Q49" s="68">
        <f t="shared" si="15"/>
        <v>8.5</v>
      </c>
    </row>
    <row r="50" spans="1:17" x14ac:dyDescent="0.2">
      <c r="A50" s="17">
        <f t="shared" si="14"/>
        <v>81</v>
      </c>
      <c r="B50" s="17" t="str">
        <f t="shared" si="13"/>
        <v>生命</v>
      </c>
      <c r="C50" s="68">
        <f t="shared" si="15"/>
        <v>164.3</v>
      </c>
      <c r="D50" s="68">
        <f t="shared" si="15"/>
        <v>187.8</v>
      </c>
      <c r="E50" s="68">
        <f t="shared" si="15"/>
        <v>211.3</v>
      </c>
      <c r="F50" s="68">
        <f t="shared" si="15"/>
        <v>246.5</v>
      </c>
      <c r="G50" s="68">
        <f t="shared" si="15"/>
        <v>281.7</v>
      </c>
      <c r="H50" s="68">
        <f t="shared" si="15"/>
        <v>328.7</v>
      </c>
      <c r="I50" s="68">
        <f t="shared" si="15"/>
        <v>375.7</v>
      </c>
      <c r="J50" s="68">
        <f t="shared" si="15"/>
        <v>422.6</v>
      </c>
      <c r="K50" s="68">
        <f t="shared" si="15"/>
        <v>469.6</v>
      </c>
      <c r="L50" s="68">
        <f t="shared" si="15"/>
        <v>516.5</v>
      </c>
      <c r="M50" s="68">
        <f t="shared" si="15"/>
        <v>563.5</v>
      </c>
      <c r="N50" s="68">
        <f t="shared" si="15"/>
        <v>610.4</v>
      </c>
      <c r="O50" s="68">
        <f t="shared" si="15"/>
        <v>657.4</v>
      </c>
      <c r="P50" s="68">
        <f t="shared" si="15"/>
        <v>704.3</v>
      </c>
      <c r="Q50" s="68">
        <f t="shared" si="15"/>
        <v>751.3</v>
      </c>
    </row>
    <row r="51" spans="1:17" x14ac:dyDescent="0.2">
      <c r="A51" s="17">
        <f t="shared" si="14"/>
        <v>81</v>
      </c>
      <c r="B51" s="17" t="str">
        <f t="shared" si="13"/>
        <v>攻击</v>
      </c>
      <c r="C51" s="68">
        <f t="shared" si="15"/>
        <v>9.1999999999999993</v>
      </c>
      <c r="D51" s="68">
        <f t="shared" si="15"/>
        <v>10.6</v>
      </c>
      <c r="E51" s="68">
        <f t="shared" si="15"/>
        <v>11.9</v>
      </c>
      <c r="F51" s="68">
        <f t="shared" si="15"/>
        <v>13.9</v>
      </c>
      <c r="G51" s="68">
        <f t="shared" si="15"/>
        <v>15.8</v>
      </c>
      <c r="H51" s="68">
        <f t="shared" si="15"/>
        <v>18.5</v>
      </c>
      <c r="I51" s="68">
        <f t="shared" si="15"/>
        <v>21.1</v>
      </c>
      <c r="J51" s="68">
        <f t="shared" si="15"/>
        <v>23.8</v>
      </c>
      <c r="K51" s="68">
        <f t="shared" si="15"/>
        <v>26.4</v>
      </c>
      <c r="L51" s="68">
        <f t="shared" si="15"/>
        <v>29.1</v>
      </c>
      <c r="M51" s="68">
        <f t="shared" si="15"/>
        <v>31.7</v>
      </c>
      <c r="N51" s="68">
        <f t="shared" si="15"/>
        <v>34.299999999999997</v>
      </c>
      <c r="O51" s="68">
        <f t="shared" si="15"/>
        <v>37</v>
      </c>
      <c r="P51" s="68">
        <f t="shared" si="15"/>
        <v>39.6</v>
      </c>
      <c r="Q51" s="68">
        <f t="shared" si="15"/>
        <v>42.3</v>
      </c>
    </row>
    <row r="52" spans="1:17" x14ac:dyDescent="0.2">
      <c r="A52" s="17">
        <f t="shared" si="14"/>
        <v>81</v>
      </c>
      <c r="B52" s="17" t="str">
        <f t="shared" si="13"/>
        <v>防御</v>
      </c>
      <c r="C52" s="68">
        <f t="shared" si="15"/>
        <v>2</v>
      </c>
      <c r="D52" s="68">
        <f t="shared" si="15"/>
        <v>2.2999999999999998</v>
      </c>
      <c r="E52" s="68">
        <f t="shared" si="15"/>
        <v>2.6</v>
      </c>
      <c r="F52" s="68">
        <f t="shared" si="15"/>
        <v>3</v>
      </c>
      <c r="G52" s="68">
        <f t="shared" si="15"/>
        <v>3.4</v>
      </c>
      <c r="H52" s="68">
        <f t="shared" si="15"/>
        <v>4</v>
      </c>
      <c r="I52" s="68">
        <f t="shared" si="15"/>
        <v>4.5999999999999996</v>
      </c>
      <c r="J52" s="68">
        <f t="shared" si="15"/>
        <v>5.2</v>
      </c>
      <c r="K52" s="68">
        <f t="shared" si="15"/>
        <v>5.7</v>
      </c>
      <c r="L52" s="68">
        <f t="shared" si="15"/>
        <v>6.3</v>
      </c>
      <c r="M52" s="68">
        <f t="shared" si="15"/>
        <v>6.9</v>
      </c>
      <c r="N52" s="68">
        <f t="shared" si="15"/>
        <v>7.5</v>
      </c>
      <c r="O52" s="68">
        <f t="shared" si="15"/>
        <v>8</v>
      </c>
      <c r="P52" s="68">
        <f t="shared" si="15"/>
        <v>8.6</v>
      </c>
      <c r="Q52" s="68">
        <f t="shared" si="15"/>
        <v>9.1999999999999993</v>
      </c>
    </row>
    <row r="53" spans="1:17" x14ac:dyDescent="0.2">
      <c r="A53" s="17">
        <f t="shared" si="14"/>
        <v>101</v>
      </c>
      <c r="B53" s="17" t="str">
        <f t="shared" si="13"/>
        <v>生命</v>
      </c>
      <c r="C53" s="68">
        <f t="shared" si="15"/>
        <v>0</v>
      </c>
      <c r="D53" s="68">
        <f t="shared" si="15"/>
        <v>0</v>
      </c>
      <c r="E53" s="68">
        <f t="shared" si="15"/>
        <v>0</v>
      </c>
      <c r="F53" s="68">
        <f t="shared" si="15"/>
        <v>0</v>
      </c>
      <c r="G53" s="68">
        <f t="shared" si="15"/>
        <v>352.2</v>
      </c>
      <c r="H53" s="68">
        <f t="shared" si="15"/>
        <v>422.6</v>
      </c>
      <c r="I53" s="68">
        <f t="shared" si="15"/>
        <v>469.6</v>
      </c>
      <c r="J53" s="68">
        <f t="shared" si="15"/>
        <v>516.5</v>
      </c>
      <c r="K53" s="68">
        <f t="shared" si="15"/>
        <v>563.5</v>
      </c>
      <c r="L53" s="68">
        <f t="shared" si="15"/>
        <v>610.4</v>
      </c>
      <c r="M53" s="68">
        <f t="shared" si="15"/>
        <v>657.4</v>
      </c>
      <c r="N53" s="68">
        <f t="shared" si="15"/>
        <v>704.3</v>
      </c>
      <c r="O53" s="68">
        <f t="shared" si="15"/>
        <v>751.3</v>
      </c>
      <c r="P53" s="68">
        <f t="shared" si="15"/>
        <v>798.3</v>
      </c>
      <c r="Q53" s="68">
        <f t="shared" si="15"/>
        <v>845.2</v>
      </c>
    </row>
    <row r="54" spans="1:17" x14ac:dyDescent="0.2">
      <c r="A54" s="17">
        <f t="shared" si="14"/>
        <v>101</v>
      </c>
      <c r="B54" s="17" t="str">
        <f t="shared" si="13"/>
        <v>攻击</v>
      </c>
      <c r="C54" s="68">
        <f t="shared" si="15"/>
        <v>0</v>
      </c>
      <c r="D54" s="68">
        <f t="shared" si="15"/>
        <v>0</v>
      </c>
      <c r="E54" s="68">
        <f t="shared" si="15"/>
        <v>0</v>
      </c>
      <c r="F54" s="68">
        <f t="shared" si="15"/>
        <v>0</v>
      </c>
      <c r="G54" s="68">
        <f t="shared" si="15"/>
        <v>19.8</v>
      </c>
      <c r="H54" s="68">
        <f t="shared" si="15"/>
        <v>23.8</v>
      </c>
      <c r="I54" s="68">
        <f t="shared" si="15"/>
        <v>26.4</v>
      </c>
      <c r="J54" s="68">
        <f t="shared" si="15"/>
        <v>29.1</v>
      </c>
      <c r="K54" s="68">
        <f t="shared" si="15"/>
        <v>31.7</v>
      </c>
      <c r="L54" s="68">
        <f t="shared" si="15"/>
        <v>34.299999999999997</v>
      </c>
      <c r="M54" s="68">
        <f t="shared" si="15"/>
        <v>37</v>
      </c>
      <c r="N54" s="68">
        <f t="shared" si="15"/>
        <v>39.6</v>
      </c>
      <c r="O54" s="68">
        <f t="shared" si="15"/>
        <v>42.3</v>
      </c>
      <c r="P54" s="68">
        <f t="shared" si="15"/>
        <v>44.9</v>
      </c>
      <c r="Q54" s="68">
        <f t="shared" si="15"/>
        <v>47.5</v>
      </c>
    </row>
    <row r="55" spans="1:17" x14ac:dyDescent="0.2">
      <c r="A55" s="17">
        <f t="shared" si="14"/>
        <v>101</v>
      </c>
      <c r="B55" s="17" t="str">
        <f t="shared" si="13"/>
        <v>防御</v>
      </c>
      <c r="C55" s="68">
        <f t="shared" si="15"/>
        <v>0</v>
      </c>
      <c r="D55" s="68">
        <f t="shared" si="15"/>
        <v>0</v>
      </c>
      <c r="E55" s="68">
        <f t="shared" si="15"/>
        <v>0</v>
      </c>
      <c r="F55" s="68">
        <f t="shared" si="15"/>
        <v>0</v>
      </c>
      <c r="G55" s="68">
        <f t="shared" si="15"/>
        <v>4.3</v>
      </c>
      <c r="H55" s="68">
        <f t="shared" si="15"/>
        <v>5.2</v>
      </c>
      <c r="I55" s="68">
        <f t="shared" si="15"/>
        <v>5.7</v>
      </c>
      <c r="J55" s="68">
        <f t="shared" si="15"/>
        <v>6.3</v>
      </c>
      <c r="K55" s="68">
        <f t="shared" si="15"/>
        <v>6.9</v>
      </c>
      <c r="L55" s="68">
        <f t="shared" si="15"/>
        <v>7.5</v>
      </c>
      <c r="M55" s="68">
        <f t="shared" si="15"/>
        <v>8</v>
      </c>
      <c r="N55" s="68">
        <f t="shared" si="15"/>
        <v>8.6</v>
      </c>
      <c r="O55" s="68">
        <f t="shared" si="15"/>
        <v>9.1999999999999993</v>
      </c>
      <c r="P55" s="68">
        <f t="shared" si="15"/>
        <v>9.8000000000000007</v>
      </c>
      <c r="Q55" s="68">
        <f t="shared" si="15"/>
        <v>10.3</v>
      </c>
    </row>
    <row r="56" spans="1:17" x14ac:dyDescent="0.2">
      <c r="A56" s="17">
        <f t="shared" si="14"/>
        <v>121</v>
      </c>
      <c r="B56" s="17" t="str">
        <f t="shared" si="13"/>
        <v>生命</v>
      </c>
      <c r="C56" s="68">
        <f t="shared" si="15"/>
        <v>0</v>
      </c>
      <c r="D56" s="68">
        <f t="shared" si="15"/>
        <v>0</v>
      </c>
      <c r="E56" s="68">
        <f t="shared" si="15"/>
        <v>0</v>
      </c>
      <c r="F56" s="68">
        <f t="shared" si="15"/>
        <v>0</v>
      </c>
      <c r="G56" s="68">
        <f t="shared" si="15"/>
        <v>0</v>
      </c>
      <c r="H56" s="68">
        <f t="shared" si="15"/>
        <v>516.5</v>
      </c>
      <c r="I56" s="68">
        <f t="shared" si="15"/>
        <v>563.5</v>
      </c>
      <c r="J56" s="68">
        <f t="shared" si="15"/>
        <v>610.4</v>
      </c>
      <c r="K56" s="68">
        <f t="shared" si="15"/>
        <v>657.4</v>
      </c>
      <c r="L56" s="68">
        <f t="shared" si="15"/>
        <v>704.3</v>
      </c>
      <c r="M56" s="68">
        <f t="shared" si="15"/>
        <v>751.3</v>
      </c>
      <c r="N56" s="68">
        <f t="shared" si="15"/>
        <v>798.3</v>
      </c>
      <c r="O56" s="68">
        <f t="shared" si="15"/>
        <v>845.2</v>
      </c>
      <c r="P56" s="68">
        <f t="shared" si="15"/>
        <v>892.2</v>
      </c>
      <c r="Q56" s="68">
        <f t="shared" si="15"/>
        <v>939.1</v>
      </c>
    </row>
    <row r="57" spans="1:17" x14ac:dyDescent="0.2">
      <c r="A57" s="17">
        <f t="shared" si="14"/>
        <v>121</v>
      </c>
      <c r="B57" s="17" t="str">
        <f t="shared" si="13"/>
        <v>攻击</v>
      </c>
      <c r="C57" s="68">
        <f t="shared" si="15"/>
        <v>0</v>
      </c>
      <c r="D57" s="68">
        <f t="shared" si="15"/>
        <v>0</v>
      </c>
      <c r="E57" s="68">
        <f t="shared" si="15"/>
        <v>0</v>
      </c>
      <c r="F57" s="68">
        <f t="shared" si="15"/>
        <v>0</v>
      </c>
      <c r="G57" s="68">
        <f t="shared" si="15"/>
        <v>0</v>
      </c>
      <c r="H57" s="68">
        <f t="shared" si="15"/>
        <v>29.1</v>
      </c>
      <c r="I57" s="68">
        <f t="shared" si="15"/>
        <v>31.7</v>
      </c>
      <c r="J57" s="68">
        <f t="shared" si="15"/>
        <v>34.299999999999997</v>
      </c>
      <c r="K57" s="68">
        <f t="shared" si="15"/>
        <v>37</v>
      </c>
      <c r="L57" s="68">
        <f t="shared" si="15"/>
        <v>39.6</v>
      </c>
      <c r="M57" s="68">
        <f t="shared" si="15"/>
        <v>42.3</v>
      </c>
      <c r="N57" s="68">
        <f t="shared" si="15"/>
        <v>44.9</v>
      </c>
      <c r="O57" s="68">
        <f t="shared" si="15"/>
        <v>47.5</v>
      </c>
      <c r="P57" s="68">
        <f t="shared" si="15"/>
        <v>50.2</v>
      </c>
      <c r="Q57" s="68">
        <f t="shared" si="15"/>
        <v>52.8</v>
      </c>
    </row>
    <row r="58" spans="1:17" x14ac:dyDescent="0.2">
      <c r="A58" s="17">
        <f t="shared" si="14"/>
        <v>121</v>
      </c>
      <c r="B58" s="17" t="str">
        <f t="shared" si="13"/>
        <v>防御</v>
      </c>
      <c r="C58" s="68">
        <f t="shared" si="15"/>
        <v>0</v>
      </c>
      <c r="D58" s="68">
        <f t="shared" si="15"/>
        <v>0</v>
      </c>
      <c r="E58" s="68">
        <f t="shared" si="15"/>
        <v>0</v>
      </c>
      <c r="F58" s="68">
        <f t="shared" si="15"/>
        <v>0</v>
      </c>
      <c r="G58" s="68">
        <f t="shared" si="15"/>
        <v>0</v>
      </c>
      <c r="H58" s="68">
        <f t="shared" si="15"/>
        <v>6.3</v>
      </c>
      <c r="I58" s="68">
        <f t="shared" si="15"/>
        <v>6.9</v>
      </c>
      <c r="J58" s="68">
        <f t="shared" si="15"/>
        <v>7.5</v>
      </c>
      <c r="K58" s="68">
        <f t="shared" si="15"/>
        <v>8</v>
      </c>
      <c r="L58" s="68">
        <f t="shared" si="15"/>
        <v>8.6</v>
      </c>
      <c r="M58" s="68">
        <f t="shared" si="15"/>
        <v>9.1999999999999993</v>
      </c>
      <c r="N58" s="68">
        <f t="shared" si="15"/>
        <v>9.8000000000000007</v>
      </c>
      <c r="O58" s="68">
        <f t="shared" si="15"/>
        <v>10.3</v>
      </c>
      <c r="P58" s="68">
        <f t="shared" si="15"/>
        <v>10.9</v>
      </c>
      <c r="Q58" s="68">
        <f t="shared" si="15"/>
        <v>11.5</v>
      </c>
    </row>
    <row r="59" spans="1:17" x14ac:dyDescent="0.2">
      <c r="A59" s="17">
        <f t="shared" si="14"/>
        <v>141</v>
      </c>
      <c r="B59" s="17" t="str">
        <f t="shared" si="13"/>
        <v>生命</v>
      </c>
      <c r="C59" s="68">
        <f t="shared" si="15"/>
        <v>0</v>
      </c>
      <c r="D59" s="68">
        <f t="shared" si="15"/>
        <v>0</v>
      </c>
      <c r="E59" s="68">
        <f t="shared" si="15"/>
        <v>0</v>
      </c>
      <c r="F59" s="68">
        <f t="shared" si="15"/>
        <v>0</v>
      </c>
      <c r="G59" s="68">
        <f t="shared" si="15"/>
        <v>0</v>
      </c>
      <c r="H59" s="68">
        <f t="shared" si="15"/>
        <v>0</v>
      </c>
      <c r="I59" s="68">
        <f t="shared" si="15"/>
        <v>657.4</v>
      </c>
      <c r="J59" s="68">
        <f t="shared" si="15"/>
        <v>704.3</v>
      </c>
      <c r="K59" s="68">
        <f t="shared" si="15"/>
        <v>751.3</v>
      </c>
      <c r="L59" s="68">
        <f t="shared" si="15"/>
        <v>798.3</v>
      </c>
      <c r="M59" s="68">
        <f t="shared" si="15"/>
        <v>845.2</v>
      </c>
      <c r="N59" s="68">
        <f t="shared" si="15"/>
        <v>892.2</v>
      </c>
      <c r="O59" s="68">
        <f t="shared" si="15"/>
        <v>939.1</v>
      </c>
      <c r="P59" s="68">
        <f t="shared" si="15"/>
        <v>986.1</v>
      </c>
      <c r="Q59" s="68">
        <f t="shared" si="15"/>
        <v>1033</v>
      </c>
    </row>
    <row r="60" spans="1:17" x14ac:dyDescent="0.2">
      <c r="A60" s="17">
        <f t="shared" si="14"/>
        <v>141</v>
      </c>
      <c r="B60" s="17" t="str">
        <f t="shared" si="13"/>
        <v>攻击</v>
      </c>
      <c r="C60" s="68">
        <f t="shared" si="15"/>
        <v>0</v>
      </c>
      <c r="D60" s="68">
        <f t="shared" si="15"/>
        <v>0</v>
      </c>
      <c r="E60" s="68">
        <f t="shared" si="15"/>
        <v>0</v>
      </c>
      <c r="F60" s="68">
        <f t="shared" si="15"/>
        <v>0</v>
      </c>
      <c r="G60" s="68">
        <f t="shared" si="15"/>
        <v>0</v>
      </c>
      <c r="H60" s="68">
        <f t="shared" si="15"/>
        <v>0</v>
      </c>
      <c r="I60" s="68">
        <f t="shared" si="15"/>
        <v>37</v>
      </c>
      <c r="J60" s="68">
        <f t="shared" si="15"/>
        <v>39.6</v>
      </c>
      <c r="K60" s="68">
        <f t="shared" si="15"/>
        <v>42.3</v>
      </c>
      <c r="L60" s="68">
        <f t="shared" si="15"/>
        <v>44.9</v>
      </c>
      <c r="M60" s="68">
        <f t="shared" si="15"/>
        <v>47.5</v>
      </c>
      <c r="N60" s="68">
        <f t="shared" si="15"/>
        <v>50.2</v>
      </c>
      <c r="O60" s="68">
        <f t="shared" si="15"/>
        <v>52.8</v>
      </c>
      <c r="P60" s="68">
        <f t="shared" si="15"/>
        <v>55.5</v>
      </c>
      <c r="Q60" s="68">
        <f t="shared" si="15"/>
        <v>58.1</v>
      </c>
    </row>
    <row r="61" spans="1:17" x14ac:dyDescent="0.2">
      <c r="A61" s="17">
        <f t="shared" si="14"/>
        <v>141</v>
      </c>
      <c r="B61" s="17" t="str">
        <f t="shared" si="13"/>
        <v>防御</v>
      </c>
      <c r="C61" s="68">
        <f t="shared" si="15"/>
        <v>0</v>
      </c>
      <c r="D61" s="68">
        <f t="shared" si="15"/>
        <v>0</v>
      </c>
      <c r="E61" s="68">
        <f t="shared" si="15"/>
        <v>0</v>
      </c>
      <c r="F61" s="68">
        <f t="shared" si="15"/>
        <v>0</v>
      </c>
      <c r="G61" s="68">
        <f t="shared" si="15"/>
        <v>0</v>
      </c>
      <c r="H61" s="68">
        <f t="shared" si="15"/>
        <v>0</v>
      </c>
      <c r="I61" s="68">
        <f t="shared" si="15"/>
        <v>8</v>
      </c>
      <c r="J61" s="68">
        <f t="shared" si="15"/>
        <v>8.6</v>
      </c>
      <c r="K61" s="68">
        <f t="shared" si="15"/>
        <v>9.1999999999999993</v>
      </c>
      <c r="L61" s="68">
        <f t="shared" si="15"/>
        <v>9.8000000000000007</v>
      </c>
      <c r="M61" s="68">
        <f t="shared" si="15"/>
        <v>10.3</v>
      </c>
      <c r="N61" s="68">
        <f t="shared" si="15"/>
        <v>10.9</v>
      </c>
      <c r="O61" s="68">
        <f t="shared" si="15"/>
        <v>11.5</v>
      </c>
      <c r="P61" s="68">
        <f t="shared" si="15"/>
        <v>12.1</v>
      </c>
      <c r="Q61" s="68">
        <f t="shared" si="15"/>
        <v>12.6</v>
      </c>
    </row>
    <row r="62" spans="1:17" x14ac:dyDescent="0.2">
      <c r="A62" s="17">
        <f t="shared" si="14"/>
        <v>161</v>
      </c>
      <c r="B62" s="17" t="str">
        <f t="shared" si="13"/>
        <v>生命</v>
      </c>
      <c r="C62" s="68">
        <f t="shared" si="15"/>
        <v>0</v>
      </c>
      <c r="D62" s="68">
        <f t="shared" si="15"/>
        <v>0</v>
      </c>
      <c r="E62" s="68">
        <f t="shared" si="15"/>
        <v>0</v>
      </c>
      <c r="F62" s="68">
        <f t="shared" si="15"/>
        <v>0</v>
      </c>
      <c r="G62" s="68">
        <f t="shared" si="15"/>
        <v>0</v>
      </c>
      <c r="H62" s="68">
        <f t="shared" si="15"/>
        <v>0</v>
      </c>
      <c r="I62" s="68">
        <f t="shared" si="15"/>
        <v>0</v>
      </c>
      <c r="J62" s="68">
        <f t="shared" si="15"/>
        <v>798.3</v>
      </c>
      <c r="K62" s="68">
        <f t="shared" si="15"/>
        <v>845.2</v>
      </c>
      <c r="L62" s="68">
        <f t="shared" si="15"/>
        <v>892.2</v>
      </c>
      <c r="M62" s="68">
        <f t="shared" si="15"/>
        <v>939.1</v>
      </c>
      <c r="N62" s="68">
        <f t="shared" si="15"/>
        <v>986.1</v>
      </c>
      <c r="O62" s="68">
        <f t="shared" si="15"/>
        <v>1033</v>
      </c>
      <c r="P62" s="68">
        <f t="shared" si="15"/>
        <v>1080</v>
      </c>
      <c r="Q62" s="68">
        <f t="shared" si="15"/>
        <v>1127</v>
      </c>
    </row>
    <row r="63" spans="1:17" x14ac:dyDescent="0.2">
      <c r="A63" s="17">
        <f t="shared" si="14"/>
        <v>161</v>
      </c>
      <c r="B63" s="17" t="str">
        <f t="shared" si="13"/>
        <v>攻击</v>
      </c>
      <c r="C63" s="68">
        <f t="shared" si="15"/>
        <v>0</v>
      </c>
      <c r="D63" s="68">
        <f t="shared" si="15"/>
        <v>0</v>
      </c>
      <c r="E63" s="68">
        <f t="shared" si="15"/>
        <v>0</v>
      </c>
      <c r="F63" s="68">
        <f t="shared" si="15"/>
        <v>0</v>
      </c>
      <c r="G63" s="68">
        <f t="shared" si="15"/>
        <v>0</v>
      </c>
      <c r="H63" s="68">
        <f t="shared" si="15"/>
        <v>0</v>
      </c>
      <c r="I63" s="68">
        <f t="shared" si="15"/>
        <v>0</v>
      </c>
      <c r="J63" s="68">
        <f t="shared" si="15"/>
        <v>44.9</v>
      </c>
      <c r="K63" s="68">
        <f t="shared" si="15"/>
        <v>47.5</v>
      </c>
      <c r="L63" s="68">
        <f t="shared" si="15"/>
        <v>50.2</v>
      </c>
      <c r="M63" s="68">
        <f t="shared" si="15"/>
        <v>52.8</v>
      </c>
      <c r="N63" s="68">
        <f t="shared" si="15"/>
        <v>55.5</v>
      </c>
      <c r="O63" s="68">
        <f t="shared" si="15"/>
        <v>58.1</v>
      </c>
      <c r="P63" s="68">
        <f t="shared" si="15"/>
        <v>60.7</v>
      </c>
      <c r="Q63" s="68">
        <f t="shared" si="15"/>
        <v>63.4</v>
      </c>
    </row>
    <row r="64" spans="1:17" x14ac:dyDescent="0.2">
      <c r="A64" s="17">
        <f t="shared" si="14"/>
        <v>161</v>
      </c>
      <c r="B64" s="17" t="str">
        <f t="shared" si="13"/>
        <v>防御</v>
      </c>
      <c r="C64" s="68">
        <f t="shared" si="15"/>
        <v>0</v>
      </c>
      <c r="D64" s="68">
        <f t="shared" si="15"/>
        <v>0</v>
      </c>
      <c r="E64" s="68">
        <f t="shared" si="15"/>
        <v>0</v>
      </c>
      <c r="F64" s="68">
        <f t="shared" si="15"/>
        <v>0</v>
      </c>
      <c r="G64" s="68">
        <f t="shared" si="15"/>
        <v>0</v>
      </c>
      <c r="H64" s="68">
        <f t="shared" si="15"/>
        <v>0</v>
      </c>
      <c r="I64" s="68">
        <f t="shared" si="15"/>
        <v>0</v>
      </c>
      <c r="J64" s="68">
        <f t="shared" si="15"/>
        <v>9.8000000000000007</v>
      </c>
      <c r="K64" s="68">
        <f t="shared" si="15"/>
        <v>10.3</v>
      </c>
      <c r="L64" s="68">
        <f t="shared" si="15"/>
        <v>10.9</v>
      </c>
      <c r="M64" s="68">
        <f t="shared" si="15"/>
        <v>11.5</v>
      </c>
      <c r="N64" s="68">
        <f t="shared" si="15"/>
        <v>12.1</v>
      </c>
      <c r="O64" s="68">
        <f t="shared" si="15"/>
        <v>12.6</v>
      </c>
      <c r="P64" s="68">
        <f t="shared" si="15"/>
        <v>13.2</v>
      </c>
      <c r="Q64" s="68">
        <f t="shared" si="15"/>
        <v>13.8</v>
      </c>
    </row>
    <row r="65" spans="1:17" x14ac:dyDescent="0.2">
      <c r="A65" s="17">
        <f t="shared" si="14"/>
        <v>181</v>
      </c>
      <c r="B65" s="17" t="str">
        <f t="shared" si="13"/>
        <v>生命</v>
      </c>
      <c r="C65" s="68">
        <f t="shared" si="15"/>
        <v>0</v>
      </c>
      <c r="D65" s="68">
        <f t="shared" si="15"/>
        <v>0</v>
      </c>
      <c r="E65" s="68">
        <f t="shared" si="15"/>
        <v>0</v>
      </c>
      <c r="F65" s="68">
        <f t="shared" si="15"/>
        <v>0</v>
      </c>
      <c r="G65" s="68">
        <f t="shared" si="15"/>
        <v>0</v>
      </c>
      <c r="H65" s="68">
        <f t="shared" si="15"/>
        <v>0</v>
      </c>
      <c r="I65" s="68">
        <f t="shared" si="15"/>
        <v>0</v>
      </c>
      <c r="J65" s="68">
        <f t="shared" si="15"/>
        <v>0</v>
      </c>
      <c r="K65" s="68">
        <f t="shared" si="15"/>
        <v>939.1</v>
      </c>
      <c r="L65" s="68">
        <f t="shared" si="15"/>
        <v>986.1</v>
      </c>
      <c r="M65" s="68">
        <f t="shared" si="15"/>
        <v>1033</v>
      </c>
      <c r="N65" s="68">
        <f t="shared" si="15"/>
        <v>1080</v>
      </c>
      <c r="O65" s="68">
        <f t="shared" si="15"/>
        <v>1127</v>
      </c>
      <c r="P65" s="68">
        <f t="shared" si="15"/>
        <v>1173.9000000000001</v>
      </c>
      <c r="Q65" s="68">
        <f t="shared" si="15"/>
        <v>1220.9000000000001</v>
      </c>
    </row>
    <row r="66" spans="1:17" x14ac:dyDescent="0.2">
      <c r="A66" s="17">
        <f t="shared" si="14"/>
        <v>181</v>
      </c>
      <c r="B66" s="17" t="str">
        <f t="shared" si="13"/>
        <v>攻击</v>
      </c>
      <c r="C66" s="68">
        <f t="shared" ref="C66:Q70" si="16">ROUND(VLOOKUP(C$31,$A$14:$S$28,MATCH($A66,$A$13:$S$13,0),0)/$T$28*INDEX($B$8:$B$10,MATCH($B66,$A$8:$A$10,0)),1)</f>
        <v>0</v>
      </c>
      <c r="D66" s="68">
        <f t="shared" si="16"/>
        <v>0</v>
      </c>
      <c r="E66" s="68">
        <f t="shared" si="16"/>
        <v>0</v>
      </c>
      <c r="F66" s="68">
        <f t="shared" si="16"/>
        <v>0</v>
      </c>
      <c r="G66" s="68">
        <f t="shared" si="16"/>
        <v>0</v>
      </c>
      <c r="H66" s="68">
        <f t="shared" si="16"/>
        <v>0</v>
      </c>
      <c r="I66" s="68">
        <f t="shared" si="16"/>
        <v>0</v>
      </c>
      <c r="J66" s="68">
        <f t="shared" si="16"/>
        <v>0</v>
      </c>
      <c r="K66" s="68">
        <f t="shared" si="16"/>
        <v>52.8</v>
      </c>
      <c r="L66" s="68">
        <f t="shared" si="16"/>
        <v>55.5</v>
      </c>
      <c r="M66" s="68">
        <f t="shared" si="16"/>
        <v>58.1</v>
      </c>
      <c r="N66" s="68">
        <f t="shared" si="16"/>
        <v>60.7</v>
      </c>
      <c r="O66" s="68">
        <f t="shared" si="16"/>
        <v>63.4</v>
      </c>
      <c r="P66" s="68">
        <f t="shared" si="16"/>
        <v>66</v>
      </c>
      <c r="Q66" s="68">
        <f t="shared" si="16"/>
        <v>68.7</v>
      </c>
    </row>
    <row r="67" spans="1:17" x14ac:dyDescent="0.2">
      <c r="A67" s="17">
        <f>A64+20</f>
        <v>181</v>
      </c>
      <c r="B67" s="17" t="str">
        <f t="shared" si="13"/>
        <v>防御</v>
      </c>
      <c r="C67" s="68">
        <f t="shared" si="16"/>
        <v>0</v>
      </c>
      <c r="D67" s="68">
        <f t="shared" si="16"/>
        <v>0</v>
      </c>
      <c r="E67" s="68">
        <f t="shared" si="16"/>
        <v>0</v>
      </c>
      <c r="F67" s="68">
        <f t="shared" si="16"/>
        <v>0</v>
      </c>
      <c r="G67" s="68">
        <f t="shared" si="16"/>
        <v>0</v>
      </c>
      <c r="H67" s="68">
        <f t="shared" si="16"/>
        <v>0</v>
      </c>
      <c r="I67" s="68">
        <f t="shared" si="16"/>
        <v>0</v>
      </c>
      <c r="J67" s="68">
        <f t="shared" si="16"/>
        <v>0</v>
      </c>
      <c r="K67" s="68">
        <f t="shared" si="16"/>
        <v>11.5</v>
      </c>
      <c r="L67" s="68">
        <f t="shared" si="16"/>
        <v>12.1</v>
      </c>
      <c r="M67" s="68">
        <f t="shared" si="16"/>
        <v>12.6</v>
      </c>
      <c r="N67" s="68">
        <f t="shared" si="16"/>
        <v>13.2</v>
      </c>
      <c r="O67" s="68">
        <f t="shared" si="16"/>
        <v>13.8</v>
      </c>
      <c r="P67" s="68">
        <f t="shared" si="16"/>
        <v>14.3</v>
      </c>
      <c r="Q67" s="68">
        <f t="shared" si="16"/>
        <v>14.9</v>
      </c>
    </row>
    <row r="68" spans="1:17" x14ac:dyDescent="0.2">
      <c r="A68" s="17">
        <f t="shared" si="14"/>
        <v>201</v>
      </c>
      <c r="B68" s="17" t="str">
        <f t="shared" si="13"/>
        <v>生命</v>
      </c>
      <c r="C68" s="68">
        <f t="shared" si="16"/>
        <v>0</v>
      </c>
      <c r="D68" s="68">
        <f t="shared" si="16"/>
        <v>0</v>
      </c>
      <c r="E68" s="68">
        <f t="shared" si="16"/>
        <v>0</v>
      </c>
      <c r="F68" s="68">
        <f t="shared" si="16"/>
        <v>0</v>
      </c>
      <c r="G68" s="68">
        <f t="shared" si="16"/>
        <v>0</v>
      </c>
      <c r="H68" s="68">
        <f t="shared" si="16"/>
        <v>0</v>
      </c>
      <c r="I68" s="68">
        <f t="shared" si="16"/>
        <v>0</v>
      </c>
      <c r="J68" s="68">
        <f t="shared" si="16"/>
        <v>0</v>
      </c>
      <c r="K68" s="68">
        <f t="shared" si="16"/>
        <v>0</v>
      </c>
      <c r="L68" s="68">
        <f t="shared" si="16"/>
        <v>1033</v>
      </c>
      <c r="M68" s="68">
        <f t="shared" si="16"/>
        <v>1127</v>
      </c>
      <c r="N68" s="68">
        <f t="shared" si="16"/>
        <v>1220.9000000000001</v>
      </c>
      <c r="O68" s="68">
        <f t="shared" si="16"/>
        <v>1314.8</v>
      </c>
      <c r="P68" s="68">
        <f t="shared" si="16"/>
        <v>1408.7</v>
      </c>
      <c r="Q68" s="68">
        <f t="shared" si="16"/>
        <v>1502.6</v>
      </c>
    </row>
    <row r="69" spans="1:17" x14ac:dyDescent="0.2">
      <c r="A69" s="17">
        <f t="shared" si="14"/>
        <v>201</v>
      </c>
      <c r="B69" s="17" t="str">
        <f t="shared" si="13"/>
        <v>攻击</v>
      </c>
      <c r="C69" s="68">
        <f t="shared" si="16"/>
        <v>0</v>
      </c>
      <c r="D69" s="68">
        <f t="shared" si="16"/>
        <v>0</v>
      </c>
      <c r="E69" s="68">
        <f t="shared" si="16"/>
        <v>0</v>
      </c>
      <c r="F69" s="68">
        <f t="shared" si="16"/>
        <v>0</v>
      </c>
      <c r="G69" s="68">
        <f t="shared" si="16"/>
        <v>0</v>
      </c>
      <c r="H69" s="68">
        <f t="shared" si="16"/>
        <v>0</v>
      </c>
      <c r="I69" s="68">
        <f t="shared" si="16"/>
        <v>0</v>
      </c>
      <c r="J69" s="68">
        <f t="shared" si="16"/>
        <v>0</v>
      </c>
      <c r="K69" s="68">
        <f t="shared" si="16"/>
        <v>0</v>
      </c>
      <c r="L69" s="68">
        <f t="shared" si="16"/>
        <v>58.1</v>
      </c>
      <c r="M69" s="68">
        <f t="shared" si="16"/>
        <v>63.4</v>
      </c>
      <c r="N69" s="68">
        <f t="shared" si="16"/>
        <v>68.7</v>
      </c>
      <c r="O69" s="68">
        <f t="shared" si="16"/>
        <v>74</v>
      </c>
      <c r="P69" s="68">
        <f t="shared" si="16"/>
        <v>79.2</v>
      </c>
      <c r="Q69" s="68">
        <f t="shared" si="16"/>
        <v>84.5</v>
      </c>
    </row>
    <row r="70" spans="1:17" x14ac:dyDescent="0.2">
      <c r="A70" s="17">
        <f t="shared" si="14"/>
        <v>201</v>
      </c>
      <c r="B70" s="17" t="str">
        <f t="shared" si="13"/>
        <v>防御</v>
      </c>
      <c r="C70" s="68">
        <f t="shared" si="16"/>
        <v>0</v>
      </c>
      <c r="D70" s="68">
        <f t="shared" si="16"/>
        <v>0</v>
      </c>
      <c r="E70" s="68">
        <f t="shared" si="16"/>
        <v>0</v>
      </c>
      <c r="F70" s="68">
        <f t="shared" si="16"/>
        <v>0</v>
      </c>
      <c r="G70" s="68">
        <f t="shared" si="16"/>
        <v>0</v>
      </c>
      <c r="H70" s="68">
        <f t="shared" si="16"/>
        <v>0</v>
      </c>
      <c r="I70" s="68">
        <f t="shared" si="16"/>
        <v>0</v>
      </c>
      <c r="J70" s="68">
        <f t="shared" si="16"/>
        <v>0</v>
      </c>
      <c r="K70" s="68">
        <f t="shared" si="16"/>
        <v>0</v>
      </c>
      <c r="L70" s="68">
        <f t="shared" si="16"/>
        <v>12.6</v>
      </c>
      <c r="M70" s="68">
        <f t="shared" si="16"/>
        <v>13.8</v>
      </c>
      <c r="N70" s="68">
        <f t="shared" si="16"/>
        <v>14.9</v>
      </c>
      <c r="O70" s="68">
        <f t="shared" si="16"/>
        <v>16.100000000000001</v>
      </c>
      <c r="P70" s="68">
        <f t="shared" si="16"/>
        <v>17.2</v>
      </c>
      <c r="Q70" s="68">
        <f t="shared" si="16"/>
        <v>18.399999999999999</v>
      </c>
    </row>
  </sheetData>
  <mergeCells count="8">
    <mergeCell ref="A12:B12"/>
    <mergeCell ref="C12:F12"/>
    <mergeCell ref="H12:S12"/>
    <mergeCell ref="T12:T13"/>
    <mergeCell ref="B6:D6"/>
    <mergeCell ref="E6:G6"/>
    <mergeCell ref="H6:J6"/>
    <mergeCell ref="K6:M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9"/>
  <sheetViews>
    <sheetView tabSelected="1" workbookViewId="0">
      <selection activeCell="Q12" sqref="Q12"/>
    </sheetView>
  </sheetViews>
  <sheetFormatPr baseColWidth="10" defaultRowHeight="16" x14ac:dyDescent="0.2"/>
  <cols>
    <col min="1" max="1" width="11.5" bestFit="1" customWidth="1"/>
    <col min="24" max="24" width="12.33203125" bestFit="1" customWidth="1"/>
    <col min="27" max="27" width="19.33203125" customWidth="1"/>
    <col min="34" max="35" width="10.83203125" style="83"/>
  </cols>
  <sheetData>
    <row r="1" spans="1:35" x14ac:dyDescent="0.2">
      <c r="A1" s="59" t="s">
        <v>101</v>
      </c>
      <c r="B1" t="s">
        <v>175</v>
      </c>
      <c r="W1" t="s">
        <v>420</v>
      </c>
      <c r="Y1" t="s">
        <v>419</v>
      </c>
      <c r="Z1" t="s">
        <v>418</v>
      </c>
      <c r="AA1" t="s">
        <v>417</v>
      </c>
      <c r="AB1" t="s">
        <v>416</v>
      </c>
      <c r="AC1" t="s">
        <v>415</v>
      </c>
      <c r="AD1" t="s">
        <v>414</v>
      </c>
      <c r="AE1" t="s">
        <v>413</v>
      </c>
      <c r="AH1" s="82" t="s">
        <v>184</v>
      </c>
      <c r="AI1" s="82" t="s">
        <v>412</v>
      </c>
    </row>
    <row r="2" spans="1:35" ht="17" thickBot="1" x14ac:dyDescent="0.25">
      <c r="V2" t="str">
        <f>"Equip,"&amp;W2&amp;",1"</f>
        <v>Equip,1,1</v>
      </c>
      <c r="W2">
        <v>1</v>
      </c>
      <c r="X2" t="str">
        <f>VLOOKUP(Y2,$AH$1:$AI$11,2,0)&amp;"|"&amp;VLOOKUP(AD2,$AG$20:$AI$22,3,0)&amp;"|"&amp;VLOOKUP(Z2,$AH$13:$AI$17,2,0)</f>
        <v>白|策略|武器</v>
      </c>
      <c r="Y2">
        <v>1</v>
      </c>
      <c r="Z2">
        <v>1</v>
      </c>
      <c r="AA2" t="s">
        <v>411</v>
      </c>
      <c r="AB2" t="s">
        <v>410</v>
      </c>
      <c r="AC2" t="s">
        <v>230</v>
      </c>
      <c r="AD2" t="s">
        <v>201</v>
      </c>
      <c r="AE2" t="s">
        <v>229</v>
      </c>
      <c r="AH2" s="82">
        <v>1</v>
      </c>
      <c r="AI2" s="82" t="s">
        <v>171</v>
      </c>
    </row>
    <row r="3" spans="1:35" x14ac:dyDescent="0.2">
      <c r="A3" s="53"/>
      <c r="B3" s="100" t="s">
        <v>103</v>
      </c>
      <c r="C3" s="101"/>
      <c r="D3" s="102"/>
      <c r="E3" s="101" t="s">
        <v>104</v>
      </c>
      <c r="F3" s="101"/>
      <c r="G3" s="101"/>
      <c r="H3" s="102"/>
      <c r="I3" s="100" t="s">
        <v>109</v>
      </c>
      <c r="J3" s="101"/>
      <c r="K3" s="101"/>
      <c r="L3" s="102"/>
      <c r="M3" s="100" t="s">
        <v>110</v>
      </c>
      <c r="N3" s="101"/>
      <c r="O3" s="101"/>
      <c r="P3" s="102"/>
      <c r="V3" t="str">
        <f>"Equip,"&amp;W3&amp;",1"</f>
        <v>Equip,2,1</v>
      </c>
      <c r="W3">
        <v>2</v>
      </c>
      <c r="X3" t="str">
        <f>VLOOKUP(Y3,$AH$1:$AI$11,2,0)&amp;"|"&amp;VLOOKUP(AD3,$AG$20:$AI$22,3,0)&amp;"|"&amp;VLOOKUP(Z3,$AH$13:$AI$17,2,0)</f>
        <v>白|灵巧|武器</v>
      </c>
      <c r="Y3">
        <v>1</v>
      </c>
      <c r="Z3">
        <v>1</v>
      </c>
      <c r="AA3" t="s">
        <v>409</v>
      </c>
      <c r="AB3" t="s">
        <v>408</v>
      </c>
      <c r="AC3" t="s">
        <v>226</v>
      </c>
      <c r="AD3" t="s">
        <v>196</v>
      </c>
      <c r="AE3" t="s">
        <v>225</v>
      </c>
      <c r="AH3" s="82">
        <v>2</v>
      </c>
      <c r="AI3" s="82" t="s">
        <v>138</v>
      </c>
    </row>
    <row r="4" spans="1:35" x14ac:dyDescent="0.2">
      <c r="A4" s="54" t="s">
        <v>102</v>
      </c>
      <c r="B4" s="56" t="s">
        <v>69</v>
      </c>
      <c r="C4" s="57" t="s">
        <v>77</v>
      </c>
      <c r="D4" s="58" t="s">
        <v>73</v>
      </c>
      <c r="E4" s="57" t="s">
        <v>105</v>
      </c>
      <c r="F4" s="57" t="s">
        <v>106</v>
      </c>
      <c r="G4" s="57" t="s">
        <v>107</v>
      </c>
      <c r="H4" s="58" t="s">
        <v>108</v>
      </c>
      <c r="I4" s="56" t="s">
        <v>105</v>
      </c>
      <c r="J4" s="57" t="s">
        <v>106</v>
      </c>
      <c r="K4" s="57" t="s">
        <v>107</v>
      </c>
      <c r="L4" s="58" t="s">
        <v>108</v>
      </c>
      <c r="M4" s="56" t="s">
        <v>105</v>
      </c>
      <c r="N4" s="57" t="s">
        <v>106</v>
      </c>
      <c r="O4" s="57" t="s">
        <v>107</v>
      </c>
      <c r="P4" s="58" t="s">
        <v>108</v>
      </c>
      <c r="V4" t="str">
        <f>"Equip,"&amp;W4&amp;",1"</f>
        <v>Equip,3,1</v>
      </c>
      <c r="W4">
        <v>3</v>
      </c>
      <c r="X4" t="str">
        <f>VLOOKUP(Y4,$AH$1:$AI$11,2,0)&amp;"|"&amp;VLOOKUP(AD4,$AG$20:$AI$22,3,0)&amp;"|"&amp;VLOOKUP(Z4,$AH$13:$AI$17,2,0)</f>
        <v>白|强攻|武器</v>
      </c>
      <c r="Y4">
        <v>1</v>
      </c>
      <c r="Z4">
        <v>1</v>
      </c>
      <c r="AA4" t="s">
        <v>407</v>
      </c>
      <c r="AB4" t="s">
        <v>406</v>
      </c>
      <c r="AC4" t="s">
        <v>222</v>
      </c>
      <c r="AD4" t="s">
        <v>191</v>
      </c>
      <c r="AE4" t="s">
        <v>221</v>
      </c>
      <c r="AH4" s="82">
        <v>3</v>
      </c>
      <c r="AI4" s="82" t="s">
        <v>141</v>
      </c>
    </row>
    <row r="5" spans="1:35" x14ac:dyDescent="0.2">
      <c r="A5" s="49" t="s">
        <v>91</v>
      </c>
      <c r="B5" s="37">
        <f>分类!H25</f>
        <v>219130</v>
      </c>
      <c r="C5" s="16">
        <f>分类!I25</f>
        <v>164347</v>
      </c>
      <c r="D5" s="38">
        <f>分类!J25</f>
        <v>173478</v>
      </c>
      <c r="E5" s="71" t="s">
        <v>112</v>
      </c>
      <c r="F5" s="71" t="s">
        <v>112</v>
      </c>
      <c r="G5" s="71">
        <v>0.4</v>
      </c>
      <c r="H5" s="72">
        <v>0.6</v>
      </c>
      <c r="I5" s="75" t="s">
        <v>112</v>
      </c>
      <c r="J5" s="71" t="s">
        <v>112</v>
      </c>
      <c r="K5" s="71">
        <v>0.4</v>
      </c>
      <c r="L5" s="72">
        <v>0.6</v>
      </c>
      <c r="M5" s="75" t="s">
        <v>112</v>
      </c>
      <c r="N5" s="71" t="s">
        <v>112</v>
      </c>
      <c r="O5" s="71">
        <v>0.4</v>
      </c>
      <c r="P5" s="72">
        <v>0.6</v>
      </c>
      <c r="V5" t="str">
        <f>"Equip,"&amp;W5&amp;",1"</f>
        <v>Equip,4,1</v>
      </c>
      <c r="W5">
        <v>4</v>
      </c>
      <c r="X5" t="str">
        <f>VLOOKUP(Y5,$AH$1:$AI$11,2,0)&amp;"|"&amp;VLOOKUP(AD5,$AG$20:$AI$22,3,0)&amp;"|"&amp;VLOOKUP(Z5,$AH$13:$AI$17,2,0)</f>
        <v>白|策略|头盔</v>
      </c>
      <c r="Y5">
        <v>1</v>
      </c>
      <c r="Z5">
        <v>2</v>
      </c>
      <c r="AA5" t="s">
        <v>405</v>
      </c>
      <c r="AB5" t="s">
        <v>404</v>
      </c>
      <c r="AC5" t="s">
        <v>218</v>
      </c>
      <c r="AD5" t="s">
        <v>201</v>
      </c>
      <c r="AE5" t="s">
        <v>200</v>
      </c>
      <c r="AH5" s="82">
        <v>4</v>
      </c>
      <c r="AI5" s="82" t="s">
        <v>144</v>
      </c>
    </row>
    <row r="6" spans="1:35" x14ac:dyDescent="0.2">
      <c r="A6" s="49" t="s">
        <v>90</v>
      </c>
      <c r="B6" s="37">
        <f>分类!H26</f>
        <v>12326</v>
      </c>
      <c r="C6" s="16">
        <f>分类!I26</f>
        <v>15750</v>
      </c>
      <c r="D6" s="38">
        <f>分类!J26</f>
        <v>14791</v>
      </c>
      <c r="E6" s="71">
        <v>0.8</v>
      </c>
      <c r="F6" s="71" t="s">
        <v>112</v>
      </c>
      <c r="G6" s="71" t="s">
        <v>112</v>
      </c>
      <c r="H6" s="72">
        <v>0.2</v>
      </c>
      <c r="I6" s="75">
        <v>0.8</v>
      </c>
      <c r="J6" s="71" t="s">
        <v>112</v>
      </c>
      <c r="K6" s="71" t="s">
        <v>112</v>
      </c>
      <c r="L6" s="72">
        <v>0.2</v>
      </c>
      <c r="M6" s="75">
        <v>0.8</v>
      </c>
      <c r="N6" s="71" t="s">
        <v>112</v>
      </c>
      <c r="O6" s="71" t="s">
        <v>112</v>
      </c>
      <c r="P6" s="72">
        <v>0.2</v>
      </c>
      <c r="V6" t="str">
        <f>"Equip,"&amp;W6&amp;",1"</f>
        <v>Equip,5,1</v>
      </c>
      <c r="W6">
        <v>5</v>
      </c>
      <c r="X6" t="str">
        <f>VLOOKUP(Y6,$AH$1:$AI$11,2,0)&amp;"|"&amp;VLOOKUP(AD6,$AG$20:$AI$22,3,0)&amp;"|"&amp;VLOOKUP(Z6,$AH$13:$AI$17,2,0)</f>
        <v>白|灵巧|头盔</v>
      </c>
      <c r="Y6">
        <v>1</v>
      </c>
      <c r="Z6">
        <v>2</v>
      </c>
      <c r="AA6" t="s">
        <v>403</v>
      </c>
      <c r="AB6" t="s">
        <v>402</v>
      </c>
      <c r="AC6" t="s">
        <v>215</v>
      </c>
      <c r="AD6" t="s">
        <v>196</v>
      </c>
      <c r="AE6" t="s">
        <v>195</v>
      </c>
      <c r="AH6" s="82">
        <v>5</v>
      </c>
      <c r="AI6" s="82" t="s">
        <v>29</v>
      </c>
    </row>
    <row r="7" spans="1:35" x14ac:dyDescent="0.2">
      <c r="A7" s="49" t="s">
        <v>92</v>
      </c>
      <c r="B7" s="37">
        <f>分类!H27</f>
        <v>2678</v>
      </c>
      <c r="C7" s="16">
        <f>分类!I27</f>
        <v>1947</v>
      </c>
      <c r="D7" s="38">
        <f>分类!J27</f>
        <v>2191</v>
      </c>
      <c r="E7" s="71" t="s">
        <v>112</v>
      </c>
      <c r="F7" s="71">
        <v>0.6</v>
      </c>
      <c r="G7" s="71">
        <v>0.3</v>
      </c>
      <c r="H7" s="72" t="s">
        <v>112</v>
      </c>
      <c r="I7" s="75" t="s">
        <v>112</v>
      </c>
      <c r="J7" s="71">
        <v>0.6</v>
      </c>
      <c r="K7" s="76">
        <v>0.4</v>
      </c>
      <c r="L7" s="72" t="s">
        <v>112</v>
      </c>
      <c r="M7" s="75" t="s">
        <v>112</v>
      </c>
      <c r="N7" s="71">
        <v>0.6</v>
      </c>
      <c r="O7" s="76">
        <v>0.4</v>
      </c>
      <c r="P7" s="72" t="s">
        <v>112</v>
      </c>
      <c r="V7" t="str">
        <f>"Equip,"&amp;W7&amp;",1"</f>
        <v>Equip,6,1</v>
      </c>
      <c r="W7">
        <v>6</v>
      </c>
      <c r="X7" t="str">
        <f>VLOOKUP(Y7,$AH$1:$AI$11,2,0)&amp;"|"&amp;VLOOKUP(AD7,$AG$20:$AI$22,3,0)&amp;"|"&amp;VLOOKUP(Z7,$AH$13:$AI$17,2,0)</f>
        <v>白|强攻|头盔</v>
      </c>
      <c r="Y7">
        <v>1</v>
      </c>
      <c r="Z7">
        <v>2</v>
      </c>
      <c r="AA7" t="s">
        <v>401</v>
      </c>
      <c r="AB7" t="s">
        <v>400</v>
      </c>
      <c r="AC7" t="s">
        <v>213</v>
      </c>
      <c r="AD7" t="s">
        <v>191</v>
      </c>
      <c r="AE7" t="s">
        <v>190</v>
      </c>
      <c r="AH7" s="82">
        <v>6</v>
      </c>
      <c r="AI7" s="82" t="s">
        <v>148</v>
      </c>
    </row>
    <row r="8" spans="1:35" x14ac:dyDescent="0.2">
      <c r="A8" s="49" t="s">
        <v>93</v>
      </c>
      <c r="B8" s="37">
        <f>分类!H28</f>
        <v>280</v>
      </c>
      <c r="C8" s="16">
        <f>分类!I28</f>
        <v>600</v>
      </c>
      <c r="D8" s="38">
        <f>分类!J28</f>
        <v>1000</v>
      </c>
      <c r="E8" s="71">
        <v>0.7</v>
      </c>
      <c r="F8" s="71" t="s">
        <v>112</v>
      </c>
      <c r="G8" s="71" t="s">
        <v>112</v>
      </c>
      <c r="H8" s="72">
        <v>0.3</v>
      </c>
      <c r="I8" s="75">
        <v>0.4</v>
      </c>
      <c r="J8" s="71" t="s">
        <v>112</v>
      </c>
      <c r="K8" s="71" t="s">
        <v>112</v>
      </c>
      <c r="L8" s="72">
        <v>0.6</v>
      </c>
      <c r="M8" s="75">
        <v>0.7</v>
      </c>
      <c r="N8" s="71" t="s">
        <v>112</v>
      </c>
      <c r="O8" s="71" t="s">
        <v>112</v>
      </c>
      <c r="P8" s="72">
        <v>0.3</v>
      </c>
      <c r="V8" t="str">
        <f>"Equip,"&amp;W8&amp;",1"</f>
        <v>Equip,7,1</v>
      </c>
      <c r="W8">
        <v>7</v>
      </c>
      <c r="X8" t="str">
        <f>VLOOKUP(Y8,$AH$1:$AI$11,2,0)&amp;"|"&amp;VLOOKUP(AD8,$AG$20:$AI$22,3,0)&amp;"|"&amp;VLOOKUP(Z8,$AH$13:$AI$17,2,0)</f>
        <v>白|策略|衣服</v>
      </c>
      <c r="Y8">
        <v>1</v>
      </c>
      <c r="Z8">
        <v>3</v>
      </c>
      <c r="AA8" t="s">
        <v>399</v>
      </c>
      <c r="AB8" t="s">
        <v>398</v>
      </c>
      <c r="AC8" t="s">
        <v>210</v>
      </c>
      <c r="AD8" t="s">
        <v>201</v>
      </c>
      <c r="AE8" t="s">
        <v>200</v>
      </c>
      <c r="AH8" s="82">
        <v>7</v>
      </c>
      <c r="AI8" s="82" t="s">
        <v>30</v>
      </c>
    </row>
    <row r="9" spans="1:35" x14ac:dyDescent="0.2">
      <c r="A9" s="49" t="s">
        <v>62</v>
      </c>
      <c r="B9" s="37">
        <f>分类!H29</f>
        <v>0</v>
      </c>
      <c r="C9" s="16">
        <f>分类!I29</f>
        <v>0</v>
      </c>
      <c r="D9" s="38">
        <f>分类!J29</f>
        <v>0</v>
      </c>
      <c r="E9" s="71" t="s">
        <v>112</v>
      </c>
      <c r="F9" s="71" t="s">
        <v>112</v>
      </c>
      <c r="G9" s="71" t="s">
        <v>112</v>
      </c>
      <c r="H9" s="72" t="s">
        <v>112</v>
      </c>
      <c r="I9" s="75" t="s">
        <v>112</v>
      </c>
      <c r="J9" s="71" t="s">
        <v>112</v>
      </c>
      <c r="K9" s="71" t="s">
        <v>112</v>
      </c>
      <c r="L9" s="72" t="s">
        <v>112</v>
      </c>
      <c r="M9" s="75" t="s">
        <v>112</v>
      </c>
      <c r="N9" s="71" t="s">
        <v>112</v>
      </c>
      <c r="O9" s="71" t="s">
        <v>112</v>
      </c>
      <c r="P9" s="72" t="s">
        <v>112</v>
      </c>
      <c r="V9" t="str">
        <f>"Equip,"&amp;W9&amp;",1"</f>
        <v>Equip,8,1</v>
      </c>
      <c r="W9">
        <v>8</v>
      </c>
      <c r="X9" t="str">
        <f>VLOOKUP(Y9,$AH$1:$AI$11,2,0)&amp;"|"&amp;VLOOKUP(AD9,$AG$20:$AI$22,3,0)&amp;"|"&amp;VLOOKUP(Z9,$AH$13:$AI$17,2,0)</f>
        <v>白|灵巧|衣服</v>
      </c>
      <c r="Y9">
        <v>1</v>
      </c>
      <c r="Z9">
        <v>3</v>
      </c>
      <c r="AA9" t="s">
        <v>397</v>
      </c>
      <c r="AB9" t="s">
        <v>396</v>
      </c>
      <c r="AC9" t="s">
        <v>207</v>
      </c>
      <c r="AD9" t="s">
        <v>196</v>
      </c>
      <c r="AE9" t="s">
        <v>195</v>
      </c>
      <c r="AH9" s="82">
        <v>8</v>
      </c>
      <c r="AI9" s="82" t="s">
        <v>151</v>
      </c>
    </row>
    <row r="10" spans="1:35" x14ac:dyDescent="0.2">
      <c r="A10" s="49" t="s">
        <v>64</v>
      </c>
      <c r="B10" s="37">
        <f>分类!H30</f>
        <v>400</v>
      </c>
      <c r="C10" s="16">
        <f>分类!I30</f>
        <v>1200</v>
      </c>
      <c r="D10" s="38">
        <f>分类!J30</f>
        <v>0</v>
      </c>
      <c r="E10" s="71">
        <v>1</v>
      </c>
      <c r="F10" s="71" t="s">
        <v>112</v>
      </c>
      <c r="G10" s="71" t="s">
        <v>112</v>
      </c>
      <c r="H10" s="72" t="s">
        <v>112</v>
      </c>
      <c r="I10" s="75">
        <v>0.5</v>
      </c>
      <c r="J10" s="71" t="s">
        <v>112</v>
      </c>
      <c r="K10" s="71" t="s">
        <v>112</v>
      </c>
      <c r="L10" s="72">
        <v>0.5</v>
      </c>
      <c r="M10" s="75" t="s">
        <v>112</v>
      </c>
      <c r="N10" s="71" t="s">
        <v>112</v>
      </c>
      <c r="O10" s="71" t="s">
        <v>112</v>
      </c>
      <c r="P10" s="72" t="s">
        <v>112</v>
      </c>
      <c r="V10" t="str">
        <f>"Equip,"&amp;W10&amp;",1"</f>
        <v>Equip,9,1</v>
      </c>
      <c r="W10">
        <v>9</v>
      </c>
      <c r="X10" t="str">
        <f>VLOOKUP(Y10,$AH$1:$AI$11,2,0)&amp;"|"&amp;VLOOKUP(AD10,$AG$20:$AI$22,3,0)&amp;"|"&amp;VLOOKUP(Z10,$AH$13:$AI$17,2,0)</f>
        <v>白|强攻|衣服</v>
      </c>
      <c r="Y10">
        <v>1</v>
      </c>
      <c r="Z10">
        <v>3</v>
      </c>
      <c r="AA10" t="s">
        <v>395</v>
      </c>
      <c r="AB10" t="s">
        <v>394</v>
      </c>
      <c r="AC10" t="s">
        <v>205</v>
      </c>
      <c r="AD10" t="s">
        <v>191</v>
      </c>
      <c r="AE10" t="s">
        <v>190</v>
      </c>
      <c r="AH10" s="82">
        <v>9</v>
      </c>
      <c r="AI10" s="82" t="s">
        <v>31</v>
      </c>
    </row>
    <row r="11" spans="1:35" x14ac:dyDescent="0.2">
      <c r="A11" s="49" t="s">
        <v>66</v>
      </c>
      <c r="B11" s="37">
        <f>分类!H31</f>
        <v>1200</v>
      </c>
      <c r="C11" s="16">
        <f>分类!I31</f>
        <v>400</v>
      </c>
      <c r="D11" s="38">
        <f>分类!J31</f>
        <v>0</v>
      </c>
      <c r="E11" s="71" t="s">
        <v>112</v>
      </c>
      <c r="F11" s="71">
        <v>1</v>
      </c>
      <c r="G11" s="71" t="s">
        <v>112</v>
      </c>
      <c r="H11" s="72" t="s">
        <v>112</v>
      </c>
      <c r="I11" s="75" t="s">
        <v>112</v>
      </c>
      <c r="J11" s="71">
        <v>1</v>
      </c>
      <c r="K11" s="71" t="s">
        <v>112</v>
      </c>
      <c r="L11" s="72" t="s">
        <v>112</v>
      </c>
      <c r="M11" s="75" t="s">
        <v>112</v>
      </c>
      <c r="N11" s="71" t="s">
        <v>112</v>
      </c>
      <c r="O11" s="71" t="s">
        <v>112</v>
      </c>
      <c r="P11" s="72" t="s">
        <v>112</v>
      </c>
      <c r="V11" t="str">
        <f>"Equip,"&amp;W11&amp;",1"</f>
        <v>Equip,10,1</v>
      </c>
      <c r="W11">
        <v>10</v>
      </c>
      <c r="X11" t="str">
        <f>VLOOKUP(Y11,$AH$1:$AI$11,2,0)&amp;"|"&amp;VLOOKUP(AD11,$AG$20:$AI$22,3,0)&amp;"|"&amp;VLOOKUP(Z11,$AH$13:$AI$17,2,0)</f>
        <v>白|策略|鞋子</v>
      </c>
      <c r="Y11">
        <v>1</v>
      </c>
      <c r="Z11">
        <v>4</v>
      </c>
      <c r="AA11" t="s">
        <v>393</v>
      </c>
      <c r="AB11" t="s">
        <v>392</v>
      </c>
      <c r="AC11" t="s">
        <v>202</v>
      </c>
      <c r="AD11" t="s">
        <v>201</v>
      </c>
      <c r="AE11" t="s">
        <v>200</v>
      </c>
      <c r="AH11" s="82">
        <v>10</v>
      </c>
      <c r="AI11" s="82" t="s">
        <v>154</v>
      </c>
    </row>
    <row r="12" spans="1:35" x14ac:dyDescent="0.2">
      <c r="A12" s="49" t="s">
        <v>88</v>
      </c>
      <c r="B12" s="37">
        <f>分类!H32</f>
        <v>1000</v>
      </c>
      <c r="C12" s="16">
        <f>分类!I32</f>
        <v>200</v>
      </c>
      <c r="D12" s="38">
        <f>分类!J32</f>
        <v>100</v>
      </c>
      <c r="E12" s="71" t="s">
        <v>112</v>
      </c>
      <c r="F12" s="71">
        <v>0.7</v>
      </c>
      <c r="G12" s="71">
        <v>0.3</v>
      </c>
      <c r="H12" s="72" t="s">
        <v>112</v>
      </c>
      <c r="I12" s="75" t="s">
        <v>112</v>
      </c>
      <c r="J12" s="71">
        <v>0.7</v>
      </c>
      <c r="K12" s="76">
        <v>0.3</v>
      </c>
      <c r="L12" s="72" t="s">
        <v>112</v>
      </c>
      <c r="M12" s="75" t="s">
        <v>112</v>
      </c>
      <c r="N12" s="71">
        <v>1</v>
      </c>
      <c r="O12" s="71" t="s">
        <v>112</v>
      </c>
      <c r="P12" s="72" t="s">
        <v>112</v>
      </c>
      <c r="V12" t="str">
        <f>"Equip,"&amp;W12&amp;",1"</f>
        <v>Equip,11,1</v>
      </c>
      <c r="W12">
        <v>11</v>
      </c>
      <c r="X12" t="str">
        <f>VLOOKUP(Y12,$AH$1:$AI$11,2,0)&amp;"|"&amp;VLOOKUP(AD12,$AG$20:$AI$22,3,0)&amp;"|"&amp;VLOOKUP(Z12,$AH$13:$AI$17,2,0)</f>
        <v>白|灵巧|鞋子</v>
      </c>
      <c r="Y12">
        <v>1</v>
      </c>
      <c r="Z12">
        <v>4</v>
      </c>
      <c r="AA12" t="s">
        <v>391</v>
      </c>
      <c r="AB12" t="s">
        <v>390</v>
      </c>
      <c r="AC12" t="s">
        <v>197</v>
      </c>
      <c r="AD12" t="s">
        <v>196</v>
      </c>
      <c r="AE12" t="s">
        <v>195</v>
      </c>
    </row>
    <row r="13" spans="1:35" ht="17" thickBot="1" x14ac:dyDescent="0.25">
      <c r="A13" s="50" t="s">
        <v>89</v>
      </c>
      <c r="B13" s="52">
        <f>分类!H33</f>
        <v>0</v>
      </c>
      <c r="C13" s="39">
        <f>分类!I33</f>
        <v>0</v>
      </c>
      <c r="D13" s="40">
        <f>分类!J33</f>
        <v>0</v>
      </c>
      <c r="E13" s="73" t="s">
        <v>112</v>
      </c>
      <c r="F13" s="73" t="s">
        <v>112</v>
      </c>
      <c r="G13" s="73" t="s">
        <v>112</v>
      </c>
      <c r="H13" s="74" t="s">
        <v>112</v>
      </c>
      <c r="I13" s="77" t="s">
        <v>112</v>
      </c>
      <c r="J13" s="73" t="s">
        <v>112</v>
      </c>
      <c r="K13" s="73" t="s">
        <v>112</v>
      </c>
      <c r="L13" s="74" t="s">
        <v>112</v>
      </c>
      <c r="M13" s="77" t="s">
        <v>112</v>
      </c>
      <c r="N13" s="73" t="s">
        <v>112</v>
      </c>
      <c r="O13" s="73" t="s">
        <v>112</v>
      </c>
      <c r="P13" s="74" t="s">
        <v>112</v>
      </c>
      <c r="V13" t="str">
        <f>"Equip,"&amp;W13&amp;",1"</f>
        <v>Equip,12,1</v>
      </c>
      <c r="W13">
        <v>12</v>
      </c>
      <c r="X13" t="str">
        <f>VLOOKUP(Y13,$AH$1:$AI$11,2,0)&amp;"|"&amp;VLOOKUP(AD13,$AG$20:$AI$22,3,0)&amp;"|"&amp;VLOOKUP(Z13,$AH$13:$AI$17,2,0)</f>
        <v>白|强攻|鞋子</v>
      </c>
      <c r="Y13">
        <v>1</v>
      </c>
      <c r="Z13">
        <v>4</v>
      </c>
      <c r="AA13" t="s">
        <v>389</v>
      </c>
      <c r="AB13" t="s">
        <v>388</v>
      </c>
      <c r="AC13" t="s">
        <v>192</v>
      </c>
      <c r="AD13" t="s">
        <v>191</v>
      </c>
      <c r="AE13" t="s">
        <v>190</v>
      </c>
      <c r="AH13" s="82" t="s">
        <v>186</v>
      </c>
      <c r="AI13" s="82" t="s">
        <v>185</v>
      </c>
    </row>
    <row r="14" spans="1:35" x14ac:dyDescent="0.2">
      <c r="V14" t="str">
        <f>"Equip,"&amp;W14&amp;",1"</f>
        <v>Equip,13,1</v>
      </c>
      <c r="W14">
        <v>13</v>
      </c>
      <c r="X14" t="str">
        <f>VLOOKUP(Y14,$AH$1:$AI$11,2,0)&amp;"|"&amp;VLOOKUP(AD14,$AG$20:$AI$22,3,0)&amp;"|"&amp;VLOOKUP(Z14,$AH$13:$AI$17,2,0)</f>
        <v>绿|策略|武器</v>
      </c>
      <c r="Y14">
        <v>2</v>
      </c>
      <c r="Z14">
        <v>1</v>
      </c>
      <c r="AA14" t="s">
        <v>387</v>
      </c>
      <c r="AB14" t="s">
        <v>386</v>
      </c>
      <c r="AC14" t="s">
        <v>230</v>
      </c>
      <c r="AD14" t="s">
        <v>201</v>
      </c>
      <c r="AE14" t="s">
        <v>229</v>
      </c>
      <c r="AH14" s="82">
        <v>1</v>
      </c>
      <c r="AI14" s="82" t="s">
        <v>105</v>
      </c>
    </row>
    <row r="15" spans="1:35" x14ac:dyDescent="0.2">
      <c r="A15" s="61" t="s">
        <v>132</v>
      </c>
      <c r="B15" s="61" t="s">
        <v>133</v>
      </c>
      <c r="C15" s="79" t="s">
        <v>184</v>
      </c>
      <c r="D15" s="79" t="s">
        <v>174</v>
      </c>
      <c r="E15" s="65" t="s">
        <v>91</v>
      </c>
      <c r="F15" s="65" t="s">
        <v>90</v>
      </c>
      <c r="G15" s="65" t="s">
        <v>92</v>
      </c>
      <c r="H15" s="65" t="s">
        <v>93</v>
      </c>
      <c r="I15" s="65" t="s">
        <v>62</v>
      </c>
      <c r="J15" s="65" t="s">
        <v>64</v>
      </c>
      <c r="K15" s="65" t="s">
        <v>66</v>
      </c>
      <c r="L15" s="65" t="s">
        <v>88</v>
      </c>
      <c r="M15" s="65" t="s">
        <v>89</v>
      </c>
      <c r="O15" s="83" t="s">
        <v>185</v>
      </c>
      <c r="P15" s="83" t="s">
        <v>186</v>
      </c>
      <c r="V15" t="str">
        <f>"Equip,"&amp;W15&amp;",1"</f>
        <v>Equip,14,1</v>
      </c>
      <c r="W15">
        <v>14</v>
      </c>
      <c r="X15" t="str">
        <f>VLOOKUP(Y15,$AH$1:$AI$11,2,0)&amp;"|"&amp;VLOOKUP(AD15,$AG$20:$AI$22,3,0)&amp;"|"&amp;VLOOKUP(Z15,$AH$13:$AI$17,2,0)</f>
        <v>绿|灵巧|武器</v>
      </c>
      <c r="Y15">
        <v>2</v>
      </c>
      <c r="Z15">
        <v>1</v>
      </c>
      <c r="AA15" t="s">
        <v>385</v>
      </c>
      <c r="AB15" t="s">
        <v>384</v>
      </c>
      <c r="AC15" t="s">
        <v>226</v>
      </c>
      <c r="AD15" t="s">
        <v>196</v>
      </c>
      <c r="AE15" t="s">
        <v>225</v>
      </c>
      <c r="AH15" s="82">
        <v>2</v>
      </c>
      <c r="AI15" s="82" t="s">
        <v>107</v>
      </c>
    </row>
    <row r="16" spans="1:35" x14ac:dyDescent="0.2">
      <c r="A16" s="78" t="s">
        <v>171</v>
      </c>
      <c r="B16" s="78" t="s">
        <v>172</v>
      </c>
      <c r="C16" s="78">
        <v>1</v>
      </c>
      <c r="D16" s="63">
        <f>H29</f>
        <v>1</v>
      </c>
      <c r="E16" s="2">
        <f>ROUND(INDEX($B$5:$B$13,MATCH(E$15,$A$5:$A$13,0))*$D16/($D$25*1.5),1)</f>
        <v>430</v>
      </c>
      <c r="F16" s="2">
        <f>ROUND(INDEX($B$5:$B$13,MATCH(F$15,$A$5:$A$13,0))*$D16/($D$25*1.5),1)</f>
        <v>24.2</v>
      </c>
      <c r="G16" s="2">
        <f>ROUND(INDEX($B$5:$B$13,MATCH(G$15,$A$5:$A$13,0))*$D16/($D$25*1.5),1)</f>
        <v>5.3</v>
      </c>
      <c r="H16" s="2">
        <f>ROUND(INDEX($B$5:$B$13,MATCH(H$15,$A$5:$A$13,0))*$D16/($D$25*1.5),1)</f>
        <v>0.5</v>
      </c>
      <c r="I16" s="2">
        <f>ROUND(INDEX($B$5:$B$13,MATCH(I$15,$A$5:$A$13,0))*$D16/($D$25*1.5),1)</f>
        <v>0</v>
      </c>
      <c r="J16" s="2">
        <f>ROUND(INDEX($B$5:$B$13,MATCH(J$15,$A$5:$A$13,0))*$D16/($D$25*1.5),1)</f>
        <v>0.8</v>
      </c>
      <c r="K16" s="2">
        <f>ROUND(INDEX($B$5:$B$13,MATCH(K$15,$A$5:$A$13,0))*$D16/($D$25*1.5),1)</f>
        <v>2.4</v>
      </c>
      <c r="L16" s="2">
        <f>ROUND(INDEX($B$5:$B$13,MATCH(L$15,$A$5:$A$13,0))*$D16/($D$25*1.5),1)</f>
        <v>2</v>
      </c>
      <c r="M16" s="2">
        <f>ROUND(INDEX($B$5:$B$13,MATCH(M$15,$A$5:$A$13,0))*$D16/($D$25*1.5),1)</f>
        <v>0</v>
      </c>
      <c r="O16" s="83" t="s">
        <v>105</v>
      </c>
      <c r="P16" s="83">
        <v>1</v>
      </c>
      <c r="V16" t="str">
        <f>"Equip,"&amp;W16&amp;",1"</f>
        <v>Equip,15,1</v>
      </c>
      <c r="W16">
        <v>15</v>
      </c>
      <c r="X16" t="str">
        <f>VLOOKUP(Y16,$AH$1:$AI$11,2,0)&amp;"|"&amp;VLOOKUP(AD16,$AG$20:$AI$22,3,0)&amp;"|"&amp;VLOOKUP(Z16,$AH$13:$AI$17,2,0)</f>
        <v>绿|强攻|武器</v>
      </c>
      <c r="Y16">
        <v>2</v>
      </c>
      <c r="Z16">
        <v>1</v>
      </c>
      <c r="AA16" t="s">
        <v>383</v>
      </c>
      <c r="AB16" t="s">
        <v>382</v>
      </c>
      <c r="AC16" t="s">
        <v>222</v>
      </c>
      <c r="AD16" t="s">
        <v>191</v>
      </c>
      <c r="AE16" t="s">
        <v>221</v>
      </c>
      <c r="AH16" s="82">
        <v>3</v>
      </c>
      <c r="AI16" s="82" t="s">
        <v>187</v>
      </c>
    </row>
    <row r="17" spans="1:35" x14ac:dyDescent="0.2">
      <c r="A17" s="78" t="s">
        <v>138</v>
      </c>
      <c r="B17" s="78" t="s">
        <v>139</v>
      </c>
      <c r="C17" s="78">
        <v>2</v>
      </c>
      <c r="D17" s="63">
        <f t="shared" ref="D17:D25" si="0">H30</f>
        <v>2.5396308360477735</v>
      </c>
      <c r="E17" s="2">
        <f>ROUND(INDEX($B$5:$B$13,MATCH(E$15,$A$5:$A$13,0))*$D17/($D$25*1.5),1)</f>
        <v>1092.2</v>
      </c>
      <c r="F17" s="2">
        <f>ROUND(INDEX($B$5:$B$13,MATCH(F$15,$A$5:$A$13,0))*$D17/($D$25*1.5),1)</f>
        <v>61.4</v>
      </c>
      <c r="G17" s="2">
        <f>ROUND(INDEX($B$5:$B$13,MATCH(G$15,$A$5:$A$13,0))*$D17/($D$25*1.5),1)</f>
        <v>13.3</v>
      </c>
      <c r="H17" s="2">
        <f>ROUND(INDEX($B$5:$B$13,MATCH(H$15,$A$5:$A$13,0))*$D17/($D$25*1.5),1)</f>
        <v>1.4</v>
      </c>
      <c r="I17" s="2">
        <f>ROUND(INDEX($B$5:$B$13,MATCH(I$15,$A$5:$A$13,0))*$D17/($D$25*1.5),1)</f>
        <v>0</v>
      </c>
      <c r="J17" s="2">
        <f>ROUND(INDEX($B$5:$B$13,MATCH(J$15,$A$5:$A$13,0))*$D17/($D$25*1.5),1)</f>
        <v>2</v>
      </c>
      <c r="K17" s="2">
        <f>ROUND(INDEX($B$5:$B$13,MATCH(K$15,$A$5:$A$13,0))*$D17/($D$25*1.5),1)</f>
        <v>6</v>
      </c>
      <c r="L17" s="2">
        <f>ROUND(INDEX($B$5:$B$13,MATCH(L$15,$A$5:$A$13,0))*$D17/($D$25*1.5),1)</f>
        <v>5</v>
      </c>
      <c r="M17" s="2">
        <f>ROUND(INDEX($B$5:$B$13,MATCH(M$15,$A$5:$A$13,0))*$D17/($D$25*1.5),1)</f>
        <v>0</v>
      </c>
      <c r="O17" s="83" t="s">
        <v>107</v>
      </c>
      <c r="P17" s="83">
        <v>2</v>
      </c>
      <c r="V17" t="str">
        <f>"Equip,"&amp;W17&amp;",1"</f>
        <v>Equip,16,1</v>
      </c>
      <c r="W17">
        <v>16</v>
      </c>
      <c r="X17" t="str">
        <f>VLOOKUP(Y17,$AH$1:$AI$11,2,0)&amp;"|"&amp;VLOOKUP(AD17,$AG$20:$AI$22,3,0)&amp;"|"&amp;VLOOKUP(Z17,$AH$13:$AI$17,2,0)</f>
        <v>绿|策略|头盔</v>
      </c>
      <c r="Y17">
        <v>2</v>
      </c>
      <c r="Z17">
        <v>2</v>
      </c>
      <c r="AA17" t="s">
        <v>381</v>
      </c>
      <c r="AB17" t="s">
        <v>380</v>
      </c>
      <c r="AC17" t="s">
        <v>218</v>
      </c>
      <c r="AD17" t="s">
        <v>201</v>
      </c>
      <c r="AE17" t="s">
        <v>200</v>
      </c>
      <c r="AH17" s="82">
        <v>4</v>
      </c>
      <c r="AI17" s="82" t="s">
        <v>108</v>
      </c>
    </row>
    <row r="18" spans="1:35" x14ac:dyDescent="0.2">
      <c r="A18" s="78" t="s">
        <v>141</v>
      </c>
      <c r="B18" s="78" t="s">
        <v>142</v>
      </c>
      <c r="C18" s="78">
        <v>3</v>
      </c>
      <c r="D18" s="63">
        <f t="shared" si="0"/>
        <v>4.4163952225841472</v>
      </c>
      <c r="E18" s="2">
        <f>ROUND(INDEX($B$5:$B$13,MATCH(E$15,$A$5:$A$13,0))*$D18/($D$25*1.5),1)</f>
        <v>1899.2</v>
      </c>
      <c r="F18" s="2">
        <f>ROUND(INDEX($B$5:$B$13,MATCH(F$15,$A$5:$A$13,0))*$D18/($D$25*1.5),1)</f>
        <v>106.8</v>
      </c>
      <c r="G18" s="2">
        <f>ROUND(INDEX($B$5:$B$13,MATCH(G$15,$A$5:$A$13,0))*$D18/($D$25*1.5),1)</f>
        <v>23.2</v>
      </c>
      <c r="H18" s="2">
        <f>ROUND(INDEX($B$5:$B$13,MATCH(H$15,$A$5:$A$13,0))*$D18/($D$25*1.5),1)</f>
        <v>2.4</v>
      </c>
      <c r="I18" s="2">
        <f>ROUND(INDEX($B$5:$B$13,MATCH(I$15,$A$5:$A$13,0))*$D18/($D$25*1.5),1)</f>
        <v>0</v>
      </c>
      <c r="J18" s="2">
        <f>ROUND(INDEX($B$5:$B$13,MATCH(J$15,$A$5:$A$13,0))*$D18/($D$25*1.5),1)</f>
        <v>3.5</v>
      </c>
      <c r="K18" s="2">
        <f>ROUND(INDEX($B$5:$B$13,MATCH(K$15,$A$5:$A$13,0))*$D18/($D$25*1.5),1)</f>
        <v>10.4</v>
      </c>
      <c r="L18" s="2">
        <f>ROUND(INDEX($B$5:$B$13,MATCH(L$15,$A$5:$A$13,0))*$D18/($D$25*1.5),1)</f>
        <v>8.6999999999999993</v>
      </c>
      <c r="M18" s="2">
        <f>ROUND(INDEX($B$5:$B$13,MATCH(M$15,$A$5:$A$13,0))*$D18/($D$25*1.5),1)</f>
        <v>0</v>
      </c>
      <c r="O18" s="83" t="s">
        <v>187</v>
      </c>
      <c r="P18" s="83">
        <v>3</v>
      </c>
      <c r="V18" t="str">
        <f>"Equip,"&amp;W18&amp;",1"</f>
        <v>Equip,17,1</v>
      </c>
      <c r="W18">
        <v>17</v>
      </c>
      <c r="X18" t="str">
        <f>VLOOKUP(Y18,$AH$1:$AI$11,2,0)&amp;"|"&amp;VLOOKUP(AD18,$AG$20:$AI$22,3,0)&amp;"|"&amp;VLOOKUP(Z18,$AH$13:$AI$17,2,0)</f>
        <v>绿|灵巧|头盔</v>
      </c>
      <c r="Y18">
        <v>2</v>
      </c>
      <c r="Z18">
        <v>2</v>
      </c>
      <c r="AA18" t="s">
        <v>379</v>
      </c>
      <c r="AB18" t="s">
        <v>378</v>
      </c>
      <c r="AC18" t="s">
        <v>215</v>
      </c>
      <c r="AD18" t="s">
        <v>196</v>
      </c>
      <c r="AE18" t="s">
        <v>195</v>
      </c>
    </row>
    <row r="19" spans="1:35" x14ac:dyDescent="0.2">
      <c r="A19" s="78" t="s">
        <v>144</v>
      </c>
      <c r="B19" s="78" t="s">
        <v>145</v>
      </c>
      <c r="C19" s="78">
        <v>4</v>
      </c>
      <c r="D19" s="63">
        <f t="shared" si="0"/>
        <v>10.981541802388707</v>
      </c>
      <c r="E19" s="2">
        <f>ROUND(INDEX($B$5:$B$13,MATCH(E$15,$A$5:$A$13,0))*$D19/($D$25*1.5),1)</f>
        <v>4722.5</v>
      </c>
      <c r="F19" s="2">
        <f>ROUND(INDEX($B$5:$B$13,MATCH(F$15,$A$5:$A$13,0))*$D19/($D$25*1.5),1)</f>
        <v>265.60000000000002</v>
      </c>
      <c r="G19" s="2">
        <f>ROUND(INDEX($B$5:$B$13,MATCH(G$15,$A$5:$A$13,0))*$D19/($D$25*1.5),1)</f>
        <v>57.7</v>
      </c>
      <c r="H19" s="2">
        <f>ROUND(INDEX($B$5:$B$13,MATCH(H$15,$A$5:$A$13,0))*$D19/($D$25*1.5),1)</f>
        <v>6</v>
      </c>
      <c r="I19" s="2">
        <f>ROUND(INDEX($B$5:$B$13,MATCH(I$15,$A$5:$A$13,0))*$D19/($D$25*1.5),1)</f>
        <v>0</v>
      </c>
      <c r="J19" s="2">
        <f>ROUND(INDEX($B$5:$B$13,MATCH(J$15,$A$5:$A$13,0))*$D19/($D$25*1.5),1)</f>
        <v>8.6</v>
      </c>
      <c r="K19" s="2">
        <f>ROUND(INDEX($B$5:$B$13,MATCH(K$15,$A$5:$A$13,0))*$D19/($D$25*1.5),1)</f>
        <v>25.9</v>
      </c>
      <c r="L19" s="2">
        <f>ROUND(INDEX($B$5:$B$13,MATCH(L$15,$A$5:$A$13,0))*$D19/($D$25*1.5),1)</f>
        <v>21.6</v>
      </c>
      <c r="M19" s="2">
        <f>ROUND(INDEX($B$5:$B$13,MATCH(M$15,$A$5:$A$13,0))*$D19/($D$25*1.5),1)</f>
        <v>0</v>
      </c>
      <c r="O19" s="83" t="s">
        <v>108</v>
      </c>
      <c r="P19" s="83">
        <v>4</v>
      </c>
      <c r="V19" t="str">
        <f>"Equip,"&amp;W19&amp;",1"</f>
        <v>Equip,18,1</v>
      </c>
      <c r="W19">
        <v>18</v>
      </c>
      <c r="X19" t="str">
        <f>VLOOKUP(Y19,$AH$1:$AI$11,2,0)&amp;"|"&amp;VLOOKUP(AD19,$AG$20:$AI$22,3,0)&amp;"|"&amp;VLOOKUP(Z19,$AH$13:$AI$17,2,0)</f>
        <v>绿|强攻|头盔</v>
      </c>
      <c r="Y19">
        <v>2</v>
      </c>
      <c r="Z19">
        <v>2</v>
      </c>
      <c r="AA19" t="s">
        <v>214</v>
      </c>
      <c r="AB19" t="s">
        <v>377</v>
      </c>
      <c r="AC19" t="s">
        <v>213</v>
      </c>
      <c r="AD19" t="s">
        <v>191</v>
      </c>
      <c r="AE19" t="s">
        <v>190</v>
      </c>
      <c r="AH19" s="82" t="s">
        <v>189</v>
      </c>
      <c r="AI19" s="82" t="s">
        <v>188</v>
      </c>
    </row>
    <row r="20" spans="1:35" x14ac:dyDescent="0.2">
      <c r="A20" s="78" t="s">
        <v>29</v>
      </c>
      <c r="B20" s="78" t="s">
        <v>147</v>
      </c>
      <c r="C20" s="78">
        <v>5</v>
      </c>
      <c r="D20" s="63">
        <f t="shared" si="0"/>
        <v>19.610749185667753</v>
      </c>
      <c r="E20" s="2">
        <f>ROUND(INDEX($B$5:$B$13,MATCH(E$15,$A$5:$A$13,0))*$D20/($D$25*1.5),1)</f>
        <v>8433.5</v>
      </c>
      <c r="F20" s="2">
        <f>ROUND(INDEX($B$5:$B$13,MATCH(F$15,$A$5:$A$13,0))*$D20/($D$25*1.5),1)</f>
        <v>474.4</v>
      </c>
      <c r="G20" s="2">
        <f>ROUND(INDEX($B$5:$B$13,MATCH(G$15,$A$5:$A$13,0))*$D20/($D$25*1.5),1)</f>
        <v>103.1</v>
      </c>
      <c r="H20" s="2">
        <f>ROUND(INDEX($B$5:$B$13,MATCH(H$15,$A$5:$A$13,0))*$D20/($D$25*1.5),1)</f>
        <v>10.8</v>
      </c>
      <c r="I20" s="2">
        <f>ROUND(INDEX($B$5:$B$13,MATCH(I$15,$A$5:$A$13,0))*$D20/($D$25*1.5),1)</f>
        <v>0</v>
      </c>
      <c r="J20" s="2">
        <f>ROUND(INDEX($B$5:$B$13,MATCH(J$15,$A$5:$A$13,0))*$D20/($D$25*1.5),1)</f>
        <v>15.4</v>
      </c>
      <c r="K20" s="2">
        <f>ROUND(INDEX($B$5:$B$13,MATCH(K$15,$A$5:$A$13,0))*$D20/($D$25*1.5),1)</f>
        <v>46.2</v>
      </c>
      <c r="L20" s="2">
        <f>ROUND(INDEX($B$5:$B$13,MATCH(L$15,$A$5:$A$13,0))*$D20/($D$25*1.5),1)</f>
        <v>38.5</v>
      </c>
      <c r="M20" s="2">
        <f>ROUND(INDEX($B$5:$B$13,MATCH(M$15,$A$5:$A$13,0))*$D20/($D$25*1.5),1)</f>
        <v>0</v>
      </c>
      <c r="V20" t="str">
        <f>"Equip,"&amp;W20&amp;",1"</f>
        <v>Equip,19,1</v>
      </c>
      <c r="W20">
        <v>19</v>
      </c>
      <c r="X20" t="str">
        <f>VLOOKUP(Y20,$AH$1:$AI$11,2,0)&amp;"|"&amp;VLOOKUP(AD20,$AG$20:$AI$22,3,0)&amp;"|"&amp;VLOOKUP(Z20,$AH$13:$AI$17,2,0)</f>
        <v>绿|策略|衣服</v>
      </c>
      <c r="Y20">
        <v>2</v>
      </c>
      <c r="Z20">
        <v>3</v>
      </c>
      <c r="AA20" t="s">
        <v>376</v>
      </c>
      <c r="AB20" t="s">
        <v>375</v>
      </c>
      <c r="AC20" t="s">
        <v>210</v>
      </c>
      <c r="AD20" t="s">
        <v>201</v>
      </c>
      <c r="AE20" t="s">
        <v>200</v>
      </c>
      <c r="AG20" t="s">
        <v>191</v>
      </c>
      <c r="AH20" s="82">
        <v>1</v>
      </c>
      <c r="AI20" s="82" t="s">
        <v>69</v>
      </c>
    </row>
    <row r="21" spans="1:35" x14ac:dyDescent="0.2">
      <c r="A21" s="78" t="s">
        <v>148</v>
      </c>
      <c r="B21" s="78" t="s">
        <v>149</v>
      </c>
      <c r="C21" s="78">
        <v>6</v>
      </c>
      <c r="D21" s="63">
        <f t="shared" si="0"/>
        <v>32.909880564603689</v>
      </c>
      <c r="E21" s="2">
        <f>ROUND(INDEX($B$5:$B$13,MATCH(E$15,$A$5:$A$13,0))*$D21/($D$25*1.5),1)</f>
        <v>14152.7</v>
      </c>
      <c r="F21" s="2">
        <f>ROUND(INDEX($B$5:$B$13,MATCH(F$15,$A$5:$A$13,0))*$D21/($D$25*1.5),1)</f>
        <v>796.1</v>
      </c>
      <c r="G21" s="2">
        <f>ROUND(INDEX($B$5:$B$13,MATCH(G$15,$A$5:$A$13,0))*$D21/($D$25*1.5),1)</f>
        <v>173</v>
      </c>
      <c r="H21" s="2">
        <f>ROUND(INDEX($B$5:$B$13,MATCH(H$15,$A$5:$A$13,0))*$D21/($D$25*1.5),1)</f>
        <v>18.100000000000001</v>
      </c>
      <c r="I21" s="2">
        <f>ROUND(INDEX($B$5:$B$13,MATCH(I$15,$A$5:$A$13,0))*$D21/($D$25*1.5),1)</f>
        <v>0</v>
      </c>
      <c r="J21" s="2">
        <f>ROUND(INDEX($B$5:$B$13,MATCH(J$15,$A$5:$A$13,0))*$D21/($D$25*1.5),1)</f>
        <v>25.8</v>
      </c>
      <c r="K21" s="2">
        <f>ROUND(INDEX($B$5:$B$13,MATCH(K$15,$A$5:$A$13,0))*$D21/($D$25*1.5),1)</f>
        <v>77.5</v>
      </c>
      <c r="L21" s="2">
        <f>ROUND(INDEX($B$5:$B$13,MATCH(L$15,$A$5:$A$13,0))*$D21/($D$25*1.5),1)</f>
        <v>64.599999999999994</v>
      </c>
      <c r="M21" s="2">
        <f>ROUND(INDEX($B$5:$B$13,MATCH(M$15,$A$5:$A$13,0))*$D21/($D$25*1.5),1)</f>
        <v>0</v>
      </c>
      <c r="O21" s="83" t="s">
        <v>188</v>
      </c>
      <c r="P21" t="s">
        <v>189</v>
      </c>
      <c r="V21" t="str">
        <f>"Equip,"&amp;W21&amp;",1"</f>
        <v>Equip,20,1</v>
      </c>
      <c r="W21">
        <v>20</v>
      </c>
      <c r="X21" t="str">
        <f>VLOOKUP(Y21,$AH$1:$AI$11,2,0)&amp;"|"&amp;VLOOKUP(AD21,$AG$20:$AI$22,3,0)&amp;"|"&amp;VLOOKUP(Z21,$AH$13:$AI$17,2,0)</f>
        <v>绿|灵巧|衣服</v>
      </c>
      <c r="Y21">
        <v>2</v>
      </c>
      <c r="Z21">
        <v>3</v>
      </c>
      <c r="AA21" t="s">
        <v>374</v>
      </c>
      <c r="AB21" t="s">
        <v>373</v>
      </c>
      <c r="AC21" t="s">
        <v>207</v>
      </c>
      <c r="AD21" t="s">
        <v>196</v>
      </c>
      <c r="AE21" t="s">
        <v>195</v>
      </c>
      <c r="AG21" t="s">
        <v>196</v>
      </c>
      <c r="AH21" s="82">
        <v>2</v>
      </c>
      <c r="AI21" s="82" t="s">
        <v>77</v>
      </c>
    </row>
    <row r="22" spans="1:35" x14ac:dyDescent="0.2">
      <c r="A22" s="78" t="s">
        <v>30</v>
      </c>
      <c r="B22" s="78" t="s">
        <v>150</v>
      </c>
      <c r="C22" s="78">
        <v>7</v>
      </c>
      <c r="D22" s="63">
        <f t="shared" si="0"/>
        <v>58.724212812160687</v>
      </c>
      <c r="E22" s="2">
        <f>ROUND(INDEX($B$5:$B$13,MATCH(E$15,$A$5:$A$13,0))*$D22/($D$25*1.5),1)</f>
        <v>25254</v>
      </c>
      <c r="F22" s="2">
        <f>ROUND(INDEX($B$5:$B$13,MATCH(F$15,$A$5:$A$13,0))*$D22/($D$25*1.5),1)</f>
        <v>1420.5</v>
      </c>
      <c r="G22" s="2">
        <f>ROUND(INDEX($B$5:$B$13,MATCH(G$15,$A$5:$A$13,0))*$D22/($D$25*1.5),1)</f>
        <v>308.60000000000002</v>
      </c>
      <c r="H22" s="2">
        <f>ROUND(INDEX($B$5:$B$13,MATCH(H$15,$A$5:$A$13,0))*$D22/($D$25*1.5),1)</f>
        <v>32.299999999999997</v>
      </c>
      <c r="I22" s="2">
        <f>ROUND(INDEX($B$5:$B$13,MATCH(I$15,$A$5:$A$13,0))*$D22/($D$25*1.5),1)</f>
        <v>0</v>
      </c>
      <c r="J22" s="2">
        <f>ROUND(INDEX($B$5:$B$13,MATCH(J$15,$A$5:$A$13,0))*$D22/($D$25*1.5),1)</f>
        <v>46.1</v>
      </c>
      <c r="K22" s="2">
        <f>ROUND(INDEX($B$5:$B$13,MATCH(K$15,$A$5:$A$13,0))*$D22/($D$25*1.5),1)</f>
        <v>138.30000000000001</v>
      </c>
      <c r="L22" s="2">
        <f>ROUND(INDEX($B$5:$B$13,MATCH(L$15,$A$5:$A$13,0))*$D22/($D$25*1.5),1)</f>
        <v>115.2</v>
      </c>
      <c r="M22" s="2">
        <f>ROUND(INDEX($B$5:$B$13,MATCH(M$15,$A$5:$A$13,0))*$D22/($D$25*1.5),1)</f>
        <v>0</v>
      </c>
      <c r="O22" s="83" t="s">
        <v>69</v>
      </c>
      <c r="P22" s="83">
        <v>1</v>
      </c>
      <c r="V22" t="str">
        <f>"Equip,"&amp;W22&amp;",1"</f>
        <v>Equip,21,1</v>
      </c>
      <c r="W22">
        <v>21</v>
      </c>
      <c r="X22" t="str">
        <f>VLOOKUP(Y22,$AH$1:$AI$11,2,0)&amp;"|"&amp;VLOOKUP(AD22,$AG$20:$AI$22,3,0)&amp;"|"&amp;VLOOKUP(Z22,$AH$13:$AI$17,2,0)</f>
        <v>绿|强攻|衣服</v>
      </c>
      <c r="Y22">
        <v>2</v>
      </c>
      <c r="Z22">
        <v>3</v>
      </c>
      <c r="AA22" t="s">
        <v>372</v>
      </c>
      <c r="AB22" t="s">
        <v>371</v>
      </c>
      <c r="AC22" t="s">
        <v>205</v>
      </c>
      <c r="AD22" t="s">
        <v>191</v>
      </c>
      <c r="AE22" t="s">
        <v>190</v>
      </c>
      <c r="AG22" t="s">
        <v>201</v>
      </c>
      <c r="AH22" s="82">
        <v>3</v>
      </c>
      <c r="AI22" s="82" t="s">
        <v>73</v>
      </c>
    </row>
    <row r="23" spans="1:35" x14ac:dyDescent="0.2">
      <c r="A23" s="78" t="s">
        <v>151</v>
      </c>
      <c r="B23" s="78" t="s">
        <v>152</v>
      </c>
      <c r="C23" s="78">
        <v>8</v>
      </c>
      <c r="D23" s="63">
        <f t="shared" si="0"/>
        <v>102.171552660152</v>
      </c>
      <c r="E23" s="2">
        <f>ROUND(INDEX($B$5:$B$13,MATCH(E$15,$A$5:$A$13,0))*$D23/($D$25*1.5),1)</f>
        <v>43938.3</v>
      </c>
      <c r="F23" s="2">
        <f>ROUND(INDEX($B$5:$B$13,MATCH(F$15,$A$5:$A$13,0))*$D23/($D$25*1.5),1)</f>
        <v>2471.5</v>
      </c>
      <c r="G23" s="2">
        <f>ROUND(INDEX($B$5:$B$13,MATCH(G$15,$A$5:$A$13,0))*$D23/($D$25*1.5),1)</f>
        <v>537</v>
      </c>
      <c r="H23" s="2">
        <f>ROUND(INDEX($B$5:$B$13,MATCH(H$15,$A$5:$A$13,0))*$D23/($D$25*1.5),1)</f>
        <v>56.1</v>
      </c>
      <c r="I23" s="2">
        <f>ROUND(INDEX($B$5:$B$13,MATCH(I$15,$A$5:$A$13,0))*$D23/($D$25*1.5),1)</f>
        <v>0</v>
      </c>
      <c r="J23" s="2">
        <f>ROUND(INDEX($B$5:$B$13,MATCH(J$15,$A$5:$A$13,0))*$D23/($D$25*1.5),1)</f>
        <v>80.2</v>
      </c>
      <c r="K23" s="2">
        <f>ROUND(INDEX($B$5:$B$13,MATCH(K$15,$A$5:$A$13,0))*$D23/($D$25*1.5),1)</f>
        <v>240.6</v>
      </c>
      <c r="L23" s="2">
        <f>ROUND(INDEX($B$5:$B$13,MATCH(L$15,$A$5:$A$13,0))*$D23/($D$25*1.5),1)</f>
        <v>200.5</v>
      </c>
      <c r="M23" s="2">
        <f>ROUND(INDEX($B$5:$B$13,MATCH(M$15,$A$5:$A$13,0))*$D23/($D$25*1.5),1)</f>
        <v>0</v>
      </c>
      <c r="O23" s="83" t="s">
        <v>71</v>
      </c>
      <c r="P23" s="83">
        <v>2</v>
      </c>
      <c r="V23" t="str">
        <f>"Equip,"&amp;W23&amp;",1"</f>
        <v>Equip,22,1</v>
      </c>
      <c r="W23">
        <v>22</v>
      </c>
      <c r="X23" t="str">
        <f>VLOOKUP(Y23,$AH$1:$AI$11,2,0)&amp;"|"&amp;VLOOKUP(AD23,$AG$20:$AI$22,3,0)&amp;"|"&amp;VLOOKUP(Z23,$AH$13:$AI$17,2,0)</f>
        <v>绿|策略|鞋子</v>
      </c>
      <c r="Y23">
        <v>2</v>
      </c>
      <c r="Z23">
        <v>4</v>
      </c>
      <c r="AA23" t="s">
        <v>370</v>
      </c>
      <c r="AB23" t="s">
        <v>369</v>
      </c>
      <c r="AC23" t="s">
        <v>202</v>
      </c>
      <c r="AD23" t="s">
        <v>201</v>
      </c>
      <c r="AE23" t="s">
        <v>200</v>
      </c>
    </row>
    <row r="24" spans="1:35" x14ac:dyDescent="0.2">
      <c r="A24" s="78" t="s">
        <v>31</v>
      </c>
      <c r="B24" s="78" t="s">
        <v>153</v>
      </c>
      <c r="C24" s="78">
        <v>9</v>
      </c>
      <c r="D24" s="63">
        <f t="shared" si="0"/>
        <v>167.1932681867535</v>
      </c>
      <c r="E24" s="2">
        <f>ROUND(INDEX($B$5:$B$13,MATCH(E$15,$A$5:$A$13,0))*$D24/($D$25*1.5),1)</f>
        <v>71900.5</v>
      </c>
      <c r="F24" s="2">
        <f>ROUND(INDEX($B$5:$B$13,MATCH(F$15,$A$5:$A$13,0))*$D24/($D$25*1.5),1)</f>
        <v>4044.4</v>
      </c>
      <c r="G24" s="2">
        <f>ROUND(INDEX($B$5:$B$13,MATCH(G$15,$A$5:$A$13,0))*$D24/($D$25*1.5),1)</f>
        <v>878.7</v>
      </c>
      <c r="H24" s="2">
        <f>ROUND(INDEX($B$5:$B$13,MATCH(H$15,$A$5:$A$13,0))*$D24/($D$25*1.5),1)</f>
        <v>91.9</v>
      </c>
      <c r="I24" s="2">
        <f>ROUND(INDEX($B$5:$B$13,MATCH(I$15,$A$5:$A$13,0))*$D24/($D$25*1.5),1)</f>
        <v>0</v>
      </c>
      <c r="J24" s="2">
        <f>ROUND(INDEX($B$5:$B$13,MATCH(J$15,$A$5:$A$13,0))*$D24/($D$25*1.5),1)</f>
        <v>131.19999999999999</v>
      </c>
      <c r="K24" s="2">
        <f>ROUND(INDEX($B$5:$B$13,MATCH(K$15,$A$5:$A$13,0))*$D24/($D$25*1.5),1)</f>
        <v>393.7</v>
      </c>
      <c r="L24" s="2">
        <f>ROUND(INDEX($B$5:$B$13,MATCH(L$15,$A$5:$A$13,0))*$D24/($D$25*1.5),1)</f>
        <v>328.1</v>
      </c>
      <c r="M24" s="2">
        <f>ROUND(INDEX($B$5:$B$13,MATCH(M$15,$A$5:$A$13,0))*$D24/($D$25*1.5),1)</f>
        <v>0</v>
      </c>
      <c r="O24" s="83" t="s">
        <v>73</v>
      </c>
      <c r="P24" s="83">
        <v>3</v>
      </c>
      <c r="V24" t="str">
        <f>"Equip,"&amp;W24&amp;",1"</f>
        <v>Equip,23,1</v>
      </c>
      <c r="W24">
        <v>23</v>
      </c>
      <c r="X24" t="str">
        <f>VLOOKUP(Y24,$AH$1:$AI$11,2,0)&amp;"|"&amp;VLOOKUP(AD24,$AG$20:$AI$22,3,0)&amp;"|"&amp;VLOOKUP(Z24,$AH$13:$AI$17,2,0)</f>
        <v>绿|灵巧|鞋子</v>
      </c>
      <c r="Y24">
        <v>2</v>
      </c>
      <c r="Z24">
        <v>4</v>
      </c>
      <c r="AA24" t="s">
        <v>368</v>
      </c>
      <c r="AB24" t="s">
        <v>367</v>
      </c>
      <c r="AC24" t="s">
        <v>197</v>
      </c>
      <c r="AD24" t="s">
        <v>196</v>
      </c>
      <c r="AE24" t="s">
        <v>195</v>
      </c>
    </row>
    <row r="25" spans="1:35" x14ac:dyDescent="0.2">
      <c r="A25" s="78" t="s">
        <v>154</v>
      </c>
      <c r="B25" s="78" t="s">
        <v>155</v>
      </c>
      <c r="C25" s="78">
        <v>10</v>
      </c>
      <c r="D25" s="63">
        <f t="shared" si="0"/>
        <v>339.70141150922905</v>
      </c>
      <c r="E25" s="2">
        <f>ROUND(INDEX($B$5:$B$13,MATCH(E$15,$A$5:$A$13,0))*$D25/($D$25*1.5),1)</f>
        <v>146086.70000000001</v>
      </c>
      <c r="F25" s="2">
        <f>ROUND(INDEX($B$5:$B$13,MATCH(F$15,$A$5:$A$13,0))*$D25/($D$25*1.5),1)</f>
        <v>8217.2999999999993</v>
      </c>
      <c r="G25" s="2">
        <f>ROUND(INDEX($B$5:$B$13,MATCH(G$15,$A$5:$A$13,0))*$D25/($D$25*1.5),1)</f>
        <v>1785.3</v>
      </c>
      <c r="H25" s="2">
        <f>ROUND(INDEX($B$5:$B$13,MATCH(H$15,$A$5:$A$13,0))*$D25/($D$25*1.5),1)</f>
        <v>186.7</v>
      </c>
      <c r="I25" s="2">
        <f>ROUND(INDEX($B$5:$B$13,MATCH(I$15,$A$5:$A$13,0))*$D25/($D$25*1.5),1)</f>
        <v>0</v>
      </c>
      <c r="J25" s="2">
        <f>ROUND(INDEX($B$5:$B$13,MATCH(J$15,$A$5:$A$13,0))*$D25/($D$25*1.5),1)</f>
        <v>266.7</v>
      </c>
      <c r="K25" s="2">
        <f>ROUND(INDEX($B$5:$B$13,MATCH(K$15,$A$5:$A$13,0))*$D25/($D$25*1.5),1)</f>
        <v>800</v>
      </c>
      <c r="L25" s="2">
        <f>ROUND(INDEX($B$5:$B$13,MATCH(L$15,$A$5:$A$13,0))*$D25/($D$25*1.5),1)</f>
        <v>666.7</v>
      </c>
      <c r="M25" s="2">
        <f>ROUND(INDEX($B$5:$B$13,MATCH(M$15,$A$5:$A$13,0))*$D25/($D$25*1.5),1)</f>
        <v>0</v>
      </c>
      <c r="V25" t="str">
        <f>"Equip,"&amp;W25&amp;",1"</f>
        <v>Equip,24,1</v>
      </c>
      <c r="W25">
        <v>24</v>
      </c>
      <c r="X25" t="str">
        <f>VLOOKUP(Y25,$AH$1:$AI$11,2,0)&amp;"|"&amp;VLOOKUP(AD25,$AG$20:$AI$22,3,0)&amp;"|"&amp;VLOOKUP(Z25,$AH$13:$AI$17,2,0)</f>
        <v>绿|强攻|鞋子</v>
      </c>
      <c r="Y25">
        <v>2</v>
      </c>
      <c r="Z25">
        <v>4</v>
      </c>
      <c r="AA25" t="s">
        <v>366</v>
      </c>
      <c r="AB25" t="s">
        <v>365</v>
      </c>
      <c r="AC25" t="s">
        <v>192</v>
      </c>
      <c r="AD25" t="s">
        <v>191</v>
      </c>
      <c r="AE25" t="s">
        <v>190</v>
      </c>
    </row>
    <row r="26" spans="1:35" x14ac:dyDescent="0.2">
      <c r="A26" s="55"/>
      <c r="B26" s="55"/>
      <c r="C26" s="6"/>
      <c r="D26" s="6"/>
      <c r="V26" t="str">
        <f>"Equip,"&amp;W26&amp;",1"</f>
        <v>Equip,25,1</v>
      </c>
      <c r="W26">
        <v>25</v>
      </c>
      <c r="X26" t="str">
        <f>VLOOKUP(Y26,$AH$1:$AI$11,2,0)&amp;"|"&amp;VLOOKUP(AD26,$AG$20:$AI$22,3,0)&amp;"|"&amp;VLOOKUP(Z26,$AH$13:$AI$17,2,0)</f>
        <v>蓝|策略|武器</v>
      </c>
      <c r="Y26">
        <v>3</v>
      </c>
      <c r="Z26">
        <v>1</v>
      </c>
      <c r="AA26" t="s">
        <v>364</v>
      </c>
      <c r="AB26" t="s">
        <v>363</v>
      </c>
      <c r="AC26" t="s">
        <v>230</v>
      </c>
      <c r="AD26" t="s">
        <v>201</v>
      </c>
      <c r="AE26" t="s">
        <v>229</v>
      </c>
    </row>
    <row r="27" spans="1:35" x14ac:dyDescent="0.2">
      <c r="V27" t="str">
        <f>"Equip,"&amp;W27&amp;",1"</f>
        <v>Equip,26,1</v>
      </c>
      <c r="W27">
        <v>26</v>
      </c>
      <c r="X27" t="str">
        <f>VLOOKUP(Y27,$AH$1:$AI$11,2,0)&amp;"|"&amp;VLOOKUP(AD27,$AG$20:$AI$22,3,0)&amp;"|"&amp;VLOOKUP(Z27,$AH$13:$AI$17,2,0)</f>
        <v>蓝|灵巧|武器</v>
      </c>
      <c r="Y27">
        <v>3</v>
      </c>
      <c r="Z27">
        <v>1</v>
      </c>
      <c r="AA27" t="s">
        <v>362</v>
      </c>
      <c r="AB27" t="s">
        <v>361</v>
      </c>
      <c r="AC27" t="s">
        <v>226</v>
      </c>
      <c r="AD27" t="s">
        <v>196</v>
      </c>
      <c r="AE27" t="s">
        <v>225</v>
      </c>
    </row>
    <row r="28" spans="1:35" x14ac:dyDescent="0.2">
      <c r="A28" t="s">
        <v>173</v>
      </c>
      <c r="V28" t="str">
        <f>"Equip,"&amp;W28&amp;",1"</f>
        <v>Equip,27,1</v>
      </c>
      <c r="W28">
        <v>27</v>
      </c>
      <c r="X28" t="str">
        <f>VLOOKUP(Y28,$AH$1:$AI$11,2,0)&amp;"|"&amp;VLOOKUP(AD28,$AG$20:$AI$22,3,0)&amp;"|"&amp;VLOOKUP(Z28,$AH$13:$AI$17,2,0)</f>
        <v>蓝|强攻|武器</v>
      </c>
      <c r="Y28">
        <v>3</v>
      </c>
      <c r="Z28">
        <v>1</v>
      </c>
      <c r="AA28" t="s">
        <v>360</v>
      </c>
      <c r="AB28" t="s">
        <v>359</v>
      </c>
      <c r="AC28" t="s">
        <v>222</v>
      </c>
      <c r="AD28" t="s">
        <v>191</v>
      </c>
      <c r="AE28" t="s">
        <v>221</v>
      </c>
    </row>
    <row r="29" spans="1:35" x14ac:dyDescent="0.2">
      <c r="A29" s="78" t="s">
        <v>171</v>
      </c>
      <c r="B29">
        <v>44.400000000000006</v>
      </c>
      <c r="C29">
        <v>44.400000000000006</v>
      </c>
      <c r="D29">
        <v>44.400000000000006</v>
      </c>
      <c r="F29" s="2" t="s">
        <v>171</v>
      </c>
      <c r="G29" s="2">
        <f>AVERAGEIF($A$29:$A$68,F29,$B$29:$D$68)</f>
        <v>46.050000000000004</v>
      </c>
      <c r="H29" s="2">
        <f>G29/$G$29</f>
        <v>1</v>
      </c>
      <c r="V29" t="str">
        <f>"Equip,"&amp;W29&amp;",1"</f>
        <v>Equip,28,1</v>
      </c>
      <c r="W29">
        <v>28</v>
      </c>
      <c r="X29" t="str">
        <f>VLOOKUP(Y29,$AH$1:$AI$11,2,0)&amp;"|"&amp;VLOOKUP(AD29,$AG$20:$AI$22,3,0)&amp;"|"&amp;VLOOKUP(Z29,$AH$13:$AI$17,2,0)</f>
        <v>蓝|策略|头盔</v>
      </c>
      <c r="Y29">
        <v>3</v>
      </c>
      <c r="Z29">
        <v>2</v>
      </c>
      <c r="AA29" t="s">
        <v>358</v>
      </c>
      <c r="AB29" t="s">
        <v>357</v>
      </c>
      <c r="AC29" t="s">
        <v>218</v>
      </c>
      <c r="AD29" t="s">
        <v>201</v>
      </c>
      <c r="AE29" t="s">
        <v>200</v>
      </c>
    </row>
    <row r="30" spans="1:35" x14ac:dyDescent="0.2">
      <c r="A30" s="78" t="s">
        <v>171</v>
      </c>
      <c r="B30">
        <v>46.2</v>
      </c>
      <c r="C30">
        <v>45</v>
      </c>
      <c r="D30">
        <v>45.6</v>
      </c>
      <c r="F30" s="2" t="s">
        <v>138</v>
      </c>
      <c r="G30" s="82">
        <f t="shared" ref="G30:G38" si="1">AVERAGEIF($A$29:$A$68,F30,$B$29:$D$68)</f>
        <v>116.94999999999999</v>
      </c>
      <c r="H30" s="2">
        <f t="shared" ref="H30:H38" si="2">G30/$G$29</f>
        <v>2.5396308360477735</v>
      </c>
      <c r="V30" t="str">
        <f>"Equip,"&amp;W30&amp;",1"</f>
        <v>Equip,29,1</v>
      </c>
      <c r="W30">
        <v>29</v>
      </c>
      <c r="X30" t="str">
        <f>VLOOKUP(Y30,$AH$1:$AI$11,2,0)&amp;"|"&amp;VLOOKUP(AD30,$AG$20:$AI$22,3,0)&amp;"|"&amp;VLOOKUP(Z30,$AH$13:$AI$17,2,0)</f>
        <v>蓝|灵巧|头盔</v>
      </c>
      <c r="Y30">
        <v>3</v>
      </c>
      <c r="Z30">
        <v>2</v>
      </c>
      <c r="AA30" t="s">
        <v>356</v>
      </c>
      <c r="AB30" t="s">
        <v>345</v>
      </c>
      <c r="AC30" t="s">
        <v>215</v>
      </c>
      <c r="AD30" t="s">
        <v>196</v>
      </c>
      <c r="AE30" t="s">
        <v>195</v>
      </c>
    </row>
    <row r="31" spans="1:35" x14ac:dyDescent="0.2">
      <c r="A31" s="78" t="s">
        <v>171</v>
      </c>
      <c r="B31">
        <v>46</v>
      </c>
      <c r="C31">
        <v>44.8</v>
      </c>
      <c r="D31">
        <v>44.4</v>
      </c>
      <c r="F31" s="2" t="s">
        <v>141</v>
      </c>
      <c r="G31" s="82">
        <f t="shared" si="1"/>
        <v>203.375</v>
      </c>
      <c r="H31" s="2">
        <f t="shared" si="2"/>
        <v>4.4163952225841472</v>
      </c>
      <c r="V31" t="str">
        <f>"Equip,"&amp;W31&amp;",1"</f>
        <v>Equip,30,1</v>
      </c>
      <c r="W31">
        <v>30</v>
      </c>
      <c r="X31" t="str">
        <f>VLOOKUP(Y31,$AH$1:$AI$11,2,0)&amp;"|"&amp;VLOOKUP(AD31,$AG$20:$AI$22,3,0)&amp;"|"&amp;VLOOKUP(Z31,$AH$13:$AI$17,2,0)</f>
        <v>蓝|强攻|头盔</v>
      </c>
      <c r="Y31">
        <v>3</v>
      </c>
      <c r="Z31">
        <v>2</v>
      </c>
      <c r="AA31" t="s">
        <v>355</v>
      </c>
      <c r="AB31" t="s">
        <v>354</v>
      </c>
      <c r="AC31" t="s">
        <v>213</v>
      </c>
      <c r="AD31" t="s">
        <v>191</v>
      </c>
      <c r="AE31" t="s">
        <v>190</v>
      </c>
    </row>
    <row r="32" spans="1:35" x14ac:dyDescent="0.2">
      <c r="A32" s="78" t="s">
        <v>171</v>
      </c>
      <c r="B32">
        <v>47.6</v>
      </c>
      <c r="C32">
        <v>45</v>
      </c>
      <c r="D32">
        <v>45.800000000000004</v>
      </c>
      <c r="F32" s="2" t="s">
        <v>144</v>
      </c>
      <c r="G32" s="82">
        <f t="shared" si="1"/>
        <v>505.7</v>
      </c>
      <c r="H32" s="2">
        <f t="shared" si="2"/>
        <v>10.981541802388707</v>
      </c>
      <c r="V32" t="str">
        <f>"Equip,"&amp;W32&amp;",1"</f>
        <v>Equip,31,1</v>
      </c>
      <c r="W32">
        <v>31</v>
      </c>
      <c r="X32" t="str">
        <f>VLOOKUP(Y32,$AH$1:$AI$11,2,0)&amp;"|"&amp;VLOOKUP(AD32,$AG$20:$AI$22,3,0)&amp;"|"&amp;VLOOKUP(Z32,$AH$13:$AI$17,2,0)</f>
        <v>蓝|策略|衣服</v>
      </c>
      <c r="Y32">
        <v>3</v>
      </c>
      <c r="Z32">
        <v>3</v>
      </c>
      <c r="AA32" t="s">
        <v>353</v>
      </c>
      <c r="AB32" t="s">
        <v>352</v>
      </c>
      <c r="AC32" t="s">
        <v>210</v>
      </c>
      <c r="AD32" t="s">
        <v>201</v>
      </c>
      <c r="AE32" t="s">
        <v>200</v>
      </c>
    </row>
    <row r="33" spans="1:31" x14ac:dyDescent="0.2">
      <c r="A33" s="78" t="s">
        <v>138</v>
      </c>
      <c r="B33">
        <v>118.9</v>
      </c>
      <c r="C33">
        <v>118.4</v>
      </c>
      <c r="D33">
        <v>119.4</v>
      </c>
      <c r="F33" s="2" t="s">
        <v>29</v>
      </c>
      <c r="G33" s="82">
        <f t="shared" si="1"/>
        <v>903.07500000000005</v>
      </c>
      <c r="H33" s="2">
        <f t="shared" si="2"/>
        <v>19.610749185667753</v>
      </c>
      <c r="V33" t="str">
        <f>"Equip,"&amp;W33&amp;",1"</f>
        <v>Equip,32,1</v>
      </c>
      <c r="W33">
        <v>32</v>
      </c>
      <c r="X33" t="str">
        <f>VLOOKUP(Y33,$AH$1:$AI$11,2,0)&amp;"|"&amp;VLOOKUP(AD33,$AG$20:$AI$22,3,0)&amp;"|"&amp;VLOOKUP(Z33,$AH$13:$AI$17,2,0)</f>
        <v>蓝|灵巧|衣服</v>
      </c>
      <c r="Y33">
        <v>3</v>
      </c>
      <c r="Z33">
        <v>3</v>
      </c>
      <c r="AA33" t="s">
        <v>351</v>
      </c>
      <c r="AB33" t="s">
        <v>345</v>
      </c>
      <c r="AC33" t="s">
        <v>207</v>
      </c>
      <c r="AD33" t="s">
        <v>196</v>
      </c>
      <c r="AE33" t="s">
        <v>195</v>
      </c>
    </row>
    <row r="34" spans="1:31" x14ac:dyDescent="0.2">
      <c r="A34" s="78" t="s">
        <v>138</v>
      </c>
      <c r="B34">
        <v>116.1</v>
      </c>
      <c r="C34">
        <v>117.4</v>
      </c>
      <c r="D34">
        <v>118.6</v>
      </c>
      <c r="F34" s="2" t="s">
        <v>148</v>
      </c>
      <c r="G34" s="82">
        <f t="shared" si="1"/>
        <v>1515.5</v>
      </c>
      <c r="H34" s="2">
        <f t="shared" si="2"/>
        <v>32.909880564603689</v>
      </c>
      <c r="V34" t="str">
        <f>"Equip,"&amp;W34&amp;",1"</f>
        <v>Equip,33,1</v>
      </c>
      <c r="W34">
        <v>33</v>
      </c>
      <c r="X34" t="str">
        <f>VLOOKUP(Y34,$AH$1:$AI$11,2,0)&amp;"|"&amp;VLOOKUP(AD34,$AG$20:$AI$22,3,0)&amp;"|"&amp;VLOOKUP(Z34,$AH$13:$AI$17,2,0)</f>
        <v>蓝|强攻|衣服</v>
      </c>
      <c r="Y34">
        <v>3</v>
      </c>
      <c r="Z34">
        <v>3</v>
      </c>
      <c r="AA34" t="s">
        <v>350</v>
      </c>
      <c r="AB34" t="s">
        <v>349</v>
      </c>
      <c r="AC34" t="s">
        <v>205</v>
      </c>
      <c r="AD34" t="s">
        <v>191</v>
      </c>
      <c r="AE34" t="s">
        <v>190</v>
      </c>
    </row>
    <row r="35" spans="1:31" x14ac:dyDescent="0.2">
      <c r="A35" s="78" t="s">
        <v>138</v>
      </c>
      <c r="B35">
        <v>115.39999999999999</v>
      </c>
      <c r="C35">
        <v>117.8</v>
      </c>
      <c r="D35">
        <v>117.19999999999999</v>
      </c>
      <c r="F35" s="2" t="s">
        <v>30</v>
      </c>
      <c r="G35" s="82">
        <f t="shared" si="1"/>
        <v>2704.25</v>
      </c>
      <c r="H35" s="2">
        <f t="shared" si="2"/>
        <v>58.724212812160687</v>
      </c>
      <c r="V35" t="str">
        <f>"Equip,"&amp;W35&amp;",1"</f>
        <v>Equip,34,1</v>
      </c>
      <c r="W35">
        <v>34</v>
      </c>
      <c r="X35" t="str">
        <f>VLOOKUP(Y35,$AH$1:$AI$11,2,0)&amp;"|"&amp;VLOOKUP(AD35,$AG$20:$AI$22,3,0)&amp;"|"&amp;VLOOKUP(Z35,$AH$13:$AI$17,2,0)</f>
        <v>蓝|策略|鞋子</v>
      </c>
      <c r="Y35">
        <v>3</v>
      </c>
      <c r="Z35">
        <v>4</v>
      </c>
      <c r="AA35" t="s">
        <v>348</v>
      </c>
      <c r="AB35" t="s">
        <v>347</v>
      </c>
      <c r="AC35" t="s">
        <v>202</v>
      </c>
      <c r="AD35" t="s">
        <v>201</v>
      </c>
      <c r="AE35" t="s">
        <v>200</v>
      </c>
    </row>
    <row r="36" spans="1:31" x14ac:dyDescent="0.2">
      <c r="A36" s="78" t="s">
        <v>138</v>
      </c>
      <c r="B36">
        <v>117.4</v>
      </c>
      <c r="C36">
        <v>120.7</v>
      </c>
      <c r="D36">
        <v>118.7</v>
      </c>
      <c r="F36" s="2" t="s">
        <v>151</v>
      </c>
      <c r="G36" s="82">
        <f t="shared" si="1"/>
        <v>4705</v>
      </c>
      <c r="H36" s="2">
        <f t="shared" si="2"/>
        <v>102.171552660152</v>
      </c>
      <c r="V36" t="str">
        <f>"Equip,"&amp;W36&amp;",1"</f>
        <v>Equip,35,1</v>
      </c>
      <c r="W36">
        <v>35</v>
      </c>
      <c r="X36" t="str">
        <f>VLOOKUP(Y36,$AH$1:$AI$11,2,0)&amp;"|"&amp;VLOOKUP(AD36,$AG$20:$AI$22,3,0)&amp;"|"&amp;VLOOKUP(Z36,$AH$13:$AI$17,2,0)</f>
        <v>蓝|灵巧|鞋子</v>
      </c>
      <c r="Y36">
        <v>3</v>
      </c>
      <c r="Z36">
        <v>4</v>
      </c>
      <c r="AA36" t="s">
        <v>346</v>
      </c>
      <c r="AB36" t="s">
        <v>345</v>
      </c>
      <c r="AC36" t="s">
        <v>197</v>
      </c>
      <c r="AD36" t="s">
        <v>196</v>
      </c>
      <c r="AE36" t="s">
        <v>195</v>
      </c>
    </row>
    <row r="37" spans="1:31" x14ac:dyDescent="0.2">
      <c r="A37" s="78" t="s">
        <v>141</v>
      </c>
      <c r="B37">
        <v>206</v>
      </c>
      <c r="C37">
        <v>203.5</v>
      </c>
      <c r="D37">
        <v>205.5</v>
      </c>
      <c r="F37" s="2" t="s">
        <v>31</v>
      </c>
      <c r="G37" s="82">
        <f t="shared" si="1"/>
        <v>7699.25</v>
      </c>
      <c r="H37" s="2">
        <f t="shared" si="2"/>
        <v>167.1932681867535</v>
      </c>
      <c r="V37" t="str">
        <f>"Equip,"&amp;W37&amp;",1"</f>
        <v>Equip,36,1</v>
      </c>
      <c r="W37">
        <v>36</v>
      </c>
      <c r="X37" t="str">
        <f>VLOOKUP(Y37,$AH$1:$AI$11,2,0)&amp;"|"&amp;VLOOKUP(AD37,$AG$20:$AI$22,3,0)&amp;"|"&amp;VLOOKUP(Z37,$AH$13:$AI$17,2,0)</f>
        <v>蓝|强攻|鞋子</v>
      </c>
      <c r="Y37">
        <v>3</v>
      </c>
      <c r="Z37">
        <v>4</v>
      </c>
      <c r="AA37" t="s">
        <v>344</v>
      </c>
      <c r="AB37" t="s">
        <v>343</v>
      </c>
      <c r="AC37" t="s">
        <v>192</v>
      </c>
      <c r="AD37" t="s">
        <v>191</v>
      </c>
      <c r="AE37" t="s">
        <v>190</v>
      </c>
    </row>
    <row r="38" spans="1:31" x14ac:dyDescent="0.2">
      <c r="A38" s="78" t="s">
        <v>141</v>
      </c>
      <c r="B38">
        <v>201.5</v>
      </c>
      <c r="C38">
        <v>208</v>
      </c>
      <c r="D38">
        <v>206</v>
      </c>
      <c r="F38" s="2" t="s">
        <v>154</v>
      </c>
      <c r="G38" s="82">
        <f t="shared" si="1"/>
        <v>15643.25</v>
      </c>
      <c r="H38" s="2">
        <f t="shared" si="2"/>
        <v>339.70141150922905</v>
      </c>
      <c r="V38" t="str">
        <f>"Equip,"&amp;W38&amp;",1"</f>
        <v>Equip,37,1</v>
      </c>
      <c r="W38">
        <v>37</v>
      </c>
      <c r="X38" t="str">
        <f>VLOOKUP(Y38,$AH$1:$AI$11,2,0)&amp;"|"&amp;VLOOKUP(AD38,$AG$20:$AI$22,3,0)&amp;"|"&amp;VLOOKUP(Z38,$AH$13:$AI$17,2,0)</f>
        <v>蓝+|策略|武器</v>
      </c>
      <c r="Y38">
        <v>4</v>
      </c>
      <c r="Z38">
        <v>1</v>
      </c>
      <c r="AA38" t="s">
        <v>342</v>
      </c>
      <c r="AB38" t="s">
        <v>341</v>
      </c>
      <c r="AC38" t="s">
        <v>230</v>
      </c>
      <c r="AD38" t="s">
        <v>201</v>
      </c>
      <c r="AE38" t="s">
        <v>229</v>
      </c>
    </row>
    <row r="39" spans="1:31" x14ac:dyDescent="0.2">
      <c r="A39" s="78" t="s">
        <v>141</v>
      </c>
      <c r="B39">
        <v>203.2</v>
      </c>
      <c r="C39">
        <v>204</v>
      </c>
      <c r="D39">
        <v>203</v>
      </c>
      <c r="V39" t="str">
        <f>"Equip,"&amp;W39&amp;",1"</f>
        <v>Equip,38,1</v>
      </c>
      <c r="W39">
        <v>38</v>
      </c>
      <c r="X39" t="str">
        <f>VLOOKUP(Y39,$AH$1:$AI$11,2,0)&amp;"|"&amp;VLOOKUP(AD39,$AG$20:$AI$22,3,0)&amp;"|"&amp;VLOOKUP(Z39,$AH$13:$AI$17,2,0)</f>
        <v>蓝+|灵巧|武器</v>
      </c>
      <c r="Y39">
        <v>4</v>
      </c>
      <c r="Z39">
        <v>1</v>
      </c>
      <c r="AA39" t="s">
        <v>340</v>
      </c>
      <c r="AB39" t="s">
        <v>339</v>
      </c>
      <c r="AC39" t="s">
        <v>226</v>
      </c>
      <c r="AD39" t="s">
        <v>196</v>
      </c>
      <c r="AE39" t="s">
        <v>225</v>
      </c>
    </row>
    <row r="40" spans="1:31" x14ac:dyDescent="0.2">
      <c r="A40" s="78" t="s">
        <v>141</v>
      </c>
      <c r="B40">
        <v>202.8</v>
      </c>
      <c r="C40">
        <v>204.4</v>
      </c>
      <c r="D40">
        <v>204.4</v>
      </c>
      <c r="V40" t="str">
        <f>"Equip,"&amp;W40&amp;",1"</f>
        <v>Equip,39,1</v>
      </c>
      <c r="W40">
        <v>39</v>
      </c>
      <c r="X40" t="str">
        <f>VLOOKUP(Y40,$AH$1:$AI$11,2,0)&amp;"|"&amp;VLOOKUP(AD40,$AG$20:$AI$22,3,0)&amp;"|"&amp;VLOOKUP(Z40,$AH$13:$AI$17,2,0)</f>
        <v>蓝+|强攻|武器</v>
      </c>
      <c r="Y40">
        <v>4</v>
      </c>
      <c r="Z40">
        <v>1</v>
      </c>
      <c r="AA40" t="s">
        <v>338</v>
      </c>
      <c r="AB40" t="s">
        <v>337</v>
      </c>
      <c r="AC40" t="s">
        <v>222</v>
      </c>
      <c r="AD40" t="s">
        <v>191</v>
      </c>
      <c r="AE40" t="s">
        <v>221</v>
      </c>
    </row>
    <row r="41" spans="1:31" x14ac:dyDescent="0.2">
      <c r="A41" s="78" t="s">
        <v>144</v>
      </c>
      <c r="B41">
        <v>506</v>
      </c>
      <c r="C41">
        <v>503.8</v>
      </c>
      <c r="D41">
        <v>502.5</v>
      </c>
      <c r="V41" t="str">
        <f>"Equip,"&amp;W41&amp;",1"</f>
        <v>Equip,40,1</v>
      </c>
      <c r="W41">
        <v>40</v>
      </c>
      <c r="X41" t="str">
        <f>VLOOKUP(Y41,$AH$1:$AI$11,2,0)&amp;"|"&amp;VLOOKUP(AD41,$AG$20:$AI$22,3,0)&amp;"|"&amp;VLOOKUP(Z41,$AH$13:$AI$17,2,0)</f>
        <v>蓝+|策略|头盔</v>
      </c>
      <c r="Y41">
        <v>4</v>
      </c>
      <c r="Z41">
        <v>2</v>
      </c>
      <c r="AA41" t="s">
        <v>336</v>
      </c>
      <c r="AB41" t="s">
        <v>335</v>
      </c>
      <c r="AC41" t="s">
        <v>218</v>
      </c>
      <c r="AD41" t="s">
        <v>201</v>
      </c>
      <c r="AE41" t="s">
        <v>200</v>
      </c>
    </row>
    <row r="42" spans="1:31" x14ac:dyDescent="0.2">
      <c r="A42" s="78" t="s">
        <v>144</v>
      </c>
      <c r="B42">
        <v>502</v>
      </c>
      <c r="C42">
        <v>500.5</v>
      </c>
      <c r="D42">
        <v>503</v>
      </c>
      <c r="V42" t="str">
        <f>"Equip,"&amp;W42&amp;",1"</f>
        <v>Equip,41,1</v>
      </c>
      <c r="W42">
        <v>41</v>
      </c>
      <c r="X42" t="str">
        <f>VLOOKUP(Y42,$AH$1:$AI$11,2,0)&amp;"|"&amp;VLOOKUP(AD42,$AG$20:$AI$22,3,0)&amp;"|"&amp;VLOOKUP(Z42,$AH$13:$AI$17,2,0)</f>
        <v>蓝+|灵巧|头盔</v>
      </c>
      <c r="Y42">
        <v>4</v>
      </c>
      <c r="Z42">
        <v>2</v>
      </c>
      <c r="AA42" t="s">
        <v>334</v>
      </c>
      <c r="AB42" t="s">
        <v>333</v>
      </c>
      <c r="AC42" t="s">
        <v>215</v>
      </c>
      <c r="AD42" t="s">
        <v>196</v>
      </c>
      <c r="AE42" t="s">
        <v>195</v>
      </c>
    </row>
    <row r="43" spans="1:31" x14ac:dyDescent="0.2">
      <c r="A43" s="78" t="s">
        <v>144</v>
      </c>
      <c r="B43">
        <v>507.99999999999994</v>
      </c>
      <c r="C43">
        <v>503</v>
      </c>
      <c r="D43">
        <v>426.4</v>
      </c>
      <c r="V43" t="str">
        <f>"Equip,"&amp;W43&amp;",1"</f>
        <v>Equip,42,1</v>
      </c>
      <c r="W43">
        <v>42</v>
      </c>
      <c r="X43" t="str">
        <f>VLOOKUP(Y43,$AH$1:$AI$11,2,0)&amp;"|"&amp;VLOOKUP(AD43,$AG$20:$AI$22,3,0)&amp;"|"&amp;VLOOKUP(Z43,$AH$13:$AI$17,2,0)</f>
        <v>蓝+|强攻|头盔</v>
      </c>
      <c r="Y43">
        <v>4</v>
      </c>
      <c r="Z43">
        <v>2</v>
      </c>
      <c r="AA43" t="s">
        <v>332</v>
      </c>
      <c r="AB43" t="s">
        <v>331</v>
      </c>
      <c r="AC43" t="s">
        <v>213</v>
      </c>
      <c r="AD43" t="s">
        <v>191</v>
      </c>
      <c r="AE43" t="s">
        <v>190</v>
      </c>
    </row>
    <row r="44" spans="1:31" x14ac:dyDescent="0.2">
      <c r="A44" s="78" t="s">
        <v>144</v>
      </c>
      <c r="B44">
        <v>506.8</v>
      </c>
      <c r="C44">
        <v>502.4</v>
      </c>
      <c r="D44">
        <v>498.2</v>
      </c>
      <c r="V44" t="str">
        <f>"Equip,"&amp;W44&amp;",1"</f>
        <v>Equip,43,1</v>
      </c>
      <c r="W44">
        <v>43</v>
      </c>
      <c r="X44" t="str">
        <f>VLOOKUP(Y44,$AH$1:$AI$11,2,0)&amp;"|"&amp;VLOOKUP(AD44,$AG$20:$AI$22,3,0)&amp;"|"&amp;VLOOKUP(Z44,$AH$13:$AI$17,2,0)</f>
        <v>蓝+|策略|衣服</v>
      </c>
      <c r="Y44">
        <v>4</v>
      </c>
      <c r="Z44">
        <v>3</v>
      </c>
      <c r="AA44" t="s">
        <v>330</v>
      </c>
      <c r="AB44" t="s">
        <v>329</v>
      </c>
      <c r="AC44" t="s">
        <v>210</v>
      </c>
      <c r="AD44" t="s">
        <v>201</v>
      </c>
      <c r="AE44" t="s">
        <v>200</v>
      </c>
    </row>
    <row r="45" spans="1:31" x14ac:dyDescent="0.2">
      <c r="A45" s="78" t="s">
        <v>29</v>
      </c>
      <c r="B45">
        <v>903.5</v>
      </c>
      <c r="C45">
        <v>758.5</v>
      </c>
      <c r="D45">
        <v>905.4</v>
      </c>
      <c r="V45" t="str">
        <f>"Equip,"&amp;W45&amp;",1"</f>
        <v>Equip,44,1</v>
      </c>
      <c r="W45">
        <v>44</v>
      </c>
      <c r="X45" t="str">
        <f>VLOOKUP(Y45,$AH$1:$AI$11,2,0)&amp;"|"&amp;VLOOKUP(AD45,$AG$20:$AI$22,3,0)&amp;"|"&amp;VLOOKUP(Z45,$AH$13:$AI$17,2,0)</f>
        <v>蓝+|灵巧|衣服</v>
      </c>
      <c r="Y45">
        <v>4</v>
      </c>
      <c r="Z45">
        <v>3</v>
      </c>
      <c r="AA45" t="s">
        <v>328</v>
      </c>
      <c r="AB45" t="s">
        <v>327</v>
      </c>
      <c r="AC45" t="s">
        <v>207</v>
      </c>
      <c r="AD45" t="s">
        <v>196</v>
      </c>
      <c r="AE45" t="s">
        <v>195</v>
      </c>
    </row>
    <row r="46" spans="1:31" x14ac:dyDescent="0.2">
      <c r="A46" s="78" t="s">
        <v>29</v>
      </c>
      <c r="B46">
        <v>904</v>
      </c>
      <c r="C46">
        <v>908</v>
      </c>
      <c r="D46">
        <v>903</v>
      </c>
      <c r="V46" t="str">
        <f>"Equip,"&amp;W46&amp;",1"</f>
        <v>Equip,45,1</v>
      </c>
      <c r="W46">
        <v>45</v>
      </c>
      <c r="X46" t="str">
        <f>VLOOKUP(Y46,$AH$1:$AI$11,2,0)&amp;"|"&amp;VLOOKUP(AD46,$AG$20:$AI$22,3,0)&amp;"|"&amp;VLOOKUP(Z46,$AH$13:$AI$17,2,0)</f>
        <v>蓝+|强攻|衣服</v>
      </c>
      <c r="Y46">
        <v>4</v>
      </c>
      <c r="Z46">
        <v>3</v>
      </c>
      <c r="AA46" t="s">
        <v>326</v>
      </c>
      <c r="AB46" t="s">
        <v>320</v>
      </c>
      <c r="AC46" t="s">
        <v>205</v>
      </c>
      <c r="AD46" t="s">
        <v>191</v>
      </c>
      <c r="AE46" t="s">
        <v>190</v>
      </c>
    </row>
    <row r="47" spans="1:31" x14ac:dyDescent="0.2">
      <c r="A47" s="78" t="s">
        <v>29</v>
      </c>
      <c r="B47">
        <v>902.8</v>
      </c>
      <c r="C47">
        <v>904</v>
      </c>
      <c r="D47">
        <v>753.4</v>
      </c>
      <c r="V47" t="str">
        <f>"Equip,"&amp;W47&amp;",1"</f>
        <v>Equip,46,1</v>
      </c>
      <c r="W47">
        <v>46</v>
      </c>
      <c r="X47" t="str">
        <f>VLOOKUP(Y47,$AH$1:$AI$11,2,0)&amp;"|"&amp;VLOOKUP(AD47,$AG$20:$AI$22,3,0)&amp;"|"&amp;VLOOKUP(Z47,$AH$13:$AI$17,2,0)</f>
        <v>蓝+|策略|鞋子</v>
      </c>
      <c r="Y47">
        <v>4</v>
      </c>
      <c r="Z47">
        <v>4</v>
      </c>
      <c r="AA47" t="s">
        <v>325</v>
      </c>
      <c r="AB47" t="s">
        <v>324</v>
      </c>
      <c r="AC47" t="s">
        <v>202</v>
      </c>
      <c r="AD47" t="s">
        <v>201</v>
      </c>
      <c r="AE47" t="s">
        <v>200</v>
      </c>
    </row>
    <row r="48" spans="1:31" x14ac:dyDescent="0.2">
      <c r="A48" s="78" t="s">
        <v>29</v>
      </c>
      <c r="B48">
        <v>902</v>
      </c>
      <c r="C48">
        <v>901</v>
      </c>
      <c r="D48">
        <v>890</v>
      </c>
      <c r="V48" t="str">
        <f>"Equip,"&amp;W48&amp;",1"</f>
        <v>Equip,47,1</v>
      </c>
      <c r="W48">
        <v>47</v>
      </c>
      <c r="X48" t="str">
        <f>VLOOKUP(Y48,$AH$1:$AI$11,2,0)&amp;"|"&amp;VLOOKUP(AD48,$AG$20:$AI$22,3,0)&amp;"|"&amp;VLOOKUP(Z48,$AH$13:$AI$17,2,0)</f>
        <v>蓝+|灵巧|鞋子</v>
      </c>
      <c r="Y48">
        <v>4</v>
      </c>
      <c r="Z48">
        <v>4</v>
      </c>
      <c r="AA48" t="s">
        <v>323</v>
      </c>
      <c r="AB48" t="s">
        <v>322</v>
      </c>
      <c r="AC48" t="s">
        <v>197</v>
      </c>
      <c r="AD48" t="s">
        <v>196</v>
      </c>
      <c r="AE48" t="s">
        <v>195</v>
      </c>
    </row>
    <row r="49" spans="1:31" x14ac:dyDescent="0.2">
      <c r="A49" s="78" t="s">
        <v>148</v>
      </c>
      <c r="B49">
        <v>1551</v>
      </c>
      <c r="C49">
        <v>1258</v>
      </c>
      <c r="D49">
        <v>1546</v>
      </c>
      <c r="V49" t="str">
        <f>"Equip,"&amp;W49&amp;",1"</f>
        <v>Equip,48,1</v>
      </c>
      <c r="W49">
        <v>48</v>
      </c>
      <c r="X49" t="str">
        <f>VLOOKUP(Y49,$AH$1:$AI$11,2,0)&amp;"|"&amp;VLOOKUP(AD49,$AG$20:$AI$22,3,0)&amp;"|"&amp;VLOOKUP(Z49,$AH$13:$AI$17,2,0)</f>
        <v>蓝+|强攻|鞋子</v>
      </c>
      <c r="Y49">
        <v>4</v>
      </c>
      <c r="Z49">
        <v>4</v>
      </c>
      <c r="AA49" t="s">
        <v>321</v>
      </c>
      <c r="AB49" t="s">
        <v>320</v>
      </c>
      <c r="AC49" t="s">
        <v>192</v>
      </c>
      <c r="AD49" t="s">
        <v>191</v>
      </c>
      <c r="AE49" t="s">
        <v>190</v>
      </c>
    </row>
    <row r="50" spans="1:31" x14ac:dyDescent="0.2">
      <c r="A50" s="78" t="s">
        <v>148</v>
      </c>
      <c r="B50">
        <v>1445</v>
      </c>
      <c r="C50">
        <v>1438</v>
      </c>
      <c r="D50">
        <v>1522</v>
      </c>
      <c r="V50" t="str">
        <f>"Equip,"&amp;W50&amp;",1"</f>
        <v>Equip,49,1</v>
      </c>
      <c r="W50">
        <v>49</v>
      </c>
      <c r="X50" t="str">
        <f>VLOOKUP(Y50,$AH$1:$AI$11,2,0)&amp;"|"&amp;VLOOKUP(AD50,$AG$20:$AI$22,3,0)&amp;"|"&amp;VLOOKUP(Z50,$AH$13:$AI$17,2,0)</f>
        <v>紫|策略|武器</v>
      </c>
      <c r="Y50">
        <v>5</v>
      </c>
      <c r="Z50">
        <v>1</v>
      </c>
      <c r="AA50" t="s">
        <v>319</v>
      </c>
      <c r="AB50" t="s">
        <v>318</v>
      </c>
      <c r="AC50" t="s">
        <v>230</v>
      </c>
      <c r="AD50" t="s">
        <v>201</v>
      </c>
      <c r="AE50" t="s">
        <v>229</v>
      </c>
    </row>
    <row r="51" spans="1:31" x14ac:dyDescent="0.2">
      <c r="A51" s="78" t="s">
        <v>148</v>
      </c>
      <c r="B51">
        <v>1524</v>
      </c>
      <c r="C51">
        <v>1517</v>
      </c>
      <c r="D51">
        <v>1338</v>
      </c>
      <c r="V51" t="str">
        <f>"Equip,"&amp;W51&amp;",1"</f>
        <v>Equip,50,1</v>
      </c>
      <c r="W51">
        <v>50</v>
      </c>
      <c r="X51" t="str">
        <f>VLOOKUP(Y51,$AH$1:$AI$11,2,0)&amp;"|"&amp;VLOOKUP(AD51,$AG$20:$AI$22,3,0)&amp;"|"&amp;VLOOKUP(Z51,$AH$13:$AI$17,2,0)</f>
        <v>紫|灵巧|武器</v>
      </c>
      <c r="Y51">
        <v>5</v>
      </c>
      <c r="Z51">
        <v>1</v>
      </c>
      <c r="AA51" t="s">
        <v>317</v>
      </c>
      <c r="AB51" t="s">
        <v>316</v>
      </c>
      <c r="AC51" t="s">
        <v>226</v>
      </c>
      <c r="AD51" t="s">
        <v>196</v>
      </c>
      <c r="AE51" t="s">
        <v>225</v>
      </c>
    </row>
    <row r="52" spans="1:31" x14ac:dyDescent="0.2">
      <c r="A52" s="78" t="s">
        <v>148</v>
      </c>
      <c r="B52">
        <v>1542</v>
      </c>
      <c r="C52">
        <v>1525</v>
      </c>
      <c r="D52">
        <v>1516</v>
      </c>
      <c r="V52" t="str">
        <f>"Equip,"&amp;W52&amp;",1"</f>
        <v>Equip,51,1</v>
      </c>
      <c r="W52">
        <v>51</v>
      </c>
      <c r="X52" t="str">
        <f>VLOOKUP(Y52,$AH$1:$AI$11,2,0)&amp;"|"&amp;VLOOKUP(AD52,$AG$20:$AI$22,3,0)&amp;"|"&amp;VLOOKUP(Z52,$AH$13:$AI$17,2,0)</f>
        <v>紫|强攻|武器</v>
      </c>
      <c r="Y52">
        <v>5</v>
      </c>
      <c r="Z52">
        <v>1</v>
      </c>
      <c r="AA52" t="s">
        <v>315</v>
      </c>
      <c r="AB52" t="s">
        <v>314</v>
      </c>
      <c r="AC52" t="s">
        <v>222</v>
      </c>
      <c r="AD52" t="s">
        <v>191</v>
      </c>
      <c r="AE52" t="s">
        <v>221</v>
      </c>
    </row>
    <row r="53" spans="1:31" x14ac:dyDescent="0.2">
      <c r="A53" s="78" t="s">
        <v>30</v>
      </c>
      <c r="B53">
        <v>2751</v>
      </c>
      <c r="C53">
        <v>2294</v>
      </c>
      <c r="D53">
        <v>2718</v>
      </c>
      <c r="V53" t="str">
        <f>"Equip,"&amp;W53&amp;",1"</f>
        <v>Equip,52,1</v>
      </c>
      <c r="W53">
        <v>52</v>
      </c>
      <c r="X53" t="str">
        <f>VLOOKUP(Y53,$AH$1:$AI$11,2,0)&amp;"|"&amp;VLOOKUP(AD53,$AG$20:$AI$22,3,0)&amp;"|"&amp;VLOOKUP(Z53,$AH$13:$AI$17,2,0)</f>
        <v>紫|策略|头盔</v>
      </c>
      <c r="Y53">
        <v>5</v>
      </c>
      <c r="Z53">
        <v>2</v>
      </c>
      <c r="AA53" t="s">
        <v>313</v>
      </c>
      <c r="AB53" t="s">
        <v>312</v>
      </c>
      <c r="AC53" t="s">
        <v>218</v>
      </c>
      <c r="AD53" t="s">
        <v>201</v>
      </c>
      <c r="AE53" t="s">
        <v>200</v>
      </c>
    </row>
    <row r="54" spans="1:31" x14ac:dyDescent="0.2">
      <c r="A54" s="78" t="s">
        <v>30</v>
      </c>
      <c r="B54">
        <v>2615</v>
      </c>
      <c r="C54">
        <v>2613</v>
      </c>
      <c r="D54">
        <v>2732</v>
      </c>
      <c r="V54" t="str">
        <f>"Equip,"&amp;W54&amp;",1"</f>
        <v>Equip,53,1</v>
      </c>
      <c r="W54">
        <v>53</v>
      </c>
      <c r="X54" t="str">
        <f>VLOOKUP(Y54,$AH$1:$AI$11,2,0)&amp;"|"&amp;VLOOKUP(AD54,$AG$20:$AI$22,3,0)&amp;"|"&amp;VLOOKUP(Z54,$AH$13:$AI$17,2,0)</f>
        <v>紫|灵巧|头盔</v>
      </c>
      <c r="Y54">
        <v>5</v>
      </c>
      <c r="Z54">
        <v>2</v>
      </c>
      <c r="AA54" t="s">
        <v>311</v>
      </c>
      <c r="AB54" t="s">
        <v>306</v>
      </c>
      <c r="AC54" t="s">
        <v>215</v>
      </c>
      <c r="AD54" t="s">
        <v>196</v>
      </c>
      <c r="AE54" t="s">
        <v>195</v>
      </c>
    </row>
    <row r="55" spans="1:31" x14ac:dyDescent="0.2">
      <c r="A55" s="78" t="s">
        <v>30</v>
      </c>
      <c r="B55">
        <v>2722</v>
      </c>
      <c r="C55">
        <v>2731</v>
      </c>
      <c r="D55">
        <v>2351</v>
      </c>
      <c r="V55" t="str">
        <f>"Equip,"&amp;W55&amp;",1"</f>
        <v>Equip,54,1</v>
      </c>
      <c r="W55">
        <v>54</v>
      </c>
      <c r="X55" t="str">
        <f>VLOOKUP(Y55,$AH$1:$AI$11,2,0)&amp;"|"&amp;VLOOKUP(AD55,$AG$20:$AI$22,3,0)&amp;"|"&amp;VLOOKUP(Z55,$AH$13:$AI$17,2,0)</f>
        <v>紫|强攻|头盔</v>
      </c>
      <c r="Y55">
        <v>5</v>
      </c>
      <c r="Z55">
        <v>2</v>
      </c>
      <c r="AA55" t="s">
        <v>310</v>
      </c>
      <c r="AB55" t="s">
        <v>299</v>
      </c>
      <c r="AC55" t="s">
        <v>213</v>
      </c>
      <c r="AD55" t="s">
        <v>191</v>
      </c>
      <c r="AE55" t="s">
        <v>190</v>
      </c>
    </row>
    <row r="56" spans="1:31" x14ac:dyDescent="0.2">
      <c r="A56" s="78" t="s">
        <v>30</v>
      </c>
      <c r="B56">
        <v>2729</v>
      </c>
      <c r="C56">
        <v>2540.5</v>
      </c>
      <c r="D56">
        <v>2696</v>
      </c>
      <c r="V56" t="str">
        <f>"Equip,"&amp;W56&amp;",1"</f>
        <v>Equip,55,1</v>
      </c>
      <c r="W56">
        <v>55</v>
      </c>
      <c r="X56" t="str">
        <f>VLOOKUP(Y56,$AH$1:$AI$11,2,0)&amp;"|"&amp;VLOOKUP(AD56,$AG$20:$AI$22,3,0)&amp;"|"&amp;VLOOKUP(Z56,$AH$13:$AI$17,2,0)</f>
        <v>紫|策略|衣服</v>
      </c>
      <c r="Y56">
        <v>5</v>
      </c>
      <c r="Z56">
        <v>3</v>
      </c>
      <c r="AA56" t="s">
        <v>309</v>
      </c>
      <c r="AB56" t="s">
        <v>308</v>
      </c>
      <c r="AC56" t="s">
        <v>210</v>
      </c>
      <c r="AD56" t="s">
        <v>201</v>
      </c>
      <c r="AE56" t="s">
        <v>200</v>
      </c>
    </row>
    <row r="57" spans="1:31" x14ac:dyDescent="0.2">
      <c r="A57" s="78" t="s">
        <v>151</v>
      </c>
      <c r="B57">
        <v>4753</v>
      </c>
      <c r="C57">
        <v>4147</v>
      </c>
      <c r="D57">
        <v>4721</v>
      </c>
      <c r="V57" t="str">
        <f>"Equip,"&amp;W57&amp;",1"</f>
        <v>Equip,56,1</v>
      </c>
      <c r="W57">
        <v>56</v>
      </c>
      <c r="X57" t="str">
        <f>VLOOKUP(Y57,$AH$1:$AI$11,2,0)&amp;"|"&amp;VLOOKUP(AD57,$AG$20:$AI$22,3,0)&amp;"|"&amp;VLOOKUP(Z57,$AH$13:$AI$17,2,0)</f>
        <v>紫|灵巧|衣服</v>
      </c>
      <c r="Y57">
        <v>5</v>
      </c>
      <c r="Z57">
        <v>3</v>
      </c>
      <c r="AA57" t="s">
        <v>307</v>
      </c>
      <c r="AB57" t="s">
        <v>306</v>
      </c>
      <c r="AC57" t="s">
        <v>207</v>
      </c>
      <c r="AD57" t="s">
        <v>196</v>
      </c>
      <c r="AE57" t="s">
        <v>195</v>
      </c>
    </row>
    <row r="58" spans="1:31" x14ac:dyDescent="0.2">
      <c r="A58" s="78" t="s">
        <v>151</v>
      </c>
      <c r="B58">
        <v>4571</v>
      </c>
      <c r="C58">
        <v>4588</v>
      </c>
      <c r="D58">
        <v>4736</v>
      </c>
      <c r="V58" t="str">
        <f>"Equip,"&amp;W58&amp;",1"</f>
        <v>Equip,57,1</v>
      </c>
      <c r="W58">
        <v>57</v>
      </c>
      <c r="X58" t="str">
        <f>VLOOKUP(Y58,$AH$1:$AI$11,2,0)&amp;"|"&amp;VLOOKUP(AD58,$AG$20:$AI$22,3,0)&amp;"|"&amp;VLOOKUP(Z58,$AH$13:$AI$17,2,0)</f>
        <v>紫|强攻|衣服</v>
      </c>
      <c r="Y58">
        <v>5</v>
      </c>
      <c r="Z58">
        <v>3</v>
      </c>
      <c r="AA58" t="s">
        <v>305</v>
      </c>
      <c r="AB58" t="s">
        <v>299</v>
      </c>
      <c r="AC58" t="s">
        <v>205</v>
      </c>
      <c r="AD58" t="s">
        <v>191</v>
      </c>
      <c r="AE58" t="s">
        <v>190</v>
      </c>
    </row>
    <row r="59" spans="1:31" x14ac:dyDescent="0.2">
      <c r="A59" s="78" t="s">
        <v>151</v>
      </c>
      <c r="B59">
        <v>4726</v>
      </c>
      <c r="C59">
        <v>4745</v>
      </c>
      <c r="D59">
        <v>4374</v>
      </c>
      <c r="V59" t="str">
        <f>"Equip,"&amp;W59&amp;",1"</f>
        <v>Equip,58,1</v>
      </c>
      <c r="W59">
        <v>58</v>
      </c>
      <c r="X59" t="str">
        <f>VLOOKUP(Y59,$AH$1:$AI$11,2,0)&amp;"|"&amp;VLOOKUP(AD59,$AG$20:$AI$22,3,0)&amp;"|"&amp;VLOOKUP(Z59,$AH$13:$AI$17,2,0)</f>
        <v>紫|策略|鞋子</v>
      </c>
      <c r="Y59">
        <v>5</v>
      </c>
      <c r="Z59">
        <v>4</v>
      </c>
      <c r="AA59" t="s">
        <v>304</v>
      </c>
      <c r="AB59" t="s">
        <v>303</v>
      </c>
      <c r="AC59" t="s">
        <v>202</v>
      </c>
      <c r="AD59" t="s">
        <v>201</v>
      </c>
      <c r="AE59" t="s">
        <v>200</v>
      </c>
    </row>
    <row r="60" spans="1:31" x14ac:dyDescent="0.2">
      <c r="A60" s="78" t="s">
        <v>151</v>
      </c>
      <c r="B60">
        <v>4770</v>
      </c>
      <c r="C60">
        <v>4481</v>
      </c>
      <c r="D60">
        <v>4623</v>
      </c>
      <c r="V60" t="str">
        <f>"Equip,"&amp;W60&amp;",1"</f>
        <v>Equip,59,1</v>
      </c>
      <c r="W60">
        <v>59</v>
      </c>
      <c r="X60" t="str">
        <f>VLOOKUP(Y60,$AH$1:$AI$11,2,0)&amp;"|"&amp;VLOOKUP(AD60,$AG$20:$AI$22,3,0)&amp;"|"&amp;VLOOKUP(Z60,$AH$13:$AI$17,2,0)</f>
        <v>紫|灵巧|鞋子</v>
      </c>
      <c r="Y60">
        <v>5</v>
      </c>
      <c r="Z60">
        <v>4</v>
      </c>
      <c r="AA60" t="s">
        <v>302</v>
      </c>
      <c r="AB60" t="s">
        <v>301</v>
      </c>
      <c r="AC60" t="s">
        <v>197</v>
      </c>
      <c r="AD60" t="s">
        <v>196</v>
      </c>
      <c r="AE60" t="s">
        <v>195</v>
      </c>
    </row>
    <row r="61" spans="1:31" x14ac:dyDescent="0.2">
      <c r="A61" s="78" t="s">
        <v>31</v>
      </c>
      <c r="B61">
        <v>7715</v>
      </c>
      <c r="C61">
        <v>6978</v>
      </c>
      <c r="D61">
        <v>7743</v>
      </c>
      <c r="V61" t="str">
        <f>"Equip,"&amp;W61&amp;",1"</f>
        <v>Equip,60,1</v>
      </c>
      <c r="W61">
        <v>60</v>
      </c>
      <c r="X61" t="str">
        <f>VLOOKUP(Y61,$AH$1:$AI$11,2,0)&amp;"|"&amp;VLOOKUP(AD61,$AG$20:$AI$22,3,0)&amp;"|"&amp;VLOOKUP(Z61,$AH$13:$AI$17,2,0)</f>
        <v>紫|强攻|鞋子</v>
      </c>
      <c r="Y61">
        <v>5</v>
      </c>
      <c r="Z61">
        <v>4</v>
      </c>
      <c r="AA61" t="s">
        <v>300</v>
      </c>
      <c r="AB61" t="s">
        <v>299</v>
      </c>
      <c r="AC61" t="s">
        <v>192</v>
      </c>
      <c r="AD61" t="s">
        <v>191</v>
      </c>
      <c r="AE61" t="s">
        <v>190</v>
      </c>
    </row>
    <row r="62" spans="1:31" x14ac:dyDescent="0.2">
      <c r="A62" s="78" t="s">
        <v>31</v>
      </c>
      <c r="B62">
        <v>7552</v>
      </c>
      <c r="C62">
        <v>7607</v>
      </c>
      <c r="D62">
        <v>7744</v>
      </c>
      <c r="V62" t="str">
        <f>"Equip,"&amp;W62&amp;",1"</f>
        <v>Equip,61,1</v>
      </c>
      <c r="W62">
        <v>61</v>
      </c>
      <c r="X62" t="str">
        <f>VLOOKUP(Y62,$AH$1:$AI$11,2,0)&amp;"|"&amp;VLOOKUP(AD62,$AG$20:$AI$22,3,0)&amp;"|"&amp;VLOOKUP(Z62,$AH$13:$AI$17,2,0)</f>
        <v>紫+|策略|武器</v>
      </c>
      <c r="Y62">
        <v>6</v>
      </c>
      <c r="Z62">
        <v>1</v>
      </c>
      <c r="AA62" t="s">
        <v>298</v>
      </c>
      <c r="AB62" t="s">
        <v>297</v>
      </c>
      <c r="AC62" t="s">
        <v>230</v>
      </c>
      <c r="AD62" t="s">
        <v>201</v>
      </c>
      <c r="AE62" t="s">
        <v>229</v>
      </c>
    </row>
    <row r="63" spans="1:31" x14ac:dyDescent="0.2">
      <c r="A63" s="78" t="s">
        <v>31</v>
      </c>
      <c r="B63">
        <v>7762</v>
      </c>
      <c r="C63">
        <v>7742</v>
      </c>
      <c r="D63">
        <v>7380</v>
      </c>
      <c r="V63" t="str">
        <f>"Equip,"&amp;W63&amp;",1"</f>
        <v>Equip,62,1</v>
      </c>
      <c r="W63">
        <v>62</v>
      </c>
      <c r="X63" t="str">
        <f>VLOOKUP(Y63,$AH$1:$AI$11,2,0)&amp;"|"&amp;VLOOKUP(AD63,$AG$20:$AI$22,3,0)&amp;"|"&amp;VLOOKUP(Z63,$AH$13:$AI$17,2,0)</f>
        <v>紫+|灵巧|武器</v>
      </c>
      <c r="Y63">
        <v>6</v>
      </c>
      <c r="Z63">
        <v>1</v>
      </c>
      <c r="AA63" t="s">
        <v>296</v>
      </c>
      <c r="AB63" t="s">
        <v>295</v>
      </c>
      <c r="AC63" t="s">
        <v>226</v>
      </c>
      <c r="AD63" t="s">
        <v>196</v>
      </c>
      <c r="AE63" t="s">
        <v>225</v>
      </c>
    </row>
    <row r="64" spans="1:31" x14ac:dyDescent="0.2">
      <c r="A64" s="78" t="s">
        <v>31</v>
      </c>
      <c r="B64">
        <v>7768</v>
      </c>
      <c r="C64">
        <v>7550</v>
      </c>
      <c r="D64">
        <v>7578</v>
      </c>
      <c r="V64" t="str">
        <f>"Equip,"&amp;W64&amp;",1"</f>
        <v>Equip,63,1</v>
      </c>
      <c r="W64">
        <v>63</v>
      </c>
      <c r="X64" t="str">
        <f>VLOOKUP(Y64,$AH$1:$AI$11,2,0)&amp;"|"&amp;VLOOKUP(AD64,$AG$20:$AI$22,3,0)&amp;"|"&amp;VLOOKUP(Z64,$AH$13:$AI$17,2,0)</f>
        <v>紫+|强攻|武器</v>
      </c>
      <c r="Y64">
        <v>6</v>
      </c>
      <c r="Z64">
        <v>1</v>
      </c>
      <c r="AA64" t="s">
        <v>294</v>
      </c>
      <c r="AB64" t="s">
        <v>293</v>
      </c>
      <c r="AC64" t="s">
        <v>222</v>
      </c>
      <c r="AD64" t="s">
        <v>191</v>
      </c>
      <c r="AE64" t="s">
        <v>221</v>
      </c>
    </row>
    <row r="65" spans="1:31" x14ac:dyDescent="0.2">
      <c r="A65" s="78" t="s">
        <v>154</v>
      </c>
      <c r="B65">
        <v>15825</v>
      </c>
      <c r="C65">
        <v>14613</v>
      </c>
      <c r="D65">
        <v>15806</v>
      </c>
      <c r="V65" t="str">
        <f>"Equip,"&amp;W65&amp;",1"</f>
        <v>Equip,64,1</v>
      </c>
      <c r="W65">
        <v>64</v>
      </c>
      <c r="X65" t="str">
        <f>VLOOKUP(Y65,$AH$1:$AI$11,2,0)&amp;"|"&amp;VLOOKUP(AD65,$AG$20:$AI$22,3,0)&amp;"|"&amp;VLOOKUP(Z65,$AH$13:$AI$17,2,0)</f>
        <v>紫+|策略|头盔</v>
      </c>
      <c r="Y65">
        <v>6</v>
      </c>
      <c r="Z65">
        <v>2</v>
      </c>
      <c r="AA65" t="s">
        <v>292</v>
      </c>
      <c r="AB65" t="s">
        <v>291</v>
      </c>
      <c r="AC65" t="s">
        <v>218</v>
      </c>
      <c r="AD65" t="s">
        <v>201</v>
      </c>
      <c r="AE65" t="s">
        <v>200</v>
      </c>
    </row>
    <row r="66" spans="1:31" x14ac:dyDescent="0.2">
      <c r="A66" s="78" t="s">
        <v>154</v>
      </c>
      <c r="B66">
        <v>15985</v>
      </c>
      <c r="C66">
        <v>15025</v>
      </c>
      <c r="D66">
        <v>15258</v>
      </c>
      <c r="V66" t="str">
        <f>"Equip,"&amp;W66&amp;",1"</f>
        <v>Equip,65,1</v>
      </c>
      <c r="W66">
        <v>65</v>
      </c>
      <c r="X66" t="str">
        <f>VLOOKUP(Y66,$AH$1:$AI$11,2,0)&amp;"|"&amp;VLOOKUP(AD66,$AG$20:$AI$22,3,0)&amp;"|"&amp;VLOOKUP(Z66,$AH$13:$AI$17,2,0)</f>
        <v>紫+|灵巧|头盔</v>
      </c>
      <c r="Y66">
        <v>6</v>
      </c>
      <c r="Z66">
        <v>2</v>
      </c>
      <c r="AA66" t="s">
        <v>290</v>
      </c>
      <c r="AB66" t="s">
        <v>289</v>
      </c>
      <c r="AC66" t="s">
        <v>215</v>
      </c>
      <c r="AD66" t="s">
        <v>196</v>
      </c>
      <c r="AE66" t="s">
        <v>195</v>
      </c>
    </row>
    <row r="67" spans="1:31" x14ac:dyDescent="0.2">
      <c r="A67" s="78" t="s">
        <v>154</v>
      </c>
      <c r="B67">
        <v>15410</v>
      </c>
      <c r="C67">
        <v>15200</v>
      </c>
      <c r="D67">
        <v>14928</v>
      </c>
      <c r="V67" t="str">
        <f>"Equip,"&amp;W67&amp;",1"</f>
        <v>Equip,66,1</v>
      </c>
      <c r="W67">
        <v>66</v>
      </c>
      <c r="X67" t="str">
        <f>VLOOKUP(Y67,$AH$1:$AI$11,2,0)&amp;"|"&amp;VLOOKUP(AD67,$AG$20:$AI$22,3,0)&amp;"|"&amp;VLOOKUP(Z67,$AH$13:$AI$17,2,0)</f>
        <v>紫+|强攻|头盔</v>
      </c>
      <c r="Y67">
        <v>6</v>
      </c>
      <c r="Z67">
        <v>2</v>
      </c>
      <c r="AA67" t="s">
        <v>288</v>
      </c>
      <c r="AB67" t="s">
        <v>277</v>
      </c>
      <c r="AC67" t="s">
        <v>213</v>
      </c>
      <c r="AD67" t="s">
        <v>191</v>
      </c>
      <c r="AE67" t="s">
        <v>190</v>
      </c>
    </row>
    <row r="68" spans="1:31" x14ac:dyDescent="0.2">
      <c r="A68" s="78" t="s">
        <v>154</v>
      </c>
      <c r="B68">
        <v>15353</v>
      </c>
      <c r="C68">
        <v>15291</v>
      </c>
      <c r="D68">
        <v>15158</v>
      </c>
      <c r="V68" t="str">
        <f>"Equip,"&amp;W68&amp;",1"</f>
        <v>Equip,67,1</v>
      </c>
      <c r="W68">
        <v>67</v>
      </c>
      <c r="X68" t="str">
        <f>VLOOKUP(Y68,$AH$1:$AI$11,2,0)&amp;"|"&amp;VLOOKUP(AD68,$AG$20:$AI$22,3,0)&amp;"|"&amp;VLOOKUP(Z68,$AH$13:$AI$17,2,0)</f>
        <v>紫+|策略|衣服</v>
      </c>
      <c r="Y68">
        <v>6</v>
      </c>
      <c r="Z68">
        <v>3</v>
      </c>
      <c r="AA68" t="s">
        <v>287</v>
      </c>
      <c r="AB68" t="s">
        <v>286</v>
      </c>
      <c r="AC68" t="s">
        <v>210</v>
      </c>
      <c r="AD68" t="s">
        <v>201</v>
      </c>
      <c r="AE68" t="s">
        <v>200</v>
      </c>
    </row>
    <row r="69" spans="1:31" x14ac:dyDescent="0.2">
      <c r="V69" t="str">
        <f>"Equip,"&amp;W69&amp;",1"</f>
        <v>Equip,68,1</v>
      </c>
      <c r="W69">
        <v>68</v>
      </c>
      <c r="X69" t="str">
        <f>VLOOKUP(Y69,$AH$1:$AI$11,2,0)&amp;"|"&amp;VLOOKUP(AD69,$AG$20:$AI$22,3,0)&amp;"|"&amp;VLOOKUP(Z69,$AH$13:$AI$17,2,0)</f>
        <v>紫+|灵巧|衣服</v>
      </c>
      <c r="Y69">
        <v>6</v>
      </c>
      <c r="Z69">
        <v>3</v>
      </c>
      <c r="AA69" t="s">
        <v>285</v>
      </c>
      <c r="AB69" t="s">
        <v>284</v>
      </c>
      <c r="AC69" t="s">
        <v>207</v>
      </c>
      <c r="AD69" t="s">
        <v>196</v>
      </c>
      <c r="AE69" t="s">
        <v>195</v>
      </c>
    </row>
    <row r="70" spans="1:31" x14ac:dyDescent="0.2">
      <c r="V70" t="str">
        <f>"Equip,"&amp;W70&amp;",1"</f>
        <v>Equip,69,1</v>
      </c>
      <c r="W70">
        <v>69</v>
      </c>
      <c r="X70" t="str">
        <f>VLOOKUP(Y70,$AH$1:$AI$11,2,0)&amp;"|"&amp;VLOOKUP(AD70,$AG$20:$AI$22,3,0)&amp;"|"&amp;VLOOKUP(Z70,$AH$13:$AI$17,2,0)</f>
        <v>紫+|强攻|衣服</v>
      </c>
      <c r="Y70">
        <v>6</v>
      </c>
      <c r="Z70">
        <v>3</v>
      </c>
      <c r="AA70" t="s">
        <v>283</v>
      </c>
      <c r="AB70" t="s">
        <v>277</v>
      </c>
      <c r="AC70" t="s">
        <v>205</v>
      </c>
      <c r="AD70" t="s">
        <v>191</v>
      </c>
      <c r="AE70" t="s">
        <v>190</v>
      </c>
    </row>
    <row r="71" spans="1:31" x14ac:dyDescent="0.2">
      <c r="V71" t="str">
        <f>"Equip,"&amp;W71&amp;",1"</f>
        <v>Equip,70,1</v>
      </c>
      <c r="W71">
        <v>70</v>
      </c>
      <c r="X71" t="str">
        <f>VLOOKUP(Y71,$AH$1:$AI$11,2,0)&amp;"|"&amp;VLOOKUP(AD71,$AG$20:$AI$22,3,0)&amp;"|"&amp;VLOOKUP(Z71,$AH$13:$AI$17,2,0)</f>
        <v>紫+|策略|鞋子</v>
      </c>
      <c r="Y71">
        <v>6</v>
      </c>
      <c r="Z71">
        <v>4</v>
      </c>
      <c r="AA71" t="s">
        <v>282</v>
      </c>
      <c r="AB71" t="s">
        <v>281</v>
      </c>
      <c r="AC71" t="s">
        <v>202</v>
      </c>
      <c r="AD71" t="s">
        <v>201</v>
      </c>
      <c r="AE71" t="s">
        <v>200</v>
      </c>
    </row>
    <row r="72" spans="1:31" x14ac:dyDescent="0.2">
      <c r="V72" t="str">
        <f>"Equip,"&amp;W72&amp;",1"</f>
        <v>Equip,71,1</v>
      </c>
      <c r="W72">
        <v>71</v>
      </c>
      <c r="X72" t="str">
        <f>VLOOKUP(Y72,$AH$1:$AI$11,2,0)&amp;"|"&amp;VLOOKUP(AD72,$AG$20:$AI$22,3,0)&amp;"|"&amp;VLOOKUP(Z72,$AH$13:$AI$17,2,0)</f>
        <v>紫+|灵巧|鞋子</v>
      </c>
      <c r="Y72">
        <v>6</v>
      </c>
      <c r="Z72">
        <v>4</v>
      </c>
      <c r="AA72" t="s">
        <v>280</v>
      </c>
      <c r="AB72" t="s">
        <v>279</v>
      </c>
      <c r="AC72" t="s">
        <v>197</v>
      </c>
      <c r="AD72" t="s">
        <v>196</v>
      </c>
      <c r="AE72" t="s">
        <v>195</v>
      </c>
    </row>
    <row r="73" spans="1:31" x14ac:dyDescent="0.2">
      <c r="V73" t="str">
        <f>"Equip,"&amp;W73&amp;",1"</f>
        <v>Equip,72,1</v>
      </c>
      <c r="W73">
        <v>72</v>
      </c>
      <c r="X73" t="str">
        <f>VLOOKUP(Y73,$AH$1:$AI$11,2,0)&amp;"|"&amp;VLOOKUP(AD73,$AG$20:$AI$22,3,0)&amp;"|"&amp;VLOOKUP(Z73,$AH$13:$AI$17,2,0)</f>
        <v>紫+|强攻|鞋子</v>
      </c>
      <c r="Y73">
        <v>6</v>
      </c>
      <c r="Z73">
        <v>4</v>
      </c>
      <c r="AA73" t="s">
        <v>278</v>
      </c>
      <c r="AB73" t="s">
        <v>277</v>
      </c>
      <c r="AC73" t="s">
        <v>192</v>
      </c>
      <c r="AD73" t="s">
        <v>191</v>
      </c>
      <c r="AE73" t="s">
        <v>190</v>
      </c>
    </row>
    <row r="74" spans="1:31" x14ac:dyDescent="0.2">
      <c r="V74" t="str">
        <f>"Equip,"&amp;W74&amp;",1"</f>
        <v>Equip,73,1</v>
      </c>
      <c r="W74">
        <v>73</v>
      </c>
      <c r="X74" t="str">
        <f>VLOOKUP(Y74,$AH$1:$AI$11,2,0)&amp;"|"&amp;VLOOKUP(AD74,$AG$20:$AI$22,3,0)&amp;"|"&amp;VLOOKUP(Z74,$AH$13:$AI$17,2,0)</f>
        <v>黄|策略|武器</v>
      </c>
      <c r="Y74">
        <v>7</v>
      </c>
      <c r="Z74">
        <v>1</v>
      </c>
      <c r="AA74" t="s">
        <v>276</v>
      </c>
      <c r="AB74" t="s">
        <v>275</v>
      </c>
      <c r="AC74" t="s">
        <v>230</v>
      </c>
      <c r="AD74" t="s">
        <v>201</v>
      </c>
      <c r="AE74" t="s">
        <v>229</v>
      </c>
    </row>
    <row r="75" spans="1:31" x14ac:dyDescent="0.2">
      <c r="V75" t="str">
        <f>"Equip,"&amp;W75&amp;",1"</f>
        <v>Equip,74,1</v>
      </c>
      <c r="W75">
        <v>74</v>
      </c>
      <c r="X75" t="str">
        <f>VLOOKUP(Y75,$AH$1:$AI$11,2,0)&amp;"|"&amp;VLOOKUP(AD75,$AG$20:$AI$22,3,0)&amp;"|"&amp;VLOOKUP(Z75,$AH$13:$AI$17,2,0)</f>
        <v>黄|灵巧|武器</v>
      </c>
      <c r="Y75">
        <v>7</v>
      </c>
      <c r="Z75">
        <v>1</v>
      </c>
      <c r="AA75" t="s">
        <v>274</v>
      </c>
      <c r="AB75" t="s">
        <v>259</v>
      </c>
      <c r="AC75" t="s">
        <v>226</v>
      </c>
      <c r="AD75" t="s">
        <v>196</v>
      </c>
      <c r="AE75" t="s">
        <v>225</v>
      </c>
    </row>
    <row r="76" spans="1:31" x14ac:dyDescent="0.2">
      <c r="V76" t="str">
        <f>"Equip,"&amp;W76&amp;",1"</f>
        <v>Equip,75,1</v>
      </c>
      <c r="W76">
        <v>75</v>
      </c>
      <c r="X76" t="str">
        <f>VLOOKUP(Y76,$AH$1:$AI$11,2,0)&amp;"|"&amp;VLOOKUP(AD76,$AG$20:$AI$22,3,0)&amp;"|"&amp;VLOOKUP(Z76,$AH$13:$AI$17,2,0)</f>
        <v>黄|强攻|武器</v>
      </c>
      <c r="Y76">
        <v>7</v>
      </c>
      <c r="Z76">
        <v>1</v>
      </c>
      <c r="AA76" t="s">
        <v>273</v>
      </c>
      <c r="AB76" t="s">
        <v>272</v>
      </c>
      <c r="AC76" t="s">
        <v>222</v>
      </c>
      <c r="AD76" t="s">
        <v>191</v>
      </c>
      <c r="AE76" t="s">
        <v>221</v>
      </c>
    </row>
    <row r="77" spans="1:31" x14ac:dyDescent="0.2">
      <c r="V77" t="str">
        <f>"Equip,"&amp;W77&amp;",1"</f>
        <v>Equip,76,1</v>
      </c>
      <c r="W77">
        <v>76</v>
      </c>
      <c r="X77" t="str">
        <f>VLOOKUP(Y77,$AH$1:$AI$11,2,0)&amp;"|"&amp;VLOOKUP(AD77,$AG$20:$AI$22,3,0)&amp;"|"&amp;VLOOKUP(Z77,$AH$13:$AI$17,2,0)</f>
        <v>黄|策略|头盔</v>
      </c>
      <c r="Y77">
        <v>7</v>
      </c>
      <c r="Z77">
        <v>2</v>
      </c>
      <c r="AA77" t="s">
        <v>271</v>
      </c>
      <c r="AB77" t="s">
        <v>270</v>
      </c>
      <c r="AC77" t="s">
        <v>218</v>
      </c>
      <c r="AD77" t="s">
        <v>201</v>
      </c>
      <c r="AE77" t="s">
        <v>200</v>
      </c>
    </row>
    <row r="78" spans="1:31" x14ac:dyDescent="0.2">
      <c r="V78" t="str">
        <f>"Equip,"&amp;W78&amp;",1"</f>
        <v>Equip,77,1</v>
      </c>
      <c r="W78">
        <v>77</v>
      </c>
      <c r="X78" t="str">
        <f>VLOOKUP(Y78,$AH$1:$AI$11,2,0)&amp;"|"&amp;VLOOKUP(AD78,$AG$20:$AI$22,3,0)&amp;"|"&amp;VLOOKUP(Z78,$AH$13:$AI$17,2,0)</f>
        <v>黄|灵巧|头盔</v>
      </c>
      <c r="Y78">
        <v>7</v>
      </c>
      <c r="Z78">
        <v>2</v>
      </c>
      <c r="AA78" t="s">
        <v>269</v>
      </c>
      <c r="AB78" t="s">
        <v>259</v>
      </c>
      <c r="AC78" t="s">
        <v>215</v>
      </c>
      <c r="AD78" t="s">
        <v>196</v>
      </c>
      <c r="AE78" t="s">
        <v>195</v>
      </c>
    </row>
    <row r="79" spans="1:31" x14ac:dyDescent="0.2">
      <c r="V79" t="str">
        <f>"Equip,"&amp;W79&amp;",1"</f>
        <v>Equip,78,1</v>
      </c>
      <c r="W79">
        <v>78</v>
      </c>
      <c r="X79" t="str">
        <f>VLOOKUP(Y79,$AH$1:$AI$11,2,0)&amp;"|"&amp;VLOOKUP(AD79,$AG$20:$AI$22,3,0)&amp;"|"&amp;VLOOKUP(Z79,$AH$13:$AI$17,2,0)</f>
        <v>黄|强攻|头盔</v>
      </c>
      <c r="Y79">
        <v>7</v>
      </c>
      <c r="Z79">
        <v>2</v>
      </c>
      <c r="AA79" t="s">
        <v>268</v>
      </c>
      <c r="AB79" t="s">
        <v>257</v>
      </c>
      <c r="AC79" t="s">
        <v>213</v>
      </c>
      <c r="AD79" t="s">
        <v>191</v>
      </c>
      <c r="AE79" t="s">
        <v>190</v>
      </c>
    </row>
    <row r="80" spans="1:31" x14ac:dyDescent="0.2">
      <c r="V80" t="str">
        <f>"Equip,"&amp;W80&amp;",1"</f>
        <v>Equip,79,1</v>
      </c>
      <c r="W80">
        <v>79</v>
      </c>
      <c r="X80" t="str">
        <f>VLOOKUP(Y80,$AH$1:$AI$11,2,0)&amp;"|"&amp;VLOOKUP(AD80,$AG$20:$AI$22,3,0)&amp;"|"&amp;VLOOKUP(Z80,$AH$13:$AI$17,2,0)</f>
        <v>黄|策略|衣服</v>
      </c>
      <c r="Y80">
        <v>7</v>
      </c>
      <c r="Z80">
        <v>3</v>
      </c>
      <c r="AA80" t="s">
        <v>267</v>
      </c>
      <c r="AB80" t="s">
        <v>266</v>
      </c>
      <c r="AC80" t="s">
        <v>210</v>
      </c>
      <c r="AD80" t="s">
        <v>201</v>
      </c>
      <c r="AE80" t="s">
        <v>200</v>
      </c>
    </row>
    <row r="81" spans="22:31" x14ac:dyDescent="0.2">
      <c r="V81" t="str">
        <f>"Equip,"&amp;W81&amp;",1"</f>
        <v>Equip,80,1</v>
      </c>
      <c r="W81">
        <v>80</v>
      </c>
      <c r="X81" t="str">
        <f>VLOOKUP(Y81,$AH$1:$AI$11,2,0)&amp;"|"&amp;VLOOKUP(AD81,$AG$20:$AI$22,3,0)&amp;"|"&amp;VLOOKUP(Z81,$AH$13:$AI$17,2,0)</f>
        <v>黄|灵巧|衣服</v>
      </c>
      <c r="Y81">
        <v>7</v>
      </c>
      <c r="Z81">
        <v>3</v>
      </c>
      <c r="AA81" t="s">
        <v>265</v>
      </c>
      <c r="AB81" t="s">
        <v>264</v>
      </c>
      <c r="AC81" t="s">
        <v>207</v>
      </c>
      <c r="AD81" t="s">
        <v>196</v>
      </c>
      <c r="AE81" t="s">
        <v>195</v>
      </c>
    </row>
    <row r="82" spans="22:31" x14ac:dyDescent="0.2">
      <c r="V82" t="str">
        <f>"Equip,"&amp;W82&amp;",1"</f>
        <v>Equip,81,1</v>
      </c>
      <c r="W82">
        <v>81</v>
      </c>
      <c r="X82" t="str">
        <f>VLOOKUP(Y82,$AH$1:$AI$11,2,0)&amp;"|"&amp;VLOOKUP(AD82,$AG$20:$AI$22,3,0)&amp;"|"&amp;VLOOKUP(Z82,$AH$13:$AI$17,2,0)</f>
        <v>黄|强攻|衣服</v>
      </c>
      <c r="Y82">
        <v>7</v>
      </c>
      <c r="Z82">
        <v>3</v>
      </c>
      <c r="AA82" t="s">
        <v>263</v>
      </c>
      <c r="AB82" t="s">
        <v>257</v>
      </c>
      <c r="AC82" t="s">
        <v>205</v>
      </c>
      <c r="AD82" t="s">
        <v>191</v>
      </c>
      <c r="AE82" t="s">
        <v>190</v>
      </c>
    </row>
    <row r="83" spans="22:31" x14ac:dyDescent="0.2">
      <c r="V83" t="str">
        <f>"Equip,"&amp;W83&amp;",1"</f>
        <v>Equip,82,1</v>
      </c>
      <c r="W83">
        <v>82</v>
      </c>
      <c r="X83" t="str">
        <f>VLOOKUP(Y83,$AH$1:$AI$11,2,0)&amp;"|"&amp;VLOOKUP(AD83,$AG$20:$AI$22,3,0)&amp;"|"&amp;VLOOKUP(Z83,$AH$13:$AI$17,2,0)</f>
        <v>黄|策略|鞋子</v>
      </c>
      <c r="Y83">
        <v>7</v>
      </c>
      <c r="Z83">
        <v>4</v>
      </c>
      <c r="AA83" t="s">
        <v>262</v>
      </c>
      <c r="AB83" t="s">
        <v>261</v>
      </c>
      <c r="AC83" t="s">
        <v>202</v>
      </c>
      <c r="AD83" t="s">
        <v>201</v>
      </c>
      <c r="AE83" t="s">
        <v>200</v>
      </c>
    </row>
    <row r="84" spans="22:31" x14ac:dyDescent="0.2">
      <c r="V84" t="str">
        <f>"Equip,"&amp;W84&amp;",1"</f>
        <v>Equip,83,1</v>
      </c>
      <c r="W84">
        <v>83</v>
      </c>
      <c r="X84" t="str">
        <f>VLOOKUP(Y84,$AH$1:$AI$11,2,0)&amp;"|"&amp;VLOOKUP(AD84,$AG$20:$AI$22,3,0)&amp;"|"&amp;VLOOKUP(Z84,$AH$13:$AI$17,2,0)</f>
        <v>黄|灵巧|鞋子</v>
      </c>
      <c r="Y84">
        <v>7</v>
      </c>
      <c r="Z84">
        <v>4</v>
      </c>
      <c r="AA84" t="s">
        <v>260</v>
      </c>
      <c r="AB84" t="s">
        <v>259</v>
      </c>
      <c r="AC84" t="s">
        <v>197</v>
      </c>
      <c r="AD84" t="s">
        <v>196</v>
      </c>
      <c r="AE84" t="s">
        <v>195</v>
      </c>
    </row>
    <row r="85" spans="22:31" x14ac:dyDescent="0.2">
      <c r="V85" t="str">
        <f>"Equip,"&amp;W85&amp;",1"</f>
        <v>Equip,84,1</v>
      </c>
      <c r="W85">
        <v>84</v>
      </c>
      <c r="X85" t="str">
        <f>VLOOKUP(Y85,$AH$1:$AI$11,2,0)&amp;"|"&amp;VLOOKUP(AD85,$AG$20:$AI$22,3,0)&amp;"|"&amp;VLOOKUP(Z85,$AH$13:$AI$17,2,0)</f>
        <v>黄|强攻|鞋子</v>
      </c>
      <c r="Y85">
        <v>7</v>
      </c>
      <c r="Z85">
        <v>4</v>
      </c>
      <c r="AA85" t="s">
        <v>258</v>
      </c>
      <c r="AB85" t="s">
        <v>257</v>
      </c>
      <c r="AC85" t="s">
        <v>192</v>
      </c>
      <c r="AD85" t="s">
        <v>191</v>
      </c>
      <c r="AE85" t="s">
        <v>190</v>
      </c>
    </row>
    <row r="86" spans="22:31" x14ac:dyDescent="0.2">
      <c r="V86" t="str">
        <f>"Equip,"&amp;W86&amp;",1"</f>
        <v>Equip,85,1</v>
      </c>
      <c r="W86">
        <v>85</v>
      </c>
      <c r="X86" t="str">
        <f>VLOOKUP(Y86,$AH$1:$AI$11,2,0)&amp;"|"&amp;VLOOKUP(AD86,$AG$20:$AI$22,3,0)&amp;"|"&amp;VLOOKUP(Z86,$AH$13:$AI$17,2,0)</f>
        <v>黄+|策略|武器</v>
      </c>
      <c r="Y86">
        <v>8</v>
      </c>
      <c r="Z86">
        <v>1</v>
      </c>
      <c r="AA86" t="s">
        <v>256</v>
      </c>
      <c r="AB86" t="s">
        <v>255</v>
      </c>
      <c r="AC86" t="s">
        <v>230</v>
      </c>
      <c r="AD86" t="s">
        <v>201</v>
      </c>
      <c r="AE86" t="s">
        <v>229</v>
      </c>
    </row>
    <row r="87" spans="22:31" x14ac:dyDescent="0.2">
      <c r="V87" t="str">
        <f>"Equip,"&amp;W87&amp;",1"</f>
        <v>Equip,86,1</v>
      </c>
      <c r="W87">
        <v>86</v>
      </c>
      <c r="X87" t="str">
        <f>VLOOKUP(Y87,$AH$1:$AI$11,2,0)&amp;"|"&amp;VLOOKUP(AD87,$AG$20:$AI$22,3,0)&amp;"|"&amp;VLOOKUP(Z87,$AH$13:$AI$17,2,0)</f>
        <v>黄+|灵巧|武器</v>
      </c>
      <c r="Y87">
        <v>8</v>
      </c>
      <c r="Z87">
        <v>1</v>
      </c>
      <c r="AA87" t="s">
        <v>254</v>
      </c>
      <c r="AB87" t="s">
        <v>253</v>
      </c>
      <c r="AC87" t="s">
        <v>226</v>
      </c>
      <c r="AD87" t="s">
        <v>196</v>
      </c>
      <c r="AE87" t="s">
        <v>225</v>
      </c>
    </row>
    <row r="88" spans="22:31" x14ac:dyDescent="0.2">
      <c r="V88" t="str">
        <f>"Equip,"&amp;W88&amp;",1"</f>
        <v>Equip,87,1</v>
      </c>
      <c r="W88">
        <v>87</v>
      </c>
      <c r="X88" t="str">
        <f>VLOOKUP(Y88,$AH$1:$AI$11,2,0)&amp;"|"&amp;VLOOKUP(AD88,$AG$20:$AI$22,3,0)&amp;"|"&amp;VLOOKUP(Z88,$AH$13:$AI$17,2,0)</f>
        <v>黄+|强攻|武器</v>
      </c>
      <c r="Y88">
        <v>8</v>
      </c>
      <c r="Z88">
        <v>1</v>
      </c>
      <c r="AA88" t="s">
        <v>252</v>
      </c>
      <c r="AB88" t="s">
        <v>251</v>
      </c>
      <c r="AC88" t="s">
        <v>222</v>
      </c>
      <c r="AD88" t="s">
        <v>191</v>
      </c>
      <c r="AE88" t="s">
        <v>221</v>
      </c>
    </row>
    <row r="89" spans="22:31" x14ac:dyDescent="0.2">
      <c r="V89" t="str">
        <f>"Equip,"&amp;W89&amp;",1"</f>
        <v>Equip,88,1</v>
      </c>
      <c r="W89">
        <v>88</v>
      </c>
      <c r="X89" t="str">
        <f>VLOOKUP(Y89,$AH$1:$AI$11,2,0)&amp;"|"&amp;VLOOKUP(AD89,$AG$20:$AI$22,3,0)&amp;"|"&amp;VLOOKUP(Z89,$AH$13:$AI$17,2,0)</f>
        <v>黄+|策略|头盔</v>
      </c>
      <c r="Y89">
        <v>8</v>
      </c>
      <c r="Z89">
        <v>2</v>
      </c>
      <c r="AA89" t="s">
        <v>250</v>
      </c>
      <c r="AB89" t="s">
        <v>249</v>
      </c>
      <c r="AC89" t="s">
        <v>218</v>
      </c>
      <c r="AD89" t="s">
        <v>201</v>
      </c>
      <c r="AE89" t="s">
        <v>200</v>
      </c>
    </row>
    <row r="90" spans="22:31" x14ac:dyDescent="0.2">
      <c r="V90" t="str">
        <f>"Equip,"&amp;W90&amp;",1"</f>
        <v>Equip,89,1</v>
      </c>
      <c r="W90">
        <v>89</v>
      </c>
      <c r="X90" t="str">
        <f>VLOOKUP(Y90,$AH$1:$AI$11,2,0)&amp;"|"&amp;VLOOKUP(AD90,$AG$20:$AI$22,3,0)&amp;"|"&amp;VLOOKUP(Z90,$AH$13:$AI$17,2,0)</f>
        <v>黄+|灵巧|头盔</v>
      </c>
      <c r="Y90">
        <v>8</v>
      </c>
      <c r="Z90">
        <v>2</v>
      </c>
      <c r="AA90" t="s">
        <v>248</v>
      </c>
      <c r="AB90" t="s">
        <v>247</v>
      </c>
      <c r="AC90" t="s">
        <v>215</v>
      </c>
      <c r="AD90" t="s">
        <v>196</v>
      </c>
      <c r="AE90" t="s">
        <v>195</v>
      </c>
    </row>
    <row r="91" spans="22:31" x14ac:dyDescent="0.2">
      <c r="V91" t="str">
        <f>"Equip,"&amp;W91&amp;",1"</f>
        <v>Equip,90,1</v>
      </c>
      <c r="W91">
        <v>90</v>
      </c>
      <c r="X91" t="str">
        <f>VLOOKUP(Y91,$AH$1:$AI$11,2,0)&amp;"|"&amp;VLOOKUP(AD91,$AG$20:$AI$22,3,0)&amp;"|"&amp;VLOOKUP(Z91,$AH$13:$AI$17,2,0)</f>
        <v>黄+|强攻|头盔</v>
      </c>
      <c r="Y91">
        <v>8</v>
      </c>
      <c r="Z91">
        <v>2</v>
      </c>
      <c r="AA91" t="s">
        <v>246</v>
      </c>
      <c r="AB91" t="s">
        <v>245</v>
      </c>
      <c r="AC91" t="s">
        <v>213</v>
      </c>
      <c r="AD91" t="s">
        <v>191</v>
      </c>
      <c r="AE91" t="s">
        <v>190</v>
      </c>
    </row>
    <row r="92" spans="22:31" x14ac:dyDescent="0.2">
      <c r="V92" t="str">
        <f>"Equip,"&amp;W92&amp;",1"</f>
        <v>Equip,91,1</v>
      </c>
      <c r="W92">
        <v>91</v>
      </c>
      <c r="X92" t="str">
        <f>VLOOKUP(Y92,$AH$1:$AI$11,2,0)&amp;"|"&amp;VLOOKUP(AD92,$AG$20:$AI$22,3,0)&amp;"|"&amp;VLOOKUP(Z92,$AH$13:$AI$17,2,0)</f>
        <v>黄+|策略|衣服</v>
      </c>
      <c r="Y92">
        <v>8</v>
      </c>
      <c r="Z92">
        <v>3</v>
      </c>
      <c r="AA92" t="s">
        <v>244</v>
      </c>
      <c r="AB92" t="s">
        <v>243</v>
      </c>
      <c r="AC92" t="s">
        <v>210</v>
      </c>
      <c r="AD92" t="s">
        <v>201</v>
      </c>
      <c r="AE92" t="s">
        <v>200</v>
      </c>
    </row>
    <row r="93" spans="22:31" x14ac:dyDescent="0.2">
      <c r="V93" t="str">
        <f>"Equip,"&amp;W93&amp;",1"</f>
        <v>Equip,92,1</v>
      </c>
      <c r="W93">
        <v>92</v>
      </c>
      <c r="X93" t="str">
        <f>VLOOKUP(Y93,$AH$1:$AI$11,2,0)&amp;"|"&amp;VLOOKUP(AD93,$AG$20:$AI$22,3,0)&amp;"|"&amp;VLOOKUP(Z93,$AH$13:$AI$17,2,0)</f>
        <v>黄+|灵巧|衣服</v>
      </c>
      <c r="Y93">
        <v>8</v>
      </c>
      <c r="Z93">
        <v>3</v>
      </c>
      <c r="AA93" t="s">
        <v>242</v>
      </c>
      <c r="AB93" t="s">
        <v>241</v>
      </c>
      <c r="AC93" t="s">
        <v>207</v>
      </c>
      <c r="AD93" t="s">
        <v>196</v>
      </c>
      <c r="AE93" t="s">
        <v>195</v>
      </c>
    </row>
    <row r="94" spans="22:31" x14ac:dyDescent="0.2">
      <c r="V94" t="str">
        <f>"Equip,"&amp;W94&amp;",1"</f>
        <v>Equip,93,1</v>
      </c>
      <c r="W94">
        <v>93</v>
      </c>
      <c r="X94" t="str">
        <f>VLOOKUP(Y94,$AH$1:$AI$11,2,0)&amp;"|"&amp;VLOOKUP(AD94,$AG$20:$AI$22,3,0)&amp;"|"&amp;VLOOKUP(Z94,$AH$13:$AI$17,2,0)</f>
        <v>黄+|强攻|衣服</v>
      </c>
      <c r="Y94">
        <v>8</v>
      </c>
      <c r="Z94">
        <v>3</v>
      </c>
      <c r="AA94" t="s">
        <v>240</v>
      </c>
      <c r="AB94" t="s">
        <v>239</v>
      </c>
      <c r="AC94" t="s">
        <v>205</v>
      </c>
      <c r="AD94" t="s">
        <v>191</v>
      </c>
      <c r="AE94" t="s">
        <v>190</v>
      </c>
    </row>
    <row r="95" spans="22:31" x14ac:dyDescent="0.2">
      <c r="V95" t="str">
        <f>"Equip,"&amp;W95&amp;",1"</f>
        <v>Equip,94,1</v>
      </c>
      <c r="W95">
        <v>94</v>
      </c>
      <c r="X95" t="str">
        <f>VLOOKUP(Y95,$AH$1:$AI$11,2,0)&amp;"|"&amp;VLOOKUP(AD95,$AG$20:$AI$22,3,0)&amp;"|"&amp;VLOOKUP(Z95,$AH$13:$AI$17,2,0)</f>
        <v>黄+|策略|鞋子</v>
      </c>
      <c r="Y95">
        <v>8</v>
      </c>
      <c r="Z95">
        <v>4</v>
      </c>
      <c r="AA95" t="s">
        <v>238</v>
      </c>
      <c r="AB95" t="s">
        <v>237</v>
      </c>
      <c r="AC95" t="s">
        <v>202</v>
      </c>
      <c r="AD95" t="s">
        <v>201</v>
      </c>
      <c r="AE95" t="s">
        <v>200</v>
      </c>
    </row>
    <row r="96" spans="22:31" x14ac:dyDescent="0.2">
      <c r="V96" t="str">
        <f>"Equip,"&amp;W96&amp;",1"</f>
        <v>Equip,95,1</v>
      </c>
      <c r="W96">
        <v>95</v>
      </c>
      <c r="X96" t="str">
        <f>VLOOKUP(Y96,$AH$1:$AI$11,2,0)&amp;"|"&amp;VLOOKUP(AD96,$AG$20:$AI$22,3,0)&amp;"|"&amp;VLOOKUP(Z96,$AH$13:$AI$17,2,0)</f>
        <v>黄+|灵巧|鞋子</v>
      </c>
      <c r="Y96">
        <v>8</v>
      </c>
      <c r="Z96">
        <v>4</v>
      </c>
      <c r="AA96" t="s">
        <v>236</v>
      </c>
      <c r="AB96" t="s">
        <v>235</v>
      </c>
      <c r="AC96" t="s">
        <v>197</v>
      </c>
      <c r="AD96" t="s">
        <v>196</v>
      </c>
      <c r="AE96" t="s">
        <v>195</v>
      </c>
    </row>
    <row r="97" spans="22:31" x14ac:dyDescent="0.2">
      <c r="V97" t="str">
        <f>"Equip,"&amp;W97&amp;",1"</f>
        <v>Equip,96,1</v>
      </c>
      <c r="W97">
        <v>96</v>
      </c>
      <c r="X97" t="str">
        <f>VLOOKUP(Y97,$AH$1:$AI$11,2,0)&amp;"|"&amp;VLOOKUP(AD97,$AG$20:$AI$22,3,0)&amp;"|"&amp;VLOOKUP(Z97,$AH$13:$AI$17,2,0)</f>
        <v>黄+|强攻|鞋子</v>
      </c>
      <c r="Y97">
        <v>8</v>
      </c>
      <c r="Z97">
        <v>4</v>
      </c>
      <c r="AA97" t="s">
        <v>234</v>
      </c>
      <c r="AB97" t="s">
        <v>233</v>
      </c>
      <c r="AC97" t="s">
        <v>192</v>
      </c>
      <c r="AD97" t="s">
        <v>191</v>
      </c>
      <c r="AE97" t="s">
        <v>190</v>
      </c>
    </row>
    <row r="98" spans="22:31" x14ac:dyDescent="0.2">
      <c r="V98" t="str">
        <f>"Equip,"&amp;W98&amp;",1"</f>
        <v>Equip,97,1</v>
      </c>
      <c r="W98">
        <v>97</v>
      </c>
      <c r="X98" t="str">
        <f>VLOOKUP(Y98,$AH$1:$AI$11,2,0)&amp;"|"&amp;VLOOKUP(AD98,$AG$20:$AI$22,3,0)&amp;"|"&amp;VLOOKUP(Z98,$AH$13:$AI$17,2,0)</f>
        <v>红|策略|武器</v>
      </c>
      <c r="Y98">
        <v>9</v>
      </c>
      <c r="Z98">
        <v>1</v>
      </c>
      <c r="AA98" t="s">
        <v>232</v>
      </c>
      <c r="AB98" t="s">
        <v>231</v>
      </c>
      <c r="AC98" t="s">
        <v>230</v>
      </c>
      <c r="AD98" t="s">
        <v>201</v>
      </c>
      <c r="AE98" t="s">
        <v>229</v>
      </c>
    </row>
    <row r="99" spans="22:31" x14ac:dyDescent="0.2">
      <c r="V99" t="str">
        <f>"Equip,"&amp;W99&amp;",1"</f>
        <v>Equip,98,1</v>
      </c>
      <c r="W99">
        <v>98</v>
      </c>
      <c r="X99" t="str">
        <f>VLOOKUP(Y99,$AH$1:$AI$11,2,0)&amp;"|"&amp;VLOOKUP(AD99,$AG$20:$AI$22,3,0)&amp;"|"&amp;VLOOKUP(Z99,$AH$13:$AI$17,2,0)</f>
        <v>红|灵巧|武器</v>
      </c>
      <c r="Y99">
        <v>9</v>
      </c>
      <c r="Z99">
        <v>1</v>
      </c>
      <c r="AA99" t="s">
        <v>228</v>
      </c>
      <c r="AB99" t="s">
        <v>227</v>
      </c>
      <c r="AC99" t="s">
        <v>226</v>
      </c>
      <c r="AD99" t="s">
        <v>196</v>
      </c>
      <c r="AE99" t="s">
        <v>225</v>
      </c>
    </row>
    <row r="100" spans="22:31" x14ac:dyDescent="0.2">
      <c r="V100" t="str">
        <f>"Equip,"&amp;W100&amp;",1"</f>
        <v>Equip,99,1</v>
      </c>
      <c r="W100">
        <v>99</v>
      </c>
      <c r="X100" t="str">
        <f>VLOOKUP(Y100,$AH$1:$AI$11,2,0)&amp;"|"&amp;VLOOKUP(AD100,$AG$20:$AI$22,3,0)&amp;"|"&amp;VLOOKUP(Z100,$AH$13:$AI$17,2,0)</f>
        <v>红|强攻|武器</v>
      </c>
      <c r="Y100">
        <v>9</v>
      </c>
      <c r="Z100">
        <v>1</v>
      </c>
      <c r="AA100" t="s">
        <v>224</v>
      </c>
      <c r="AB100" t="s">
        <v>223</v>
      </c>
      <c r="AC100" t="s">
        <v>222</v>
      </c>
      <c r="AD100" t="s">
        <v>191</v>
      </c>
      <c r="AE100" t="s">
        <v>221</v>
      </c>
    </row>
    <row r="101" spans="22:31" x14ac:dyDescent="0.2">
      <c r="V101" t="str">
        <f>"Equip,"&amp;W101&amp;",1"</f>
        <v>Equip,100,1</v>
      </c>
      <c r="W101">
        <v>100</v>
      </c>
      <c r="X101" t="str">
        <f>VLOOKUP(Y101,$AH$1:$AI$11,2,0)&amp;"|"&amp;VLOOKUP(AD101,$AG$20:$AI$22,3,0)&amp;"|"&amp;VLOOKUP(Z101,$AH$13:$AI$17,2,0)</f>
        <v>红|策略|头盔</v>
      </c>
      <c r="Y101">
        <v>9</v>
      </c>
      <c r="Z101">
        <v>2</v>
      </c>
      <c r="AA101" t="s">
        <v>220</v>
      </c>
      <c r="AB101" t="s">
        <v>219</v>
      </c>
      <c r="AC101" t="s">
        <v>218</v>
      </c>
      <c r="AD101" t="s">
        <v>201</v>
      </c>
      <c r="AE101" t="s">
        <v>200</v>
      </c>
    </row>
    <row r="102" spans="22:31" x14ac:dyDescent="0.2">
      <c r="V102" t="str">
        <f>"Equip,"&amp;W102&amp;",1"</f>
        <v>Equip,101,1</v>
      </c>
      <c r="W102">
        <v>101</v>
      </c>
      <c r="X102" t="str">
        <f>VLOOKUP(Y102,$AH$1:$AI$11,2,0)&amp;"|"&amp;VLOOKUP(AD102,$AG$20:$AI$22,3,0)&amp;"|"&amp;VLOOKUP(Z102,$AH$13:$AI$17,2,0)</f>
        <v>红|灵巧|头盔</v>
      </c>
      <c r="Y102">
        <v>9</v>
      </c>
      <c r="Z102">
        <v>2</v>
      </c>
      <c r="AA102" t="s">
        <v>217</v>
      </c>
      <c r="AB102" t="s">
        <v>216</v>
      </c>
      <c r="AC102" t="s">
        <v>215</v>
      </c>
      <c r="AD102" t="s">
        <v>196</v>
      </c>
      <c r="AE102" t="s">
        <v>195</v>
      </c>
    </row>
    <row r="103" spans="22:31" x14ac:dyDescent="0.2">
      <c r="V103" t="str">
        <f>"Equip,"&amp;W103&amp;",1"</f>
        <v>Equip,102,1</v>
      </c>
      <c r="W103">
        <v>102</v>
      </c>
      <c r="X103" t="str">
        <f>VLOOKUP(Y103,$AH$1:$AI$11,2,0)&amp;"|"&amp;VLOOKUP(AD103,$AG$20:$AI$22,3,0)&amp;"|"&amp;VLOOKUP(Z103,$AH$13:$AI$17,2,0)</f>
        <v>红|强攻|头盔</v>
      </c>
      <c r="Y103">
        <v>9</v>
      </c>
      <c r="Z103">
        <v>2</v>
      </c>
      <c r="AA103" t="s">
        <v>214</v>
      </c>
      <c r="AB103" t="s">
        <v>193</v>
      </c>
      <c r="AC103" t="s">
        <v>213</v>
      </c>
      <c r="AD103" t="s">
        <v>191</v>
      </c>
      <c r="AE103" t="s">
        <v>190</v>
      </c>
    </row>
    <row r="104" spans="22:31" x14ac:dyDescent="0.2">
      <c r="V104" t="str">
        <f>"Equip,"&amp;W104&amp;",1"</f>
        <v>Equip,103,1</v>
      </c>
      <c r="W104">
        <v>103</v>
      </c>
      <c r="X104" t="str">
        <f>VLOOKUP(Y104,$AH$1:$AI$11,2,0)&amp;"|"&amp;VLOOKUP(AD104,$AG$20:$AI$22,3,0)&amp;"|"&amp;VLOOKUP(Z104,$AH$13:$AI$17,2,0)</f>
        <v>红|策略|衣服</v>
      </c>
      <c r="Y104">
        <v>9</v>
      </c>
      <c r="Z104">
        <v>3</v>
      </c>
      <c r="AA104" t="s">
        <v>212</v>
      </c>
      <c r="AB104" t="s">
        <v>211</v>
      </c>
      <c r="AC104" t="s">
        <v>210</v>
      </c>
      <c r="AD104" t="s">
        <v>201</v>
      </c>
      <c r="AE104" t="s">
        <v>200</v>
      </c>
    </row>
    <row r="105" spans="22:31" x14ac:dyDescent="0.2">
      <c r="V105" t="str">
        <f>"Equip,"&amp;W105&amp;",1"</f>
        <v>Equip,104,1</v>
      </c>
      <c r="W105">
        <v>104</v>
      </c>
      <c r="X105" t="str">
        <f>VLOOKUP(Y105,$AH$1:$AI$11,2,0)&amp;"|"&amp;VLOOKUP(AD105,$AG$20:$AI$22,3,0)&amp;"|"&amp;VLOOKUP(Z105,$AH$13:$AI$17,2,0)</f>
        <v>红|灵巧|衣服</v>
      </c>
      <c r="Y105">
        <v>9</v>
      </c>
      <c r="Z105">
        <v>3</v>
      </c>
      <c r="AA105" t="s">
        <v>209</v>
      </c>
      <c r="AB105" t="s">
        <v>208</v>
      </c>
      <c r="AC105" t="s">
        <v>207</v>
      </c>
      <c r="AD105" t="s">
        <v>196</v>
      </c>
      <c r="AE105" t="s">
        <v>195</v>
      </c>
    </row>
    <row r="106" spans="22:31" x14ac:dyDescent="0.2">
      <c r="V106" t="str">
        <f>"Equip,"&amp;W106&amp;",1"</f>
        <v>Equip,105,1</v>
      </c>
      <c r="W106">
        <v>105</v>
      </c>
      <c r="X106" t="str">
        <f>VLOOKUP(Y106,$AH$1:$AI$11,2,0)&amp;"|"&amp;VLOOKUP(AD106,$AG$20:$AI$22,3,0)&amp;"|"&amp;VLOOKUP(Z106,$AH$13:$AI$17,2,0)</f>
        <v>红|强攻|衣服</v>
      </c>
      <c r="Y106">
        <v>9</v>
      </c>
      <c r="Z106">
        <v>3</v>
      </c>
      <c r="AA106" t="s">
        <v>206</v>
      </c>
      <c r="AB106" t="s">
        <v>193</v>
      </c>
      <c r="AC106" t="s">
        <v>205</v>
      </c>
      <c r="AD106" t="s">
        <v>191</v>
      </c>
      <c r="AE106" t="s">
        <v>190</v>
      </c>
    </row>
    <row r="107" spans="22:31" x14ac:dyDescent="0.2">
      <c r="V107" t="str">
        <f>"Equip,"&amp;W107&amp;",1"</f>
        <v>Equip,106,1</v>
      </c>
      <c r="W107">
        <v>106</v>
      </c>
      <c r="X107" t="str">
        <f>VLOOKUP(Y107,$AH$1:$AI$11,2,0)&amp;"|"&amp;VLOOKUP(AD107,$AG$20:$AI$22,3,0)&amp;"|"&amp;VLOOKUP(Z107,$AH$13:$AI$17,2,0)</f>
        <v>红|策略|鞋子</v>
      </c>
      <c r="Y107">
        <v>9</v>
      </c>
      <c r="Z107">
        <v>4</v>
      </c>
      <c r="AA107" t="s">
        <v>204</v>
      </c>
      <c r="AB107" t="s">
        <v>203</v>
      </c>
      <c r="AC107" t="s">
        <v>202</v>
      </c>
      <c r="AD107" t="s">
        <v>201</v>
      </c>
      <c r="AE107" t="s">
        <v>200</v>
      </c>
    </row>
    <row r="108" spans="22:31" x14ac:dyDescent="0.2">
      <c r="V108" t="str">
        <f>"Equip,"&amp;W108&amp;",1"</f>
        <v>Equip,107,1</v>
      </c>
      <c r="W108">
        <v>107</v>
      </c>
      <c r="X108" t="str">
        <f>VLOOKUP(Y108,$AH$1:$AI$11,2,0)&amp;"|"&amp;VLOOKUP(AD108,$AG$20:$AI$22,3,0)&amp;"|"&amp;VLOOKUP(Z108,$AH$13:$AI$17,2,0)</f>
        <v>红|灵巧|鞋子</v>
      </c>
      <c r="Y108">
        <v>9</v>
      </c>
      <c r="Z108">
        <v>4</v>
      </c>
      <c r="AA108" t="s">
        <v>199</v>
      </c>
      <c r="AB108" t="s">
        <v>198</v>
      </c>
      <c r="AC108" t="s">
        <v>197</v>
      </c>
      <c r="AD108" t="s">
        <v>196</v>
      </c>
      <c r="AE108" t="s">
        <v>195</v>
      </c>
    </row>
    <row r="109" spans="22:31" x14ac:dyDescent="0.2">
      <c r="V109" t="str">
        <f>"Equip,"&amp;W109&amp;",1"</f>
        <v>Equip,108,1</v>
      </c>
      <c r="W109">
        <v>108</v>
      </c>
      <c r="X109" t="str">
        <f>VLOOKUP(Y109,$AH$1:$AI$11,2,0)&amp;"|"&amp;VLOOKUP(AD109,$AG$20:$AI$22,3,0)&amp;"|"&amp;VLOOKUP(Z109,$AH$13:$AI$17,2,0)</f>
        <v>红|强攻|鞋子</v>
      </c>
      <c r="Y109">
        <v>9</v>
      </c>
      <c r="Z109">
        <v>4</v>
      </c>
      <c r="AA109" t="s">
        <v>194</v>
      </c>
      <c r="AB109" t="s">
        <v>193</v>
      </c>
      <c r="AC109" t="s">
        <v>192</v>
      </c>
      <c r="AD109" t="s">
        <v>191</v>
      </c>
      <c r="AE109" t="s">
        <v>190</v>
      </c>
    </row>
  </sheetData>
  <mergeCells count="4">
    <mergeCell ref="B3:D3"/>
    <mergeCell ref="E3:H3"/>
    <mergeCell ref="I3:L3"/>
    <mergeCell ref="M3:P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I28" sqref="I28"/>
    </sheetView>
  </sheetViews>
  <sheetFormatPr baseColWidth="10" defaultRowHeight="16" x14ac:dyDescent="0.2"/>
  <cols>
    <col min="1" max="4" width="10.83203125" style="3"/>
  </cols>
  <sheetData>
    <row r="1" spans="1:10" x14ac:dyDescent="0.2">
      <c r="A1" s="3" t="s">
        <v>35</v>
      </c>
      <c r="B1" s="3" t="s">
        <v>36</v>
      </c>
      <c r="C1" s="3" t="s">
        <v>37</v>
      </c>
      <c r="D1" s="3" t="s">
        <v>38</v>
      </c>
    </row>
    <row r="2" spans="1:10" x14ac:dyDescent="0.2">
      <c r="A2" s="3" t="s">
        <v>28</v>
      </c>
      <c r="B2" s="3" t="s">
        <v>29</v>
      </c>
      <c r="C2" s="3">
        <v>20</v>
      </c>
      <c r="D2" s="9">
        <v>1</v>
      </c>
      <c r="H2" s="8">
        <v>1.0999999999999999E-2</v>
      </c>
      <c r="I2">
        <v>10</v>
      </c>
      <c r="J2" s="8">
        <v>1.2E-2</v>
      </c>
    </row>
    <row r="3" spans="1:10" x14ac:dyDescent="0.2">
      <c r="A3" s="3">
        <v>1</v>
      </c>
      <c r="B3" s="3" t="s">
        <v>29</v>
      </c>
      <c r="C3" s="3">
        <v>10</v>
      </c>
      <c r="D3" s="9">
        <v>2</v>
      </c>
    </row>
    <row r="4" spans="1:10" x14ac:dyDescent="0.2">
      <c r="A4" s="3">
        <v>2</v>
      </c>
      <c r="B4" s="3" t="s">
        <v>29</v>
      </c>
      <c r="C4" s="3">
        <v>10</v>
      </c>
      <c r="D4" s="9">
        <v>3</v>
      </c>
    </row>
    <row r="5" spans="1:10" x14ac:dyDescent="0.2">
      <c r="A5" s="3">
        <v>3</v>
      </c>
      <c r="B5" s="3" t="s">
        <v>29</v>
      </c>
      <c r="C5" s="3">
        <v>10</v>
      </c>
      <c r="D5" s="9">
        <v>4</v>
      </c>
    </row>
    <row r="6" spans="1:10" x14ac:dyDescent="0.2">
      <c r="A6" s="3">
        <v>4</v>
      </c>
      <c r="B6" s="3" t="s">
        <v>29</v>
      </c>
      <c r="C6" s="3">
        <v>10</v>
      </c>
      <c r="D6" s="9">
        <v>5</v>
      </c>
      <c r="H6" t="s">
        <v>6</v>
      </c>
      <c r="I6" s="5">
        <v>0.09</v>
      </c>
      <c r="J6">
        <f>20.7/23*31</f>
        <v>27.900000000000002</v>
      </c>
    </row>
    <row r="7" spans="1:10" x14ac:dyDescent="0.2">
      <c r="A7" s="3">
        <v>5</v>
      </c>
      <c r="B7" s="3" t="s">
        <v>29</v>
      </c>
      <c r="C7" s="3">
        <v>15</v>
      </c>
      <c r="D7" s="9">
        <v>6</v>
      </c>
      <c r="H7" t="s">
        <v>40</v>
      </c>
      <c r="I7" s="5">
        <v>0.18</v>
      </c>
      <c r="J7">
        <f>11.5/23*31</f>
        <v>15.5</v>
      </c>
    </row>
    <row r="8" spans="1:10" x14ac:dyDescent="0.2">
      <c r="A8" s="3">
        <v>6</v>
      </c>
      <c r="B8" s="3" t="s">
        <v>29</v>
      </c>
      <c r="C8" s="3">
        <v>20</v>
      </c>
      <c r="D8" s="9">
        <v>7</v>
      </c>
    </row>
    <row r="9" spans="1:10" x14ac:dyDescent="0.2">
      <c r="A9" s="3">
        <v>7</v>
      </c>
      <c r="B9" s="3" t="s">
        <v>29</v>
      </c>
      <c r="C9" s="3">
        <v>20</v>
      </c>
      <c r="D9" s="9">
        <v>8</v>
      </c>
      <c r="J9">
        <f>15.4/22*31</f>
        <v>21.700000000000003</v>
      </c>
    </row>
    <row r="10" spans="1:10" x14ac:dyDescent="0.2">
      <c r="A10" s="3">
        <v>8</v>
      </c>
      <c r="B10" s="3" t="s">
        <v>29</v>
      </c>
      <c r="C10" s="3">
        <v>25</v>
      </c>
      <c r="D10" s="9">
        <v>9</v>
      </c>
      <c r="J10">
        <f>13.2/22*31</f>
        <v>18.599999999999998</v>
      </c>
    </row>
    <row r="11" spans="1:10" x14ac:dyDescent="0.2">
      <c r="A11" s="3">
        <v>9</v>
      </c>
      <c r="B11" s="3" t="s">
        <v>29</v>
      </c>
      <c r="C11" s="3">
        <v>30</v>
      </c>
      <c r="D11" s="9">
        <v>10</v>
      </c>
      <c r="J11">
        <f>8.8/22*31</f>
        <v>12.4</v>
      </c>
    </row>
    <row r="12" spans="1:10" x14ac:dyDescent="0.2">
      <c r="A12" s="3">
        <v>10</v>
      </c>
      <c r="B12" s="3" t="s">
        <v>29</v>
      </c>
      <c r="C12" s="3">
        <v>50</v>
      </c>
      <c r="D12" s="9">
        <v>11</v>
      </c>
      <c r="E12">
        <f>SUM(C2:C12)</f>
        <v>220</v>
      </c>
      <c r="F12" t="s">
        <v>32</v>
      </c>
    </row>
    <row r="13" spans="1:10" x14ac:dyDescent="0.2">
      <c r="A13" s="3">
        <v>11</v>
      </c>
      <c r="B13" s="3" t="s">
        <v>30</v>
      </c>
      <c r="C13" s="3">
        <v>10</v>
      </c>
      <c r="D13" s="9">
        <v>12</v>
      </c>
    </row>
    <row r="14" spans="1:10" x14ac:dyDescent="0.2">
      <c r="A14" s="3">
        <v>12</v>
      </c>
      <c r="B14" s="3" t="s">
        <v>30</v>
      </c>
      <c r="C14" s="3">
        <v>10</v>
      </c>
      <c r="D14" s="9">
        <v>13</v>
      </c>
    </row>
    <row r="15" spans="1:10" x14ac:dyDescent="0.2">
      <c r="A15" s="3">
        <v>13</v>
      </c>
      <c r="B15" s="3" t="s">
        <v>30</v>
      </c>
      <c r="C15" s="3">
        <v>15</v>
      </c>
      <c r="D15" s="9">
        <v>14</v>
      </c>
    </row>
    <row r="16" spans="1:10" x14ac:dyDescent="0.2">
      <c r="A16" s="3">
        <v>14</v>
      </c>
      <c r="B16" s="3" t="s">
        <v>30</v>
      </c>
      <c r="C16" s="3">
        <v>15</v>
      </c>
      <c r="D16" s="9">
        <v>15</v>
      </c>
    </row>
    <row r="17" spans="1:22" x14ac:dyDescent="0.2">
      <c r="A17" s="3">
        <v>15</v>
      </c>
      <c r="B17" s="3" t="s">
        <v>30</v>
      </c>
      <c r="C17" s="3">
        <v>20</v>
      </c>
      <c r="D17" s="9">
        <v>16</v>
      </c>
      <c r="T17" t="s">
        <v>48</v>
      </c>
    </row>
    <row r="18" spans="1:22" x14ac:dyDescent="0.2">
      <c r="A18" s="3">
        <v>16</v>
      </c>
      <c r="B18" s="3" t="s">
        <v>30</v>
      </c>
      <c r="C18" s="3">
        <v>25</v>
      </c>
      <c r="D18" s="9">
        <v>17</v>
      </c>
      <c r="I18" t="s">
        <v>41</v>
      </c>
      <c r="J18">
        <v>2315016</v>
      </c>
      <c r="L18">
        <v>45000</v>
      </c>
      <c r="M18">
        <v>32000</v>
      </c>
      <c r="N18">
        <f>(64+51.2)*1000</f>
        <v>115200</v>
      </c>
      <c r="O18">
        <v>233275</v>
      </c>
      <c r="P18">
        <f>1200+R18*0.11</f>
        <v>187143.84057971011</v>
      </c>
      <c r="R18">
        <f>O18/0.138</f>
        <v>1690398.5507246375</v>
      </c>
      <c r="S18">
        <f>J18-SUM(K18:P18)</f>
        <v>1702397.15942029</v>
      </c>
      <c r="T18">
        <v>5399</v>
      </c>
      <c r="U18">
        <f>T18/3.125*82.075</f>
        <v>141799.33600000001</v>
      </c>
      <c r="V18">
        <f>T18/3.125*400</f>
        <v>691072</v>
      </c>
    </row>
    <row r="19" spans="1:22" x14ac:dyDescent="0.2">
      <c r="A19" s="3">
        <v>17</v>
      </c>
      <c r="B19" s="3" t="s">
        <v>30</v>
      </c>
      <c r="C19" s="3">
        <v>25</v>
      </c>
      <c r="D19" s="9">
        <v>18</v>
      </c>
      <c r="I19" t="s">
        <v>7</v>
      </c>
      <c r="J19">
        <v>226442</v>
      </c>
      <c r="K19">
        <f>3500+2800</f>
        <v>6300</v>
      </c>
      <c r="L19">
        <v>750</v>
      </c>
      <c r="M19">
        <v>3000</v>
      </c>
      <c r="N19">
        <v>900</v>
      </c>
      <c r="O19">
        <v>16613</v>
      </c>
      <c r="P19">
        <f>250+R19*0.1</f>
        <v>18327.257889009794</v>
      </c>
      <c r="R19">
        <f>16613/0.0919</f>
        <v>180772.57889009794</v>
      </c>
      <c r="S19">
        <f>J19-SUM(K19:P19)</f>
        <v>180551.74211099022</v>
      </c>
      <c r="T19">
        <v>482</v>
      </c>
      <c r="U19">
        <f>T19/3.125*82.075</f>
        <v>12659.248000000001</v>
      </c>
      <c r="V19">
        <f>T19/3.125*400</f>
        <v>61696</v>
      </c>
    </row>
    <row r="20" spans="1:22" x14ac:dyDescent="0.2">
      <c r="A20" s="3">
        <v>18</v>
      </c>
      <c r="B20" s="3" t="s">
        <v>30</v>
      </c>
      <c r="C20" s="3">
        <v>30</v>
      </c>
      <c r="D20" s="9">
        <v>19</v>
      </c>
      <c r="I20" t="s">
        <v>8</v>
      </c>
      <c r="J20">
        <v>42715</v>
      </c>
      <c r="L20">
        <v>2250</v>
      </c>
      <c r="M20">
        <v>600</v>
      </c>
      <c r="N20">
        <v>288</v>
      </c>
      <c r="O20">
        <v>4626</v>
      </c>
      <c r="P20">
        <f>50+R20*0.05</f>
        <v>1726.086956521739</v>
      </c>
      <c r="R20">
        <f>4626/0.138</f>
        <v>33521.739130434777</v>
      </c>
      <c r="S20">
        <f>J20-SUM(K20:P20)</f>
        <v>33224.913043478256</v>
      </c>
      <c r="T20">
        <v>84</v>
      </c>
      <c r="U20">
        <f>T20/3.125*82.075</f>
        <v>2206.1759999999999</v>
      </c>
      <c r="V20">
        <f>T20/3.125*400</f>
        <v>10752</v>
      </c>
    </row>
    <row r="21" spans="1:22" x14ac:dyDescent="0.2">
      <c r="A21" s="3">
        <v>19</v>
      </c>
      <c r="B21" s="3" t="s">
        <v>30</v>
      </c>
      <c r="C21" s="3">
        <v>40</v>
      </c>
      <c r="D21" s="9">
        <v>20</v>
      </c>
      <c r="I21" t="s">
        <v>9</v>
      </c>
      <c r="J21" s="8">
        <v>0.65700000000000003</v>
      </c>
      <c r="K21">
        <f>24+19.2</f>
        <v>43.2</v>
      </c>
      <c r="M21">
        <v>7.5</v>
      </c>
    </row>
    <row r="22" spans="1:22" x14ac:dyDescent="0.2">
      <c r="A22" s="3">
        <v>20</v>
      </c>
      <c r="B22" s="3" t="s">
        <v>30</v>
      </c>
      <c r="C22" s="3">
        <v>50</v>
      </c>
      <c r="D22" s="9">
        <v>21</v>
      </c>
      <c r="E22">
        <f>SUM(C13:C22)</f>
        <v>240</v>
      </c>
      <c r="F22" t="s">
        <v>33</v>
      </c>
      <c r="I22" t="s">
        <v>42</v>
      </c>
      <c r="J22">
        <v>0</v>
      </c>
      <c r="T22" t="s">
        <v>31</v>
      </c>
    </row>
    <row r="23" spans="1:22" x14ac:dyDescent="0.2">
      <c r="A23" s="3">
        <v>21</v>
      </c>
      <c r="B23" s="3" t="s">
        <v>31</v>
      </c>
      <c r="C23" s="3">
        <v>10</v>
      </c>
      <c r="D23" s="9">
        <v>22</v>
      </c>
      <c r="I23" t="s">
        <v>43</v>
      </c>
      <c r="J23">
        <v>378</v>
      </c>
      <c r="K23">
        <v>90</v>
      </c>
      <c r="T23">
        <f>5008/0.036</f>
        <v>139111.11111111112</v>
      </c>
      <c r="U23">
        <f>T18/3.125*160.275</f>
        <v>276903.91200000001</v>
      </c>
    </row>
    <row r="24" spans="1:22" x14ac:dyDescent="0.2">
      <c r="A24" s="3">
        <v>22</v>
      </c>
      <c r="B24" s="3" t="s">
        <v>31</v>
      </c>
      <c r="C24" s="3">
        <v>20</v>
      </c>
      <c r="D24" s="9">
        <v>23</v>
      </c>
      <c r="I24" t="s">
        <v>44</v>
      </c>
      <c r="J24">
        <v>31</v>
      </c>
      <c r="N24">
        <v>19.8</v>
      </c>
      <c r="T24">
        <f>82/0.036</f>
        <v>2277.7777777777778</v>
      </c>
    </row>
    <row r="25" spans="1:22" x14ac:dyDescent="0.2">
      <c r="A25" s="3">
        <v>23</v>
      </c>
      <c r="B25" s="3" t="s">
        <v>31</v>
      </c>
      <c r="C25" s="3">
        <v>20</v>
      </c>
      <c r="D25" s="9">
        <v>24</v>
      </c>
      <c r="I25" t="s">
        <v>45</v>
      </c>
      <c r="J25">
        <v>0</v>
      </c>
      <c r="T25">
        <f>357/0.024</f>
        <v>14875</v>
      </c>
    </row>
    <row r="26" spans="1:22" x14ac:dyDescent="0.2">
      <c r="A26" s="3">
        <v>24</v>
      </c>
      <c r="B26" s="3" t="s">
        <v>31</v>
      </c>
      <c r="C26" s="3">
        <v>20</v>
      </c>
      <c r="D26" s="9">
        <v>25</v>
      </c>
      <c r="I26" t="s">
        <v>46</v>
      </c>
      <c r="J26" s="8">
        <v>0.45400000000000001</v>
      </c>
      <c r="K26">
        <v>23.4</v>
      </c>
      <c r="L26">
        <v>15</v>
      </c>
    </row>
    <row r="27" spans="1:22" x14ac:dyDescent="0.2">
      <c r="A27" s="3">
        <v>25</v>
      </c>
      <c r="B27" s="3" t="s">
        <v>31</v>
      </c>
      <c r="C27" s="3">
        <v>30</v>
      </c>
      <c r="D27" s="9">
        <v>26</v>
      </c>
      <c r="I27" t="s">
        <v>47</v>
      </c>
      <c r="J27">
        <v>0</v>
      </c>
    </row>
    <row r="28" spans="1:22" x14ac:dyDescent="0.2">
      <c r="A28" s="3">
        <v>26</v>
      </c>
      <c r="B28" s="3" t="s">
        <v>31</v>
      </c>
      <c r="C28" s="3">
        <v>30</v>
      </c>
      <c r="D28" s="9">
        <v>27</v>
      </c>
      <c r="I28" t="s">
        <v>39</v>
      </c>
      <c r="J28">
        <v>0</v>
      </c>
    </row>
    <row r="29" spans="1:22" x14ac:dyDescent="0.2">
      <c r="A29" s="3">
        <v>27</v>
      </c>
      <c r="B29" s="3" t="s">
        <v>31</v>
      </c>
      <c r="C29" s="3">
        <v>40</v>
      </c>
      <c r="D29" s="9">
        <v>28</v>
      </c>
    </row>
    <row r="30" spans="1:22" x14ac:dyDescent="0.2">
      <c r="A30" s="3">
        <v>28</v>
      </c>
      <c r="B30" s="3" t="s">
        <v>31</v>
      </c>
      <c r="C30" s="3">
        <v>40</v>
      </c>
      <c r="D30" s="9">
        <v>29</v>
      </c>
    </row>
    <row r="31" spans="1:22" x14ac:dyDescent="0.2">
      <c r="A31" s="3">
        <v>29</v>
      </c>
      <c r="B31" s="3" t="s">
        <v>31</v>
      </c>
      <c r="C31" s="3">
        <v>40</v>
      </c>
      <c r="D31" s="9">
        <v>30</v>
      </c>
    </row>
    <row r="32" spans="1:22" x14ac:dyDescent="0.2">
      <c r="A32" s="3">
        <v>30</v>
      </c>
      <c r="B32" s="3" t="s">
        <v>31</v>
      </c>
      <c r="C32" s="3">
        <v>50</v>
      </c>
      <c r="D32" s="9">
        <v>31</v>
      </c>
      <c r="E32">
        <f>SUM(C23:C32)</f>
        <v>300</v>
      </c>
      <c r="F32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39" sqref="F39"/>
    </sheetView>
  </sheetViews>
  <sheetFormatPr baseColWidth="10" defaultRowHeight="16" x14ac:dyDescent="0.2"/>
  <sheetData>
    <row r="1" spans="1:7" x14ac:dyDescent="0.2">
      <c r="B1" t="s">
        <v>50</v>
      </c>
      <c r="C1" t="s">
        <v>53</v>
      </c>
      <c r="D1" t="s">
        <v>56</v>
      </c>
      <c r="E1" t="s">
        <v>49</v>
      </c>
      <c r="F1" t="s">
        <v>57</v>
      </c>
      <c r="G1" t="s">
        <v>58</v>
      </c>
    </row>
    <row r="2" spans="1:7" x14ac:dyDescent="0.2">
      <c r="B2" t="s">
        <v>54</v>
      </c>
      <c r="C2" t="s">
        <v>54</v>
      </c>
      <c r="D2" t="s">
        <v>15</v>
      </c>
      <c r="E2" t="s">
        <v>16</v>
      </c>
      <c r="F2" t="s">
        <v>15</v>
      </c>
      <c r="G2" t="s">
        <v>14</v>
      </c>
    </row>
    <row r="3" spans="1:7" x14ac:dyDescent="0.2">
      <c r="A3" t="s">
        <v>41</v>
      </c>
      <c r="B3">
        <v>2636416</v>
      </c>
      <c r="C3">
        <v>2768529</v>
      </c>
      <c r="D3">
        <v>2539833</v>
      </c>
      <c r="E3">
        <v>2340509</v>
      </c>
      <c r="F3">
        <v>2465710</v>
      </c>
      <c r="G3">
        <v>5529942</v>
      </c>
    </row>
    <row r="4" spans="1:7" x14ac:dyDescent="0.2">
      <c r="A4" t="s">
        <v>7</v>
      </c>
      <c r="B4">
        <v>226247</v>
      </c>
      <c r="C4">
        <v>183787</v>
      </c>
      <c r="D4">
        <v>209534</v>
      </c>
      <c r="E4">
        <v>229043</v>
      </c>
      <c r="F4">
        <v>209324</v>
      </c>
      <c r="G4">
        <v>291454</v>
      </c>
    </row>
    <row r="5" spans="1:7" x14ac:dyDescent="0.2">
      <c r="A5" t="s">
        <v>8</v>
      </c>
      <c r="B5">
        <v>39136</v>
      </c>
      <c r="C5">
        <v>45086</v>
      </c>
      <c r="D5">
        <v>49015</v>
      </c>
      <c r="E5">
        <v>43171</v>
      </c>
      <c r="F5">
        <v>40821</v>
      </c>
      <c r="G5">
        <v>112977</v>
      </c>
    </row>
    <row r="6" spans="1:7" x14ac:dyDescent="0.2">
      <c r="A6" t="s">
        <v>55</v>
      </c>
      <c r="B6">
        <v>14</v>
      </c>
      <c r="C6">
        <v>30.5</v>
      </c>
      <c r="D6">
        <v>41</v>
      </c>
      <c r="E6">
        <v>65.7</v>
      </c>
      <c r="F6">
        <v>45</v>
      </c>
      <c r="G6">
        <v>12.5</v>
      </c>
    </row>
    <row r="7" spans="1:7" x14ac:dyDescent="0.2">
      <c r="A7" t="s">
        <v>51</v>
      </c>
      <c r="B7">
        <v>430</v>
      </c>
      <c r="C7">
        <v>455</v>
      </c>
      <c r="D7">
        <v>486</v>
      </c>
      <c r="E7">
        <v>0</v>
      </c>
      <c r="F7">
        <v>521</v>
      </c>
      <c r="G7">
        <v>474</v>
      </c>
    </row>
    <row r="8" spans="1:7" x14ac:dyDescent="0.2">
      <c r="A8" t="s">
        <v>43</v>
      </c>
      <c r="B8">
        <v>105</v>
      </c>
      <c r="C8">
        <v>75</v>
      </c>
      <c r="D8">
        <v>495</v>
      </c>
      <c r="E8">
        <v>378</v>
      </c>
      <c r="F8">
        <v>538</v>
      </c>
      <c r="G8">
        <v>75</v>
      </c>
    </row>
    <row r="9" spans="1:7" x14ac:dyDescent="0.2">
      <c r="A9" t="s">
        <v>44</v>
      </c>
      <c r="B9">
        <v>12</v>
      </c>
      <c r="C9">
        <v>12</v>
      </c>
      <c r="D9">
        <v>18</v>
      </c>
      <c r="E9">
        <v>31</v>
      </c>
      <c r="F9">
        <v>0</v>
      </c>
      <c r="G9">
        <v>14</v>
      </c>
    </row>
    <row r="10" spans="1:7" x14ac:dyDescent="0.2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46</v>
      </c>
      <c r="B11">
        <v>0</v>
      </c>
      <c r="C11">
        <v>0</v>
      </c>
      <c r="D11">
        <v>0</v>
      </c>
      <c r="E11">
        <v>46.4</v>
      </c>
      <c r="F11">
        <v>0</v>
      </c>
      <c r="G11">
        <v>0</v>
      </c>
    </row>
    <row r="12" spans="1:7" x14ac:dyDescent="0.2">
      <c r="A12" t="s">
        <v>47</v>
      </c>
      <c r="B12">
        <v>45.9</v>
      </c>
      <c r="C12">
        <v>56.9</v>
      </c>
      <c r="D12">
        <v>0</v>
      </c>
      <c r="E12">
        <v>0</v>
      </c>
      <c r="F12">
        <v>0</v>
      </c>
      <c r="G12">
        <v>47.4</v>
      </c>
    </row>
    <row r="13" spans="1:7" x14ac:dyDescent="0.2">
      <c r="A13" t="s">
        <v>52</v>
      </c>
      <c r="B13">
        <v>27</v>
      </c>
      <c r="C13">
        <v>0</v>
      </c>
      <c r="D13">
        <v>0</v>
      </c>
      <c r="E13">
        <v>0</v>
      </c>
      <c r="F13">
        <v>0</v>
      </c>
      <c r="G13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H22" sqref="H22"/>
    </sheetView>
  </sheetViews>
  <sheetFormatPr baseColWidth="10" defaultRowHeight="16" x14ac:dyDescent="0.2"/>
  <cols>
    <col min="1" max="1" width="13.5" bestFit="1" customWidth="1"/>
    <col min="2" max="2" width="13.83203125" customWidth="1"/>
    <col min="3" max="3" width="12.5" bestFit="1" customWidth="1"/>
    <col min="4" max="4" width="13.5" customWidth="1"/>
    <col min="5" max="10" width="9" customWidth="1"/>
    <col min="12" max="12" width="10.83203125" style="17"/>
    <col min="13" max="13" width="7.5" style="17" bestFit="1" customWidth="1"/>
    <col min="14" max="14" width="12.5" bestFit="1" customWidth="1"/>
  </cols>
  <sheetData>
    <row r="1" spans="1:20" x14ac:dyDescent="0.2">
      <c r="A1" t="s">
        <v>119</v>
      </c>
      <c r="B1" s="60" t="s">
        <v>120</v>
      </c>
      <c r="C1" s="60"/>
      <c r="D1" s="60"/>
      <c r="E1" s="60"/>
      <c r="F1" s="60"/>
      <c r="G1" s="60"/>
      <c r="H1" s="60"/>
      <c r="I1" s="60"/>
      <c r="J1" s="60"/>
      <c r="L1" s="17" t="s">
        <v>127</v>
      </c>
      <c r="M1" s="17" t="s">
        <v>8</v>
      </c>
      <c r="N1" t="s">
        <v>121</v>
      </c>
    </row>
    <row r="2" spans="1:20" x14ac:dyDescent="0.2">
      <c r="A2" t="s">
        <v>121</v>
      </c>
      <c r="B2" s="60" t="s">
        <v>122</v>
      </c>
      <c r="C2" s="60"/>
      <c r="D2" s="60"/>
      <c r="E2" s="60"/>
      <c r="F2" s="60"/>
      <c r="G2" s="60"/>
      <c r="H2" s="60"/>
      <c r="I2" s="60"/>
      <c r="J2" s="60"/>
      <c r="L2" s="17">
        <v>1</v>
      </c>
      <c r="M2" s="17">
        <v>75</v>
      </c>
      <c r="N2">
        <f t="shared" ref="N2:N26" si="0">M2/(M2+$B$16+$B$17*$L2)</f>
        <v>3.5294117647058823E-2</v>
      </c>
      <c r="P2">
        <f>1*(1-N2)</f>
        <v>0.96470588235294119</v>
      </c>
      <c r="R2">
        <v>1</v>
      </c>
      <c r="S2">
        <v>75</v>
      </c>
      <c r="T2">
        <f t="shared" ref="T2:T32" si="1">S2/(S2+$B$16+$B$17*$R2)</f>
        <v>3.5294117647058823E-2</v>
      </c>
    </row>
    <row r="3" spans="1:20" x14ac:dyDescent="0.2">
      <c r="A3" t="s">
        <v>123</v>
      </c>
      <c r="B3" s="60" t="s">
        <v>124</v>
      </c>
      <c r="C3" s="60"/>
      <c r="D3" s="60"/>
      <c r="E3" s="60"/>
      <c r="F3" s="60"/>
      <c r="G3" s="60"/>
      <c r="H3" s="60"/>
      <c r="I3" s="60"/>
      <c r="J3" s="60"/>
      <c r="L3" s="17">
        <v>10</v>
      </c>
      <c r="M3" s="17">
        <v>160</v>
      </c>
      <c r="N3">
        <f t="shared" si="0"/>
        <v>6.0150375939849621E-2</v>
      </c>
      <c r="R3">
        <v>2</v>
      </c>
      <c r="S3">
        <v>92</v>
      </c>
      <c r="T3">
        <f t="shared" si="1"/>
        <v>4.1970802919708027E-2</v>
      </c>
    </row>
    <row r="4" spans="1:20" x14ac:dyDescent="0.2">
      <c r="L4" s="17">
        <v>20</v>
      </c>
      <c r="M4" s="17">
        <v>245</v>
      </c>
      <c r="N4">
        <f t="shared" si="0"/>
        <v>7.5500770416024654E-2</v>
      </c>
      <c r="R4">
        <v>3</v>
      </c>
      <c r="S4">
        <v>77</v>
      </c>
      <c r="T4">
        <f t="shared" si="1"/>
        <v>3.4575662325999103E-2</v>
      </c>
    </row>
    <row r="5" spans="1:20" x14ac:dyDescent="0.2">
      <c r="A5" s="103" t="s">
        <v>180</v>
      </c>
      <c r="B5" s="103"/>
      <c r="F5" t="s">
        <v>183</v>
      </c>
      <c r="L5" s="17">
        <v>30</v>
      </c>
      <c r="M5" s="17">
        <v>330</v>
      </c>
      <c r="N5">
        <f t="shared" si="0"/>
        <v>8.6161879895561358E-2</v>
      </c>
      <c r="R5">
        <v>4</v>
      </c>
      <c r="S5">
        <v>78</v>
      </c>
      <c r="T5">
        <f t="shared" si="1"/>
        <v>3.4240561896400352E-2</v>
      </c>
    </row>
    <row r="6" spans="1:20" x14ac:dyDescent="0.2">
      <c r="A6" t="s">
        <v>41</v>
      </c>
      <c r="B6">
        <f>分类!P3</f>
        <v>600000</v>
      </c>
      <c r="C6">
        <f>B6+1</f>
        <v>600001</v>
      </c>
      <c r="D6">
        <f>C6*B8/(B8+B16+B17*240)*10000/(10000-B13)*(B7*(1-B9/10000)+B7*B9/10000*B10/10000)</f>
        <v>11110066363.636362</v>
      </c>
      <c r="E6">
        <f t="shared" ref="E6:E13" si="2">D6-$B$22</f>
        <v>18516.746410369873</v>
      </c>
      <c r="F6">
        <f>ROUND(E6/100000,2)</f>
        <v>0.19</v>
      </c>
      <c r="L6" s="17">
        <v>40</v>
      </c>
      <c r="M6" s="17">
        <v>415</v>
      </c>
      <c r="N6">
        <f t="shared" si="0"/>
        <v>9.3997734994337487E-2</v>
      </c>
      <c r="R6">
        <v>5</v>
      </c>
      <c r="S6">
        <v>79</v>
      </c>
      <c r="T6">
        <f t="shared" si="1"/>
        <v>3.3920137398024901E-2</v>
      </c>
    </row>
    <row r="7" spans="1:20" x14ac:dyDescent="0.2">
      <c r="A7" t="s">
        <v>178</v>
      </c>
      <c r="B7">
        <f>分类!P4</f>
        <v>45000</v>
      </c>
      <c r="C7">
        <f t="shared" ref="C7:C10" si="3">B7+1</f>
        <v>45001</v>
      </c>
      <c r="D7">
        <f>B6*B8/(B8+B16+B17*240)*10000/(10000-B13)*(C7*(1-B9/10000)+C7*B9/10000*B10/10000)</f>
        <v>11110294736.842106</v>
      </c>
      <c r="E7">
        <f t="shared" si="2"/>
        <v>246889.95215415955</v>
      </c>
      <c r="F7">
        <f t="shared" ref="F7:F13" si="4">ROUND(E7/100000,2)</f>
        <v>2.4700000000000002</v>
      </c>
      <c r="L7" s="17">
        <v>50</v>
      </c>
      <c r="M7" s="17">
        <v>500</v>
      </c>
      <c r="N7">
        <f t="shared" si="0"/>
        <v>0.1</v>
      </c>
      <c r="R7">
        <v>6</v>
      </c>
      <c r="S7">
        <v>80</v>
      </c>
      <c r="T7">
        <f t="shared" si="1"/>
        <v>3.3613445378151259E-2</v>
      </c>
    </row>
    <row r="8" spans="1:20" x14ac:dyDescent="0.2">
      <c r="A8" t="s">
        <v>179</v>
      </c>
      <c r="B8">
        <f>分类!P5</f>
        <v>8000</v>
      </c>
      <c r="C8">
        <f t="shared" si="3"/>
        <v>8001</v>
      </c>
      <c r="D8">
        <f>B6*C8/(C8+B16+B17*240)*10000/(10000-B13)*(B7*(1-B9/10000)+B7*B9/10000*B10/10000)</f>
        <v>11110931560.527153</v>
      </c>
      <c r="E8">
        <f t="shared" si="2"/>
        <v>883713.6372013092</v>
      </c>
      <c r="F8">
        <f t="shared" si="4"/>
        <v>8.84</v>
      </c>
      <c r="L8" s="17">
        <v>60</v>
      </c>
      <c r="M8" s="17">
        <v>585</v>
      </c>
      <c r="N8">
        <f t="shared" si="0"/>
        <v>0.10474485228290063</v>
      </c>
      <c r="R8">
        <v>7</v>
      </c>
      <c r="S8">
        <v>81</v>
      </c>
      <c r="T8">
        <f t="shared" si="1"/>
        <v>3.331962155491567E-2</v>
      </c>
    </row>
    <row r="9" spans="1:20" x14ac:dyDescent="0.2">
      <c r="A9" t="s">
        <v>9</v>
      </c>
      <c r="B9">
        <f>分类!P6</f>
        <v>1500</v>
      </c>
      <c r="C9">
        <f t="shared" si="3"/>
        <v>1501</v>
      </c>
      <c r="D9">
        <f>B6*B8/(B8+B16+B17*240)*10000/(10000-B13)*(B7*(1-C9/10000)+B7*C9/10000*B10/10000)</f>
        <v>11110564593.301435</v>
      </c>
      <c r="E9">
        <f t="shared" si="2"/>
        <v>516746.41148376465</v>
      </c>
      <c r="F9">
        <f t="shared" si="4"/>
        <v>5.17</v>
      </c>
      <c r="L9" s="17">
        <v>70</v>
      </c>
      <c r="M9" s="17">
        <v>670</v>
      </c>
      <c r="N9">
        <f t="shared" si="0"/>
        <v>0.10858995137763371</v>
      </c>
      <c r="R9">
        <v>8</v>
      </c>
      <c r="S9">
        <v>82</v>
      </c>
      <c r="T9">
        <f t="shared" si="1"/>
        <v>3.3037872683319904E-2</v>
      </c>
    </row>
    <row r="10" spans="1:20" x14ac:dyDescent="0.2">
      <c r="A10" t="s">
        <v>63</v>
      </c>
      <c r="B10">
        <f>分类!P7</f>
        <v>15000</v>
      </c>
      <c r="C10">
        <f t="shared" si="3"/>
        <v>15001</v>
      </c>
      <c r="D10">
        <f>B6*B8/(B8+B16+B17*240)*10000/(10000-B13)*(B7*(1-B9/10000)+B7*B9/10000*C10/10000)</f>
        <v>11110202870.813398</v>
      </c>
      <c r="E10">
        <f t="shared" si="2"/>
        <v>155023.92344665527</v>
      </c>
      <c r="F10">
        <f t="shared" si="4"/>
        <v>1.55</v>
      </c>
      <c r="L10" s="17">
        <v>80</v>
      </c>
      <c r="M10" s="17">
        <v>755</v>
      </c>
      <c r="N10">
        <f t="shared" si="0"/>
        <v>0.11176905995558846</v>
      </c>
      <c r="R10">
        <v>9</v>
      </c>
      <c r="S10">
        <v>83</v>
      </c>
      <c r="T10">
        <f t="shared" si="1"/>
        <v>3.2767469403868932E-2</v>
      </c>
    </row>
    <row r="11" spans="1:20" x14ac:dyDescent="0.2">
      <c r="A11" t="s">
        <v>65</v>
      </c>
      <c r="B11">
        <f>分类!P8</f>
        <v>2000</v>
      </c>
      <c r="C11">
        <v>1</v>
      </c>
      <c r="D11">
        <f>INT((B20*(10000-C11)/10000+B20*C11/10000*2)*B21)</f>
        <v>11111155379</v>
      </c>
      <c r="E11">
        <f t="shared" si="2"/>
        <v>1107532.1100482941</v>
      </c>
      <c r="F11">
        <f t="shared" si="4"/>
        <v>11.08</v>
      </c>
      <c r="L11" s="17">
        <v>90</v>
      </c>
      <c r="M11" s="17">
        <v>840</v>
      </c>
      <c r="N11">
        <f t="shared" si="0"/>
        <v>0.11444141689373297</v>
      </c>
      <c r="R11">
        <v>10</v>
      </c>
      <c r="S11">
        <v>84</v>
      </c>
      <c r="T11">
        <f t="shared" si="1"/>
        <v>3.2507739938080496E-2</v>
      </c>
    </row>
    <row r="12" spans="1:20" x14ac:dyDescent="0.2">
      <c r="A12" t="s">
        <v>67</v>
      </c>
      <c r="B12">
        <f>分类!P9</f>
        <v>2000</v>
      </c>
      <c r="C12">
        <v>1</v>
      </c>
      <c r="D12">
        <f>B20*B21*((10000-C12)+C12*2)/10000</f>
        <v>11111155379.4375</v>
      </c>
      <c r="E12">
        <f t="shared" si="2"/>
        <v>1107532.5475482941</v>
      </c>
      <c r="F12">
        <f t="shared" si="4"/>
        <v>11.08</v>
      </c>
      <c r="L12" s="17">
        <v>100</v>
      </c>
      <c r="M12" s="17">
        <v>925</v>
      </c>
      <c r="N12">
        <f t="shared" si="0"/>
        <v>0.1167192429022082</v>
      </c>
      <c r="R12">
        <v>11</v>
      </c>
      <c r="S12">
        <v>85</v>
      </c>
      <c r="T12">
        <f t="shared" si="1"/>
        <v>3.2258064516129031E-2</v>
      </c>
    </row>
    <row r="13" spans="1:20" x14ac:dyDescent="0.2">
      <c r="A13" t="s">
        <v>11</v>
      </c>
      <c r="B13">
        <f>分类!P10</f>
        <v>500</v>
      </c>
      <c r="C13">
        <v>1</v>
      </c>
      <c r="D13">
        <f>B20*B21*10000/(10000-C13)</f>
        <v>11111155490.549055</v>
      </c>
      <c r="E13">
        <f t="shared" si="2"/>
        <v>1107643.6591033936</v>
      </c>
      <c r="F13">
        <f t="shared" si="4"/>
        <v>11.08</v>
      </c>
      <c r="L13" s="17">
        <v>110</v>
      </c>
      <c r="M13" s="17">
        <v>1000</v>
      </c>
      <c r="N13">
        <f t="shared" si="0"/>
        <v>0.11764705882352941</v>
      </c>
      <c r="R13">
        <v>12</v>
      </c>
      <c r="S13">
        <v>86</v>
      </c>
      <c r="T13">
        <f t="shared" si="1"/>
        <v>3.2017870439314963E-2</v>
      </c>
    </row>
    <row r="14" spans="1:20" x14ac:dyDescent="0.2">
      <c r="A14" t="s">
        <v>12</v>
      </c>
      <c r="B14">
        <f>分类!P11</f>
        <v>0</v>
      </c>
      <c r="C14">
        <v>0</v>
      </c>
      <c r="L14" s="17">
        <v>120</v>
      </c>
      <c r="M14" s="17">
        <f>M13+100</f>
        <v>1100</v>
      </c>
      <c r="N14">
        <f t="shared" si="0"/>
        <v>0.12087912087912088</v>
      </c>
      <c r="P14">
        <f>1.15*(1-N14)</f>
        <v>1.0109890109890109</v>
      </c>
      <c r="R14">
        <v>13</v>
      </c>
      <c r="S14">
        <v>87</v>
      </c>
      <c r="T14">
        <f t="shared" si="1"/>
        <v>3.1786627694556084E-2</v>
      </c>
    </row>
    <row r="15" spans="1:20" x14ac:dyDescent="0.2">
      <c r="L15" s="17">
        <v>130</v>
      </c>
      <c r="M15" s="17">
        <f t="shared" ref="M15:M16" si="5">M14+100</f>
        <v>1200</v>
      </c>
      <c r="N15">
        <f t="shared" si="0"/>
        <v>0.12371134020618557</v>
      </c>
      <c r="R15">
        <v>14</v>
      </c>
      <c r="S15">
        <v>88</v>
      </c>
      <c r="T15">
        <f t="shared" si="1"/>
        <v>3.1563845050215207E-2</v>
      </c>
    </row>
    <row r="16" spans="1:20" x14ac:dyDescent="0.2">
      <c r="A16" t="s">
        <v>125</v>
      </c>
      <c r="B16">
        <v>2000</v>
      </c>
      <c r="L16" s="17">
        <v>140</v>
      </c>
      <c r="M16" s="17">
        <f t="shared" si="5"/>
        <v>1300</v>
      </c>
      <c r="N16">
        <f t="shared" si="0"/>
        <v>0.12621359223300971</v>
      </c>
      <c r="R16">
        <v>15</v>
      </c>
      <c r="S16">
        <v>89</v>
      </c>
      <c r="T16">
        <f t="shared" si="1"/>
        <v>3.1349066572736881E-2</v>
      </c>
    </row>
    <row r="17" spans="1:20" x14ac:dyDescent="0.2">
      <c r="A17" t="s">
        <v>126</v>
      </c>
      <c r="B17">
        <v>50</v>
      </c>
      <c r="L17" s="17">
        <v>150</v>
      </c>
      <c r="M17" s="17">
        <f>M16+500</f>
        <v>1800</v>
      </c>
      <c r="N17">
        <f t="shared" si="0"/>
        <v>0.15929203539823009</v>
      </c>
      <c r="R17">
        <v>16</v>
      </c>
      <c r="S17">
        <v>90</v>
      </c>
      <c r="T17">
        <f t="shared" si="1"/>
        <v>3.1141868512110725E-2</v>
      </c>
    </row>
    <row r="18" spans="1:20" x14ac:dyDescent="0.2">
      <c r="A18" t="s">
        <v>182</v>
      </c>
      <c r="B18" s="81">
        <f>B8/(B8+B16+240*B17)</f>
        <v>0.36363636363636365</v>
      </c>
      <c r="L18" s="17">
        <v>160</v>
      </c>
      <c r="M18" s="17">
        <f t="shared" ref="M18" si="6">M17+500</f>
        <v>2300</v>
      </c>
      <c r="N18">
        <f t="shared" si="0"/>
        <v>0.18699186991869918</v>
      </c>
      <c r="R18">
        <v>17</v>
      </c>
      <c r="S18">
        <v>91</v>
      </c>
      <c r="T18">
        <f t="shared" si="1"/>
        <v>3.0941856511390683E-2</v>
      </c>
    </row>
    <row r="19" spans="1:20" x14ac:dyDescent="0.2">
      <c r="L19" s="17">
        <v>170</v>
      </c>
      <c r="M19" s="17">
        <f>M18+500</f>
        <v>2800</v>
      </c>
      <c r="N19">
        <f t="shared" si="0"/>
        <v>0.21052631578947367</v>
      </c>
      <c r="R19">
        <v>18</v>
      </c>
      <c r="S19">
        <v>92</v>
      </c>
      <c r="T19">
        <f t="shared" si="1"/>
        <v>3.074866310160428E-2</v>
      </c>
    </row>
    <row r="20" spans="1:20" x14ac:dyDescent="0.2">
      <c r="A20" t="s">
        <v>176</v>
      </c>
      <c r="B20">
        <f>INT(B6*B8/(B8+B16+B17*240)*10000/(10000-B13))</f>
        <v>229665</v>
      </c>
      <c r="L20" s="17">
        <v>180</v>
      </c>
      <c r="M20" s="17">
        <f>M19+500</f>
        <v>3300</v>
      </c>
      <c r="N20">
        <f t="shared" si="0"/>
        <v>0.23076923076923078</v>
      </c>
      <c r="R20">
        <v>19</v>
      </c>
      <c r="S20">
        <v>93</v>
      </c>
      <c r="T20">
        <f t="shared" si="1"/>
        <v>3.056194544857049E-2</v>
      </c>
    </row>
    <row r="21" spans="1:20" x14ac:dyDescent="0.2">
      <c r="A21" t="s">
        <v>177</v>
      </c>
      <c r="B21">
        <f>B7*(1-B9/10000)+B7*B9/10000*B10/10000</f>
        <v>48375</v>
      </c>
      <c r="L21" s="17">
        <v>190</v>
      </c>
      <c r="M21" s="17">
        <f>M20+500</f>
        <v>3800</v>
      </c>
      <c r="N21">
        <f t="shared" si="0"/>
        <v>0.24836601307189543</v>
      </c>
      <c r="R21">
        <v>20</v>
      </c>
      <c r="S21">
        <v>94</v>
      </c>
      <c r="T21">
        <f t="shared" si="1"/>
        <v>3.0381383322559793E-2</v>
      </c>
    </row>
    <row r="22" spans="1:20" x14ac:dyDescent="0.2">
      <c r="A22" t="s">
        <v>181</v>
      </c>
      <c r="B22" s="67">
        <f>B6*B8/(B8+B16+B17*240)*10000/(10000-B13)*(B7*(1-B9/10000)+B7*B9/10000*B10/10000)</f>
        <v>11110047846.889952</v>
      </c>
      <c r="L22" s="17">
        <v>200</v>
      </c>
      <c r="M22" s="17">
        <f>M21+800</f>
        <v>4600</v>
      </c>
      <c r="N22">
        <f t="shared" si="0"/>
        <v>0.27710843373493976</v>
      </c>
      <c r="R22">
        <v>21</v>
      </c>
      <c r="S22">
        <v>95</v>
      </c>
      <c r="T22">
        <f t="shared" si="1"/>
        <v>3.0206677265500796E-2</v>
      </c>
    </row>
    <row r="23" spans="1:20" x14ac:dyDescent="0.2">
      <c r="L23" s="17">
        <v>210</v>
      </c>
      <c r="M23" s="17">
        <f t="shared" ref="M23:M24" si="7">M22+800</f>
        <v>5400</v>
      </c>
      <c r="N23">
        <f t="shared" si="0"/>
        <v>0.3016759776536313</v>
      </c>
      <c r="R23">
        <v>22</v>
      </c>
      <c r="S23">
        <v>96</v>
      </c>
      <c r="T23">
        <f t="shared" si="1"/>
        <v>3.0037546933667083E-2</v>
      </c>
    </row>
    <row r="24" spans="1:20" x14ac:dyDescent="0.2">
      <c r="L24" s="17">
        <v>220</v>
      </c>
      <c r="M24" s="17">
        <f t="shared" si="7"/>
        <v>6200</v>
      </c>
      <c r="N24">
        <f t="shared" si="0"/>
        <v>0.32291666666666669</v>
      </c>
      <c r="R24">
        <v>23</v>
      </c>
      <c r="S24">
        <v>97</v>
      </c>
      <c r="T24">
        <f t="shared" si="1"/>
        <v>2.9873729596550661E-2</v>
      </c>
    </row>
    <row r="25" spans="1:20" x14ac:dyDescent="0.2">
      <c r="L25" s="17">
        <v>230</v>
      </c>
      <c r="M25" s="17">
        <f>M24+900</f>
        <v>7100</v>
      </c>
      <c r="N25">
        <f t="shared" si="0"/>
        <v>0.3446601941747573</v>
      </c>
      <c r="R25">
        <v>24</v>
      </c>
      <c r="S25">
        <v>98</v>
      </c>
      <c r="T25">
        <f t="shared" si="1"/>
        <v>2.9714978775015159E-2</v>
      </c>
    </row>
    <row r="26" spans="1:20" x14ac:dyDescent="0.2">
      <c r="L26" s="17">
        <v>240</v>
      </c>
      <c r="M26" s="17">
        <f t="shared" ref="M26" si="8">M25+900</f>
        <v>8000</v>
      </c>
      <c r="N26">
        <f t="shared" si="0"/>
        <v>0.36363636363636365</v>
      </c>
      <c r="P26">
        <f>1.3*(1-N26)</f>
        <v>0.82727272727272727</v>
      </c>
      <c r="R26">
        <v>25</v>
      </c>
      <c r="S26">
        <v>99</v>
      </c>
      <c r="T26">
        <f t="shared" si="1"/>
        <v>2.9561063003881755E-2</v>
      </c>
    </row>
    <row r="27" spans="1:20" x14ac:dyDescent="0.2">
      <c r="R27">
        <v>26</v>
      </c>
      <c r="S27">
        <v>100</v>
      </c>
      <c r="T27">
        <f t="shared" si="1"/>
        <v>2.9411764705882353E-2</v>
      </c>
    </row>
    <row r="28" spans="1:20" x14ac:dyDescent="0.2">
      <c r="R28">
        <v>27</v>
      </c>
      <c r="S28">
        <v>101</v>
      </c>
      <c r="T28">
        <f t="shared" si="1"/>
        <v>2.9266879165459288E-2</v>
      </c>
    </row>
    <row r="29" spans="1:20" x14ac:dyDescent="0.2">
      <c r="R29">
        <v>28</v>
      </c>
      <c r="S29">
        <v>102</v>
      </c>
      <c r="T29">
        <f t="shared" si="1"/>
        <v>2.9126213592233011E-2</v>
      </c>
    </row>
    <row r="30" spans="1:20" x14ac:dyDescent="0.2">
      <c r="R30">
        <v>29</v>
      </c>
      <c r="S30">
        <v>103</v>
      </c>
      <c r="T30">
        <f t="shared" si="1"/>
        <v>2.898958626512806E-2</v>
      </c>
    </row>
    <row r="31" spans="1:20" x14ac:dyDescent="0.2">
      <c r="R31">
        <v>30</v>
      </c>
      <c r="S31">
        <v>104</v>
      </c>
      <c r="T31">
        <f t="shared" si="1"/>
        <v>2.8856825749167592E-2</v>
      </c>
    </row>
    <row r="32" spans="1:20" x14ac:dyDescent="0.2">
      <c r="R32">
        <v>31</v>
      </c>
      <c r="S32">
        <v>105</v>
      </c>
      <c r="T32">
        <f t="shared" si="1"/>
        <v>2.8727770177838577E-2</v>
      </c>
    </row>
  </sheetData>
  <mergeCells count="1">
    <mergeCell ref="A5:B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分类</vt:lpstr>
      <vt:lpstr>卡牌</vt:lpstr>
      <vt:lpstr>装备</vt:lpstr>
      <vt:lpstr>专属装备</vt:lpstr>
      <vt:lpstr>总属性</vt:lpstr>
      <vt:lpstr>最终状态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2019-11-13T07:49:12Z</dcterms:created>
  <dcterms:modified xsi:type="dcterms:W3CDTF">2019-11-19T07:29:29Z</dcterms:modified>
</cp:coreProperties>
</file>