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400" yWindow="600" windowWidth="38400" windowHeight="20080" activeTab="1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2" l="1"/>
  <c r="I22" i="2"/>
  <c r="I23" i="2"/>
  <c r="I24" i="2"/>
  <c r="I25" i="2"/>
  <c r="I26" i="2"/>
  <c r="I27" i="2"/>
  <c r="I28" i="2"/>
  <c r="I20" i="2"/>
  <c r="B1" i="4"/>
  <c r="B2" i="4"/>
  <c r="B3" i="4"/>
  <c r="B4" i="4"/>
  <c r="C1" i="4"/>
  <c r="D1" i="4"/>
  <c r="E1" i="4"/>
  <c r="F1" i="4"/>
  <c r="G1" i="4"/>
  <c r="C2" i="4"/>
  <c r="D2" i="4"/>
  <c r="E2" i="4"/>
  <c r="G2" i="4"/>
  <c r="C3" i="4"/>
  <c r="D3" i="4"/>
  <c r="E3" i="4"/>
  <c r="G3" i="4"/>
  <c r="C4" i="4"/>
  <c r="D4" i="4"/>
  <c r="E4" i="4"/>
  <c r="G4" i="4"/>
  <c r="B5" i="4"/>
  <c r="C5" i="4"/>
  <c r="D5" i="4"/>
  <c r="E5" i="4"/>
  <c r="G5" i="4"/>
  <c r="B6" i="4"/>
  <c r="C6" i="4"/>
  <c r="D6" i="4"/>
  <c r="E6" i="4"/>
  <c r="G6" i="4"/>
  <c r="B7" i="4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M20" i="2"/>
  <c r="AO20" i="2"/>
  <c r="AQ20" i="2"/>
  <c r="AS20" i="2"/>
  <c r="AT20" i="2"/>
  <c r="AM21" i="2"/>
  <c r="AO21" i="2"/>
  <c r="AQ21" i="2"/>
  <c r="AS21" i="2"/>
  <c r="AT21" i="2"/>
  <c r="AM22" i="2"/>
  <c r="AO22" i="2"/>
  <c r="AQ22" i="2"/>
  <c r="AS22" i="2"/>
  <c r="AT22" i="2"/>
  <c r="AM23" i="2"/>
  <c r="AO23" i="2"/>
  <c r="AQ23" i="2"/>
  <c r="AS23" i="2"/>
  <c r="AT23" i="2"/>
  <c r="AM24" i="2"/>
  <c r="AO24" i="2"/>
  <c r="AQ24" i="2"/>
  <c r="AS24" i="2"/>
  <c r="AT24" i="2"/>
  <c r="AM25" i="2"/>
  <c r="AO25" i="2"/>
  <c r="AQ25" i="2"/>
  <c r="AS25" i="2"/>
  <c r="AT25" i="2"/>
  <c r="AM26" i="2"/>
  <c r="AO26" i="2"/>
  <c r="AQ26" i="2"/>
  <c r="AS26" i="2"/>
  <c r="AT26" i="2"/>
  <c r="AM27" i="2"/>
  <c r="AO27" i="2"/>
  <c r="AQ27" i="2"/>
  <c r="AS27" i="2"/>
  <c r="AT27" i="2"/>
  <c r="AM28" i="2"/>
  <c r="AO28" i="2"/>
  <c r="AQ28" i="2"/>
  <c r="AS28" i="2"/>
  <c r="AT28" i="2"/>
  <c r="AM29" i="2"/>
  <c r="AO29" i="2"/>
  <c r="AQ29" i="2"/>
  <c r="AS29" i="2"/>
  <c r="AT29" i="2"/>
  <c r="AM30" i="2"/>
  <c r="AO30" i="2"/>
  <c r="AQ30" i="2"/>
  <c r="AS30" i="2"/>
  <c r="AT30" i="2"/>
  <c r="AM31" i="2"/>
  <c r="AO31" i="2"/>
  <c r="AQ31" i="2"/>
  <c r="AS31" i="2"/>
  <c r="AT31" i="2"/>
  <c r="AM32" i="2"/>
  <c r="AO32" i="2"/>
  <c r="AQ32" i="2"/>
  <c r="AS32" i="2"/>
  <c r="AT32" i="2"/>
  <c r="A10" i="1"/>
  <c r="B10" i="1"/>
  <c r="AR21" i="2"/>
  <c r="AR22" i="2"/>
  <c r="AR23" i="2"/>
  <c r="AR24" i="2"/>
  <c r="AR25" i="2"/>
  <c r="AR26" i="2"/>
  <c r="AR27" i="2"/>
  <c r="AR28" i="2"/>
  <c r="AR29" i="2"/>
  <c r="AR30" i="2"/>
  <c r="AR31" i="2"/>
  <c r="AR32" i="2"/>
  <c r="AR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20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2" i="2"/>
  <c r="T32" i="2"/>
  <c r="U32" i="2"/>
  <c r="V32" i="2"/>
  <c r="X32" i="2"/>
  <c r="W32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0" i="2"/>
  <c r="T20" i="2"/>
  <c r="V20" i="2"/>
  <c r="X20" i="2"/>
  <c r="U20" i="2"/>
  <c r="W20" i="2"/>
  <c r="T3" i="2"/>
  <c r="U3" i="2"/>
  <c r="V3" i="2"/>
  <c r="X3" i="2"/>
  <c r="T4" i="2"/>
  <c r="U4" i="2"/>
  <c r="V4" i="2"/>
  <c r="X4" i="2"/>
  <c r="T5" i="2"/>
  <c r="U5" i="2"/>
  <c r="V5" i="2"/>
  <c r="X5" i="2"/>
  <c r="T6" i="2"/>
  <c r="U6" i="2"/>
  <c r="V6" i="2"/>
  <c r="X6" i="2"/>
  <c r="T7" i="2"/>
  <c r="U7" i="2"/>
  <c r="V7" i="2"/>
  <c r="X7" i="2"/>
  <c r="T8" i="2"/>
  <c r="U8" i="2"/>
  <c r="V8" i="2"/>
  <c r="X8" i="2"/>
  <c r="T9" i="2"/>
  <c r="U9" i="2"/>
  <c r="V9" i="2"/>
  <c r="X9" i="2"/>
  <c r="T10" i="2"/>
  <c r="U10" i="2"/>
  <c r="V10" i="2"/>
  <c r="X10" i="2"/>
  <c r="T11" i="2"/>
  <c r="U11" i="2"/>
  <c r="V11" i="2"/>
  <c r="X11" i="2"/>
  <c r="T12" i="2"/>
  <c r="U12" i="2"/>
  <c r="V12" i="2"/>
  <c r="X12" i="2"/>
  <c r="T13" i="2"/>
  <c r="U13" i="2"/>
  <c r="V13" i="2"/>
  <c r="X13" i="2"/>
  <c r="S4" i="2"/>
  <c r="W4" i="2"/>
  <c r="S5" i="2"/>
  <c r="W5" i="2"/>
  <c r="S6" i="2"/>
  <c r="W6" i="2"/>
  <c r="S7" i="2"/>
  <c r="W7" i="2"/>
  <c r="S8" i="2"/>
  <c r="W8" i="2"/>
  <c r="S9" i="2"/>
  <c r="W9" i="2"/>
  <c r="S10" i="2"/>
  <c r="W10" i="2"/>
  <c r="S11" i="2"/>
  <c r="W11" i="2"/>
  <c r="S12" i="2"/>
  <c r="W12" i="2"/>
  <c r="S13" i="2"/>
  <c r="W13" i="2"/>
  <c r="S3" i="2"/>
  <c r="W3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F13" i="2"/>
  <c r="AE14" i="2"/>
  <c r="AF14" i="2"/>
  <c r="AF15" i="2"/>
  <c r="AF16" i="2"/>
  <c r="AE2" i="2"/>
  <c r="AF2" i="2"/>
  <c r="AE13" i="2"/>
  <c r="AE15" i="2"/>
  <c r="AE16" i="2"/>
  <c r="Q33" i="2"/>
  <c r="R33" i="2"/>
  <c r="Q34" i="2"/>
  <c r="R34" i="2"/>
  <c r="Q35" i="2"/>
  <c r="R35" i="2"/>
  <c r="Q32" i="2"/>
  <c r="R32" i="2"/>
  <c r="N33" i="2"/>
  <c r="N34" i="2"/>
  <c r="N35" i="2"/>
  <c r="N32" i="2"/>
  <c r="J35" i="2"/>
  <c r="J34" i="2"/>
  <c r="J33" i="2"/>
  <c r="J32" i="2"/>
  <c r="D6" i="2"/>
  <c r="B20" i="2"/>
  <c r="AG21" i="2"/>
  <c r="AJ21" i="2"/>
  <c r="AD21" i="2"/>
  <c r="AK21" i="2"/>
  <c r="AG22" i="2"/>
  <c r="AJ22" i="2"/>
  <c r="AD22" i="2"/>
  <c r="AK22" i="2"/>
  <c r="AG23" i="2"/>
  <c r="AJ23" i="2"/>
  <c r="AD23" i="2"/>
  <c r="AK23" i="2"/>
  <c r="AD24" i="2"/>
  <c r="AG24" i="2"/>
  <c r="AJ24" i="2"/>
  <c r="AK24" i="2"/>
  <c r="AG25" i="2"/>
  <c r="AJ25" i="2"/>
  <c r="AD25" i="2"/>
  <c r="AK25" i="2"/>
  <c r="AG26" i="2"/>
  <c r="AJ26" i="2"/>
  <c r="AD26" i="2"/>
  <c r="AK26" i="2"/>
  <c r="AG27" i="2"/>
  <c r="AJ27" i="2"/>
  <c r="AD27" i="2"/>
  <c r="AK27" i="2"/>
  <c r="AD28" i="2"/>
  <c r="AG28" i="2"/>
  <c r="AJ28" i="2"/>
  <c r="AK28" i="2"/>
  <c r="AD29" i="2"/>
  <c r="AG29" i="2"/>
  <c r="AJ29" i="2"/>
  <c r="AK29" i="2"/>
  <c r="AD30" i="2"/>
  <c r="AG30" i="2"/>
  <c r="AJ30" i="2"/>
  <c r="AK30" i="2"/>
  <c r="AD31" i="2"/>
  <c r="AG31" i="2"/>
  <c r="AJ31" i="2"/>
  <c r="AK31" i="2"/>
  <c r="AD32" i="2"/>
  <c r="AG32" i="2"/>
  <c r="AJ32" i="2"/>
  <c r="AK32" i="2"/>
  <c r="AJ20" i="2"/>
  <c r="AD20" i="2"/>
  <c r="AK20" i="2"/>
  <c r="AG20" i="2"/>
  <c r="AL32" i="2"/>
  <c r="AL2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2" i="2"/>
  <c r="AD17" i="2"/>
  <c r="B18" i="2"/>
  <c r="B21" i="2"/>
  <c r="B24" i="2"/>
  <c r="Q4" i="2"/>
  <c r="Q5" i="2"/>
  <c r="Q6" i="2"/>
  <c r="Q7" i="2"/>
  <c r="Q8" i="2"/>
  <c r="Q9" i="2"/>
  <c r="Q10" i="2"/>
  <c r="Q11" i="2"/>
  <c r="Q12" i="2"/>
  <c r="Q13" i="2"/>
  <c r="N4" i="2"/>
  <c r="R4" i="2"/>
  <c r="N5" i="2"/>
  <c r="R5" i="2"/>
  <c r="N6" i="2"/>
  <c r="R6" i="2"/>
  <c r="N7" i="2"/>
  <c r="R7" i="2"/>
  <c r="N8" i="2"/>
  <c r="R8" i="2"/>
  <c r="N9" i="2"/>
  <c r="R9" i="2"/>
  <c r="N10" i="2"/>
  <c r="R10" i="2"/>
  <c r="N11" i="2"/>
  <c r="R11" i="2"/>
  <c r="N12" i="2"/>
  <c r="R12" i="2"/>
  <c r="N13" i="2"/>
  <c r="R13" i="2"/>
  <c r="Q3" i="2"/>
  <c r="N3" i="2"/>
  <c r="R3" i="2"/>
  <c r="Q21" i="2"/>
  <c r="N21" i="2"/>
  <c r="R21" i="2"/>
  <c r="Q22" i="2"/>
  <c r="N22" i="2"/>
  <c r="R22" i="2"/>
  <c r="Q23" i="2"/>
  <c r="N23" i="2"/>
  <c r="R23" i="2"/>
  <c r="Q24" i="2"/>
  <c r="N24" i="2"/>
  <c r="R24" i="2"/>
  <c r="Q25" i="2"/>
  <c r="N25" i="2"/>
  <c r="R25" i="2"/>
  <c r="Q26" i="2"/>
  <c r="N26" i="2"/>
  <c r="R26" i="2"/>
  <c r="Q27" i="2"/>
  <c r="N27" i="2"/>
  <c r="R27" i="2"/>
  <c r="Q28" i="2"/>
  <c r="R28" i="2"/>
  <c r="Q20" i="2"/>
  <c r="N20" i="2"/>
  <c r="R20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Y10" i="2"/>
  <c r="Y7" i="2"/>
  <c r="B7" i="2"/>
  <c r="C7" i="2"/>
  <c r="D7" i="2"/>
  <c r="D3" i="2"/>
  <c r="C3" i="2"/>
  <c r="C6" i="2"/>
  <c r="C5" i="2"/>
  <c r="B3" i="2"/>
  <c r="B6" i="2"/>
  <c r="B5" i="2"/>
  <c r="K12" i="1"/>
  <c r="C3" i="1"/>
  <c r="C4" i="1"/>
  <c r="D4" i="1"/>
  <c r="C5" i="1"/>
  <c r="D5" i="1"/>
  <c r="C6" i="1"/>
  <c r="D6" i="1"/>
  <c r="C7" i="1"/>
  <c r="D7" i="1"/>
  <c r="C8" i="1"/>
  <c r="D8" i="1"/>
  <c r="D3" i="1"/>
  <c r="K3" i="1"/>
  <c r="K4" i="1"/>
  <c r="K8" i="1"/>
  <c r="AG15" i="2"/>
  <c r="AG16" i="2"/>
  <c r="Y28" i="2"/>
  <c r="Y23" i="2"/>
  <c r="Y20" i="2"/>
  <c r="Y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<sst xmlns="http://schemas.openxmlformats.org/spreadsheetml/2006/main" count="263" uniqueCount="103">
  <si>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</si>
  <si>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</si>
  <si>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</si>
  <si>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</si>
  <si>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</si>
  <si>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</si>
  <si>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</si>
  <si>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</si>
  <si>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</si>
  <si>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</si>
  <si>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</si>
  <si>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</si>
  <si>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</si>
  <si>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</si>
  <si>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</si>
  <si>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</si>
  <si>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</si>
  <si>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</si>
  <si>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</si>
  <si>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</si>
  <si>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</si>
  <si>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</si>
  <si>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</si>
  <si>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</si>
  <si>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</si>
  <si>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</si>
  <si>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</si>
  <si>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</si>
  <si>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</si>
  <si>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</si>
  <si>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</si>
  <si>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</si>
  <si>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</si>
  <si>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</si>
  <si>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</si>
  <si>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</si>
  <si>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</si>
  <si>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</si>
  <si>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</si>
  <si>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</si>
  <si>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</si>
  <si>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</si>
  <si>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</si>
  <si>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</si>
  <si>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</si>
  <si>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</si>
  <si>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</si>
  <si>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甜心假面</t>
    <phoneticPr fontId="1" type="noConversion"/>
  </si>
  <si>
    <t>童帝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</si>
  <si>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</si>
  <si>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</si>
  <si>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</si>
  <si>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</si>
  <si>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</si>
  <si>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</si>
  <si>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</si>
  <si>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</si>
  <si>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</si>
  <si>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</si>
  <si>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</si>
  <si>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</si>
  <si>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</si>
  <si>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</si>
  <si>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</si>
  <si>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</si>
  <si>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</si>
  <si>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随机5星饰品</t>
    <phoneticPr fontId="1" type="noConversion"/>
  </si>
  <si>
    <t>英雄招募令</t>
    <phoneticPr fontId="1" type="noConversion"/>
  </si>
  <si>
    <t>钻石</t>
    <phoneticPr fontId="1" type="noConversion"/>
  </si>
  <si>
    <t>高级招募令</t>
    <phoneticPr fontId="1" type="noConversion"/>
  </si>
  <si>
    <t>随机4星饰品</t>
  </si>
  <si>
    <t>随机4星饰品</t>
    <phoneticPr fontId="1" type="noConversion"/>
  </si>
  <si>
    <t>随机3星饰品</t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</si>
  <si>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</si>
  <si>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</si>
  <si>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</si>
  <si>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</si>
  <si>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</si>
  <si>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</si>
  <si>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</si>
  <si>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随机2星饰品</t>
  </si>
  <si>
    <t>随机2星饰品</t>
    <phoneticPr fontId="1" type="noConversion"/>
  </si>
  <si>
    <t>钻石消耗</t>
    <rPh sb="0" eb="1">
      <t>zuan'shi</t>
    </rPh>
    <rPh sb="2" eb="3">
      <t>xiao'hao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</si>
  <si>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</si>
  <si>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中等攻击天赋书</t>
    <rPh sb="2" eb="3">
      <t>gong'ji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</si>
  <si>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</si>
  <si>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总值</t>
    <rPh sb="0" eb="1">
      <t>zong'zhi</t>
    </rPh>
    <phoneticPr fontId="1" type="noConversion"/>
  </si>
  <si>
    <t>钻石</t>
    <rPh sb="0" eb="1">
      <t>zuan'shi</t>
    </rPh>
    <phoneticPr fontId="1" type="noConversion"/>
  </si>
  <si>
    <t>类型</t>
    <rPh sb="0" eb="1">
      <t>lei'xing</t>
    </rPh>
    <phoneticPr fontId="1" type="noConversion"/>
  </si>
  <si>
    <t>数量</t>
    <rPh sb="0" eb="1">
      <t>shu'liagn</t>
    </rPh>
    <phoneticPr fontId="1" type="noConversion"/>
  </si>
  <si>
    <t>价值</t>
    <rPh sb="0" eb="1">
      <t>jia'zhi</t>
    </rPh>
    <phoneticPr fontId="1" type="noConversion"/>
  </si>
  <si>
    <t>击杀奖励</t>
    <rPh sb="0" eb="1">
      <t>ji'sha</t>
    </rPh>
    <rPh sb="2" eb="3">
      <t>jiang'li</t>
    </rPh>
    <phoneticPr fontId="1" type="noConversion"/>
  </si>
  <si>
    <t>数量</t>
    <rPh sb="0" eb="1">
      <t>shu'liang</t>
    </rPh>
    <phoneticPr fontId="1" type="noConversion"/>
  </si>
  <si>
    <t>经验鸡块</t>
    <rPh sb="0" eb="1">
      <t>jing'yan</t>
    </rPh>
    <rPh sb="2" eb="3">
      <t>ji'kuai</t>
    </rPh>
    <phoneticPr fontId="1" type="noConversion"/>
  </si>
  <si>
    <t>经验鱼籽丼</t>
  </si>
  <si>
    <t>现金</t>
    <rPh sb="0" eb="1">
      <t>xian'jin</t>
    </rPh>
    <phoneticPr fontId="1" type="noConversion"/>
  </si>
  <si>
    <t>总价值</t>
    <rPh sb="0" eb="1">
      <t>zong'jia'zhi</t>
    </rPh>
    <phoneticPr fontId="1" type="noConversion"/>
  </si>
  <si>
    <t>预览汇总</t>
    <rPh sb="0" eb="1">
      <t>yu'lan</t>
    </rPh>
    <rPh sb="2" eb="3">
      <t>hui'zong</t>
    </rPh>
    <phoneticPr fontId="1" type="noConversion"/>
  </si>
  <si>
    <t>奖励汇总</t>
    <rPh sb="0" eb="1">
      <t>jiang'li</t>
    </rPh>
    <rPh sb="2" eb="3">
      <t>hui'zong</t>
    </rPh>
    <phoneticPr fontId="1" type="noConversion"/>
  </si>
  <si>
    <t xml:space="preserve"> </t>
    <phoneticPr fontId="1" type="noConversion"/>
  </si>
  <si>
    <t>EventWorldBoss</t>
    <phoneticPr fontId="1" type="noConversion"/>
  </si>
  <si>
    <t>EventDamageRank</t>
    <phoneticPr fontId="1" type="noConversion"/>
  </si>
  <si>
    <t>EventPointRank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</si>
</sst>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30" zoomScaleNormal="130" zoomScalePageLayoutView="130" workbookViewId="0">
      <selection activeCell="A10" sqref="A10"/>
    </sheetView>
  </sheetViews>
  <sheetFormatPr baseColWidth="10" defaultColWidth="8.83203125" defaultRowHeight="13" x14ac:dyDescent="0.15"/>
  <cols>
    <col min="1" max="5" width="8.83203125" style="3"/>
    <col min="6" max="7" width="8.83203125" style="1"/>
    <col min="8" max="9" width="8.83203125" style="3"/>
    <col min="10" max="10" width="10.1640625" style="3" bestFit="1" customWidth="1"/>
    <col min="11" max="11" width="8.83203125" style="1"/>
    <col min="12" max="16384" width="8.83203125" style="3"/>
  </cols>
  <sheetData>
    <row r="1" spans="1:13" x14ac:dyDescent="0.15">
      <c r="F1" s="1" t="s">
        <v>2</v>
      </c>
      <c r="G1" s="1" t="s">
        <v>1</v>
      </c>
      <c r="J1" s="3" t="s">
        <v>33</v>
      </c>
      <c r="K1" s="1">
        <v>5</v>
      </c>
      <c r="M1" s="3" t="s">
        <v>52</v>
      </c>
    </row>
    <row r="2" spans="1:13" x14ac:dyDescent="0.15">
      <c r="A2" s="1"/>
      <c r="B2" s="1"/>
      <c r="C2" s="1" t="s">
        <v>2</v>
      </c>
      <c r="D2" s="1" t="s">
        <v>1</v>
      </c>
      <c r="F2" s="1">
        <v>50000</v>
      </c>
      <c r="G2" s="1">
        <f>IF(F2&lt;=$A$4,F2*$B$4,$A$4*$B$4+IF(F2&lt;=$A$5,(F2-$A$4)*$B$5,($A$5-$A$4)*$B$5+IF(F2&lt;=$A$6,(F2-$A$5)*$B$6,($A$6-$A$5)*$B$6+IF(F2&lt;=$A$7,(F2-$A$6)*$B$7,($A$7-$A$6)*$B$7+IF(F2&lt;=$A$8,(F2-$A$7)*$B$8,($A$8-$A$7)*$B$8)))))</f>
        <v>500</v>
      </c>
      <c r="J2" s="3" t="s">
        <v>34</v>
      </c>
      <c r="K2" s="1">
        <v>900000</v>
      </c>
    </row>
    <row r="3" spans="1:13" x14ac:dyDescent="0.15">
      <c r="A3" s="1" t="s">
        <v>3</v>
      </c>
      <c r="B3" s="1" t="s">
        <v>0</v>
      </c>
      <c r="C3" s="1">
        <f>K2</f>
        <v>900000</v>
      </c>
      <c r="D3" s="1">
        <f>SUM(D4:D8)</f>
        <v>2250</v>
      </c>
      <c r="F3" s="1">
        <v>100000</v>
      </c>
      <c r="G3" s="1">
        <f t="shared" ref="G3:G53" si="0">IF(F3&lt;=$A$4,F3*$B$4,$A$4*$B$4+IF(F3&lt;=$A$5,(F3-$A$4)*$B$5,($A$5-$A$4)*$B$5+IF(F3&lt;=$A$6,(F3-$A$5)*$B$6,($A$6-$A$5)*$B$6+IF(F3&lt;=$A$7,(F3-$A$6)*$B$7,($A$7-$A$6)*$B$7+IF(F3&lt;=$A$8,(F3-$A$7)*$B$8,($A$8-$A$7)*$B$8)))))</f>
        <v>750</v>
      </c>
      <c r="J3" s="3" t="s">
        <v>35</v>
      </c>
      <c r="K3" s="1">
        <f>D3*(1+MAX(K17:K19))</f>
        <v>2362.5</v>
      </c>
    </row>
    <row r="4" spans="1:13" x14ac:dyDescent="0.15">
      <c r="A4" s="1">
        <v>50000</v>
      </c>
      <c r="B4" s="1">
        <v>0.01</v>
      </c>
      <c r="C4" s="1">
        <f>MAX(IF(C3&gt;A4,A4,C3),0)</f>
        <v>50000</v>
      </c>
      <c r="D4" s="1">
        <f>B4*C4</f>
        <v>500</v>
      </c>
      <c r="F4" s="1">
        <v>150000</v>
      </c>
      <c r="G4" s="1">
        <f t="shared" si="0"/>
        <v>1000</v>
      </c>
      <c r="J4" s="3" t="s">
        <v>36</v>
      </c>
      <c r="K4" s="1">
        <f>K3*K1</f>
        <v>11812.5</v>
      </c>
    </row>
    <row r="5" spans="1:13" x14ac:dyDescent="0.15">
      <c r="A5" s="1">
        <v>200000</v>
      </c>
      <c r="B5" s="1">
        <v>5.0000000000000001E-3</v>
      </c>
      <c r="C5" s="1">
        <f>MAX(IF($C$3&gt;A5,A5-A4,$C$3-A4),0)</f>
        <v>150000</v>
      </c>
      <c r="D5" s="1">
        <f t="shared" ref="D5:D8" si="1">B5*C5</f>
        <v>750</v>
      </c>
      <c r="F5" s="1">
        <v>200000</v>
      </c>
      <c r="G5" s="1">
        <f t="shared" si="0"/>
        <v>1250</v>
      </c>
    </row>
    <row r="6" spans="1:13" x14ac:dyDescent="0.15">
      <c r="A6" s="1">
        <v>500000</v>
      </c>
      <c r="B6" s="1">
        <v>2E-3</v>
      </c>
      <c r="C6" s="1">
        <f t="shared" ref="C6:C8" si="2">MAX(IF($C$3&gt;A6,A6-A5,$C$3-A5),0)</f>
        <v>300000</v>
      </c>
      <c r="D6" s="1">
        <f t="shared" si="1"/>
        <v>600</v>
      </c>
      <c r="F6" s="1">
        <v>250000</v>
      </c>
      <c r="G6" s="1">
        <f t="shared" si="0"/>
        <v>1350</v>
      </c>
    </row>
    <row r="7" spans="1:13" x14ac:dyDescent="0.15">
      <c r="A7" s="1">
        <v>1000000</v>
      </c>
      <c r="B7" s="1">
        <v>1E-3</v>
      </c>
      <c r="C7" s="1">
        <f t="shared" si="2"/>
        <v>400000</v>
      </c>
      <c r="D7" s="1">
        <f t="shared" si="1"/>
        <v>400</v>
      </c>
      <c r="F7" s="1">
        <v>300000</v>
      </c>
      <c r="G7" s="1">
        <f t="shared" si="0"/>
        <v>1450</v>
      </c>
      <c r="J7" s="3" t="s">
        <v>37</v>
      </c>
      <c r="K7" s="1">
        <v>14</v>
      </c>
    </row>
    <row r="8" spans="1:13" x14ac:dyDescent="0.15">
      <c r="A8" s="1">
        <v>9999999</v>
      </c>
      <c r="B8" s="1">
        <v>5.0000000000000001E-4</v>
      </c>
      <c r="C8" s="1">
        <f t="shared" si="2"/>
        <v>0</v>
      </c>
      <c r="D8" s="1">
        <f t="shared" si="1"/>
        <v>0</v>
      </c>
      <c r="F8" s="1">
        <v>350000</v>
      </c>
      <c r="G8" s="1">
        <f t="shared" si="0"/>
        <v>1550</v>
      </c>
      <c r="J8" s="3" t="s">
        <v>38</v>
      </c>
      <c r="K8" s="1">
        <f>K7*K4</f>
        <v>165375</v>
      </c>
    </row>
    <row r="9" spans="1:13" x14ac:dyDescent="0.15">
      <c r="F9" s="1">
        <v>400000</v>
      </c>
      <c r="G9" s="1">
        <f t="shared" si="0"/>
        <v>1650</v>
      </c>
    </row>
    <row r="10" spans="1:13" x14ac:dyDescent="0.15">
      <c r="A10" s="3" t="str">
        <f>A4&amp;","&amp;A5&amp;","&amp;A6&amp;","&amp;A7&amp;","&amp;A8</f>
        <v>50000,200000,500000,1000000,9999999</v>
      </c>
      <c r="B10" s="3" t="str">
        <f>B4&amp;","&amp;B5&amp;","&amp;B6&amp;","&amp;B7&amp;","&amp;B8</f>
        <v>0.01,0.005,0.002,0.001,0.0005</v>
      </c>
      <c r="F10" s="1">
        <v>450000</v>
      </c>
      <c r="G10" s="1">
        <f t="shared" si="0"/>
        <v>1750</v>
      </c>
    </row>
    <row r="11" spans="1:13" x14ac:dyDescent="0.15">
      <c r="F11" s="1">
        <v>500000</v>
      </c>
      <c r="G11" s="1">
        <f t="shared" si="0"/>
        <v>1850</v>
      </c>
      <c r="J11" s="3" t="s">
        <v>39</v>
      </c>
      <c r="K11" s="1">
        <v>150000</v>
      </c>
    </row>
    <row r="12" spans="1:13" x14ac:dyDescent="0.15">
      <c r="F12" s="1">
        <v>550000</v>
      </c>
      <c r="G12" s="1">
        <f t="shared" si="0"/>
        <v>1900</v>
      </c>
      <c r="J12" s="3" t="s">
        <v>51</v>
      </c>
      <c r="K12" s="1">
        <f>K11/K1/K3</f>
        <v>12.698412698412698</v>
      </c>
    </row>
    <row r="13" spans="1:13" x14ac:dyDescent="0.15">
      <c r="F13" s="1">
        <v>600000</v>
      </c>
      <c r="G13" s="1">
        <f t="shared" si="0"/>
        <v>1950</v>
      </c>
    </row>
    <row r="14" spans="1:13" x14ac:dyDescent="0.15">
      <c r="F14" s="1">
        <v>650000</v>
      </c>
      <c r="G14" s="1">
        <f t="shared" si="0"/>
        <v>2000</v>
      </c>
    </row>
    <row r="15" spans="1:13" x14ac:dyDescent="0.15">
      <c r="F15" s="1">
        <v>700000</v>
      </c>
      <c r="G15" s="1">
        <f t="shared" si="0"/>
        <v>2050</v>
      </c>
    </row>
    <row r="16" spans="1:13" x14ac:dyDescent="0.15">
      <c r="F16" s="1">
        <v>750000</v>
      </c>
      <c r="G16" s="1">
        <f t="shared" si="0"/>
        <v>2100</v>
      </c>
      <c r="J16" s="3" t="s">
        <v>49</v>
      </c>
    </row>
    <row r="17" spans="6:11" x14ac:dyDescent="0.15">
      <c r="F17" s="1">
        <v>800000</v>
      </c>
      <c r="G17" s="1">
        <f t="shared" si="0"/>
        <v>2150</v>
      </c>
      <c r="J17" s="3" t="s">
        <v>48</v>
      </c>
      <c r="K17" s="8">
        <v>0.05</v>
      </c>
    </row>
    <row r="18" spans="6:11" x14ac:dyDescent="0.15">
      <c r="F18" s="1">
        <v>850000</v>
      </c>
      <c r="G18" s="1">
        <f t="shared" si="0"/>
        <v>2200</v>
      </c>
      <c r="J18" s="3" t="s">
        <v>47</v>
      </c>
      <c r="K18" s="8">
        <v>0.03</v>
      </c>
    </row>
    <row r="19" spans="6:11" x14ac:dyDescent="0.15">
      <c r="F19" s="1">
        <v>900000</v>
      </c>
      <c r="G19" s="1">
        <f t="shared" si="0"/>
        <v>2250</v>
      </c>
      <c r="J19" s="3" t="s">
        <v>50</v>
      </c>
      <c r="K19" s="8">
        <v>0.02</v>
      </c>
    </row>
    <row r="20" spans="6:11" x14ac:dyDescent="0.15">
      <c r="F20" s="1">
        <v>950000</v>
      </c>
      <c r="G20" s="1">
        <f t="shared" si="0"/>
        <v>2300</v>
      </c>
    </row>
    <row r="21" spans="6:11" x14ac:dyDescent="0.15">
      <c r="F21" s="1">
        <v>1000000</v>
      </c>
      <c r="G21" s="1">
        <f t="shared" si="0"/>
        <v>2350</v>
      </c>
    </row>
    <row r="22" spans="6:11" x14ac:dyDescent="0.15">
      <c r="F22" s="1">
        <v>1050000</v>
      </c>
      <c r="G22" s="1">
        <f t="shared" si="0"/>
        <v>2375</v>
      </c>
    </row>
    <row r="23" spans="6:11" x14ac:dyDescent="0.15">
      <c r="F23" s="1">
        <v>1100000</v>
      </c>
      <c r="G23" s="1">
        <f t="shared" si="0"/>
        <v>2400</v>
      </c>
    </row>
    <row r="24" spans="6:11" x14ac:dyDescent="0.15">
      <c r="F24" s="1">
        <v>1150000</v>
      </c>
      <c r="G24" s="1">
        <f t="shared" si="0"/>
        <v>2425</v>
      </c>
    </row>
    <row r="25" spans="6:11" x14ac:dyDescent="0.15">
      <c r="F25" s="1">
        <v>1200000</v>
      </c>
      <c r="G25" s="1">
        <f t="shared" si="0"/>
        <v>2450</v>
      </c>
    </row>
    <row r="26" spans="6:11" x14ac:dyDescent="0.15">
      <c r="F26" s="1">
        <v>1250000</v>
      </c>
      <c r="G26" s="1">
        <f t="shared" si="0"/>
        <v>2475</v>
      </c>
    </row>
    <row r="27" spans="6:11" x14ac:dyDescent="0.15">
      <c r="F27" s="1">
        <v>1300000</v>
      </c>
      <c r="G27" s="1">
        <f t="shared" si="0"/>
        <v>2500</v>
      </c>
    </row>
    <row r="28" spans="6:11" x14ac:dyDescent="0.15">
      <c r="F28" s="1">
        <v>1350000</v>
      </c>
      <c r="G28" s="1">
        <f t="shared" si="0"/>
        <v>2525</v>
      </c>
    </row>
    <row r="29" spans="6:11" x14ac:dyDescent="0.15">
      <c r="F29" s="1">
        <v>1400000</v>
      </c>
      <c r="G29" s="1">
        <f t="shared" si="0"/>
        <v>2550</v>
      </c>
    </row>
    <row r="30" spans="6:11" x14ac:dyDescent="0.15">
      <c r="F30" s="1">
        <v>1450000</v>
      </c>
      <c r="G30" s="1">
        <f t="shared" si="0"/>
        <v>2575</v>
      </c>
    </row>
    <row r="31" spans="6:11" x14ac:dyDescent="0.15">
      <c r="F31" s="1">
        <v>1500000</v>
      </c>
      <c r="G31" s="1">
        <f t="shared" si="0"/>
        <v>2600</v>
      </c>
    </row>
    <row r="32" spans="6:11" x14ac:dyDescent="0.15">
      <c r="F32" s="1">
        <v>1550000</v>
      </c>
      <c r="G32" s="1">
        <f t="shared" si="0"/>
        <v>2625</v>
      </c>
    </row>
    <row r="33" spans="6:7" x14ac:dyDescent="0.15">
      <c r="F33" s="1">
        <v>1600000</v>
      </c>
      <c r="G33" s="1">
        <f t="shared" si="0"/>
        <v>2650</v>
      </c>
    </row>
    <row r="34" spans="6:7" x14ac:dyDescent="0.15">
      <c r="F34" s="1">
        <v>1650000</v>
      </c>
      <c r="G34" s="1">
        <f t="shared" si="0"/>
        <v>2675</v>
      </c>
    </row>
    <row r="35" spans="6:7" x14ac:dyDescent="0.15">
      <c r="F35" s="1">
        <v>1700000</v>
      </c>
      <c r="G35" s="1">
        <f t="shared" si="0"/>
        <v>2700</v>
      </c>
    </row>
    <row r="36" spans="6:7" x14ac:dyDescent="0.15">
      <c r="F36" s="1">
        <v>1750000</v>
      </c>
      <c r="G36" s="1">
        <f t="shared" si="0"/>
        <v>2725</v>
      </c>
    </row>
    <row r="37" spans="6:7" x14ac:dyDescent="0.15">
      <c r="F37" s="1">
        <v>1800000</v>
      </c>
      <c r="G37" s="1">
        <f t="shared" si="0"/>
        <v>2750</v>
      </c>
    </row>
    <row r="38" spans="6:7" x14ac:dyDescent="0.15">
      <c r="F38" s="1">
        <v>1850000</v>
      </c>
      <c r="G38" s="1">
        <f t="shared" si="0"/>
        <v>2775</v>
      </c>
    </row>
    <row r="39" spans="6:7" x14ac:dyDescent="0.15">
      <c r="F39" s="1">
        <v>1900000</v>
      </c>
      <c r="G39" s="1">
        <f t="shared" si="0"/>
        <v>2800</v>
      </c>
    </row>
    <row r="40" spans="6:7" x14ac:dyDescent="0.15">
      <c r="F40" s="1">
        <v>1950000</v>
      </c>
      <c r="G40" s="1">
        <f t="shared" si="0"/>
        <v>2825</v>
      </c>
    </row>
    <row r="41" spans="6:7" x14ac:dyDescent="0.15">
      <c r="F41" s="1">
        <v>2000000</v>
      </c>
      <c r="G41" s="1">
        <f t="shared" si="0"/>
        <v>2850</v>
      </c>
    </row>
    <row r="42" spans="6:7" x14ac:dyDescent="0.15">
      <c r="F42" s="1">
        <v>2050000</v>
      </c>
      <c r="G42" s="1">
        <f t="shared" si="0"/>
        <v>2875</v>
      </c>
    </row>
    <row r="43" spans="6:7" x14ac:dyDescent="0.15">
      <c r="F43" s="1">
        <v>2100000</v>
      </c>
      <c r="G43" s="1">
        <f t="shared" si="0"/>
        <v>2900</v>
      </c>
    </row>
    <row r="44" spans="6:7" x14ac:dyDescent="0.15">
      <c r="F44" s="1">
        <v>2150000</v>
      </c>
      <c r="G44" s="1">
        <f t="shared" si="0"/>
        <v>2925</v>
      </c>
    </row>
    <row r="45" spans="6:7" x14ac:dyDescent="0.15">
      <c r="F45" s="1">
        <v>2200000</v>
      </c>
      <c r="G45" s="1">
        <f t="shared" si="0"/>
        <v>2950</v>
      </c>
    </row>
    <row r="46" spans="6:7" x14ac:dyDescent="0.15">
      <c r="F46" s="1">
        <v>2250000</v>
      </c>
      <c r="G46" s="1">
        <f t="shared" si="0"/>
        <v>2975</v>
      </c>
    </row>
    <row r="47" spans="6:7" x14ac:dyDescent="0.15">
      <c r="F47" s="1">
        <v>2300000</v>
      </c>
      <c r="G47" s="1">
        <f t="shared" si="0"/>
        <v>3000</v>
      </c>
    </row>
    <row r="48" spans="6:7" x14ac:dyDescent="0.15">
      <c r="F48" s="1">
        <v>2350000</v>
      </c>
      <c r="G48" s="1">
        <f t="shared" si="0"/>
        <v>3025</v>
      </c>
    </row>
    <row r="49" spans="6:7" x14ac:dyDescent="0.15">
      <c r="F49" s="1">
        <v>2400000</v>
      </c>
      <c r="G49" s="1">
        <f t="shared" si="0"/>
        <v>3050</v>
      </c>
    </row>
    <row r="50" spans="6:7" x14ac:dyDescent="0.15">
      <c r="F50" s="1">
        <v>2450000</v>
      </c>
      <c r="G50" s="1">
        <f t="shared" si="0"/>
        <v>3075</v>
      </c>
    </row>
    <row r="51" spans="6:7" x14ac:dyDescent="0.15">
      <c r="F51" s="1">
        <v>2500000</v>
      </c>
      <c r="G51" s="1">
        <f t="shared" si="0"/>
        <v>3100</v>
      </c>
    </row>
    <row r="52" spans="6:7" x14ac:dyDescent="0.15">
      <c r="F52" s="1">
        <v>2550000</v>
      </c>
      <c r="G52" s="1">
        <f t="shared" si="0"/>
        <v>3125</v>
      </c>
    </row>
    <row r="53" spans="6:7" x14ac:dyDescent="0.15">
      <c r="F53" s="1">
        <v>2600000</v>
      </c>
      <c r="G53" s="1">
        <f t="shared" si="0"/>
        <v>3150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E1" zoomScale="120" zoomScaleNormal="120" zoomScalePageLayoutView="120" workbookViewId="0">
      <selection activeCell="Z14" sqref="Z14"/>
    </sheetView>
  </sheetViews>
  <sheetFormatPr baseColWidth="10" defaultColWidth="8.83203125" defaultRowHeight="13" x14ac:dyDescent="0.15"/>
  <cols>
    <col min="1" max="1" width="14.83203125" style="2" customWidth="1"/>
    <col min="2" max="8" width="6.6640625" style="2" customWidth="1"/>
    <col min="9" max="9" width="5.83203125" style="2" customWidth="1"/>
    <col min="10" max="11" width="8.1640625" style="1" customWidth="1"/>
    <col min="12" max="12" width="10.5" style="2" bestFit="1" customWidth="1"/>
    <col min="13" max="14" width="6.6640625" style="2" customWidth="1"/>
    <col min="15" max="15" width="10.5" style="2" bestFit="1" customWidth="1"/>
    <col min="16" max="18" width="6.1640625" style="2" customWidth="1"/>
    <col min="19" max="24" width="8.83203125" style="2"/>
    <col min="25" max="25" width="8.83203125" style="4"/>
    <col min="26" max="26" width="8.83203125" style="2"/>
    <col min="27" max="27" width="11.1640625" style="2" bestFit="1" customWidth="1"/>
    <col min="28" max="28" width="13.1640625" style="2" bestFit="1" customWidth="1"/>
    <col min="29" max="32" width="8.83203125" style="2"/>
    <col min="33" max="33" width="8.83203125" style="4"/>
    <col min="34" max="16384" width="8.83203125" style="2"/>
  </cols>
  <sheetData>
    <row r="1" spans="1:33" x14ac:dyDescent="0.15">
      <c r="B1" s="4" t="s">
        <v>41</v>
      </c>
      <c r="C1" s="4" t="s">
        <v>42</v>
      </c>
      <c r="D1" s="4" t="s">
        <v>43</v>
      </c>
      <c r="E1" s="4"/>
      <c r="F1" s="4"/>
      <c r="G1" s="4"/>
      <c r="H1" s="4"/>
      <c r="J1" s="1" t="s">
        <v>58</v>
      </c>
      <c r="K1" s="9" t="s">
        <v>101</v>
      </c>
      <c r="AA1" s="4" t="s">
        <v>32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46</v>
      </c>
    </row>
    <row r="2" spans="1:33" x14ac:dyDescent="0.15">
      <c r="A2" s="2" t="s">
        <v>40</v>
      </c>
      <c r="B2" s="5">
        <v>24600</v>
      </c>
      <c r="C2" s="5">
        <v>18860</v>
      </c>
      <c r="D2" s="5">
        <v>15000</v>
      </c>
      <c r="E2" s="5"/>
      <c r="F2" s="5"/>
      <c r="G2" s="5"/>
      <c r="H2" s="5"/>
      <c r="J2" s="1" t="s">
        <v>24</v>
      </c>
      <c r="K2" s="1" t="s">
        <v>25</v>
      </c>
      <c r="L2" s="2" t="s">
        <v>26</v>
      </c>
      <c r="M2" s="2" t="s">
        <v>27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40</v>
      </c>
      <c r="S2" s="2" t="s">
        <v>29</v>
      </c>
      <c r="T2" s="2" t="s">
        <v>30</v>
      </c>
      <c r="U2" s="2" t="s">
        <v>29</v>
      </c>
      <c r="V2" s="2" t="s">
        <v>30</v>
      </c>
      <c r="W2" s="3" t="s">
        <v>98</v>
      </c>
      <c r="X2" s="3" t="s">
        <v>97</v>
      </c>
      <c r="Y2" s="4" t="s">
        <v>46</v>
      </c>
      <c r="AA2" s="4">
        <v>5000</v>
      </c>
      <c r="AB2" s="4" t="s">
        <v>94</v>
      </c>
      <c r="AC2" s="4">
        <v>2</v>
      </c>
      <c r="AD2" s="4">
        <f>VLOOKUP(AB2,价值!$B:$G,6,0)*AC2</f>
        <v>120</v>
      </c>
      <c r="AE2" s="4" t="str">
        <f>VLOOKUP(AB2,价值!$B:$G,3,0)&amp;","&amp;AC2</f>
        <v>prop,105,2</v>
      </c>
      <c r="AF2" s="3" t="str">
        <f>IF(VLOOKUP(AB2,价值!$B:$G,5,0)=0,AE2,VLOOKUP(AB2,价值!$B:$G,5,0)&amp;","&amp;AC2)</f>
        <v>prop,105,2</v>
      </c>
    </row>
    <row r="3" spans="1:33" x14ac:dyDescent="0.15">
      <c r="A3" s="2" t="s">
        <v>32</v>
      </c>
      <c r="B3" s="4">
        <f>D3</f>
        <v>11750</v>
      </c>
      <c r="C3" s="4">
        <f>D3</f>
        <v>11750</v>
      </c>
      <c r="D3" s="4">
        <f>D2-SUM(D4:D7)</f>
        <v>11750</v>
      </c>
      <c r="E3" s="4"/>
      <c r="F3" s="4"/>
      <c r="G3" s="4"/>
      <c r="H3" s="4"/>
      <c r="J3" s="1">
        <v>1</v>
      </c>
      <c r="K3" s="1">
        <v>1</v>
      </c>
      <c r="L3" s="2" t="s">
        <v>71</v>
      </c>
      <c r="M3" s="2">
        <v>2</v>
      </c>
      <c r="N3" s="2">
        <f>VLOOKUP(L3,价值!$B:$G,6,0)*M3</f>
        <v>1200</v>
      </c>
      <c r="O3" s="2" t="s">
        <v>74</v>
      </c>
      <c r="P3" s="2">
        <v>20000</v>
      </c>
      <c r="Q3" s="2">
        <f>VLOOKUP(O3,价值!$B:$G,6,0)*P3</f>
        <v>400</v>
      </c>
      <c r="R3" s="2">
        <f>Q3+N3</f>
        <v>1600</v>
      </c>
      <c r="S3" s="2" t="str">
        <f>VLOOKUP(L3,价值!$B:$G,3,0)&amp;","&amp;M3</f>
        <v>pack,304,2</v>
      </c>
      <c r="T3" s="2" t="str">
        <f>IF(VLOOKUP(L3,价值!$B:$G,5,0)=0,S3,VLOOKUP(L3,价值!$B:$G,5,0)&amp;","&amp;M3)</f>
        <v>item,104,2</v>
      </c>
      <c r="U3" s="2" t="str">
        <f>VLOOKUP(O3,价值!$B:$G,3,0)&amp;","&amp;P3</f>
        <v>coin,20000</v>
      </c>
      <c r="V3" s="2" t="str">
        <f>IF(VLOOKUP(O3,价值!$B:$G,5,0)=0,U3,VLOOKUP(O3,价值!$B:$G,5,0)&amp;","&amp;P3)</f>
        <v>coin,20000</v>
      </c>
      <c r="W3" s="2" t="str">
        <f>S3&amp;";"&amp;U3</f>
        <v>pack,304,2;coin,20000</v>
      </c>
      <c r="X3" s="2" t="str">
        <f>T3&amp;";"&amp;V3</f>
        <v>item,104,2;coin,20000</v>
      </c>
      <c r="Y3" s="5">
        <f>B4</f>
        <v>1600</v>
      </c>
      <c r="AA3" s="4">
        <v>10000</v>
      </c>
      <c r="AB3" s="1" t="s">
        <v>83</v>
      </c>
      <c r="AC3" s="4">
        <v>2</v>
      </c>
      <c r="AD3" s="4">
        <f>VLOOKUP(AB3,价值!$B:$G,6,0)*AC3</f>
        <v>500</v>
      </c>
      <c r="AE3" s="4" t="str">
        <f>VLOOKUP(AB3,价值!$B:$G,3,0)&amp;","&amp;AC3</f>
        <v>prop,702,2</v>
      </c>
      <c r="AF3" s="3" t="str">
        <f>IF(VLOOKUP(AB3,价值!$B:$G,5,0)=0,AE3,VLOOKUP(AB3,价值!$B:$G,5,0)&amp;","&amp;AC3)</f>
        <v>prop,702,2</v>
      </c>
    </row>
    <row r="4" spans="1:33" x14ac:dyDescent="0.15">
      <c r="A4" s="2" t="s">
        <v>23</v>
      </c>
      <c r="B4" s="5">
        <v>1600</v>
      </c>
      <c r="C4" s="5">
        <v>360</v>
      </c>
      <c r="D4" s="5">
        <v>100</v>
      </c>
      <c r="E4" s="5"/>
      <c r="F4" s="5"/>
      <c r="G4" s="5"/>
      <c r="H4" s="5"/>
      <c r="J4" s="1">
        <v>2</v>
      </c>
      <c r="K4" s="1">
        <v>3</v>
      </c>
      <c r="L4" s="2" t="s">
        <v>71</v>
      </c>
      <c r="M4" s="2">
        <v>1</v>
      </c>
      <c r="N4" s="2">
        <f>VLOOKUP(L4,价值!$B:$G,6,0)*M4</f>
        <v>600</v>
      </c>
      <c r="O4" s="2" t="s">
        <v>74</v>
      </c>
      <c r="P4" s="2">
        <v>15000</v>
      </c>
      <c r="Q4" s="2">
        <f>VLOOKUP(O4,价值!$B:$G,6,0)*P4</f>
        <v>300</v>
      </c>
      <c r="R4" s="2">
        <f t="shared" ref="R4:R13" si="0">Q4+N4</f>
        <v>900</v>
      </c>
      <c r="S4" s="2" t="str">
        <f>VLOOKUP(L4,价值!$B:$G,3,0)&amp;","&amp;M4</f>
        <v>pack,304,1</v>
      </c>
      <c r="T4" s="2" t="str">
        <f>IF(VLOOKUP(L4,价值!$B:$G,5,0)=0,S4,VLOOKUP(L4,价值!$B:$G,5,0)&amp;","&amp;M4)</f>
        <v>item,104,1</v>
      </c>
      <c r="U4" s="2" t="str">
        <f>VLOOKUP(O4,价值!$B:$G,3,0)&amp;","&amp;P4</f>
        <v>coin,15000</v>
      </c>
      <c r="V4" s="2" t="str">
        <f>IF(VLOOKUP(O4,价值!$B:$G,5,0)=0,U4,VLOOKUP(O4,价值!$B:$G,5,0)&amp;","&amp;P4)</f>
        <v>coin,15000</v>
      </c>
      <c r="W4" s="2" t="str">
        <f t="shared" ref="W4:X13" si="1">S4&amp;";"&amp;U4</f>
        <v>pack,304,1;coin,15000</v>
      </c>
      <c r="X4" s="2" t="str">
        <f t="shared" si="1"/>
        <v>item,104,1;coin,15000</v>
      </c>
      <c r="Y4" s="5" t="s">
        <v>99</v>
      </c>
      <c r="AA4" s="4">
        <v>20000</v>
      </c>
      <c r="AB4" s="4" t="s">
        <v>94</v>
      </c>
      <c r="AC4" s="4">
        <v>2</v>
      </c>
      <c r="AD4" s="4">
        <f>VLOOKUP(AB4,价值!$B:$G,6,0)*AC4</f>
        <v>120</v>
      </c>
      <c r="AE4" s="4" t="str">
        <f>VLOOKUP(AB4,价值!$B:$G,3,0)&amp;","&amp;AC4</f>
        <v>prop,105,2</v>
      </c>
      <c r="AF4" s="3" t="str">
        <f>IF(VLOOKUP(AB4,价值!$B:$G,5,0)=0,AE4,VLOOKUP(AB4,价值!$B:$G,5,0)&amp;","&amp;AC4)</f>
        <v>prop,105,2</v>
      </c>
    </row>
    <row r="5" spans="1:33" x14ac:dyDescent="0.15">
      <c r="A5" s="2" t="s">
        <v>31</v>
      </c>
      <c r="B5" s="6">
        <f>B2-B3-B4-B6-B7</f>
        <v>3300</v>
      </c>
      <c r="C5" s="6">
        <f>C2-C3-C4-C6-C7</f>
        <v>1600</v>
      </c>
      <c r="D5" s="5">
        <v>100</v>
      </c>
      <c r="E5" s="5"/>
      <c r="F5" s="5"/>
      <c r="G5" s="5"/>
      <c r="H5" s="5"/>
      <c r="J5" s="1">
        <v>3</v>
      </c>
      <c r="K5" s="1">
        <v>5</v>
      </c>
      <c r="L5" s="2" t="s">
        <v>71</v>
      </c>
      <c r="M5" s="2">
        <v>1</v>
      </c>
      <c r="N5" s="2">
        <f>VLOOKUP(L5,价值!$B:$G,6,0)*M5</f>
        <v>600</v>
      </c>
      <c r="O5" s="2" t="s">
        <v>74</v>
      </c>
      <c r="P5" s="2">
        <v>12000</v>
      </c>
      <c r="Q5" s="2">
        <f>VLOOKUP(O5,价值!$B:$G,6,0)*P5</f>
        <v>240</v>
      </c>
      <c r="R5" s="2">
        <f t="shared" si="0"/>
        <v>840</v>
      </c>
      <c r="S5" s="2" t="str">
        <f>VLOOKUP(L5,价值!$B:$G,3,0)&amp;","&amp;M5</f>
        <v>pack,304,1</v>
      </c>
      <c r="T5" s="2" t="str">
        <f>IF(VLOOKUP(L5,价值!$B:$G,5,0)=0,S5,VLOOKUP(L5,价值!$B:$G,5,0)&amp;","&amp;M5)</f>
        <v>item,104,1</v>
      </c>
      <c r="U5" s="2" t="str">
        <f>VLOOKUP(O5,价值!$B:$G,3,0)&amp;","&amp;P5</f>
        <v>coin,12000</v>
      </c>
      <c r="V5" s="2" t="str">
        <f>IF(VLOOKUP(O5,价值!$B:$G,5,0)=0,U5,VLOOKUP(O5,价值!$B:$G,5,0)&amp;","&amp;P5)</f>
        <v>coin,12000</v>
      </c>
      <c r="W5" s="2" t="str">
        <f t="shared" si="1"/>
        <v>pack,304,1;coin,12000</v>
      </c>
      <c r="X5" s="2" t="str">
        <f t="shared" si="1"/>
        <v>item,104,1;coin,12000</v>
      </c>
      <c r="Y5" s="5" t="s">
        <v>99</v>
      </c>
      <c r="AA5" s="4">
        <v>40000</v>
      </c>
      <c r="AB5" s="1" t="s">
        <v>83</v>
      </c>
      <c r="AC5" s="4">
        <v>2</v>
      </c>
      <c r="AD5" s="4">
        <f>VLOOKUP(AB5,价值!$B:$G,6,0)*AC5</f>
        <v>500</v>
      </c>
      <c r="AE5" s="4" t="str">
        <f>VLOOKUP(AB5,价值!$B:$G,3,0)&amp;","&amp;AC5</f>
        <v>prop,702,2</v>
      </c>
      <c r="AF5" s="3" t="str">
        <f>IF(VLOOKUP(AB5,价值!$B:$G,5,0)=0,AE5,VLOOKUP(AB5,价值!$B:$G,5,0)&amp;","&amp;AC5)</f>
        <v>prop,702,2</v>
      </c>
    </row>
    <row r="6" spans="1:33" x14ac:dyDescent="0.15">
      <c r="A6" s="2" t="s">
        <v>45</v>
      </c>
      <c r="B6" s="4">
        <f>D6</f>
        <v>950</v>
      </c>
      <c r="C6" s="4">
        <f>D6</f>
        <v>950</v>
      </c>
      <c r="D6" s="5">
        <f>SUM(E6:H6)</f>
        <v>950</v>
      </c>
      <c r="E6" s="5">
        <v>80</v>
      </c>
      <c r="F6" s="5">
        <v>180</v>
      </c>
      <c r="G6" s="5">
        <v>290</v>
      </c>
      <c r="H6" s="5">
        <v>400</v>
      </c>
      <c r="J6" s="1">
        <v>5</v>
      </c>
      <c r="K6" s="1">
        <v>10</v>
      </c>
      <c r="L6" s="2" t="s">
        <v>73</v>
      </c>
      <c r="M6" s="2">
        <v>5</v>
      </c>
      <c r="N6" s="2">
        <f>VLOOKUP(L6,价值!$B:$G,6,0)*M6</f>
        <v>250</v>
      </c>
      <c r="O6" s="2" t="s">
        <v>74</v>
      </c>
      <c r="P6" s="2">
        <v>10000</v>
      </c>
      <c r="Q6" s="2">
        <f>VLOOKUP(O6,价值!$B:$G,6,0)*P6</f>
        <v>200</v>
      </c>
      <c r="R6" s="2">
        <f t="shared" si="0"/>
        <v>450</v>
      </c>
      <c r="S6" s="2" t="str">
        <f>VLOOKUP(L6,价值!$B:$G,3,0)&amp;","&amp;M6</f>
        <v>pack,303,5</v>
      </c>
      <c r="T6" s="2" t="str">
        <f>IF(VLOOKUP(L6,价值!$B:$G,5,0)=0,S6,VLOOKUP(L6,价值!$B:$G,5,0)&amp;","&amp;M6)</f>
        <v>item,103,5</v>
      </c>
      <c r="U6" s="2" t="str">
        <f>VLOOKUP(O6,价值!$B:$G,3,0)&amp;","&amp;P6</f>
        <v>coin,10000</v>
      </c>
      <c r="V6" s="2" t="str">
        <f>IF(VLOOKUP(O6,价值!$B:$G,5,0)=0,U6,VLOOKUP(O6,价值!$B:$G,5,0)&amp;","&amp;P6)</f>
        <v>coin,10000</v>
      </c>
      <c r="W6" s="2" t="str">
        <f t="shared" si="1"/>
        <v>pack,303,5;coin,10000</v>
      </c>
      <c r="X6" s="2" t="str">
        <f t="shared" si="1"/>
        <v>item,103,5;coin,10000</v>
      </c>
      <c r="Y6" s="5" t="s">
        <v>99</v>
      </c>
      <c r="AA6" s="4">
        <v>50000</v>
      </c>
      <c r="AB6" s="4" t="s">
        <v>94</v>
      </c>
      <c r="AC6" s="4">
        <v>2</v>
      </c>
      <c r="AD6" s="4">
        <f>VLOOKUP(AB6,价值!$B:$G,6,0)*AC6</f>
        <v>120</v>
      </c>
      <c r="AE6" s="4" t="str">
        <f>VLOOKUP(AB6,价值!$B:$G,3,0)&amp;","&amp;AC6</f>
        <v>prop,105,2</v>
      </c>
      <c r="AF6" s="3" t="str">
        <f>IF(VLOOKUP(AB6,价值!$B:$G,5,0)=0,AE6,VLOOKUP(AB6,价值!$B:$G,5,0)&amp;","&amp;AC6)</f>
        <v>prop,105,2</v>
      </c>
    </row>
    <row r="7" spans="1:33" x14ac:dyDescent="0.15">
      <c r="A7" s="2" t="s">
        <v>53</v>
      </c>
      <c r="B7" s="4">
        <f>B8*积分计算!$K$1*积分计算!$K$7</f>
        <v>7000</v>
      </c>
      <c r="C7" s="4">
        <f>C8*积分计算!$K$1*积分计算!$K$7</f>
        <v>4200</v>
      </c>
      <c r="D7" s="4">
        <f>D8*积分计算!$K$1*积分计算!$K$7</f>
        <v>2100</v>
      </c>
      <c r="E7" s="4"/>
      <c r="F7" s="4"/>
      <c r="G7" s="4"/>
      <c r="H7" s="4"/>
      <c r="J7" s="1">
        <v>10</v>
      </c>
      <c r="K7" s="1">
        <v>20</v>
      </c>
      <c r="L7" s="2" t="s">
        <v>73</v>
      </c>
      <c r="M7" s="2">
        <v>4</v>
      </c>
      <c r="N7" s="2">
        <f>VLOOKUP(L7,价值!$B:$G,6,0)*M7</f>
        <v>200</v>
      </c>
      <c r="O7" s="2" t="s">
        <v>74</v>
      </c>
      <c r="P7" s="2">
        <v>8000</v>
      </c>
      <c r="Q7" s="2">
        <f>VLOOKUP(O7,价值!$B:$G,6,0)*P7</f>
        <v>160</v>
      </c>
      <c r="R7" s="2">
        <f t="shared" si="0"/>
        <v>360</v>
      </c>
      <c r="S7" s="2" t="str">
        <f>VLOOKUP(L7,价值!$B:$G,3,0)&amp;","&amp;M7</f>
        <v>pack,303,4</v>
      </c>
      <c r="T7" s="2" t="str">
        <f>IF(VLOOKUP(L7,价值!$B:$G,5,0)=0,S7,VLOOKUP(L7,价值!$B:$G,5,0)&amp;","&amp;M7)</f>
        <v>item,103,4</v>
      </c>
      <c r="U7" s="2" t="str">
        <f>VLOOKUP(O7,价值!$B:$G,3,0)&amp;","&amp;P7</f>
        <v>coin,8000</v>
      </c>
      <c r="V7" s="2" t="str">
        <f>IF(VLOOKUP(O7,价值!$B:$G,5,0)=0,U7,VLOOKUP(O7,价值!$B:$G,5,0)&amp;","&amp;P7)</f>
        <v>coin,8000</v>
      </c>
      <c r="W7" s="2" t="str">
        <f t="shared" si="1"/>
        <v>pack,303,4;coin,8000</v>
      </c>
      <c r="X7" s="2" t="str">
        <f t="shared" si="1"/>
        <v>item,103,4;coin,8000</v>
      </c>
      <c r="Y7" s="5">
        <f>C4</f>
        <v>360</v>
      </c>
      <c r="AA7" s="4">
        <v>60000</v>
      </c>
      <c r="AB7" s="1" t="s">
        <v>83</v>
      </c>
      <c r="AC7" s="4">
        <v>2</v>
      </c>
      <c r="AD7" s="4">
        <f>VLOOKUP(AB7,价值!$B:$G,6,0)*AC7</f>
        <v>500</v>
      </c>
      <c r="AE7" s="4" t="str">
        <f>VLOOKUP(AB7,价值!$B:$G,3,0)&amp;","&amp;AC7</f>
        <v>prop,702,2</v>
      </c>
      <c r="AF7" s="3" t="str">
        <f>IF(VLOOKUP(AB7,价值!$B:$G,5,0)=0,AE7,VLOOKUP(AB7,价值!$B:$G,5,0)&amp;","&amp;AC7)</f>
        <v>prop,702,2</v>
      </c>
    </row>
    <row r="8" spans="1:33" x14ac:dyDescent="0.15">
      <c r="A8" s="2" t="s">
        <v>53</v>
      </c>
      <c r="B8" s="5">
        <v>100</v>
      </c>
      <c r="C8" s="5">
        <v>60</v>
      </c>
      <c r="D8" s="5">
        <v>30</v>
      </c>
      <c r="E8" s="5"/>
      <c r="F8" s="5"/>
      <c r="G8" s="5"/>
      <c r="H8" s="5"/>
      <c r="J8" s="1">
        <v>20</v>
      </c>
      <c r="K8" s="1">
        <v>50</v>
      </c>
      <c r="L8" s="2" t="s">
        <v>73</v>
      </c>
      <c r="M8" s="2">
        <v>3</v>
      </c>
      <c r="N8" s="2">
        <f>VLOOKUP(L8,价值!$B:$G,6,0)*M8</f>
        <v>150</v>
      </c>
      <c r="O8" s="2" t="s">
        <v>74</v>
      </c>
      <c r="P8" s="2">
        <v>6000</v>
      </c>
      <c r="Q8" s="2">
        <f>VLOOKUP(O8,价值!$B:$G,6,0)*P8</f>
        <v>120</v>
      </c>
      <c r="R8" s="2">
        <f t="shared" si="0"/>
        <v>270</v>
      </c>
      <c r="S8" s="2" t="str">
        <f>VLOOKUP(L8,价值!$B:$G,3,0)&amp;","&amp;M8</f>
        <v>pack,303,3</v>
      </c>
      <c r="T8" s="2" t="str">
        <f>IF(VLOOKUP(L8,价值!$B:$G,5,0)=0,S8,VLOOKUP(L8,价值!$B:$G,5,0)&amp;","&amp;M8)</f>
        <v>item,103,3</v>
      </c>
      <c r="U8" s="2" t="str">
        <f>VLOOKUP(O8,价值!$B:$G,3,0)&amp;","&amp;P8</f>
        <v>coin,6000</v>
      </c>
      <c r="V8" s="2" t="str">
        <f>IF(VLOOKUP(O8,价值!$B:$G,5,0)=0,U8,VLOOKUP(O8,价值!$B:$G,5,0)&amp;","&amp;P8)</f>
        <v>coin,6000</v>
      </c>
      <c r="W8" s="2" t="str">
        <f t="shared" si="1"/>
        <v>pack,303,3;coin,6000</v>
      </c>
      <c r="X8" s="2" t="str">
        <f t="shared" si="1"/>
        <v>item,103,3;coin,6000</v>
      </c>
      <c r="Y8" s="5" t="s">
        <v>99</v>
      </c>
      <c r="AA8" s="4">
        <v>70000</v>
      </c>
      <c r="AB8" s="4" t="s">
        <v>77</v>
      </c>
      <c r="AC8" s="4">
        <v>2</v>
      </c>
      <c r="AD8" s="4">
        <f>VLOOKUP(AB8,价值!$B:$G,6,0)*AC8</f>
        <v>180</v>
      </c>
      <c r="AE8" s="4" t="str">
        <f>VLOOKUP(AB8,价值!$B:$G,3,0)&amp;","&amp;AC8</f>
        <v>prop,317,2</v>
      </c>
      <c r="AF8" s="3" t="str">
        <f>IF(VLOOKUP(AB8,价值!$B:$G,5,0)=0,AE8,VLOOKUP(AB8,价值!$B:$G,5,0)&amp;","&amp;AC8)</f>
        <v>prop,317,2</v>
      </c>
    </row>
    <row r="9" spans="1:33" x14ac:dyDescent="0.15">
      <c r="J9" s="1">
        <v>50</v>
      </c>
      <c r="K9" s="1">
        <v>100</v>
      </c>
      <c r="L9" s="2" t="s">
        <v>73</v>
      </c>
      <c r="M9" s="2">
        <v>2</v>
      </c>
      <c r="N9" s="2">
        <f>VLOOKUP(L9,价值!$B:$G,6,0)*M9</f>
        <v>100</v>
      </c>
      <c r="O9" s="2" t="s">
        <v>74</v>
      </c>
      <c r="P9" s="2">
        <v>4000</v>
      </c>
      <c r="Q9" s="2">
        <f>VLOOKUP(O9,价值!$B:$G,6,0)*P9</f>
        <v>80</v>
      </c>
      <c r="R9" s="2">
        <f t="shared" si="0"/>
        <v>180</v>
      </c>
      <c r="S9" s="2" t="str">
        <f>VLOOKUP(L9,价值!$B:$G,3,0)&amp;","&amp;M9</f>
        <v>pack,303,2</v>
      </c>
      <c r="T9" s="2" t="str">
        <f>IF(VLOOKUP(L9,价值!$B:$G,5,0)=0,S9,VLOOKUP(L9,价值!$B:$G,5,0)&amp;","&amp;M9)</f>
        <v>item,103,2</v>
      </c>
      <c r="U9" s="2" t="str">
        <f>VLOOKUP(O9,价值!$B:$G,3,0)&amp;","&amp;P9</f>
        <v>coin,4000</v>
      </c>
      <c r="V9" s="2" t="str">
        <f>IF(VLOOKUP(O9,价值!$B:$G,5,0)=0,U9,VLOOKUP(O9,价值!$B:$G,5,0)&amp;","&amp;P9)</f>
        <v>coin,4000</v>
      </c>
      <c r="W9" s="2" t="str">
        <f t="shared" si="1"/>
        <v>pack,303,2;coin,4000</v>
      </c>
      <c r="X9" s="2" t="str">
        <f t="shared" si="1"/>
        <v>item,103,2;coin,4000</v>
      </c>
      <c r="Y9" s="5" t="s">
        <v>99</v>
      </c>
      <c r="AA9" s="4">
        <v>80000</v>
      </c>
      <c r="AB9" s="1" t="s">
        <v>83</v>
      </c>
      <c r="AC9" s="4">
        <v>2</v>
      </c>
      <c r="AD9" s="4">
        <f>VLOOKUP(AB9,价值!$B:$G,6,0)*AC9</f>
        <v>500</v>
      </c>
      <c r="AE9" s="4" t="str">
        <f>VLOOKUP(AB9,价值!$B:$G,3,0)&amp;","&amp;AC9</f>
        <v>prop,702,2</v>
      </c>
      <c r="AF9" s="3" t="str">
        <f>IF(VLOOKUP(AB9,价值!$B:$G,5,0)=0,AE9,VLOOKUP(AB9,价值!$B:$G,5,0)&amp;","&amp;AC9)</f>
        <v>prop,702,2</v>
      </c>
    </row>
    <row r="10" spans="1:33" x14ac:dyDescent="0.15">
      <c r="J10" s="1">
        <v>100</v>
      </c>
      <c r="K10" s="1">
        <v>200</v>
      </c>
      <c r="L10" s="2" t="s">
        <v>72</v>
      </c>
      <c r="M10" s="2">
        <v>1</v>
      </c>
      <c r="N10" s="2">
        <f>VLOOKUP(L10,价值!$B:$G,6,0)*M10</f>
        <v>50</v>
      </c>
      <c r="O10" s="2" t="s">
        <v>74</v>
      </c>
      <c r="P10" s="2">
        <v>3000</v>
      </c>
      <c r="Q10" s="2">
        <f>VLOOKUP(O10,价值!$B:$G,6,0)*P10</f>
        <v>60</v>
      </c>
      <c r="R10" s="2">
        <f t="shared" si="0"/>
        <v>110</v>
      </c>
      <c r="S10" s="2" t="str">
        <f>VLOOKUP(L10,价值!$B:$G,3,0)&amp;","&amp;M10</f>
        <v>pack,303,1</v>
      </c>
      <c r="T10" s="2" t="str">
        <f>IF(VLOOKUP(L10,价值!$B:$G,5,0)=0,S10,VLOOKUP(L10,价值!$B:$G,5,0)&amp;","&amp;M10)</f>
        <v>item,103,1</v>
      </c>
      <c r="U10" s="2" t="str">
        <f>VLOOKUP(O10,价值!$B:$G,3,0)&amp;","&amp;P10</f>
        <v>coin,3000</v>
      </c>
      <c r="V10" s="2" t="str">
        <f>IF(VLOOKUP(O10,价值!$B:$G,5,0)=0,U10,VLOOKUP(O10,价值!$B:$G,5,0)&amp;","&amp;P10)</f>
        <v>coin,3000</v>
      </c>
      <c r="W10" s="2" t="str">
        <f t="shared" si="1"/>
        <v>pack,303,1;coin,3000</v>
      </c>
      <c r="X10" s="2" t="str">
        <f t="shared" si="1"/>
        <v>item,103,1;coin,3000</v>
      </c>
      <c r="Y10" s="5">
        <f>D4</f>
        <v>100</v>
      </c>
      <c r="AA10" s="4">
        <v>90000</v>
      </c>
      <c r="AB10" s="1" t="s">
        <v>84</v>
      </c>
      <c r="AC10" s="4">
        <v>2</v>
      </c>
      <c r="AD10" s="4">
        <f>VLOOKUP(AB10,价值!$B:$G,6,0)*AC10</f>
        <v>180</v>
      </c>
      <c r="AE10" s="4" t="str">
        <f>VLOOKUP(AB10,价值!$B:$G,3,0)&amp;","&amp;AC10</f>
        <v>prop,314,2</v>
      </c>
      <c r="AF10" s="3" t="str">
        <f>IF(VLOOKUP(AB10,价值!$B:$G,5,0)=0,AE10,VLOOKUP(AB10,价值!$B:$G,5,0)&amp;","&amp;AC10)</f>
        <v>prop,314,2</v>
      </c>
    </row>
    <row r="11" spans="1:33" x14ac:dyDescent="0.15">
      <c r="J11" s="1">
        <v>200</v>
      </c>
      <c r="K11" s="1">
        <v>500</v>
      </c>
      <c r="L11" s="2" t="s">
        <v>72</v>
      </c>
      <c r="M11" s="2">
        <v>1</v>
      </c>
      <c r="N11" s="2">
        <f>VLOOKUP(L11,价值!$B:$G,6,0)*M11</f>
        <v>50</v>
      </c>
      <c r="O11" s="2" t="s">
        <v>74</v>
      </c>
      <c r="P11" s="2">
        <v>2000</v>
      </c>
      <c r="Q11" s="2">
        <f>VLOOKUP(O11,价值!$B:$G,6,0)*P11</f>
        <v>40</v>
      </c>
      <c r="R11" s="2">
        <f t="shared" si="0"/>
        <v>90</v>
      </c>
      <c r="S11" s="2" t="str">
        <f>VLOOKUP(L11,价值!$B:$G,3,0)&amp;","&amp;M11</f>
        <v>pack,303,1</v>
      </c>
      <c r="T11" s="2" t="str">
        <f>IF(VLOOKUP(L11,价值!$B:$G,5,0)=0,S11,VLOOKUP(L11,价值!$B:$G,5,0)&amp;","&amp;M11)</f>
        <v>item,103,1</v>
      </c>
      <c r="U11" s="2" t="str">
        <f>VLOOKUP(O11,价值!$B:$G,3,0)&amp;","&amp;P11</f>
        <v>coin,2000</v>
      </c>
      <c r="V11" s="2" t="str">
        <f>IF(VLOOKUP(O11,价值!$B:$G,5,0)=0,U11,VLOOKUP(O11,价值!$B:$G,5,0)&amp;","&amp;P11)</f>
        <v>coin,2000</v>
      </c>
      <c r="W11" s="2" t="str">
        <f t="shared" si="1"/>
        <v>pack,303,1;coin,2000</v>
      </c>
      <c r="X11" s="2" t="str">
        <f t="shared" si="1"/>
        <v>item,103,1;coin,2000</v>
      </c>
      <c r="Y11" s="5" t="s">
        <v>99</v>
      </c>
      <c r="AA11" s="4">
        <v>100000</v>
      </c>
      <c r="AB11" s="1" t="s">
        <v>83</v>
      </c>
      <c r="AC11" s="4">
        <v>2</v>
      </c>
      <c r="AD11" s="4">
        <f>VLOOKUP(AB11,价值!$B:$G,6,0)*AC11</f>
        <v>500</v>
      </c>
      <c r="AE11" s="4" t="str">
        <f>VLOOKUP(AB11,价值!$B:$G,3,0)&amp;","&amp;AC11</f>
        <v>prop,702,2</v>
      </c>
      <c r="AF11" s="3" t="str">
        <f>IF(VLOOKUP(AB11,价值!$B:$G,5,0)=0,AE11,VLOOKUP(AB11,价值!$B:$G,5,0)&amp;","&amp;AC11)</f>
        <v>prop,702,2</v>
      </c>
    </row>
    <row r="12" spans="1:33" x14ac:dyDescent="0.15">
      <c r="A12" s="2" t="s">
        <v>44</v>
      </c>
      <c r="J12" s="1">
        <v>500</v>
      </c>
      <c r="K12" s="1">
        <v>1000</v>
      </c>
      <c r="L12" s="2" t="s">
        <v>72</v>
      </c>
      <c r="M12" s="2">
        <v>1</v>
      </c>
      <c r="N12" s="2">
        <f>VLOOKUP(L12,价值!$B:$G,6,0)*M12</f>
        <v>50</v>
      </c>
      <c r="O12" s="2" t="s">
        <v>74</v>
      </c>
      <c r="P12" s="2">
        <v>1000</v>
      </c>
      <c r="Q12" s="2">
        <f>VLOOKUP(O12,价值!$B:$G,6,0)*P12</f>
        <v>20</v>
      </c>
      <c r="R12" s="2">
        <f t="shared" si="0"/>
        <v>70</v>
      </c>
      <c r="S12" s="2" t="str">
        <f>VLOOKUP(L12,价值!$B:$G,3,0)&amp;","&amp;M12</f>
        <v>pack,303,1</v>
      </c>
      <c r="T12" s="2" t="str">
        <f>IF(VLOOKUP(L12,价值!$B:$G,5,0)=0,S12,VLOOKUP(L12,价值!$B:$G,5,0)&amp;","&amp;M12)</f>
        <v>item,103,1</v>
      </c>
      <c r="U12" s="2" t="str">
        <f>VLOOKUP(O12,价值!$B:$G,3,0)&amp;","&amp;P12</f>
        <v>coin,1000</v>
      </c>
      <c r="V12" s="2" t="str">
        <f>IF(VLOOKUP(O12,价值!$B:$G,5,0)=0,U12,VLOOKUP(O12,价值!$B:$G,5,0)&amp;","&amp;P12)</f>
        <v>coin,1000</v>
      </c>
      <c r="W12" s="2" t="str">
        <f t="shared" si="1"/>
        <v>pack,303,1;coin,1000</v>
      </c>
      <c r="X12" s="2" t="str">
        <f t="shared" si="1"/>
        <v>item,103,1;coin,1000</v>
      </c>
      <c r="Y12" s="5" t="s">
        <v>99</v>
      </c>
      <c r="AA12" s="4">
        <v>110000</v>
      </c>
      <c r="AB12" s="4" t="s">
        <v>78</v>
      </c>
      <c r="AC12" s="4">
        <v>2</v>
      </c>
      <c r="AD12" s="4">
        <f>VLOOKUP(AB12,价值!$B:$G,6,0)*AC12</f>
        <v>720</v>
      </c>
      <c r="AE12" s="4" t="str">
        <f>VLOOKUP(AB12,价值!$B:$G,3,0)&amp;","&amp;AC12</f>
        <v>prop,315,2</v>
      </c>
      <c r="AF12" s="3" t="str">
        <f>IF(VLOOKUP(AB12,价值!$B:$G,5,0)=0,AE12,VLOOKUP(AB12,价值!$B:$G,5,0)&amp;","&amp;AC12)</f>
        <v>prop,315,2</v>
      </c>
    </row>
    <row r="13" spans="1:33" x14ac:dyDescent="0.15">
      <c r="A13" s="7">
        <v>22900</v>
      </c>
      <c r="J13" s="1">
        <v>1000</v>
      </c>
      <c r="K13" s="1">
        <v>9999</v>
      </c>
      <c r="L13" s="2" t="s">
        <v>72</v>
      </c>
      <c r="M13" s="2">
        <v>1</v>
      </c>
      <c r="N13" s="2">
        <f>VLOOKUP(L13,价值!$B:$G,6,0)*M13</f>
        <v>50</v>
      </c>
      <c r="O13" s="2" t="s">
        <v>74</v>
      </c>
      <c r="P13" s="2">
        <v>500</v>
      </c>
      <c r="Q13" s="2">
        <f>VLOOKUP(O13,价值!$B:$G,6,0)*P13</f>
        <v>10</v>
      </c>
      <c r="R13" s="2">
        <f t="shared" si="0"/>
        <v>60</v>
      </c>
      <c r="S13" s="2" t="str">
        <f>VLOOKUP(L13,价值!$B:$G,3,0)&amp;","&amp;M13</f>
        <v>pack,303,1</v>
      </c>
      <c r="T13" s="2" t="str">
        <f>IF(VLOOKUP(L13,价值!$B:$G,5,0)=0,S13,VLOOKUP(L13,价值!$B:$G,5,0)&amp;","&amp;M13)</f>
        <v>item,103,1</v>
      </c>
      <c r="U13" s="2" t="str">
        <f>VLOOKUP(O13,价值!$B:$G,3,0)&amp;","&amp;P13</f>
        <v>coin,500</v>
      </c>
      <c r="V13" s="2" t="str">
        <f>IF(VLOOKUP(O13,价值!$B:$G,5,0)=0,U13,VLOOKUP(O13,价值!$B:$G,5,0)&amp;","&amp;P13)</f>
        <v>coin,500</v>
      </c>
      <c r="W13" s="2" t="str">
        <f t="shared" si="1"/>
        <v>pack,303,1;coin,500</v>
      </c>
      <c r="X13" s="2" t="str">
        <f t="shared" si="1"/>
        <v>item,103,1;coin,500</v>
      </c>
      <c r="Y13" s="5" t="s">
        <v>99</v>
      </c>
      <c r="AA13" s="4">
        <v>120000</v>
      </c>
      <c r="AB13" s="1" t="s">
        <v>85</v>
      </c>
      <c r="AC13" s="4">
        <v>2</v>
      </c>
      <c r="AD13" s="4">
        <f>VLOOKUP(AB13,价值!$B:$G,6,0)*AC13</f>
        <v>1200</v>
      </c>
      <c r="AE13" s="4" t="str">
        <f>VLOOKUP(AB13,价值!$B:$G,3,0)&amp;","&amp;AC13</f>
        <v>pack,304,2</v>
      </c>
      <c r="AF13" s="3" t="str">
        <f>IF(VLOOKUP(AB13,价值!$B:$G,5,0)=0,AE13,VLOOKUP(AB13,价值!$B:$G,5,0)&amp;","&amp;AC13)</f>
        <v>item,104,2</v>
      </c>
    </row>
    <row r="14" spans="1:33" x14ac:dyDescent="0.15">
      <c r="AA14" s="4">
        <v>130000</v>
      </c>
      <c r="AB14" s="4" t="s">
        <v>79</v>
      </c>
      <c r="AC14" s="4">
        <v>2</v>
      </c>
      <c r="AD14" s="4">
        <f>VLOOKUP(AB14,价值!$B:$G,6,0)*AC14</f>
        <v>720</v>
      </c>
      <c r="AE14" s="4" t="str">
        <f>VLOOKUP(AB14,价值!$B:$G,3,0)&amp;","&amp;AC14</f>
        <v>prop,318,2</v>
      </c>
      <c r="AF14" s="3" t="str">
        <f>IF(VLOOKUP(AB14,价值!$B:$G,5,0)=0,AE14,VLOOKUP(AB14,价值!$B:$G,5,0)&amp;","&amp;AC14)</f>
        <v>prop,318,2</v>
      </c>
    </row>
    <row r="15" spans="1:33" x14ac:dyDescent="0.15">
      <c r="AA15" s="4">
        <v>140000</v>
      </c>
      <c r="AB15" s="1" t="s">
        <v>85</v>
      </c>
      <c r="AC15" s="4">
        <v>2</v>
      </c>
      <c r="AD15" s="4">
        <f>VLOOKUP(AB15,价值!$B:$G,6,0)*AC15</f>
        <v>1200</v>
      </c>
      <c r="AE15" s="4" t="str">
        <f>VLOOKUP(AB15,价值!$B:$G,3,0)&amp;","&amp;AC15</f>
        <v>pack,304,2</v>
      </c>
      <c r="AF15" s="3" t="str">
        <f>IF(VLOOKUP(AB15,价值!$B:$G,5,0)=0,AE15,VLOOKUP(AB15,价值!$B:$G,5,0)&amp;","&amp;AC15)</f>
        <v>item,104,2</v>
      </c>
      <c r="AG15" s="4">
        <f>积分计算!K11</f>
        <v>150000</v>
      </c>
    </row>
    <row r="16" spans="1:33" x14ac:dyDescent="0.15">
      <c r="A16" s="2" t="s">
        <v>54</v>
      </c>
      <c r="B16" s="2">
        <v>12</v>
      </c>
      <c r="AA16" s="4">
        <v>150000</v>
      </c>
      <c r="AB16" s="4" t="s">
        <v>66</v>
      </c>
      <c r="AC16" s="4">
        <v>1</v>
      </c>
      <c r="AD16" s="4">
        <f>VLOOKUP(AB16,价值!$B:$G,6,0)*AC16</f>
        <v>4800</v>
      </c>
      <c r="AE16" s="4" t="str">
        <f>VLOOKUP(AB16,价值!$B:$G,3,0)&amp;","&amp;AC16</f>
        <v>pack,305,1</v>
      </c>
      <c r="AF16" s="3" t="str">
        <f>IF(VLOOKUP(AB16,价值!$B:$G,5,0)=0,AE16,VLOOKUP(AB16,价值!$B:$G,5,0)&amp;","&amp;AC16)</f>
        <v>item,105,1</v>
      </c>
      <c r="AG16" s="5">
        <f>D3</f>
        <v>11750</v>
      </c>
    </row>
    <row r="17" spans="1:46" x14ac:dyDescent="0.15">
      <c r="A17" s="3" t="s">
        <v>82</v>
      </c>
      <c r="B17" s="2">
        <v>50</v>
      </c>
      <c r="AB17" s="4"/>
      <c r="AC17" s="4"/>
      <c r="AD17" s="4">
        <f>SUM(AD2:AD16)</f>
        <v>11860</v>
      </c>
      <c r="AE17" s="4"/>
      <c r="AF17" s="4"/>
    </row>
    <row r="18" spans="1:46" x14ac:dyDescent="0.15">
      <c r="A18" s="2" t="s">
        <v>55</v>
      </c>
      <c r="B18" s="2">
        <f>220</f>
        <v>220</v>
      </c>
      <c r="J18" s="1" t="s">
        <v>57</v>
      </c>
      <c r="K18" s="9" t="s">
        <v>102</v>
      </c>
      <c r="AA18" s="3" t="s">
        <v>100</v>
      </c>
      <c r="AB18" s="4"/>
      <c r="AC18" s="4"/>
      <c r="AD18" s="4"/>
      <c r="AE18" s="4"/>
      <c r="AF18" s="4"/>
    </row>
    <row r="19" spans="1:46" x14ac:dyDescent="0.15">
      <c r="J19" s="1" t="s">
        <v>24</v>
      </c>
      <c r="K19" s="1" t="s">
        <v>25</v>
      </c>
      <c r="L19" s="2" t="s">
        <v>26</v>
      </c>
      <c r="M19" s="2" t="s">
        <v>27</v>
      </c>
      <c r="N19" s="2" t="s">
        <v>28</v>
      </c>
      <c r="O19" s="2" t="s">
        <v>26</v>
      </c>
      <c r="P19" s="2" t="s">
        <v>27</v>
      </c>
      <c r="Q19" s="2" t="s">
        <v>28</v>
      </c>
      <c r="R19" s="2" t="s">
        <v>40</v>
      </c>
      <c r="S19" s="2" t="s">
        <v>29</v>
      </c>
      <c r="T19" s="2" t="s">
        <v>30</v>
      </c>
      <c r="U19" s="2" t="s">
        <v>29</v>
      </c>
      <c r="V19" s="2" t="s">
        <v>30</v>
      </c>
      <c r="W19" s="3" t="s">
        <v>98</v>
      </c>
      <c r="X19" s="3" t="s">
        <v>97</v>
      </c>
      <c r="Y19" s="4" t="s">
        <v>46</v>
      </c>
      <c r="AA19" s="4" t="s">
        <v>59</v>
      </c>
      <c r="AB19" s="4" t="s">
        <v>60</v>
      </c>
      <c r="AC19" s="4" t="s">
        <v>61</v>
      </c>
      <c r="AD19" s="4" t="s">
        <v>62</v>
      </c>
      <c r="AE19" s="4" t="s">
        <v>60</v>
      </c>
      <c r="AF19" s="4" t="s">
        <v>61</v>
      </c>
      <c r="AG19" s="4" t="s">
        <v>62</v>
      </c>
      <c r="AH19" s="4" t="s">
        <v>63</v>
      </c>
      <c r="AI19" s="4" t="s">
        <v>64</v>
      </c>
      <c r="AJ19" s="4" t="s">
        <v>65</v>
      </c>
      <c r="AK19" s="1" t="s">
        <v>86</v>
      </c>
      <c r="AL19" s="4" t="s">
        <v>46</v>
      </c>
      <c r="AM19" s="2" t="s">
        <v>29</v>
      </c>
      <c r="AN19" s="2" t="s">
        <v>30</v>
      </c>
      <c r="AO19" s="2" t="s">
        <v>29</v>
      </c>
      <c r="AP19" s="2" t="s">
        <v>30</v>
      </c>
      <c r="AQ19" s="2" t="s">
        <v>29</v>
      </c>
      <c r="AR19" s="2" t="s">
        <v>30</v>
      </c>
      <c r="AS19" s="3" t="s">
        <v>98</v>
      </c>
      <c r="AT19" s="3" t="s">
        <v>97</v>
      </c>
    </row>
    <row r="20" spans="1:46" x14ac:dyDescent="0.15">
      <c r="A20" s="3" t="s">
        <v>56</v>
      </c>
      <c r="B20" s="2">
        <f>B8</f>
        <v>100</v>
      </c>
      <c r="I20" s="2">
        <f>K20*100</f>
        <v>100</v>
      </c>
      <c r="J20" s="1">
        <v>1</v>
      </c>
      <c r="K20" s="1">
        <v>1</v>
      </c>
      <c r="L20" s="2" t="s">
        <v>67</v>
      </c>
      <c r="M20" s="2">
        <v>1</v>
      </c>
      <c r="N20" s="2">
        <f>VLOOKUP(L20,价值!$B:$G,6,0)*M20</f>
        <v>1500</v>
      </c>
      <c r="O20" s="2" t="s">
        <v>71</v>
      </c>
      <c r="P20" s="2">
        <v>3</v>
      </c>
      <c r="Q20" s="2">
        <f>VLOOKUP(O20,价值!$B:$G,6,0)*P20</f>
        <v>1800</v>
      </c>
      <c r="R20" s="2">
        <f>N20+Q20</f>
        <v>3300</v>
      </c>
      <c r="S20" s="2" t="str">
        <f>VLOOKUP(L20,价值!$B:$G,3,0)&amp;","&amp;M20</f>
        <v>prop,705,1</v>
      </c>
      <c r="T20" s="2" t="str">
        <f>IF(VLOOKUP(L20,价值!$B:$G,5,0)=0,S20,VLOOKUP(L20,价值!$B:$G,5,0)&amp;","&amp;M20)</f>
        <v>prop,705,1</v>
      </c>
      <c r="U20" s="2" t="str">
        <f>VLOOKUP(O20,价值!$B:$G,3,0)&amp;","&amp;P20</f>
        <v>pack,304,3</v>
      </c>
      <c r="V20" s="2" t="str">
        <f>IF(VLOOKUP(O20,价值!$B:$G,5,0)=0,U20,VLOOKUP(O20,价值!$B:$G,5,0)&amp;","&amp;P20)</f>
        <v>item,104,3</v>
      </c>
      <c r="W20" s="2" t="str">
        <f>S20&amp;";"&amp;U20</f>
        <v>prop,705,1;pack,304,3</v>
      </c>
      <c r="X20" s="2" t="str">
        <f>T20&amp;";"&amp;V20</f>
        <v>prop,705,1;item,104,3</v>
      </c>
      <c r="Y20" s="5">
        <f>B5</f>
        <v>3300</v>
      </c>
      <c r="AA20" s="4">
        <v>1</v>
      </c>
      <c r="AB20" s="4" t="s">
        <v>81</v>
      </c>
      <c r="AC20" s="4">
        <v>1</v>
      </c>
      <c r="AD20" s="4">
        <f>VLOOKUP(AB20,价值!$B:$G,6,0)*AC20</f>
        <v>15</v>
      </c>
      <c r="AE20" s="4" t="s">
        <v>81</v>
      </c>
      <c r="AF20" s="4">
        <v>0</v>
      </c>
      <c r="AG20" s="4">
        <f>3*AF20</f>
        <v>0</v>
      </c>
      <c r="AH20" s="4" t="s">
        <v>74</v>
      </c>
      <c r="AI20" s="4">
        <v>750</v>
      </c>
      <c r="AJ20" s="4">
        <f>VLOOKUP(AH20,价值!$B:$G,6,0)*AI20</f>
        <v>15</v>
      </c>
      <c r="AK20" s="4">
        <f>AD20+AG20+AJ20</f>
        <v>30</v>
      </c>
      <c r="AL20" s="5">
        <f>D8</f>
        <v>30</v>
      </c>
      <c r="AM20" s="2" t="str">
        <f>VLOOKUP(AB20,价值!$B:$G,3,0)&amp;","&amp;AC20</f>
        <v>pack,302,1</v>
      </c>
      <c r="AN20" s="2" t="str">
        <f>IF(VLOOKUP(AB20,价值!$B:$G,5,0)=0,AM20,VLOOKUP(AB20,价值!$B:$G,5,0)&amp;","&amp;AC20)</f>
        <v>item,102,1</v>
      </c>
      <c r="AO20" s="2" t="str">
        <f>IF(AF20=0,"",VLOOKUP(AE20,价值!$B:$G,3,0)&amp;","&amp;AF20)</f>
        <v/>
      </c>
      <c r="AP20" s="2" t="str">
        <f>IF(AF20=0,"",IF(VLOOKUP(AE20,价值!$B:$G,5,0)=0,AO20,VLOOKUP(AE20,价值!$B:$G,5,0)&amp;","&amp;AF20))</f>
        <v/>
      </c>
      <c r="AQ20" s="2" t="str">
        <f>VLOOKUP(AH20,价值!$B:$G,3,0)&amp;","&amp;AI20</f>
        <v>coin,750</v>
      </c>
      <c r="AR20" s="2" t="str">
        <f>IF(VLOOKUP(AH20,价值!$B:$G,5,0)=0,AQ20,VLOOKUP(AH20,价值!$B:$G,5,0)&amp;","&amp;AI20)</f>
        <v>coin,750</v>
      </c>
      <c r="AS20" s="2" t="str">
        <f>AM20&amp;IF(AO20="","",";"&amp;AO20)&amp;";"&amp;AQ20</f>
        <v>pack,302,1;coin,750</v>
      </c>
      <c r="AT20" s="2" t="str">
        <f>AS20</f>
        <v>pack,302,1;coin,750</v>
      </c>
    </row>
    <row r="21" spans="1:46" x14ac:dyDescent="0.15">
      <c r="A21" s="3" t="s">
        <v>82</v>
      </c>
      <c r="B21" s="2">
        <f>B20/B18*B17</f>
        <v>22.727272727272727</v>
      </c>
      <c r="I21" s="2">
        <f t="shared" ref="I21:I28" si="2">K21*100</f>
        <v>300</v>
      </c>
      <c r="J21" s="1">
        <v>1</v>
      </c>
      <c r="K21" s="1">
        <v>3</v>
      </c>
      <c r="L21" s="2" t="s">
        <v>67</v>
      </c>
      <c r="M21" s="2">
        <v>1</v>
      </c>
      <c r="N21" s="2">
        <f>VLOOKUP(L21,价值!$B:$G,6,0)*M21</f>
        <v>1500</v>
      </c>
      <c r="O21" s="2" t="s">
        <v>71</v>
      </c>
      <c r="P21" s="2">
        <v>2</v>
      </c>
      <c r="Q21" s="2">
        <f>VLOOKUP(O21,价值!$B:$G,6,0)*P21</f>
        <v>1200</v>
      </c>
      <c r="R21" s="2">
        <f t="shared" ref="R21:R28" si="3">N21+Q21</f>
        <v>2700</v>
      </c>
      <c r="S21" s="2" t="str">
        <f>VLOOKUP(L21,价值!$B:$G,3,0)&amp;","&amp;M21</f>
        <v>prop,705,1</v>
      </c>
      <c r="T21" s="2" t="str">
        <f>IF(VLOOKUP(L21,价值!$B:$G,5,0)=0,S21,VLOOKUP(L21,价值!$B:$G,5,0)&amp;","&amp;M21)</f>
        <v>prop,705,1</v>
      </c>
      <c r="U21" s="2" t="str">
        <f>VLOOKUP(O21,价值!$B:$G,3,0)&amp;","&amp;P21</f>
        <v>pack,304,2</v>
      </c>
      <c r="V21" s="2" t="str">
        <f>IF(VLOOKUP(O21,价值!$B:$G,5,0)=0,U21,VLOOKUP(O21,价值!$B:$G,5,0)&amp;","&amp;P21)</f>
        <v>item,104,2</v>
      </c>
      <c r="W21" s="2" t="str">
        <f t="shared" ref="W21:W28" si="4">S21&amp;";"&amp;U21</f>
        <v>prop,705,1;pack,304,2</v>
      </c>
      <c r="X21" s="2" t="str">
        <f t="shared" ref="X21:X28" si="5">T21&amp;";"&amp;V21</f>
        <v>prop,705,1;item,104,2</v>
      </c>
      <c r="Y21" s="5" t="s">
        <v>99</v>
      </c>
      <c r="AA21" s="4">
        <v>2</v>
      </c>
      <c r="AB21" s="4" t="s">
        <v>81</v>
      </c>
      <c r="AC21" s="4">
        <v>1</v>
      </c>
      <c r="AD21" s="4">
        <f>VLOOKUP(AB21,价值!$B:$G,6,0)*AC21</f>
        <v>15</v>
      </c>
      <c r="AE21" s="4" t="s">
        <v>81</v>
      </c>
      <c r="AF21" s="4">
        <v>0</v>
      </c>
      <c r="AG21" s="4">
        <f t="shared" ref="AG21:AG32" si="6">3*AF21</f>
        <v>0</v>
      </c>
      <c r="AH21" s="4" t="s">
        <v>74</v>
      </c>
      <c r="AI21" s="4">
        <v>800</v>
      </c>
      <c r="AJ21" s="4">
        <f>VLOOKUP(AH21,价值!$B:$G,6,0)*AI21</f>
        <v>16</v>
      </c>
      <c r="AK21" s="4">
        <f t="shared" ref="AK21:AK32" si="7">AD21+AG21+AJ21</f>
        <v>31</v>
      </c>
      <c r="AL21" s="5"/>
      <c r="AM21" s="2" t="str">
        <f>VLOOKUP(AB21,价值!$B:$G,3,0)&amp;","&amp;AC21</f>
        <v>pack,302,1</v>
      </c>
      <c r="AN21" s="2" t="str">
        <f>IF(VLOOKUP(AB21,价值!$B:$G,5,0)=0,AM21,VLOOKUP(AB21,价值!$B:$G,5,0)&amp;","&amp;AC21)</f>
        <v>item,102,1</v>
      </c>
      <c r="AO21" s="2" t="str">
        <f>IF(AF21=0,"",VLOOKUP(AE21,价值!$B:$G,3,0)&amp;","&amp;AF21)</f>
        <v/>
      </c>
      <c r="AP21" s="2" t="str">
        <f>IF(AF21=0,"",IF(VLOOKUP(AE21,价值!$B:$G,5,0)=0,AO21,VLOOKUP(AE21,价值!$B:$G,5,0)&amp;","&amp;AF21))</f>
        <v/>
      </c>
      <c r="AQ21" s="2" t="str">
        <f>VLOOKUP(AH21,价值!$B:$G,3,0)&amp;","&amp;AI21</f>
        <v>coin,800</v>
      </c>
      <c r="AR21" s="2" t="str">
        <f>IF(VLOOKUP(AH21,价值!$B:$G,5,0)=0,AQ21,VLOOKUP(AH21,价值!$B:$G,5,0)&amp;","&amp;AI21)</f>
        <v>coin,800</v>
      </c>
      <c r="AS21" s="2" t="str">
        <f t="shared" ref="AS21:AT32" si="8">AM21&amp;IF(AO21="","",";"&amp;AO21)&amp;";"&amp;AQ21</f>
        <v>pack,302,1;coin,800</v>
      </c>
      <c r="AT21" s="2" t="str">
        <f>AT20&amp;"#S#"&amp;AS21</f>
        <v>pack,302,1;coin,750#S#pack,302,1;coin,800</v>
      </c>
    </row>
    <row r="22" spans="1:46" x14ac:dyDescent="0.15">
      <c r="I22" s="2">
        <f t="shared" si="2"/>
        <v>600</v>
      </c>
      <c r="J22" s="1">
        <v>3</v>
      </c>
      <c r="K22" s="1">
        <v>6</v>
      </c>
      <c r="L22" s="2" t="s">
        <v>67</v>
      </c>
      <c r="M22" s="2">
        <v>1</v>
      </c>
      <c r="N22" s="2">
        <f>VLOOKUP(L22,价值!$B:$G,6,0)*M22</f>
        <v>1500</v>
      </c>
      <c r="O22" s="2" t="s">
        <v>71</v>
      </c>
      <c r="P22" s="2">
        <v>1</v>
      </c>
      <c r="Q22" s="2">
        <f>VLOOKUP(O22,价值!$B:$G,6,0)*P22</f>
        <v>600</v>
      </c>
      <c r="R22" s="2">
        <f t="shared" si="3"/>
        <v>2100</v>
      </c>
      <c r="S22" s="2" t="str">
        <f>VLOOKUP(L22,价值!$B:$G,3,0)&amp;","&amp;M22</f>
        <v>prop,705,1</v>
      </c>
      <c r="T22" s="2" t="str">
        <f>IF(VLOOKUP(L22,价值!$B:$G,5,0)=0,S22,VLOOKUP(L22,价值!$B:$G,5,0)&amp;","&amp;M22)</f>
        <v>prop,705,1</v>
      </c>
      <c r="U22" s="2" t="str">
        <f>VLOOKUP(O22,价值!$B:$G,3,0)&amp;","&amp;P22</f>
        <v>pack,304,1</v>
      </c>
      <c r="V22" s="2" t="str">
        <f>IF(VLOOKUP(O22,价值!$B:$G,5,0)=0,U22,VLOOKUP(O22,价值!$B:$G,5,0)&amp;","&amp;P22)</f>
        <v>item,104,1</v>
      </c>
      <c r="W22" s="2" t="str">
        <f t="shared" si="4"/>
        <v>prop,705,1;pack,304,1</v>
      </c>
      <c r="X22" s="2" t="str">
        <f t="shared" si="5"/>
        <v>prop,705,1;item,104,1</v>
      </c>
      <c r="Y22" s="5" t="s">
        <v>99</v>
      </c>
      <c r="AA22" s="4">
        <v>3</v>
      </c>
      <c r="AB22" s="4" t="s">
        <v>81</v>
      </c>
      <c r="AC22" s="4">
        <v>1</v>
      </c>
      <c r="AD22" s="4">
        <f>VLOOKUP(AB22,价值!$B:$G,6,0)*AC22</f>
        <v>15</v>
      </c>
      <c r="AE22" s="4" t="s">
        <v>81</v>
      </c>
      <c r="AF22" s="4">
        <v>0</v>
      </c>
      <c r="AG22" s="4">
        <f t="shared" si="6"/>
        <v>0</v>
      </c>
      <c r="AH22" s="4" t="s">
        <v>74</v>
      </c>
      <c r="AI22" s="4">
        <v>850</v>
      </c>
      <c r="AJ22" s="4">
        <f>VLOOKUP(AH22,价值!$B:$G,6,0)*AI22</f>
        <v>17</v>
      </c>
      <c r="AK22" s="4">
        <f t="shared" si="7"/>
        <v>32</v>
      </c>
      <c r="AL22" s="5"/>
      <c r="AM22" s="2" t="str">
        <f>VLOOKUP(AB22,价值!$B:$G,3,0)&amp;","&amp;AC22</f>
        <v>pack,302,1</v>
      </c>
      <c r="AN22" s="2" t="str">
        <f>IF(VLOOKUP(AB22,价值!$B:$G,5,0)=0,AM22,VLOOKUP(AB22,价值!$B:$G,5,0)&amp;","&amp;AC22)</f>
        <v>item,102,1</v>
      </c>
      <c r="AO22" s="2" t="str">
        <f>IF(AF22=0,"",VLOOKUP(AE22,价值!$B:$G,3,0)&amp;","&amp;AF22)</f>
        <v/>
      </c>
      <c r="AP22" s="2" t="str">
        <f>IF(AF22=0,"",IF(VLOOKUP(AE22,价值!$B:$G,5,0)=0,AO22,VLOOKUP(AE22,价值!$B:$G,5,0)&amp;","&amp;AF22))</f>
        <v/>
      </c>
      <c r="AQ22" s="2" t="str">
        <f>VLOOKUP(AH22,价值!$B:$G,3,0)&amp;","&amp;AI22</f>
        <v>coin,850</v>
      </c>
      <c r="AR22" s="2" t="str">
        <f>IF(VLOOKUP(AH22,价值!$B:$G,5,0)=0,AQ22,VLOOKUP(AH22,价值!$B:$G,5,0)&amp;","&amp;AI22)</f>
        <v>coin,850</v>
      </c>
      <c r="AS22" s="2" t="str">
        <f t="shared" si="8"/>
        <v>pack,302,1;coin,850</v>
      </c>
      <c r="AT22" s="2" t="str">
        <f t="shared" ref="AT22:AT32" si="9">AT21&amp;"#S#"&amp;AS22</f>
        <v>pack,302,1;coin,750#S#pack,302,1;coin,800#S#pack,302,1;coin,850</v>
      </c>
    </row>
    <row r="23" spans="1:46" x14ac:dyDescent="0.15">
      <c r="A23" s="2" t="s">
        <v>75</v>
      </c>
      <c r="B23" s="2">
        <v>0.4</v>
      </c>
      <c r="I23" s="2">
        <f t="shared" si="2"/>
        <v>1000</v>
      </c>
      <c r="J23" s="1">
        <v>6</v>
      </c>
      <c r="K23" s="1">
        <v>10</v>
      </c>
      <c r="L23" s="2" t="s">
        <v>69</v>
      </c>
      <c r="M23" s="2">
        <v>4</v>
      </c>
      <c r="N23" s="2">
        <f>VLOOKUP(L23,价值!$B:$G,6,0)*M23</f>
        <v>1000</v>
      </c>
      <c r="O23" s="2" t="s">
        <v>71</v>
      </c>
      <c r="P23" s="2">
        <v>1</v>
      </c>
      <c r="Q23" s="2">
        <f>VLOOKUP(O23,价值!$B:$G,6,0)*P23</f>
        <v>600</v>
      </c>
      <c r="R23" s="2">
        <f t="shared" si="3"/>
        <v>1600</v>
      </c>
      <c r="S23" s="2" t="str">
        <f>VLOOKUP(L23,价值!$B:$G,3,0)&amp;","&amp;M23</f>
        <v>prop,702,4</v>
      </c>
      <c r="T23" s="2" t="str">
        <f>IF(VLOOKUP(L23,价值!$B:$G,5,0)=0,S23,VLOOKUP(L23,价值!$B:$G,5,0)&amp;","&amp;M23)</f>
        <v>prop,702,4</v>
      </c>
      <c r="U23" s="2" t="str">
        <f>VLOOKUP(O23,价值!$B:$G,3,0)&amp;","&amp;P23</f>
        <v>pack,304,1</v>
      </c>
      <c r="V23" s="2" t="str">
        <f>IF(VLOOKUP(O23,价值!$B:$G,5,0)=0,U23,VLOOKUP(O23,价值!$B:$G,5,0)&amp;","&amp;P23)</f>
        <v>item,104,1</v>
      </c>
      <c r="W23" s="2" t="str">
        <f t="shared" si="4"/>
        <v>prop,702,4;pack,304,1</v>
      </c>
      <c r="X23" s="2" t="str">
        <f t="shared" si="5"/>
        <v>prop,702,4;item,104,1</v>
      </c>
      <c r="Y23" s="5">
        <f>C5</f>
        <v>1600</v>
      </c>
      <c r="AA23" s="4">
        <v>4</v>
      </c>
      <c r="AB23" s="4" t="s">
        <v>81</v>
      </c>
      <c r="AC23" s="4">
        <v>1</v>
      </c>
      <c r="AD23" s="4">
        <f>VLOOKUP(AB23,价值!$B:$G,6,0)*AC23</f>
        <v>15</v>
      </c>
      <c r="AE23" s="4" t="s">
        <v>81</v>
      </c>
      <c r="AF23" s="4">
        <v>1</v>
      </c>
      <c r="AG23" s="4">
        <f t="shared" si="6"/>
        <v>3</v>
      </c>
      <c r="AH23" s="4" t="s">
        <v>74</v>
      </c>
      <c r="AI23" s="4">
        <v>900</v>
      </c>
      <c r="AJ23" s="4">
        <f>VLOOKUP(AH23,价值!$B:$G,6,0)*AI23</f>
        <v>18</v>
      </c>
      <c r="AK23" s="4">
        <f t="shared" si="7"/>
        <v>36</v>
      </c>
      <c r="AL23" s="5"/>
      <c r="AM23" s="2" t="str">
        <f>VLOOKUP(AB23,价值!$B:$G,3,0)&amp;","&amp;AC23</f>
        <v>pack,302,1</v>
      </c>
      <c r="AN23" s="2" t="str">
        <f>IF(VLOOKUP(AB23,价值!$B:$G,5,0)=0,AM23,VLOOKUP(AB23,价值!$B:$G,5,0)&amp;","&amp;AC23)</f>
        <v>item,102,1</v>
      </c>
      <c r="AO23" s="2" t="str">
        <f>IF(AF23=0,"",VLOOKUP(AE23,价值!$B:$G,3,0)&amp;","&amp;AF23)</f>
        <v>pack,302,1</v>
      </c>
      <c r="AP23" s="2" t="str">
        <f>IF(AF23=0,"",IF(VLOOKUP(AE23,价值!$B:$G,5,0)=0,AO23,VLOOKUP(AE23,价值!$B:$G,5,0)&amp;","&amp;AF23))</f>
        <v>item,102,1</v>
      </c>
      <c r="AQ23" s="2" t="str">
        <f>VLOOKUP(AH23,价值!$B:$G,3,0)&amp;","&amp;AI23</f>
        <v>coin,900</v>
      </c>
      <c r="AR23" s="2" t="str">
        <f>IF(VLOOKUP(AH23,价值!$B:$G,5,0)=0,AQ23,VLOOKUP(AH23,价值!$B:$G,5,0)&amp;","&amp;AI23)</f>
        <v>coin,900</v>
      </c>
      <c r="AS23" s="2" t="str">
        <f t="shared" si="8"/>
        <v>pack,302,1;pack,302,1;coin,900</v>
      </c>
      <c r="AT23" s="2" t="str">
        <f t="shared" si="9"/>
        <v>pack,302,1;coin,750#S#pack,302,1;coin,800#S#pack,302,1;coin,850#S#pack,302,1;pack,302,1;coin,900</v>
      </c>
    </row>
    <row r="24" spans="1:46" x14ac:dyDescent="0.15">
      <c r="A24" s="2" t="s">
        <v>76</v>
      </c>
      <c r="B24" s="2">
        <f>FLOOR(B21/B23,10)</f>
        <v>50</v>
      </c>
      <c r="I24" s="2">
        <f t="shared" si="2"/>
        <v>1500</v>
      </c>
      <c r="J24" s="1">
        <v>10</v>
      </c>
      <c r="K24" s="1">
        <v>15</v>
      </c>
      <c r="L24" s="2" t="s">
        <v>69</v>
      </c>
      <c r="M24" s="2">
        <v>3</v>
      </c>
      <c r="N24" s="2">
        <f>VLOOKUP(L24,价值!$B:$G,6,0)*M24</f>
        <v>750</v>
      </c>
      <c r="O24" s="2" t="s">
        <v>70</v>
      </c>
      <c r="P24" s="2">
        <v>1</v>
      </c>
      <c r="Q24" s="2">
        <f>VLOOKUP(O24,价值!$B:$G,6,0)*P24</f>
        <v>600</v>
      </c>
      <c r="R24" s="2">
        <f t="shared" si="3"/>
        <v>1350</v>
      </c>
      <c r="S24" s="2" t="str">
        <f>VLOOKUP(L24,价值!$B:$G,3,0)&amp;","&amp;M24</f>
        <v>prop,702,3</v>
      </c>
      <c r="T24" s="2" t="str">
        <f>IF(VLOOKUP(L24,价值!$B:$G,5,0)=0,S24,VLOOKUP(L24,价值!$B:$G,5,0)&amp;","&amp;M24)</f>
        <v>prop,702,3</v>
      </c>
      <c r="U24" s="2" t="str">
        <f>VLOOKUP(O24,价值!$B:$G,3,0)&amp;","&amp;P24</f>
        <v>pack,304,1</v>
      </c>
      <c r="V24" s="2" t="str">
        <f>IF(VLOOKUP(O24,价值!$B:$G,5,0)=0,U24,VLOOKUP(O24,价值!$B:$G,5,0)&amp;","&amp;P24)</f>
        <v>item,104,1</v>
      </c>
      <c r="W24" s="2" t="str">
        <f t="shared" si="4"/>
        <v>prop,702,3;pack,304,1</v>
      </c>
      <c r="X24" s="2" t="str">
        <f t="shared" si="5"/>
        <v>prop,702,3;item,104,1</v>
      </c>
      <c r="Y24" s="5" t="s">
        <v>99</v>
      </c>
      <c r="AA24" s="4">
        <v>5</v>
      </c>
      <c r="AB24" s="4" t="s">
        <v>81</v>
      </c>
      <c r="AC24" s="4">
        <v>1</v>
      </c>
      <c r="AD24" s="4">
        <f>VLOOKUP(AB24,价值!$B:$G,6,0)*AC24</f>
        <v>15</v>
      </c>
      <c r="AE24" s="4" t="s">
        <v>81</v>
      </c>
      <c r="AF24" s="4">
        <v>1</v>
      </c>
      <c r="AG24" s="4">
        <f t="shared" si="6"/>
        <v>3</v>
      </c>
      <c r="AH24" s="4" t="s">
        <v>74</v>
      </c>
      <c r="AI24" s="4">
        <v>950</v>
      </c>
      <c r="AJ24" s="4">
        <f>VLOOKUP(AH24,价值!$B:$G,6,0)*AI24</f>
        <v>19</v>
      </c>
      <c r="AK24" s="4">
        <f t="shared" si="7"/>
        <v>37</v>
      </c>
      <c r="AL24" s="5"/>
      <c r="AM24" s="2" t="str">
        <f>VLOOKUP(AB24,价值!$B:$G,3,0)&amp;","&amp;AC24</f>
        <v>pack,302,1</v>
      </c>
      <c r="AN24" s="2" t="str">
        <f>IF(VLOOKUP(AB24,价值!$B:$G,5,0)=0,AM24,VLOOKUP(AB24,价值!$B:$G,5,0)&amp;","&amp;AC24)</f>
        <v>item,102,1</v>
      </c>
      <c r="AO24" s="2" t="str">
        <f>IF(AF24=0,"",VLOOKUP(AE24,价值!$B:$G,3,0)&amp;","&amp;AF24)</f>
        <v>pack,302,1</v>
      </c>
      <c r="AP24" s="2" t="str">
        <f>IF(AF24=0,"",IF(VLOOKUP(AE24,价值!$B:$G,5,0)=0,AO24,VLOOKUP(AE24,价值!$B:$G,5,0)&amp;","&amp;AF24))</f>
        <v>item,102,1</v>
      </c>
      <c r="AQ24" s="2" t="str">
        <f>VLOOKUP(AH24,价值!$B:$G,3,0)&amp;","&amp;AI24</f>
        <v>coin,950</v>
      </c>
      <c r="AR24" s="2" t="str">
        <f>IF(VLOOKUP(AH24,价值!$B:$G,5,0)=0,AQ24,VLOOKUP(AH24,价值!$B:$G,5,0)&amp;","&amp;AI24)</f>
        <v>coin,950</v>
      </c>
      <c r="AS24" s="2" t="str">
        <f t="shared" si="8"/>
        <v>pack,302,1;pack,302,1;coin,950</v>
      </c>
      <c r="AT24" s="2" t="str">
        <f t="shared" si="9"/>
        <v>pack,302,1;coin,750#S#pack,302,1;coin,800#S#pack,302,1;coin,850#S#pack,302,1;pack,302,1;coin,900#S#pack,302,1;pack,302,1;coin,950</v>
      </c>
    </row>
    <row r="25" spans="1:46" x14ac:dyDescent="0.15">
      <c r="I25" s="2">
        <f t="shared" si="2"/>
        <v>2000</v>
      </c>
      <c r="J25" s="1">
        <v>15</v>
      </c>
      <c r="K25" s="1">
        <v>20</v>
      </c>
      <c r="L25" s="2" t="s">
        <v>69</v>
      </c>
      <c r="M25" s="2">
        <v>2</v>
      </c>
      <c r="N25" s="2">
        <f>VLOOKUP(L25,价值!$B:$G,6,0)*M25</f>
        <v>500</v>
      </c>
      <c r="O25" s="2" t="s">
        <v>70</v>
      </c>
      <c r="P25" s="2">
        <v>1</v>
      </c>
      <c r="Q25" s="2">
        <f>VLOOKUP(O25,价值!$B:$G,6,0)*P25</f>
        <v>600</v>
      </c>
      <c r="R25" s="2">
        <f t="shared" si="3"/>
        <v>1100</v>
      </c>
      <c r="S25" s="2" t="str">
        <f>VLOOKUP(L25,价值!$B:$G,3,0)&amp;","&amp;M25</f>
        <v>prop,702,2</v>
      </c>
      <c r="T25" s="2" t="str">
        <f>IF(VLOOKUP(L25,价值!$B:$G,5,0)=0,S25,VLOOKUP(L25,价值!$B:$G,5,0)&amp;","&amp;M25)</f>
        <v>prop,702,2</v>
      </c>
      <c r="U25" s="2" t="str">
        <f>VLOOKUP(O25,价值!$B:$G,3,0)&amp;","&amp;P25</f>
        <v>pack,304,1</v>
      </c>
      <c r="V25" s="2" t="str">
        <f>IF(VLOOKUP(O25,价值!$B:$G,5,0)=0,U25,VLOOKUP(O25,价值!$B:$G,5,0)&amp;","&amp;P25)</f>
        <v>item,104,1</v>
      </c>
      <c r="W25" s="2" t="str">
        <f t="shared" si="4"/>
        <v>prop,702,2;pack,304,1</v>
      </c>
      <c r="X25" s="2" t="str">
        <f t="shared" si="5"/>
        <v>prop,702,2;item,104,1</v>
      </c>
      <c r="Y25" s="5" t="s">
        <v>99</v>
      </c>
      <c r="AA25" s="4">
        <v>6</v>
      </c>
      <c r="AB25" s="4" t="s">
        <v>80</v>
      </c>
      <c r="AC25" s="4">
        <v>1</v>
      </c>
      <c r="AD25" s="4">
        <f>VLOOKUP(AB25,价值!$B:$G,6,0)*AC25</f>
        <v>15</v>
      </c>
      <c r="AE25" s="4" t="s">
        <v>80</v>
      </c>
      <c r="AF25" s="4">
        <v>1</v>
      </c>
      <c r="AG25" s="4">
        <f t="shared" si="6"/>
        <v>3</v>
      </c>
      <c r="AH25" s="4" t="s">
        <v>74</v>
      </c>
      <c r="AI25" s="4">
        <v>1000</v>
      </c>
      <c r="AJ25" s="4">
        <f>VLOOKUP(AH25,价值!$B:$G,6,0)*AI25</f>
        <v>20</v>
      </c>
      <c r="AK25" s="4">
        <f t="shared" si="7"/>
        <v>38</v>
      </c>
      <c r="AL25" s="5"/>
      <c r="AM25" s="2" t="str">
        <f>VLOOKUP(AB25,价值!$B:$G,3,0)&amp;","&amp;AC25</f>
        <v>pack,302,1</v>
      </c>
      <c r="AN25" s="2" t="str">
        <f>IF(VLOOKUP(AB25,价值!$B:$G,5,0)=0,AM25,VLOOKUP(AB25,价值!$B:$G,5,0)&amp;","&amp;AC25)</f>
        <v>item,102,1</v>
      </c>
      <c r="AO25" s="2" t="str">
        <f>IF(AF25=0,"",VLOOKUP(AE25,价值!$B:$G,3,0)&amp;","&amp;AF25)</f>
        <v>pack,302,1</v>
      </c>
      <c r="AP25" s="2" t="str">
        <f>IF(AF25=0,"",IF(VLOOKUP(AE25,价值!$B:$G,5,0)=0,AO25,VLOOKUP(AE25,价值!$B:$G,5,0)&amp;","&amp;AF25))</f>
        <v>item,102,1</v>
      </c>
      <c r="AQ25" s="2" t="str">
        <f>VLOOKUP(AH25,价值!$B:$G,3,0)&amp;","&amp;AI25</f>
        <v>coin,1000</v>
      </c>
      <c r="AR25" s="2" t="str">
        <f>IF(VLOOKUP(AH25,价值!$B:$G,5,0)=0,AQ25,VLOOKUP(AH25,价值!$B:$G,5,0)&amp;","&amp;AI25)</f>
        <v>coin,1000</v>
      </c>
      <c r="AS25" s="2" t="str">
        <f t="shared" si="8"/>
        <v>pack,302,1;pack,302,1;coin,1000</v>
      </c>
      <c r="AT25" s="2" t="str">
        <f t="shared" si="9"/>
        <v>pack,302,1;coin,750#S#pack,302,1;coin,800#S#pack,302,1;coin,850#S#pack,302,1;pack,302,1;coin,900#S#pack,302,1;pack,302,1;coin,950#S#pack,302,1;pack,302,1;coin,1000</v>
      </c>
    </row>
    <row r="26" spans="1:46" x14ac:dyDescent="0.15">
      <c r="I26" s="2">
        <f t="shared" si="2"/>
        <v>3000</v>
      </c>
      <c r="J26" s="1">
        <v>20</v>
      </c>
      <c r="K26" s="1">
        <v>30</v>
      </c>
      <c r="L26" s="2" t="s">
        <v>69</v>
      </c>
      <c r="M26" s="2">
        <v>1</v>
      </c>
      <c r="N26" s="2">
        <f>VLOOKUP(L26,价值!$B:$G,6,0)*M26</f>
        <v>250</v>
      </c>
      <c r="O26" s="2" t="s">
        <v>73</v>
      </c>
      <c r="P26" s="2">
        <v>5</v>
      </c>
      <c r="Q26" s="2">
        <f>VLOOKUP(O26,价值!$B:$G,6,0)*P26</f>
        <v>250</v>
      </c>
      <c r="R26" s="2">
        <f t="shared" si="3"/>
        <v>500</v>
      </c>
      <c r="S26" s="2" t="str">
        <f>VLOOKUP(L26,价值!$B:$G,3,0)&amp;","&amp;M26</f>
        <v>prop,702,1</v>
      </c>
      <c r="T26" s="2" t="str">
        <f>IF(VLOOKUP(L26,价值!$B:$G,5,0)=0,S26,VLOOKUP(L26,价值!$B:$G,5,0)&amp;","&amp;M26)</f>
        <v>prop,702,1</v>
      </c>
      <c r="U26" s="2" t="str">
        <f>VLOOKUP(O26,价值!$B:$G,3,0)&amp;","&amp;P26</f>
        <v>pack,303,5</v>
      </c>
      <c r="V26" s="2" t="str">
        <f>IF(VLOOKUP(O26,价值!$B:$G,5,0)=0,U26,VLOOKUP(O26,价值!$B:$G,5,0)&amp;","&amp;P26)</f>
        <v>item,103,5</v>
      </c>
      <c r="W26" s="2" t="str">
        <f t="shared" si="4"/>
        <v>prop,702,1;pack,303,5</v>
      </c>
      <c r="X26" s="2" t="str">
        <f t="shared" si="5"/>
        <v>prop,702,1;item,103,5</v>
      </c>
      <c r="Y26" s="5" t="s">
        <v>99</v>
      </c>
      <c r="AA26" s="4">
        <v>7</v>
      </c>
      <c r="AB26" s="4" t="s">
        <v>80</v>
      </c>
      <c r="AC26" s="4">
        <v>1</v>
      </c>
      <c r="AD26" s="4">
        <f>VLOOKUP(AB26,价值!$B:$G,6,0)*AC26</f>
        <v>15</v>
      </c>
      <c r="AE26" s="4" t="s">
        <v>80</v>
      </c>
      <c r="AF26" s="4">
        <v>2</v>
      </c>
      <c r="AG26" s="4">
        <f t="shared" si="6"/>
        <v>6</v>
      </c>
      <c r="AH26" s="4" t="s">
        <v>74</v>
      </c>
      <c r="AI26" s="4">
        <v>1100</v>
      </c>
      <c r="AJ26" s="4">
        <f>VLOOKUP(AH26,价值!$B:$G,6,0)*AI26</f>
        <v>22</v>
      </c>
      <c r="AK26" s="4">
        <f t="shared" si="7"/>
        <v>43</v>
      </c>
      <c r="AL26" s="5"/>
      <c r="AM26" s="2" t="str">
        <f>VLOOKUP(AB26,价值!$B:$G,3,0)&amp;","&amp;AC26</f>
        <v>pack,302,1</v>
      </c>
      <c r="AN26" s="2" t="str">
        <f>IF(VLOOKUP(AB26,价值!$B:$G,5,0)=0,AM26,VLOOKUP(AB26,价值!$B:$G,5,0)&amp;","&amp;AC26)</f>
        <v>item,102,1</v>
      </c>
      <c r="AO26" s="2" t="str">
        <f>IF(AF26=0,"",VLOOKUP(AE26,价值!$B:$G,3,0)&amp;","&amp;AF26)</f>
        <v>pack,302,2</v>
      </c>
      <c r="AP26" s="2" t="str">
        <f>IF(AF26=0,"",IF(VLOOKUP(AE26,价值!$B:$G,5,0)=0,AO26,VLOOKUP(AE26,价值!$B:$G,5,0)&amp;","&amp;AF26))</f>
        <v>item,102,2</v>
      </c>
      <c r="AQ26" s="2" t="str">
        <f>VLOOKUP(AH26,价值!$B:$G,3,0)&amp;","&amp;AI26</f>
        <v>coin,1100</v>
      </c>
      <c r="AR26" s="2" t="str">
        <f>IF(VLOOKUP(AH26,价值!$B:$G,5,0)=0,AQ26,VLOOKUP(AH26,价值!$B:$G,5,0)&amp;","&amp;AI26)</f>
        <v>coin,1100</v>
      </c>
      <c r="AS26" s="2" t="str">
        <f t="shared" si="8"/>
        <v>pack,302,1;pack,302,2;coin,1100</v>
      </c>
      <c r="AT26" s="2" t="str">
        <f t="shared" si="9"/>
        <v>pack,302,1;coin,750#S#pack,302,1;coin,800#S#pack,302,1;coin,850#S#pack,302,1;pack,302,1;coin,900#S#pack,302,1;pack,302,1;coin,950#S#pack,302,1;pack,302,1;coin,1000#S#pack,302,1;pack,302,2;coin,1100</v>
      </c>
    </row>
    <row r="27" spans="1:46" x14ac:dyDescent="0.15">
      <c r="I27" s="2">
        <f t="shared" si="2"/>
        <v>5000</v>
      </c>
      <c r="J27" s="1">
        <v>30</v>
      </c>
      <c r="K27" s="1">
        <v>50</v>
      </c>
      <c r="L27" s="2" t="s">
        <v>69</v>
      </c>
      <c r="M27" s="2">
        <v>1</v>
      </c>
      <c r="N27" s="2">
        <f>VLOOKUP(L27,价值!$B:$G,6,0)*M27</f>
        <v>250</v>
      </c>
      <c r="O27" s="2" t="s">
        <v>73</v>
      </c>
      <c r="P27" s="2">
        <v>2</v>
      </c>
      <c r="Q27" s="2">
        <f>VLOOKUP(O27,价值!$B:$G,6,0)*P27</f>
        <v>100</v>
      </c>
      <c r="R27" s="2">
        <f t="shared" si="3"/>
        <v>350</v>
      </c>
      <c r="S27" s="2" t="str">
        <f>VLOOKUP(L27,价值!$B:$G,3,0)&amp;","&amp;M27</f>
        <v>prop,702,1</v>
      </c>
      <c r="T27" s="2" t="str">
        <f>IF(VLOOKUP(L27,价值!$B:$G,5,0)=0,S27,VLOOKUP(L27,价值!$B:$G,5,0)&amp;","&amp;M27)</f>
        <v>prop,702,1</v>
      </c>
      <c r="U27" s="2" t="str">
        <f>VLOOKUP(O27,价值!$B:$G,3,0)&amp;","&amp;P27</f>
        <v>pack,303,2</v>
      </c>
      <c r="V27" s="2" t="str">
        <f>IF(VLOOKUP(O27,价值!$B:$G,5,0)=0,U27,VLOOKUP(O27,价值!$B:$G,5,0)&amp;","&amp;P27)</f>
        <v>item,103,2</v>
      </c>
      <c r="W27" s="2" t="str">
        <f t="shared" si="4"/>
        <v>prop,702,1;pack,303,2</v>
      </c>
      <c r="X27" s="2" t="str">
        <f t="shared" si="5"/>
        <v>prop,702,1;item,103,2</v>
      </c>
      <c r="Y27" s="5" t="s">
        <v>99</v>
      </c>
      <c r="AA27" s="4">
        <v>8</v>
      </c>
      <c r="AB27" s="4" t="s">
        <v>80</v>
      </c>
      <c r="AC27" s="4">
        <v>1</v>
      </c>
      <c r="AD27" s="4">
        <f>VLOOKUP(AB27,价值!$B:$G,6,0)*AC27</f>
        <v>15</v>
      </c>
      <c r="AE27" s="4" t="s">
        <v>80</v>
      </c>
      <c r="AF27" s="4">
        <v>2</v>
      </c>
      <c r="AG27" s="4">
        <f t="shared" si="6"/>
        <v>6</v>
      </c>
      <c r="AH27" s="4" t="s">
        <v>74</v>
      </c>
      <c r="AI27" s="4">
        <v>1200</v>
      </c>
      <c r="AJ27" s="4">
        <f>VLOOKUP(AH27,价值!$B:$G,6,0)*AI27</f>
        <v>24</v>
      </c>
      <c r="AK27" s="4">
        <f t="shared" si="7"/>
        <v>45</v>
      </c>
      <c r="AL27" s="5"/>
      <c r="AM27" s="2" t="str">
        <f>VLOOKUP(AB27,价值!$B:$G,3,0)&amp;","&amp;AC27</f>
        <v>pack,302,1</v>
      </c>
      <c r="AN27" s="2" t="str">
        <f>IF(VLOOKUP(AB27,价值!$B:$G,5,0)=0,AM27,VLOOKUP(AB27,价值!$B:$G,5,0)&amp;","&amp;AC27)</f>
        <v>item,102,1</v>
      </c>
      <c r="AO27" s="2" t="str">
        <f>IF(AF27=0,"",VLOOKUP(AE27,价值!$B:$G,3,0)&amp;","&amp;AF27)</f>
        <v>pack,302,2</v>
      </c>
      <c r="AP27" s="2" t="str">
        <f>IF(AF27=0,"",IF(VLOOKUP(AE27,价值!$B:$G,5,0)=0,AO27,VLOOKUP(AE27,价值!$B:$G,5,0)&amp;","&amp;AF27))</f>
        <v>item,102,2</v>
      </c>
      <c r="AQ27" s="2" t="str">
        <f>VLOOKUP(AH27,价值!$B:$G,3,0)&amp;","&amp;AI27</f>
        <v>coin,1200</v>
      </c>
      <c r="AR27" s="2" t="str">
        <f>IF(VLOOKUP(AH27,价值!$B:$G,5,0)=0,AQ27,VLOOKUP(AH27,价值!$B:$G,5,0)&amp;","&amp;AI27)</f>
        <v>coin,1200</v>
      </c>
      <c r="AS27" s="2" t="str">
        <f t="shared" si="8"/>
        <v>pack,302,1;pack,302,2;coin,1200</v>
      </c>
      <c r="AT27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</v>
      </c>
    </row>
    <row r="28" spans="1:46" x14ac:dyDescent="0.15">
      <c r="I28" s="2">
        <f t="shared" si="2"/>
        <v>10000</v>
      </c>
      <c r="J28" s="1">
        <v>50</v>
      </c>
      <c r="K28" s="1">
        <v>100</v>
      </c>
      <c r="L28" s="2" t="s">
        <v>68</v>
      </c>
      <c r="M28" s="2">
        <v>10</v>
      </c>
      <c r="N28" s="2">
        <v>50</v>
      </c>
      <c r="O28" s="2" t="s">
        <v>73</v>
      </c>
      <c r="P28" s="2">
        <v>1</v>
      </c>
      <c r="Q28" s="2">
        <f>VLOOKUP(O28,价值!$B:$G,6,0)*P28</f>
        <v>50</v>
      </c>
      <c r="R28" s="2">
        <f t="shared" si="3"/>
        <v>100</v>
      </c>
      <c r="S28" s="2" t="str">
        <f>VLOOKUP(L28,价值!$B:$G,3,0)&amp;","&amp;M28</f>
        <v>cash,10</v>
      </c>
      <c r="T28" s="2" t="str">
        <f>IF(VLOOKUP(L28,价值!$B:$G,5,0)=0,S28,VLOOKUP(L28,价值!$B:$G,5,0)&amp;","&amp;M28)</f>
        <v>cash,10</v>
      </c>
      <c r="U28" s="2" t="str">
        <f>VLOOKUP(O28,价值!$B:$G,3,0)&amp;","&amp;P28</f>
        <v>pack,303,1</v>
      </c>
      <c r="V28" s="2" t="str">
        <f>IF(VLOOKUP(O28,价值!$B:$G,5,0)=0,U28,VLOOKUP(O28,价值!$B:$G,5,0)&amp;","&amp;P28)</f>
        <v>item,103,1</v>
      </c>
      <c r="W28" s="2" t="str">
        <f t="shared" si="4"/>
        <v>cash,10;pack,303,1</v>
      </c>
      <c r="X28" s="2" t="str">
        <f t="shared" si="5"/>
        <v>cash,10;item,103,1</v>
      </c>
      <c r="Y28" s="5">
        <f>D5</f>
        <v>100</v>
      </c>
      <c r="AA28" s="4">
        <v>9</v>
      </c>
      <c r="AB28" s="1" t="s">
        <v>73</v>
      </c>
      <c r="AC28" s="4">
        <v>1</v>
      </c>
      <c r="AD28" s="4">
        <f>VLOOKUP(AB28,价值!$B:$G,6,0)*AC28</f>
        <v>50</v>
      </c>
      <c r="AE28" s="4" t="s">
        <v>80</v>
      </c>
      <c r="AF28" s="4">
        <v>2</v>
      </c>
      <c r="AG28" s="4">
        <f t="shared" si="6"/>
        <v>6</v>
      </c>
      <c r="AH28" s="4" t="s">
        <v>74</v>
      </c>
      <c r="AI28" s="4">
        <v>1300</v>
      </c>
      <c r="AJ28" s="4">
        <f>VLOOKUP(AH28,价值!$B:$G,6,0)*AI28</f>
        <v>26</v>
      </c>
      <c r="AK28" s="4">
        <f t="shared" si="7"/>
        <v>82</v>
      </c>
      <c r="AL28" s="5"/>
      <c r="AM28" s="2" t="str">
        <f>VLOOKUP(AB28,价值!$B:$G,3,0)&amp;","&amp;AC28</f>
        <v>pack,303,1</v>
      </c>
      <c r="AN28" s="2" t="str">
        <f>IF(VLOOKUP(AB28,价值!$B:$G,5,0)=0,AM28,VLOOKUP(AB28,价值!$B:$G,5,0)&amp;","&amp;AC28)</f>
        <v>item,103,1</v>
      </c>
      <c r="AO28" s="2" t="str">
        <f>IF(AF28=0,"",VLOOKUP(AE28,价值!$B:$G,3,0)&amp;","&amp;AF28)</f>
        <v>pack,302,2</v>
      </c>
      <c r="AP28" s="2" t="str">
        <f>IF(AF28=0,"",IF(VLOOKUP(AE28,价值!$B:$G,5,0)=0,AO28,VLOOKUP(AE28,价值!$B:$G,5,0)&amp;","&amp;AF28))</f>
        <v>item,102,2</v>
      </c>
      <c r="AQ28" s="2" t="str">
        <f>VLOOKUP(AH28,价值!$B:$G,3,0)&amp;","&amp;AI28</f>
        <v>coin,1300</v>
      </c>
      <c r="AR28" s="2" t="str">
        <f>IF(VLOOKUP(AH28,价值!$B:$G,5,0)=0,AQ28,VLOOKUP(AH28,价值!$B:$G,5,0)&amp;","&amp;AI28)</f>
        <v>coin,1300</v>
      </c>
      <c r="AS28" s="2" t="str">
        <f t="shared" si="8"/>
        <v>pack,303,1;pack,302,2;coin,1300</v>
      </c>
      <c r="AT28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</v>
      </c>
    </row>
    <row r="29" spans="1:46" x14ac:dyDescent="0.15">
      <c r="AA29" s="4">
        <v>10</v>
      </c>
      <c r="AB29" s="1" t="s">
        <v>73</v>
      </c>
      <c r="AC29" s="4">
        <v>1</v>
      </c>
      <c r="AD29" s="4">
        <f>VLOOKUP(AB29,价值!$B:$G,6,0)*AC29</f>
        <v>50</v>
      </c>
      <c r="AE29" s="4" t="s">
        <v>80</v>
      </c>
      <c r="AF29" s="4">
        <v>3</v>
      </c>
      <c r="AG29" s="4">
        <f t="shared" si="6"/>
        <v>9</v>
      </c>
      <c r="AH29" s="4" t="s">
        <v>74</v>
      </c>
      <c r="AI29" s="4">
        <v>1400</v>
      </c>
      <c r="AJ29" s="4">
        <f>VLOOKUP(AH29,价值!$B:$G,6,0)*AI29</f>
        <v>28</v>
      </c>
      <c r="AK29" s="4">
        <f t="shared" si="7"/>
        <v>87</v>
      </c>
      <c r="AL29" s="5"/>
      <c r="AM29" s="2" t="str">
        <f>VLOOKUP(AB29,价值!$B:$G,3,0)&amp;","&amp;AC29</f>
        <v>pack,303,1</v>
      </c>
      <c r="AN29" s="2" t="str">
        <f>IF(VLOOKUP(AB29,价值!$B:$G,5,0)=0,AM29,VLOOKUP(AB29,价值!$B:$G,5,0)&amp;","&amp;AC29)</f>
        <v>item,103,1</v>
      </c>
      <c r="AO29" s="2" t="str">
        <f>IF(AF29=0,"",VLOOKUP(AE29,价值!$B:$G,3,0)&amp;","&amp;AF29)</f>
        <v>pack,302,3</v>
      </c>
      <c r="AP29" s="2" t="str">
        <f>IF(AF29=0,"",IF(VLOOKUP(AE29,价值!$B:$G,5,0)=0,AO29,VLOOKUP(AE29,价值!$B:$G,5,0)&amp;","&amp;AF29))</f>
        <v>item,102,3</v>
      </c>
      <c r="AQ29" s="2" t="str">
        <f>VLOOKUP(AH29,价值!$B:$G,3,0)&amp;","&amp;AI29</f>
        <v>coin,1400</v>
      </c>
      <c r="AR29" s="2" t="str">
        <f>IF(VLOOKUP(AH29,价值!$B:$G,5,0)=0,AQ29,VLOOKUP(AH29,价值!$B:$G,5,0)&amp;","&amp;AI29)</f>
        <v>coin,1400</v>
      </c>
      <c r="AS29" s="2" t="str">
        <f t="shared" si="8"/>
        <v>pack,303,1;pack,302,3;coin,1400</v>
      </c>
      <c r="AT29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</v>
      </c>
    </row>
    <row r="30" spans="1:46" x14ac:dyDescent="0.15">
      <c r="J30" s="3" t="s">
        <v>100</v>
      </c>
      <c r="AA30" s="4">
        <v>11</v>
      </c>
      <c r="AB30" s="1" t="s">
        <v>73</v>
      </c>
      <c r="AC30" s="4">
        <v>1</v>
      </c>
      <c r="AD30" s="4">
        <f>VLOOKUP(AB30,价值!$B:$G,6,0)*AC30</f>
        <v>50</v>
      </c>
      <c r="AE30" s="4" t="s">
        <v>80</v>
      </c>
      <c r="AF30" s="4">
        <v>3</v>
      </c>
      <c r="AG30" s="4">
        <f t="shared" si="6"/>
        <v>9</v>
      </c>
      <c r="AH30" s="4" t="s">
        <v>74</v>
      </c>
      <c r="AI30" s="4">
        <v>1500</v>
      </c>
      <c r="AJ30" s="4">
        <f>VLOOKUP(AH30,价值!$B:$G,6,0)*AI30</f>
        <v>30</v>
      </c>
      <c r="AK30" s="4">
        <f t="shared" si="7"/>
        <v>89</v>
      </c>
      <c r="AL30" s="5"/>
      <c r="AM30" s="2" t="str">
        <f>VLOOKUP(AB30,价值!$B:$G,3,0)&amp;","&amp;AC30</f>
        <v>pack,303,1</v>
      </c>
      <c r="AN30" s="2" t="str">
        <f>IF(VLOOKUP(AB30,价值!$B:$G,5,0)=0,AM30,VLOOKUP(AB30,价值!$B:$G,5,0)&amp;","&amp;AC30)</f>
        <v>item,103,1</v>
      </c>
      <c r="AO30" s="2" t="str">
        <f>IF(AF30=0,"",VLOOKUP(AE30,价值!$B:$G,3,0)&amp;","&amp;AF30)</f>
        <v>pack,302,3</v>
      </c>
      <c r="AP30" s="2" t="str">
        <f>IF(AF30=0,"",IF(VLOOKUP(AE30,价值!$B:$G,5,0)=0,AO30,VLOOKUP(AE30,价值!$B:$G,5,0)&amp;","&amp;AF30))</f>
        <v>item,102,3</v>
      </c>
      <c r="AQ30" s="2" t="str">
        <f>VLOOKUP(AH30,价值!$B:$G,3,0)&amp;","&amp;AI30</f>
        <v>coin,1500</v>
      </c>
      <c r="AR30" s="2" t="str">
        <f>IF(VLOOKUP(AH30,价值!$B:$G,5,0)=0,AQ30,VLOOKUP(AH30,价值!$B:$G,5,0)&amp;","&amp;AI30)</f>
        <v>coin,1500</v>
      </c>
      <c r="AS30" s="2" t="str">
        <f t="shared" si="8"/>
        <v>pack,303,1;pack,302,3;coin,1500</v>
      </c>
      <c r="AT30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</v>
      </c>
    </row>
    <row r="31" spans="1:46" x14ac:dyDescent="0.15">
      <c r="J31" s="2"/>
      <c r="K31" s="1" t="s">
        <v>91</v>
      </c>
      <c r="L31" s="1" t="s">
        <v>88</v>
      </c>
      <c r="M31" s="1" t="s">
        <v>89</v>
      </c>
      <c r="N31" s="1" t="s">
        <v>90</v>
      </c>
      <c r="O31" s="3" t="s">
        <v>88</v>
      </c>
      <c r="P31" s="3" t="s">
        <v>92</v>
      </c>
      <c r="Q31" s="3" t="s">
        <v>90</v>
      </c>
      <c r="R31" s="3" t="s">
        <v>96</v>
      </c>
      <c r="S31" s="2" t="s">
        <v>29</v>
      </c>
      <c r="T31" s="2" t="s">
        <v>30</v>
      </c>
      <c r="U31" s="2" t="s">
        <v>29</v>
      </c>
      <c r="V31" s="2" t="s">
        <v>30</v>
      </c>
      <c r="W31" s="3" t="s">
        <v>98</v>
      </c>
      <c r="X31" s="3" t="s">
        <v>97</v>
      </c>
      <c r="AA31" s="4">
        <v>12</v>
      </c>
      <c r="AB31" s="1" t="s">
        <v>73</v>
      </c>
      <c r="AC31" s="4">
        <v>1</v>
      </c>
      <c r="AD31" s="4">
        <f>VLOOKUP(AB31,价值!$B:$G,6,0)*AC31</f>
        <v>50</v>
      </c>
      <c r="AE31" s="4" t="s">
        <v>80</v>
      </c>
      <c r="AF31" s="4">
        <v>4</v>
      </c>
      <c r="AG31" s="4">
        <f t="shared" si="6"/>
        <v>12</v>
      </c>
      <c r="AH31" s="4" t="s">
        <v>74</v>
      </c>
      <c r="AI31" s="4">
        <v>1600</v>
      </c>
      <c r="AJ31" s="4">
        <f>VLOOKUP(AH31,价值!$B:$G,6,0)*AI31</f>
        <v>32</v>
      </c>
      <c r="AK31" s="4">
        <f t="shared" si="7"/>
        <v>94</v>
      </c>
      <c r="AL31" s="5"/>
      <c r="AM31" s="2" t="str">
        <f>VLOOKUP(AB31,价值!$B:$G,3,0)&amp;","&amp;AC31</f>
        <v>pack,303,1</v>
      </c>
      <c r="AN31" s="2" t="str">
        <f>IF(VLOOKUP(AB31,价值!$B:$G,5,0)=0,AM31,VLOOKUP(AB31,价值!$B:$G,5,0)&amp;","&amp;AC31)</f>
        <v>item,103,1</v>
      </c>
      <c r="AO31" s="2" t="str">
        <f>IF(AF31=0,"",VLOOKUP(AE31,价值!$B:$G,3,0)&amp;","&amp;AF31)</f>
        <v>pack,302,4</v>
      </c>
      <c r="AP31" s="2" t="str">
        <f>IF(AF31=0,"",IF(VLOOKUP(AE31,价值!$B:$G,5,0)=0,AO31,VLOOKUP(AE31,价值!$B:$G,5,0)&amp;","&amp;AF31))</f>
        <v>item,102,4</v>
      </c>
      <c r="AQ31" s="2" t="str">
        <f>VLOOKUP(AH31,价值!$B:$G,3,0)&amp;","&amp;AI31</f>
        <v>coin,1600</v>
      </c>
      <c r="AR31" s="2" t="str">
        <f>IF(VLOOKUP(AH31,价值!$B:$G,5,0)=0,AQ31,VLOOKUP(AH31,价值!$B:$G,5,0)&amp;","&amp;AI31)</f>
        <v>coin,1600</v>
      </c>
      <c r="AS31" s="2" t="str">
        <f t="shared" si="8"/>
        <v>pack,303,1;pack,302,4;coin,1600</v>
      </c>
      <c r="AT31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</v>
      </c>
    </row>
    <row r="32" spans="1:46" x14ac:dyDescent="0.15">
      <c r="J32" s="2">
        <f>E6</f>
        <v>80</v>
      </c>
      <c r="K32" s="4">
        <v>1</v>
      </c>
      <c r="L32" s="1" t="s">
        <v>87</v>
      </c>
      <c r="M32" s="4">
        <v>50</v>
      </c>
      <c r="N32" s="4">
        <f>VLOOKUP(L32,价值!$B:$G,6,0)*M32</f>
        <v>50</v>
      </c>
      <c r="O32" s="3" t="s">
        <v>93</v>
      </c>
      <c r="P32" s="2">
        <v>2</v>
      </c>
      <c r="Q32" s="4">
        <f>VLOOKUP(O32,价值!$B:$G,6,0)*P32</f>
        <v>36</v>
      </c>
      <c r="R32" s="2">
        <f>M32+Q32</f>
        <v>86</v>
      </c>
      <c r="S32" s="2" t="str">
        <f>VLOOKUP(L32,价值!$B:$G,3,0)&amp;","&amp;M32</f>
        <v>cash,50</v>
      </c>
      <c r="T32" s="2" t="str">
        <f>IF(VLOOKUP(L32,价值!$B:$G,5,0)=0,S32,VLOOKUP(L32,价值!$B:$G,5,0)&amp;","&amp;M32)</f>
        <v>cash,50</v>
      </c>
      <c r="U32" s="2" t="str">
        <f>VLOOKUP(O32,价值!$B:$G,3,0)&amp;","&amp;P32</f>
        <v>prop,104,2</v>
      </c>
      <c r="V32" s="2" t="str">
        <f>IF(VLOOKUP(O32,价值!$B:$G,5,0)=0,U32,VLOOKUP(O32,价值!$B:$G,5,0)&amp;","&amp;P32)</f>
        <v>prop,104,2</v>
      </c>
      <c r="W32" s="2" t="str">
        <f>S32&amp;";"&amp;U32</f>
        <v>cash,50;prop,104,2</v>
      </c>
      <c r="X32" s="2" t="str">
        <f>T32&amp;";"&amp;V32</f>
        <v>cash,50;prop,104,2</v>
      </c>
      <c r="Y32" s="1" t="s">
        <v>99</v>
      </c>
      <c r="AA32" s="4">
        <v>13</v>
      </c>
      <c r="AB32" s="1" t="s">
        <v>73</v>
      </c>
      <c r="AC32" s="4">
        <v>1</v>
      </c>
      <c r="AD32" s="4">
        <f>VLOOKUP(AB32,价值!$B:$G,6,0)*AC32</f>
        <v>50</v>
      </c>
      <c r="AE32" s="4" t="s">
        <v>80</v>
      </c>
      <c r="AF32" s="4">
        <v>5</v>
      </c>
      <c r="AG32" s="4">
        <f t="shared" si="6"/>
        <v>15</v>
      </c>
      <c r="AH32" s="4" t="s">
        <v>74</v>
      </c>
      <c r="AI32" s="4">
        <v>1750</v>
      </c>
      <c r="AJ32" s="4">
        <f>VLOOKUP(AH32,价值!$B:$G,6,0)*AI32</f>
        <v>35</v>
      </c>
      <c r="AK32" s="4">
        <f t="shared" si="7"/>
        <v>100</v>
      </c>
      <c r="AL32" s="5">
        <f>B8</f>
        <v>100</v>
      </c>
      <c r="AM32" s="2" t="str">
        <f>VLOOKUP(AB32,价值!$B:$G,3,0)&amp;","&amp;AC32</f>
        <v>pack,303,1</v>
      </c>
      <c r="AN32" s="2" t="str">
        <f>IF(VLOOKUP(AB32,价值!$B:$G,5,0)=0,AM32,VLOOKUP(AB32,价值!$B:$G,5,0)&amp;","&amp;AC32)</f>
        <v>item,103,1</v>
      </c>
      <c r="AO32" s="2" t="str">
        <f>IF(AF32=0,"",VLOOKUP(AE32,价值!$B:$G,3,0)&amp;","&amp;AF32)</f>
        <v>pack,302,5</v>
      </c>
      <c r="AP32" s="2" t="str">
        <f>IF(AF32=0,"",IF(VLOOKUP(AE32,价值!$B:$G,5,0)=0,AO32,VLOOKUP(AE32,价值!$B:$G,5,0)&amp;","&amp;AF32))</f>
        <v>item,102,5</v>
      </c>
      <c r="AQ32" s="2" t="str">
        <f>VLOOKUP(AH32,价值!$B:$G,3,0)&amp;","&amp;AI32</f>
        <v>coin,1750</v>
      </c>
      <c r="AR32" s="2" t="str">
        <f>IF(VLOOKUP(AH32,价值!$B:$G,5,0)=0,AQ32,VLOOKUP(AH32,价值!$B:$G,5,0)&amp;","&amp;AI32)</f>
        <v>coin,1750</v>
      </c>
      <c r="AS32" s="2" t="str">
        <f t="shared" si="8"/>
        <v>pack,303,1;pack,302,5;coin,1750</v>
      </c>
      <c r="AT32" s="2" t="str">
        <f t="shared" si="9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</v>
      </c>
    </row>
    <row r="33" spans="10:25" x14ac:dyDescent="0.15">
      <c r="J33" s="2">
        <f>F6</f>
        <v>180</v>
      </c>
      <c r="K33" s="1">
        <v>2</v>
      </c>
      <c r="L33" s="1" t="s">
        <v>87</v>
      </c>
      <c r="M33" s="4">
        <v>80</v>
      </c>
      <c r="N33" s="4">
        <f>VLOOKUP(L33,价值!$B:$G,6,0)*M33</f>
        <v>80</v>
      </c>
      <c r="O33" s="3" t="s">
        <v>95</v>
      </c>
      <c r="P33" s="2">
        <v>5000</v>
      </c>
      <c r="Q33" s="4">
        <f>VLOOKUP(O33,价值!$B:$G,6,0)*P33</f>
        <v>100</v>
      </c>
      <c r="R33" s="2">
        <f t="shared" ref="R33:R35" si="10">M33+Q33</f>
        <v>180</v>
      </c>
      <c r="S33" s="2" t="str">
        <f>VLOOKUP(L33,价值!$B:$G,3,0)&amp;","&amp;M33</f>
        <v>cash,80</v>
      </c>
      <c r="T33" s="2" t="str">
        <f>IF(VLOOKUP(L33,价值!$B:$G,5,0)=0,S33,VLOOKUP(L33,价值!$B:$G,5,0)&amp;","&amp;M33)</f>
        <v>cash,80</v>
      </c>
      <c r="U33" s="2" t="str">
        <f>VLOOKUP(O33,价值!$B:$G,3,0)&amp;","&amp;P33</f>
        <v>coin,5000</v>
      </c>
      <c r="V33" s="2" t="str">
        <f>IF(VLOOKUP(O33,价值!$B:$G,5,0)=0,U33,VLOOKUP(O33,价值!$B:$G,5,0)&amp;","&amp;P33)</f>
        <v>coin,5000</v>
      </c>
      <c r="W33" s="2" t="str">
        <f t="shared" ref="W33:W35" si="11">S33&amp;";"&amp;U33</f>
        <v>cash,80;coin,5000</v>
      </c>
      <c r="X33" s="2" t="str">
        <f t="shared" ref="X33:X35" si="12">T33&amp;";"&amp;V33</f>
        <v>cash,80;coin,5000</v>
      </c>
      <c r="Y33" s="1" t="s">
        <v>99</v>
      </c>
    </row>
    <row r="34" spans="10:25" x14ac:dyDescent="0.15">
      <c r="J34" s="2">
        <f>G6</f>
        <v>290</v>
      </c>
      <c r="K34" s="1">
        <v>3</v>
      </c>
      <c r="L34" s="1" t="s">
        <v>87</v>
      </c>
      <c r="M34" s="4">
        <v>100</v>
      </c>
      <c r="N34" s="4">
        <f>VLOOKUP(L34,价值!$B:$G,6,0)*M34</f>
        <v>100</v>
      </c>
      <c r="O34" s="2" t="s">
        <v>94</v>
      </c>
      <c r="P34" s="2">
        <v>3</v>
      </c>
      <c r="Q34" s="4">
        <f>VLOOKUP(O34,价值!$B:$G,6,0)*P34</f>
        <v>180</v>
      </c>
      <c r="R34" s="2">
        <f t="shared" si="10"/>
        <v>280</v>
      </c>
      <c r="S34" s="2" t="str">
        <f>VLOOKUP(L34,价值!$B:$G,3,0)&amp;","&amp;M34</f>
        <v>cash,100</v>
      </c>
      <c r="T34" s="2" t="str">
        <f>IF(VLOOKUP(L34,价值!$B:$G,5,0)=0,S34,VLOOKUP(L34,价值!$B:$G,5,0)&amp;","&amp;M34)</f>
        <v>cash,100</v>
      </c>
      <c r="U34" s="2" t="str">
        <f>VLOOKUP(O34,价值!$B:$G,3,0)&amp;","&amp;P34</f>
        <v>prop,105,3</v>
      </c>
      <c r="V34" s="2" t="str">
        <f>IF(VLOOKUP(O34,价值!$B:$G,5,0)=0,U34,VLOOKUP(O34,价值!$B:$G,5,0)&amp;","&amp;P34)</f>
        <v>prop,105,3</v>
      </c>
      <c r="W34" s="2" t="str">
        <f t="shared" si="11"/>
        <v>cash,100;prop,105,3</v>
      </c>
      <c r="X34" s="2" t="str">
        <f t="shared" si="12"/>
        <v>cash,100;prop,105,3</v>
      </c>
      <c r="Y34" s="1" t="s">
        <v>99</v>
      </c>
    </row>
    <row r="35" spans="10:25" x14ac:dyDescent="0.15">
      <c r="J35" s="2">
        <f>H6</f>
        <v>400</v>
      </c>
      <c r="K35" s="1">
        <v>4</v>
      </c>
      <c r="L35" s="1" t="s">
        <v>87</v>
      </c>
      <c r="M35" s="4">
        <v>150</v>
      </c>
      <c r="N35" s="4">
        <f>VLOOKUP(L35,价值!$B:$G,6,0)*M35</f>
        <v>150</v>
      </c>
      <c r="O35" s="3" t="s">
        <v>95</v>
      </c>
      <c r="P35" s="2">
        <v>12500</v>
      </c>
      <c r="Q35" s="4">
        <f>VLOOKUP(O35,价值!$B:$G,6,0)*P35</f>
        <v>250</v>
      </c>
      <c r="R35" s="2">
        <f t="shared" si="10"/>
        <v>400</v>
      </c>
      <c r="S35" s="2" t="str">
        <f>VLOOKUP(L35,价值!$B:$G,3,0)&amp;","&amp;M35</f>
        <v>cash,150</v>
      </c>
      <c r="T35" s="2" t="str">
        <f>IF(VLOOKUP(L35,价值!$B:$G,5,0)=0,S35,VLOOKUP(L35,价值!$B:$G,5,0)&amp;","&amp;M35)</f>
        <v>cash,150</v>
      </c>
      <c r="U35" s="2" t="str">
        <f>VLOOKUP(O35,价值!$B:$G,3,0)&amp;","&amp;P35</f>
        <v>coin,12500</v>
      </c>
      <c r="V35" s="2" t="str">
        <f>IF(VLOOKUP(O35,价值!$B:$G,5,0)=0,U35,VLOOKUP(O35,价值!$B:$G,5,0)&amp;","&amp;P35)</f>
        <v>coin,12500</v>
      </c>
      <c r="W35" s="2" t="str">
        <f t="shared" si="11"/>
        <v>cash,150;coin,12500</v>
      </c>
      <c r="X35" s="2" t="str">
        <f t="shared" si="12"/>
        <v>cash,150;coin,12500</v>
      </c>
      <c r="Y35" s="1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140" zoomScaleNormal="140" zoomScalePageLayoutView="140" workbookViewId="0">
      <selection activeCell="E33" sqref="E33"/>
    </sheetView>
  </sheetViews>
  <sheetFormatPr baseColWidth="10" defaultColWidth="8.83203125" defaultRowHeight="13" x14ac:dyDescent="0.15"/>
  <cols>
    <col min="1" max="1" width="17.33203125" style="3" bestFit="1" customWidth="1"/>
    <col min="2" max="10" width="8.83203125" style="3"/>
    <col min="11" max="11" width="14.33203125" style="3" bestFit="1" customWidth="1"/>
    <col min="12" max="16" width="8.83203125" style="3"/>
    <col min="17" max="17" width="14.33203125" style="3" bestFit="1" customWidth="1"/>
    <col min="18" max="16384" width="8.83203125" style="3"/>
  </cols>
  <sheetData>
    <row r="1" spans="1:24" x14ac:dyDescent="0.15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15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15">
      <c r="A3" s="3" t="s">
        <v>16</v>
      </c>
    </row>
    <row r="4" spans="1:24" x14ac:dyDescent="0.15">
      <c r="A4" s="3" t="s">
        <v>17</v>
      </c>
    </row>
    <row r="5" spans="1:24" x14ac:dyDescent="0.15">
      <c r="A5" s="3" t="s">
        <v>18</v>
      </c>
    </row>
    <row r="6" spans="1:24" x14ac:dyDescent="0.15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F2" sqref="F2:F10"/>
    </sheetView>
  </sheetViews>
  <sheetFormatPr baseColWidth="10" defaultColWidth="8.83203125" defaultRowHeight="15" x14ac:dyDescent="0.2"/>
  <cols>
    <col min="2" max="2" width="23.5" bestFit="1" customWidth="1"/>
    <col min="3" max="3" width="10.1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 t="str">
        <f>[1]物品定价!B246</f>
        <v>战栗的龙卷普通技能卡</v>
      </c>
      <c r="C246">
        <f>[1]物品定价!C246</f>
        <v>0</v>
      </c>
      <c r="D246" t="str">
        <f>[1]物品定价!D246</f>
        <v>skill,1</v>
      </c>
      <c r="E246">
        <f>[1]物品定价!E246</f>
        <v>500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 t="str">
        <f>[1]物品定价!B247</f>
        <v>战栗的龙卷主动技能卡-1</v>
      </c>
      <c r="C247">
        <f>[1]物品定价!C247</f>
        <v>0</v>
      </c>
      <c r="D247" t="str">
        <f>[1]物品定价!D247</f>
        <v>skill,2</v>
      </c>
      <c r="E247">
        <f>[1]物品定价!E247</f>
        <v>1000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 t="str">
        <f>[1]物品定价!B248</f>
        <v>战栗的龙卷主动技能卡-2</v>
      </c>
      <c r="C248">
        <f>[1]物品定价!C248</f>
        <v>0</v>
      </c>
      <c r="D248" t="str">
        <f>[1]物品定价!D248</f>
        <v>skill,3</v>
      </c>
      <c r="E248">
        <f>[1]物品定价!E248</f>
        <v>1000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 t="str">
        <f>[1]物品定价!B249</f>
        <v>战栗的龙卷特质1技能卡</v>
      </c>
      <c r="C249">
        <f>[1]物品定价!C249</f>
        <v>0</v>
      </c>
      <c r="D249" t="str">
        <f>[1]物品定价!D249</f>
        <v>skill,4</v>
      </c>
      <c r="E249">
        <f>[1]物品定价!E249</f>
        <v>500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 t="str">
        <f>[1]物品定价!B250</f>
        <v>战栗的龙卷特质2技能卡</v>
      </c>
      <c r="C250">
        <f>[1]物品定价!C250</f>
        <v>0</v>
      </c>
      <c r="D250" t="str">
        <f>[1]物品定价!D250</f>
        <v>skill,5</v>
      </c>
      <c r="E250">
        <f>[1]物品定价!E250</f>
        <v>500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 t="str">
        <f>[1]物品定价!B251</f>
        <v>战栗的龙卷特质3技能卡-1</v>
      </c>
      <c r="C251">
        <f>[1]物品定价!C251</f>
        <v>0</v>
      </c>
      <c r="D251" t="str">
        <f>[1]物品定价!D251</f>
        <v>skill,6</v>
      </c>
      <c r="E251">
        <f>[1]物品定价!E251</f>
        <v>500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 t="str">
        <f>[1]物品定价!B252</f>
        <v>战栗的龙卷特质3技能卡-2</v>
      </c>
      <c r="C252">
        <f>[1]物品定价!C252</f>
        <v>0</v>
      </c>
      <c r="D252" t="str">
        <f>[1]物品定价!D252</f>
        <v>skill,7</v>
      </c>
      <c r="E252">
        <f>[1]物品定价!E252</f>
        <v>500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 t="str">
        <f>[1]物品定价!B253</f>
        <v>战栗的龙卷特质4技能卡</v>
      </c>
      <c r="C253">
        <f>[1]物品定价!C253</f>
        <v>0</v>
      </c>
      <c r="D253" t="str">
        <f>[1]物品定价!D253</f>
        <v>skill,8</v>
      </c>
      <c r="E253">
        <f>[1]物品定价!E253</f>
        <v>500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 t="str">
        <f>[1]物品定价!B254</f>
        <v>地狱的吹雪普通技能卡</v>
      </c>
      <c r="C254">
        <f>[1]物品定价!C254</f>
        <v>0</v>
      </c>
      <c r="D254" t="str">
        <f>[1]物品定价!D254</f>
        <v>skill,9</v>
      </c>
      <c r="E254">
        <f>[1]物品定价!E254</f>
        <v>300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 t="str">
        <f>[1]物品定价!B255</f>
        <v>地狱的吹雪主动技能卡</v>
      </c>
      <c r="C255">
        <f>[1]物品定价!C255</f>
        <v>0</v>
      </c>
      <c r="D255" t="str">
        <f>[1]物品定价!D255</f>
        <v>skill,10</v>
      </c>
      <c r="E255">
        <f>[1]物品定价!E255</f>
        <v>600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 t="str">
        <f>[1]物品定价!B256</f>
        <v>地狱的吹雪特质3技能卡</v>
      </c>
      <c r="C256">
        <f>[1]物品定价!C256</f>
        <v>0</v>
      </c>
      <c r="D256" t="str">
        <f>[1]物品定价!D256</f>
        <v>skill,11</v>
      </c>
      <c r="E256">
        <f>[1]物品定价!E256</f>
        <v>300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2019-10-17T09:52:35Z</dcterms:modified>
</cp:coreProperties>
</file>