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209"/>
  <workbookPr showInkAnnotation="0" autoCompressPictures="0"/>
  <mc:AlternateContent xmlns:mc="http://schemas.openxmlformats.org/markup-compatibility/2006">
    <mc:Choice Requires="x15">
      <x15ac:absPath xmlns:x15ac="http://schemas.microsoft.com/office/spreadsheetml/2010/11/ac" url="/Users/lennonthomas/Desktop/Montserrat-Fisheries-Assessment/projections/"/>
    </mc:Choice>
  </mc:AlternateContent>
  <bookViews>
    <workbookView xWindow="7880" yWindow="460" windowWidth="38400" windowHeight="19400" tabRatio="500" activeTab="1"/>
  </bookViews>
  <sheets>
    <sheet name="ReadMe" sheetId="10" r:id="rId1"/>
    <sheet name="Metadata" sheetId="5" r:id="rId2"/>
    <sheet name="CleanParams_All" sheetId="13" r:id="rId3"/>
    <sheet name="CleanParams_IndoPacific" sheetId="12" r:id="rId4"/>
    <sheet name="CleanParams_Belize" sheetId="11" r:id="rId5"/>
    <sheet name="RawParams" sheetId="1" r:id="rId6"/>
    <sheet name="References" sheetId="3" r:id="rId7"/>
    <sheet name="Raw to Clean1" sheetId="7" r:id="rId8"/>
    <sheet name="Raw to Clean2" sheetId="9" r:id="rId9"/>
    <sheet name="Raw to Clean_Belize" sheetId="15" r:id="rId10"/>
    <sheet name="FecundityCalcs" sheetId="4" r:id="rId11"/>
    <sheet name="Origianl RawParams Belize" sheetId="16" r:id="rId12"/>
  </sheets>
  <externalReferences>
    <externalReference r:id="rId13"/>
  </externalReferences>
  <definedNames>
    <definedName name="_xlnm._FilterDatabase" localSheetId="2" hidden="1">CleanParams_All!$A$1:$AN$66</definedName>
    <definedName name="a" localSheetId="11">[1]FecundityCalcs!$B$3</definedName>
    <definedName name="a" localSheetId="9">[1]FecundityCalcs!$B$3</definedName>
    <definedName name="a">FecundityCalcs!$B$3</definedName>
    <definedName name="a4scqhjp50vk" localSheetId="2">#REF!</definedName>
    <definedName name="a4scqhjp50vk" localSheetId="11">#REF!</definedName>
    <definedName name="a4scqhjp50vk" localSheetId="9">#REF!</definedName>
    <definedName name="a4scqhjp50vk">#REF!</definedName>
    <definedName name="b" localSheetId="11">[1]FecundityCalcs!$B$4</definedName>
    <definedName name="b" localSheetId="9">[1]FecundityCalcs!$B$4</definedName>
    <definedName name="b">FecundityCalcs!$B$4</definedName>
    <definedName name="cbk7tsf2xaac" localSheetId="2">#REF!</definedName>
    <definedName name="cbk7tsf2xaac" localSheetId="11">#REF!</definedName>
    <definedName name="cbk7tsf2xaac" localSheetId="9">#REF!</definedName>
    <definedName name="cbk7tsf2xaac">#REF!</definedName>
    <definedName name="g32ijk68laal" localSheetId="2">#REF!</definedName>
    <definedName name="g32ijk68laal" localSheetId="11">#REF!</definedName>
    <definedName name="g32ijk68laal" localSheetId="9">#REF!</definedName>
    <definedName name="g32ijk68laal">#REF!</definedName>
    <definedName name="IndoRef" localSheetId="2">#REF!</definedName>
    <definedName name="IndoRef" localSheetId="11">#REF!</definedName>
    <definedName name="IndoRef" localSheetId="9">#REF!</definedName>
    <definedName name="IndoRef">#REF!</definedName>
    <definedName name="IndoReference" localSheetId="2">#REF!</definedName>
    <definedName name="IndoReference" localSheetId="11">#REF!</definedName>
    <definedName name="IndoReference" localSheetId="9">#REF!</definedName>
    <definedName name="IndoReference">#REF!</definedName>
    <definedName name="jjmwty55qy5l" localSheetId="2">#REF!</definedName>
    <definedName name="jjmwty55qy5l" localSheetId="11">#REF!</definedName>
    <definedName name="jjmwty55qy5l" localSheetId="9">#REF!</definedName>
    <definedName name="jjmwty55qy5l">#REF!</definedName>
    <definedName name="k" localSheetId="11">[1]FecundityCalcs!$B$6</definedName>
    <definedName name="k" localSheetId="9">[1]FecundityCalcs!$B$6</definedName>
    <definedName name="k">FecundityCalcs!$B$6</definedName>
    <definedName name="linf" localSheetId="11">[1]FecundityCalcs!$B$5</definedName>
    <definedName name="linf" localSheetId="9">[1]FecundityCalcs!$B$5</definedName>
    <definedName name="linf">FecundityCalcs!$B$5</definedName>
    <definedName name="nodv4kaks5bj" localSheetId="2">#REF!</definedName>
    <definedName name="nodv4kaks5bj" localSheetId="11">#REF!</definedName>
    <definedName name="nodv4kaks5bj" localSheetId="9">#REF!</definedName>
    <definedName name="nodv4kaks5bj">#REF!</definedName>
    <definedName name="o4gspwy8hsa1" localSheetId="2">#REF!</definedName>
    <definedName name="o4gspwy8hsa1" localSheetId="11">#REF!</definedName>
    <definedName name="o4gspwy8hsa1" localSheetId="9">#REF!</definedName>
    <definedName name="o4gspwy8hsa1">#REF!</definedName>
    <definedName name="pkuxso7bh9hs" localSheetId="2">#REF!</definedName>
    <definedName name="pkuxso7bh9hs" localSheetId="11">#REF!</definedName>
    <definedName name="pkuxso7bh9hs" localSheetId="9">#REF!</definedName>
    <definedName name="pkuxso7bh9hs">#REF!</definedName>
    <definedName name="rqn7vwjao7ed" localSheetId="2">#REF!</definedName>
    <definedName name="rqn7vwjao7ed" localSheetId="11">#REF!</definedName>
    <definedName name="rqn7vwjao7ed" localSheetId="9">#REF!</definedName>
    <definedName name="rqn7vwjao7ed">#REF!</definedName>
    <definedName name="t0" localSheetId="11">[1]FecundityCalcs!$B$7</definedName>
    <definedName name="t0" localSheetId="9">[1]FecundityCalcs!$B$7</definedName>
    <definedName name="t0">FecundityCalcs!$B$7</definedName>
    <definedName name="tdxddfyup7nv" localSheetId="2">#REF!</definedName>
    <definedName name="tdxddfyup7nv" localSheetId="11">#REF!</definedName>
    <definedName name="tdxddfyup7nv" localSheetId="9">#REF!</definedName>
    <definedName name="tdxddfyup7nv">#REF!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32" i="16" l="1"/>
  <c r="D32" i="16"/>
  <c r="H52" i="15"/>
  <c r="E52" i="15"/>
  <c r="D52" i="15"/>
  <c r="K48" i="15"/>
  <c r="H48" i="15"/>
  <c r="D44" i="15"/>
  <c r="K14" i="15"/>
  <c r="K7" i="15"/>
  <c r="K10" i="15"/>
  <c r="K35" i="15"/>
  <c r="K39" i="15"/>
  <c r="K42" i="15"/>
  <c r="J42" i="15"/>
  <c r="I42" i="15"/>
  <c r="H39" i="15"/>
  <c r="H42" i="15"/>
  <c r="G42" i="15"/>
  <c r="E42" i="15"/>
  <c r="D42" i="15"/>
  <c r="C42" i="15"/>
  <c r="B42" i="15"/>
  <c r="B32" i="15"/>
  <c r="K30" i="15"/>
  <c r="J30" i="15"/>
  <c r="I30" i="15"/>
  <c r="H30" i="15"/>
  <c r="G30" i="15"/>
  <c r="E30" i="15"/>
  <c r="D30" i="15"/>
  <c r="C30" i="15"/>
  <c r="B30" i="15"/>
  <c r="K15" i="15"/>
  <c r="K13" i="15"/>
  <c r="K9" i="15"/>
  <c r="H10" i="7"/>
  <c r="H7" i="7"/>
  <c r="H39" i="7"/>
  <c r="AK47" i="13"/>
  <c r="AK11" i="11"/>
  <c r="AA49" i="7"/>
  <c r="X49" i="7"/>
  <c r="W49" i="7"/>
  <c r="T49" i="7"/>
  <c r="R49" i="7"/>
  <c r="N49" i="7"/>
  <c r="H49" i="7"/>
  <c r="I49" i="7"/>
  <c r="G49" i="7"/>
  <c r="C49" i="7"/>
  <c r="D49" i="7"/>
  <c r="E49" i="7"/>
  <c r="B49" i="7"/>
  <c r="C134" i="4"/>
  <c r="C123" i="4"/>
  <c r="B84" i="4"/>
  <c r="C84" i="4"/>
  <c r="B85" i="4"/>
  <c r="C85" i="4"/>
  <c r="B86" i="4"/>
  <c r="C86" i="4"/>
  <c r="B87" i="4"/>
  <c r="C87" i="4"/>
  <c r="B88" i="4"/>
  <c r="C88" i="4"/>
  <c r="B89" i="4"/>
  <c r="C89" i="4"/>
  <c r="B90" i="4"/>
  <c r="C90" i="4"/>
  <c r="B91" i="4"/>
  <c r="C91" i="4"/>
  <c r="B92" i="4"/>
  <c r="C92" i="4"/>
  <c r="B93" i="4"/>
  <c r="C93" i="4"/>
  <c r="B94" i="4"/>
  <c r="C94" i="4"/>
  <c r="B95" i="4"/>
  <c r="C95" i="4"/>
  <c r="B96" i="4"/>
  <c r="C96" i="4"/>
  <c r="B97" i="4"/>
  <c r="C97" i="4"/>
  <c r="B98" i="4"/>
  <c r="C98" i="4"/>
  <c r="B99" i="4"/>
  <c r="C99" i="4"/>
  <c r="B100" i="4"/>
  <c r="C100" i="4"/>
  <c r="B101" i="4"/>
  <c r="C101" i="4"/>
  <c r="B102" i="4"/>
  <c r="C102" i="4"/>
  <c r="B103" i="4"/>
  <c r="C103" i="4"/>
  <c r="B104" i="4"/>
  <c r="C104" i="4"/>
  <c r="C105" i="4"/>
  <c r="H7" i="9"/>
  <c r="I7" i="9"/>
  <c r="P7" i="9"/>
  <c r="V7" i="9"/>
  <c r="AG7" i="9"/>
  <c r="H9" i="9"/>
  <c r="H10" i="9"/>
  <c r="I10" i="9"/>
  <c r="P10" i="9"/>
  <c r="V10" i="9"/>
  <c r="AG10" i="9"/>
  <c r="H13" i="9"/>
  <c r="P14" i="9"/>
  <c r="AG14" i="9"/>
  <c r="H16" i="9"/>
  <c r="G21" i="9"/>
  <c r="K21" i="9"/>
  <c r="Q21" i="9"/>
  <c r="R21" i="9"/>
  <c r="S21" i="9"/>
  <c r="U21" i="9"/>
  <c r="V21" i="9"/>
  <c r="I23" i="9"/>
  <c r="W23" i="9"/>
  <c r="B26" i="9"/>
  <c r="H26" i="9"/>
  <c r="I26" i="9"/>
  <c r="J26" i="9"/>
  <c r="K27" i="9"/>
  <c r="K26" i="9"/>
  <c r="L26" i="9"/>
  <c r="M26" i="9"/>
  <c r="N27" i="9"/>
  <c r="N26" i="9"/>
  <c r="O26" i="9"/>
  <c r="P26" i="9"/>
  <c r="Q26" i="9"/>
  <c r="S26" i="9"/>
  <c r="X26" i="9"/>
  <c r="Y26" i="9"/>
  <c r="Z26" i="9"/>
  <c r="AA26" i="9"/>
  <c r="AG27" i="9"/>
  <c r="AG26" i="9"/>
  <c r="C27" i="9"/>
  <c r="D27" i="9"/>
  <c r="E27" i="9"/>
  <c r="F27" i="9"/>
  <c r="G27" i="9"/>
  <c r="R27" i="9"/>
  <c r="T27" i="9"/>
  <c r="U27" i="9"/>
  <c r="V27" i="9"/>
  <c r="W27" i="9"/>
  <c r="AB27" i="9"/>
  <c r="AC27" i="9"/>
  <c r="AF27" i="9"/>
  <c r="J28" i="9"/>
  <c r="AG28" i="9"/>
  <c r="B29" i="9"/>
  <c r="C29" i="9"/>
  <c r="G29" i="9"/>
  <c r="H29" i="9"/>
  <c r="I29" i="9"/>
  <c r="K29" i="9"/>
  <c r="O29" i="9"/>
  <c r="Q29" i="9"/>
  <c r="S29" i="9"/>
  <c r="V29" i="9"/>
  <c r="X29" i="9"/>
  <c r="AA29" i="9"/>
  <c r="AC29" i="9"/>
  <c r="AE29" i="9"/>
  <c r="C31" i="9"/>
  <c r="G31" i="9"/>
  <c r="H31" i="9"/>
  <c r="I31" i="9"/>
  <c r="J31" i="9"/>
  <c r="N31" i="9"/>
  <c r="O31" i="9"/>
  <c r="P34" i="9"/>
  <c r="P31" i="9"/>
  <c r="Q31" i="9"/>
  <c r="R31" i="9"/>
  <c r="T31" i="9"/>
  <c r="U31" i="9"/>
  <c r="V31" i="9"/>
  <c r="X31" i="9"/>
  <c r="Y31" i="9"/>
  <c r="AA31" i="9"/>
  <c r="AG31" i="9"/>
  <c r="B32" i="9"/>
  <c r="C32" i="9"/>
  <c r="D32" i="9"/>
  <c r="E32" i="9"/>
  <c r="F32" i="9"/>
  <c r="G32" i="9"/>
  <c r="H32" i="9"/>
  <c r="I32" i="9"/>
  <c r="J32" i="9"/>
  <c r="K32" i="9"/>
  <c r="L32" i="9"/>
  <c r="M32" i="9"/>
  <c r="O32" i="9"/>
  <c r="R32" i="9"/>
  <c r="S32" i="9"/>
  <c r="T32" i="9"/>
  <c r="U32" i="9"/>
  <c r="W32" i="9"/>
  <c r="X32" i="9"/>
  <c r="Y32" i="9"/>
  <c r="Z32" i="9"/>
  <c r="AB32" i="9"/>
  <c r="AC32" i="9"/>
  <c r="AF32" i="9"/>
  <c r="AG32" i="9"/>
  <c r="B33" i="9"/>
  <c r="C33" i="9"/>
  <c r="D33" i="9"/>
  <c r="E33" i="9"/>
  <c r="F33" i="9"/>
  <c r="G33" i="9"/>
  <c r="H33" i="9"/>
  <c r="I33" i="9"/>
  <c r="J33" i="9"/>
  <c r="K33" i="9"/>
  <c r="L33" i="9"/>
  <c r="M33" i="9"/>
  <c r="O33" i="9"/>
  <c r="R33" i="9"/>
  <c r="S33" i="9"/>
  <c r="T33" i="9"/>
  <c r="U33" i="9"/>
  <c r="W33" i="9"/>
  <c r="X33" i="9"/>
  <c r="Y33" i="9"/>
  <c r="Z33" i="9"/>
  <c r="AB33" i="9"/>
  <c r="AC33" i="9"/>
  <c r="AF33" i="9"/>
  <c r="AG33" i="9"/>
  <c r="B34" i="9"/>
  <c r="C34" i="9"/>
  <c r="D34" i="9"/>
  <c r="E34" i="9"/>
  <c r="F34" i="9"/>
  <c r="G34" i="9"/>
  <c r="I34" i="9"/>
  <c r="J34" i="9"/>
  <c r="K34" i="9"/>
  <c r="L34" i="9"/>
  <c r="M34" i="9"/>
  <c r="O34" i="9"/>
  <c r="Q34" i="9"/>
  <c r="R34" i="9"/>
  <c r="S34" i="9"/>
  <c r="T34" i="9"/>
  <c r="U34" i="9"/>
  <c r="W34" i="9"/>
  <c r="X34" i="9"/>
  <c r="Y34" i="9"/>
  <c r="Z34" i="9"/>
  <c r="AB34" i="9"/>
  <c r="AC34" i="9"/>
  <c r="AF34" i="9"/>
  <c r="AG34" i="9"/>
  <c r="B35" i="9"/>
  <c r="C35" i="9"/>
  <c r="D35" i="9"/>
  <c r="E35" i="9"/>
  <c r="F35" i="9"/>
  <c r="G35" i="9"/>
  <c r="H35" i="9"/>
  <c r="I35" i="9"/>
  <c r="J35" i="9"/>
  <c r="L35" i="9"/>
  <c r="M35" i="9"/>
  <c r="N35" i="9"/>
  <c r="O35" i="9"/>
  <c r="Q35" i="9"/>
  <c r="R35" i="9"/>
  <c r="S35" i="9"/>
  <c r="T35" i="9"/>
  <c r="U35" i="9"/>
  <c r="V35" i="9"/>
  <c r="W35" i="9"/>
  <c r="X35" i="9"/>
  <c r="Y35" i="9"/>
  <c r="Z35" i="9"/>
  <c r="AA35" i="9"/>
  <c r="AB35" i="9"/>
  <c r="AC35" i="9"/>
  <c r="AF35" i="9"/>
  <c r="AG35" i="9"/>
  <c r="S36" i="9"/>
  <c r="J38" i="9"/>
  <c r="K38" i="9"/>
  <c r="L38" i="9"/>
  <c r="Q38" i="9"/>
  <c r="AG38" i="9"/>
  <c r="O41" i="9"/>
  <c r="P41" i="9"/>
  <c r="AF41" i="9"/>
  <c r="H16" i="7"/>
  <c r="K41" i="7"/>
  <c r="K40" i="7"/>
  <c r="K42" i="7"/>
  <c r="AG14" i="7"/>
  <c r="AG7" i="7"/>
  <c r="AG10" i="7"/>
  <c r="AG39" i="7"/>
  <c r="AG42" i="7"/>
  <c r="W42" i="7"/>
  <c r="Q39" i="7"/>
  <c r="Q42" i="7"/>
  <c r="L30" i="7"/>
  <c r="AG31" i="7"/>
  <c r="AG30" i="7"/>
  <c r="AF31" i="7"/>
  <c r="AC31" i="7"/>
  <c r="AB31" i="7"/>
  <c r="Y30" i="7"/>
  <c r="Z30" i="7"/>
  <c r="AA30" i="7"/>
  <c r="X30" i="7"/>
  <c r="U31" i="7"/>
  <c r="V31" i="7"/>
  <c r="W31" i="7"/>
  <c r="T31" i="7"/>
  <c r="S30" i="7"/>
  <c r="R31" i="7"/>
  <c r="N31" i="7"/>
  <c r="N30" i="7"/>
  <c r="O30" i="7"/>
  <c r="P30" i="7"/>
  <c r="Q30" i="7"/>
  <c r="M30" i="7"/>
  <c r="I30" i="7"/>
  <c r="J30" i="7"/>
  <c r="K31" i="7"/>
  <c r="K30" i="7"/>
  <c r="H30" i="7"/>
  <c r="D31" i="7"/>
  <c r="E31" i="7"/>
  <c r="F31" i="7"/>
  <c r="G31" i="7"/>
  <c r="C31" i="7"/>
  <c r="Q37" i="7"/>
  <c r="Q35" i="7"/>
  <c r="B42" i="7"/>
  <c r="B30" i="7"/>
  <c r="AG40" i="7"/>
  <c r="AG41" i="7"/>
  <c r="AF41" i="7"/>
  <c r="AF40" i="7"/>
  <c r="AC40" i="7"/>
  <c r="AC41" i="7"/>
  <c r="AC42" i="7"/>
  <c r="AB42" i="7"/>
  <c r="AB41" i="7"/>
  <c r="AB40" i="7"/>
  <c r="Z40" i="7"/>
  <c r="Z41" i="7"/>
  <c r="Z42" i="7"/>
  <c r="Y40" i="7"/>
  <c r="Y41" i="7"/>
  <c r="Y39" i="7"/>
  <c r="Y42" i="7"/>
  <c r="X41" i="7"/>
  <c r="X40" i="7"/>
  <c r="X39" i="7"/>
  <c r="X42" i="7"/>
  <c r="W41" i="7"/>
  <c r="W40" i="7"/>
  <c r="U40" i="7"/>
  <c r="U41" i="7"/>
  <c r="U39" i="7"/>
  <c r="U42" i="7"/>
  <c r="T39" i="7"/>
  <c r="T42" i="7"/>
  <c r="T40" i="7"/>
  <c r="T41" i="7"/>
  <c r="S42" i="7"/>
  <c r="S40" i="7"/>
  <c r="S41" i="7"/>
  <c r="R41" i="7"/>
  <c r="R40" i="7"/>
  <c r="R39" i="7"/>
  <c r="R42" i="7"/>
  <c r="O41" i="7"/>
  <c r="O40" i="7"/>
  <c r="O39" i="7"/>
  <c r="O42" i="7"/>
  <c r="M40" i="7"/>
  <c r="M41" i="7"/>
  <c r="L41" i="7"/>
  <c r="L40" i="7"/>
  <c r="J41" i="7"/>
  <c r="J40" i="7"/>
  <c r="I7" i="7"/>
  <c r="I10" i="7"/>
  <c r="I39" i="7"/>
  <c r="I42" i="7"/>
  <c r="I41" i="7"/>
  <c r="I40" i="7"/>
  <c r="H41" i="7"/>
  <c r="H40" i="7"/>
  <c r="G41" i="7"/>
  <c r="G40" i="7"/>
  <c r="F41" i="7"/>
  <c r="F40" i="7"/>
  <c r="E41" i="7"/>
  <c r="E40" i="7"/>
  <c r="L42" i="7"/>
  <c r="M42" i="7"/>
  <c r="J39" i="7"/>
  <c r="J42" i="7"/>
  <c r="G39" i="7"/>
  <c r="G42" i="7"/>
  <c r="F42" i="7"/>
  <c r="AE43" i="7"/>
  <c r="AF43" i="7"/>
  <c r="AG43" i="7"/>
  <c r="M43" i="7"/>
  <c r="N43" i="7"/>
  <c r="O43" i="7"/>
  <c r="Q43" i="7"/>
  <c r="R43" i="7"/>
  <c r="S43" i="7"/>
  <c r="T43" i="7"/>
  <c r="U43" i="7"/>
  <c r="V43" i="7"/>
  <c r="W43" i="7"/>
  <c r="X43" i="7"/>
  <c r="Y43" i="7"/>
  <c r="Z43" i="7"/>
  <c r="AA43" i="7"/>
  <c r="AB43" i="7"/>
  <c r="AC43" i="7"/>
  <c r="L43" i="7"/>
  <c r="D43" i="7"/>
  <c r="E43" i="7"/>
  <c r="F43" i="7"/>
  <c r="G43" i="7"/>
  <c r="H43" i="7"/>
  <c r="I43" i="7"/>
  <c r="J43" i="7"/>
  <c r="C43" i="7"/>
  <c r="B43" i="7"/>
  <c r="E42" i="7"/>
  <c r="C41" i="7"/>
  <c r="D41" i="7"/>
  <c r="C40" i="7"/>
  <c r="D40" i="7"/>
  <c r="D42" i="7"/>
  <c r="C39" i="7"/>
  <c r="C42" i="7"/>
  <c r="L48" i="7"/>
  <c r="B44" i="4"/>
  <c r="C44" i="4"/>
  <c r="B45" i="4"/>
  <c r="C45" i="4"/>
  <c r="B46" i="4"/>
  <c r="C46" i="4"/>
  <c r="B47" i="4"/>
  <c r="C47" i="4"/>
  <c r="B48" i="4"/>
  <c r="C48" i="4"/>
  <c r="B49" i="4"/>
  <c r="C49" i="4"/>
  <c r="B50" i="4"/>
  <c r="C50" i="4"/>
  <c r="B51" i="4"/>
  <c r="C51" i="4"/>
  <c r="B52" i="4"/>
  <c r="C52" i="4"/>
  <c r="B53" i="4"/>
  <c r="C53" i="4"/>
  <c r="B54" i="4"/>
  <c r="C54" i="4"/>
  <c r="B55" i="4"/>
  <c r="C55" i="4"/>
  <c r="B56" i="4"/>
  <c r="C56" i="4"/>
  <c r="B57" i="4"/>
  <c r="C57" i="4"/>
  <c r="B58" i="4"/>
  <c r="C58" i="4"/>
  <c r="B59" i="4"/>
  <c r="C59" i="4"/>
  <c r="B60" i="4"/>
  <c r="C60" i="4"/>
  <c r="B61" i="4"/>
  <c r="C61" i="4"/>
  <c r="B62" i="4"/>
  <c r="C62" i="4"/>
  <c r="B63" i="4"/>
  <c r="C63" i="4"/>
  <c r="B64" i="4"/>
  <c r="C64" i="4"/>
  <c r="B65" i="4"/>
  <c r="C65" i="4"/>
  <c r="B66" i="4"/>
  <c r="C66" i="4"/>
  <c r="B67" i="4"/>
  <c r="C67" i="4"/>
  <c r="B68" i="4"/>
  <c r="C68" i="4"/>
  <c r="B69" i="4"/>
  <c r="C69" i="4"/>
  <c r="B70" i="4"/>
  <c r="C70" i="4"/>
  <c r="B71" i="4"/>
  <c r="C71" i="4"/>
  <c r="C72" i="4"/>
  <c r="B41" i="4"/>
  <c r="C41" i="4"/>
  <c r="B42" i="4"/>
  <c r="C42" i="4"/>
  <c r="B43" i="4"/>
  <c r="C43" i="4"/>
  <c r="B40" i="4"/>
  <c r="C40" i="4"/>
  <c r="B41" i="7"/>
  <c r="B40" i="7"/>
  <c r="AG48" i="7"/>
  <c r="J48" i="7"/>
  <c r="Q48" i="7"/>
  <c r="AA39" i="7"/>
  <c r="V10" i="7"/>
  <c r="V7" i="7"/>
  <c r="V39" i="7"/>
  <c r="P10" i="7"/>
  <c r="P7" i="7"/>
  <c r="P42" i="7"/>
  <c r="P14" i="7"/>
  <c r="P39" i="7"/>
  <c r="N39" i="7"/>
  <c r="P44" i="7"/>
  <c r="B12" i="4"/>
  <c r="C12" i="4"/>
  <c r="B13" i="4"/>
  <c r="C13" i="4"/>
  <c r="B14" i="4"/>
  <c r="C14" i="4"/>
  <c r="B15" i="4"/>
  <c r="C15" i="4"/>
  <c r="B16" i="4"/>
  <c r="C16" i="4"/>
  <c r="B17" i="4"/>
  <c r="C17" i="4"/>
  <c r="B18" i="4"/>
  <c r="C18" i="4"/>
  <c r="B19" i="4"/>
  <c r="C19" i="4"/>
  <c r="B20" i="4"/>
  <c r="C20" i="4"/>
  <c r="B21" i="4"/>
  <c r="C21" i="4"/>
  <c r="B22" i="4"/>
  <c r="C22" i="4"/>
  <c r="B23" i="4"/>
  <c r="C23" i="4"/>
  <c r="B24" i="4"/>
  <c r="C24" i="4"/>
  <c r="B25" i="4"/>
  <c r="C25" i="4"/>
  <c r="C26" i="4"/>
  <c r="B11" i="4"/>
  <c r="C11" i="4"/>
  <c r="B10" i="4"/>
  <c r="C10" i="4"/>
  <c r="K48" i="7"/>
  <c r="O33" i="7"/>
  <c r="V33" i="7"/>
  <c r="AE33" i="7"/>
  <c r="R35" i="7"/>
  <c r="X35" i="7"/>
  <c r="X37" i="7"/>
  <c r="K35" i="7"/>
  <c r="I37" i="7"/>
  <c r="I35" i="7"/>
  <c r="C35" i="7"/>
  <c r="AF52" i="7"/>
  <c r="P52" i="7"/>
  <c r="O52" i="7"/>
  <c r="AC33" i="7"/>
  <c r="AA33" i="7"/>
  <c r="X33" i="7"/>
  <c r="S33" i="7"/>
  <c r="Q33" i="7"/>
  <c r="H33" i="7"/>
  <c r="I27" i="7"/>
  <c r="I33" i="7"/>
  <c r="K33" i="7"/>
  <c r="G33" i="7"/>
  <c r="C33" i="7"/>
  <c r="B33" i="7"/>
  <c r="AG32" i="7"/>
  <c r="J32" i="7"/>
  <c r="W27" i="7"/>
  <c r="V23" i="7"/>
  <c r="Q23" i="7"/>
  <c r="U23" i="7"/>
  <c r="S23" i="7"/>
  <c r="R23" i="7"/>
  <c r="K23" i="7"/>
  <c r="G23" i="7"/>
  <c r="H13" i="7"/>
  <c r="H9" i="7"/>
  <c r="S46" i="7"/>
  <c r="W8" i="3"/>
  <c r="AE23" i="1"/>
  <c r="AF42" i="7"/>
</calcChain>
</file>

<file path=xl/comments1.xml><?xml version="1.0" encoding="utf-8"?>
<comments xmlns="http://schemas.openxmlformats.org/spreadsheetml/2006/main">
  <authors>
    <author>Kiya Gornik</author>
    <author>ddougherty</author>
    <author>Katie Peterson</author>
  </authors>
  <commentList>
    <comment ref="AP5" authorId="0">
      <text>
        <r>
          <rPr>
            <b/>
            <sz val="9"/>
            <color indexed="81"/>
            <rFont val="Arial"/>
            <family val="2"/>
          </rPr>
          <t>Kiya Gornik:</t>
        </r>
        <r>
          <rPr>
            <sz val="9"/>
            <color indexed="81"/>
            <rFont val="Arial"/>
            <family val="2"/>
          </rPr>
          <t xml:space="preserve">
Van Heukelem 1973 says O. vulgaris has similar life history but may have longer lifespan (15-24 mo)
</t>
        </r>
      </text>
    </comment>
    <comment ref="Q6" authorId="1">
      <text>
        <r>
          <rPr>
            <b/>
            <sz val="8"/>
            <color indexed="81"/>
            <rFont val="Tahoma"/>
            <family val="2"/>
          </rPr>
          <t>ddougherty:</t>
        </r>
        <r>
          <rPr>
            <sz val="8"/>
            <color indexed="81"/>
            <rFont val="Tahoma"/>
            <family val="2"/>
          </rPr>
          <t xml:space="preserve">
Estimates from study in Puerto Rico, Acosta and Appledoorn
Paper has values for similar countries
</t>
        </r>
      </text>
    </comment>
    <comment ref="S6" authorId="0">
      <text>
        <r>
          <rPr>
            <b/>
            <sz val="9"/>
            <color indexed="81"/>
            <rFont val="Arial"/>
            <family val="2"/>
          </rPr>
          <t>Kiya Gornik:</t>
        </r>
        <r>
          <rPr>
            <sz val="9"/>
            <color indexed="81"/>
            <rFont val="Arial"/>
            <family val="2"/>
          </rPr>
          <t xml:space="preserve">
MESSY</t>
        </r>
      </text>
    </comment>
    <comment ref="U6" authorId="1">
      <text>
        <r>
          <rPr>
            <b/>
            <sz val="8"/>
            <color indexed="81"/>
            <rFont val="Tahoma"/>
            <family val="2"/>
          </rPr>
          <t>ddougherty:</t>
        </r>
        <r>
          <rPr>
            <sz val="8"/>
            <color indexed="81"/>
            <rFont val="Tahoma"/>
            <family val="2"/>
          </rPr>
          <t xml:space="preserve">
Nassau not currently being harvested.  Babcock already did length based indicator study of Mutton
</t>
        </r>
      </text>
    </comment>
    <comment ref="AA6" authorId="0">
      <text>
        <r>
          <rPr>
            <b/>
            <sz val="9"/>
            <color indexed="81"/>
            <rFont val="Arial"/>
            <family val="2"/>
          </rPr>
          <t>Kiya Gornik:</t>
        </r>
        <r>
          <rPr>
            <sz val="9"/>
            <color indexed="81"/>
            <rFont val="Arial"/>
            <family val="2"/>
          </rPr>
          <t xml:space="preserve">
MESSY</t>
        </r>
      </text>
    </comment>
    <comment ref="D7" authorId="0">
      <text>
        <r>
          <rPr>
            <b/>
            <sz val="9"/>
            <color indexed="81"/>
            <rFont val="Arial"/>
            <family val="2"/>
          </rPr>
          <t>Kiya Gornik:</t>
        </r>
        <r>
          <rPr>
            <sz val="9"/>
            <color indexed="81"/>
            <rFont val="Arial"/>
            <family val="2"/>
          </rPr>
          <t xml:space="preserve">
use second because makes more sense. Also closer to fishbase value</t>
        </r>
      </text>
    </comment>
    <comment ref="J7" authorId="2">
      <text>
        <r>
          <rPr>
            <b/>
            <sz val="9"/>
            <color indexed="81"/>
            <rFont val="Tahoma"/>
            <family val="2"/>
          </rPr>
          <t>Katie Peterson:</t>
        </r>
        <r>
          <rPr>
            <sz val="9"/>
            <color indexed="81"/>
            <rFont val="Tahoma"/>
            <family val="2"/>
          </rPr>
          <t xml:space="preserve">
"Consequences of dispersal of subtropically spawned crevalle jacks, Caranx hippos, to temperate estuaries" also looks like it has this information, but I can't access the article (http://www.vliz.be/en/imis?module=ref&amp;refid=3306&amp;request=3306)</t>
        </r>
      </text>
    </comment>
    <comment ref="K7" authorId="0">
      <text>
        <r>
          <rPr>
            <b/>
            <sz val="9"/>
            <color indexed="81"/>
            <rFont val="Arial"/>
            <family val="2"/>
          </rPr>
          <t>Kiya Gornik:</t>
        </r>
        <r>
          <rPr>
            <sz val="9"/>
            <color indexed="81"/>
            <rFont val="Arial"/>
            <family val="2"/>
          </rPr>
          <t xml:space="preserve">
N of sample available. </t>
        </r>
      </text>
    </comment>
    <comment ref="AA7" authorId="0">
      <text>
        <r>
          <rPr>
            <b/>
            <sz val="9"/>
            <color indexed="81"/>
            <rFont val="Tahoma"/>
            <family val="2"/>
          </rPr>
          <t>Kiya Gornik:</t>
        </r>
        <r>
          <rPr>
            <sz val="9"/>
            <color indexed="81"/>
            <rFont val="Tahoma"/>
            <family val="2"/>
          </rPr>
          <t xml:space="preserve">
H australis has similar max length from fishbase</t>
        </r>
      </text>
    </comment>
    <comment ref="AL7" authorId="2">
      <text>
        <r>
          <rPr>
            <b/>
            <sz val="9"/>
            <color indexed="81"/>
            <rFont val="Tahoma"/>
            <family val="2"/>
          </rPr>
          <t>Katie Peterson:</t>
        </r>
        <r>
          <rPr>
            <sz val="9"/>
            <color indexed="81"/>
            <rFont val="Tahoma"/>
            <family val="2"/>
          </rPr>
          <t xml:space="preserve">
I also found "Age and growth of yellowtail snapper and queen triggerfish collected from the U.S. Virgin Islands and Puerto Rico" by Manooch &amp; Drennon (1987) and although that paper gathered data slightly closer to Belize, Garcia et al's work is much more recent and sampled more than twice as many fish (N=654 for Manooch &amp; Drennon, N= 1528 for Garcia et al) </t>
        </r>
      </text>
    </comment>
    <comment ref="AO7" authorId="0">
      <text>
        <r>
          <rPr>
            <b/>
            <sz val="9"/>
            <color indexed="81"/>
            <rFont val="Tahoma"/>
            <family val="2"/>
          </rPr>
          <t>Kiya Gornik:</t>
        </r>
        <r>
          <rPr>
            <sz val="9"/>
            <color indexed="81"/>
            <rFont val="Tahoma"/>
            <family val="2"/>
          </rPr>
          <t xml:space="preserve">
Caribbean Queen Conch 2007</t>
        </r>
      </text>
    </comment>
    <comment ref="Q8" authorId="0">
      <text>
        <r>
          <rPr>
            <b/>
            <sz val="9"/>
            <color indexed="81"/>
            <rFont val="Tahoma"/>
            <family val="2"/>
          </rPr>
          <t>Kiya Gornik:</t>
        </r>
        <r>
          <rPr>
            <sz val="9"/>
            <color indexed="81"/>
            <rFont val="Tahoma"/>
            <family val="2"/>
          </rPr>
          <t xml:space="preserve">
Babcock 2011</t>
        </r>
      </text>
    </comment>
    <comment ref="U8" authorId="0">
      <text>
        <r>
          <rPr>
            <b/>
            <sz val="9"/>
            <color indexed="81"/>
            <rFont val="Tahoma"/>
            <family val="2"/>
          </rPr>
          <t>Kiya Gornik:</t>
        </r>
        <r>
          <rPr>
            <sz val="9"/>
            <color indexed="81"/>
            <rFont val="Tahoma"/>
            <family val="2"/>
          </rPr>
          <t xml:space="preserve">
Babcock 2011</t>
        </r>
      </text>
    </comment>
    <comment ref="W8" authorId="0">
      <text>
        <r>
          <rPr>
            <b/>
            <sz val="9"/>
            <color indexed="81"/>
            <rFont val="Tahoma"/>
            <family val="2"/>
          </rPr>
          <t>Kiya Gornik:</t>
        </r>
        <r>
          <rPr>
            <sz val="9"/>
            <color indexed="81"/>
            <rFont val="Tahoma"/>
            <family val="2"/>
          </rPr>
          <t xml:space="preserve">
Babcock 2011</t>
        </r>
      </text>
    </comment>
    <comment ref="AO8" authorId="0">
      <text>
        <r>
          <rPr>
            <b/>
            <sz val="9"/>
            <color indexed="81"/>
            <rFont val="Tahoma"/>
            <family val="2"/>
          </rPr>
          <t>Kiya Gornik:</t>
        </r>
        <r>
          <rPr>
            <sz val="9"/>
            <color indexed="81"/>
            <rFont val="Tahoma"/>
            <family val="2"/>
          </rPr>
          <t xml:space="preserve">
Caribbean Queen Conch 2007</t>
        </r>
      </text>
    </comment>
    <comment ref="AR8" authorId="1">
      <text>
        <r>
          <rPr>
            <b/>
            <sz val="8"/>
            <color indexed="81"/>
            <rFont val="Tahoma"/>
            <family val="2"/>
          </rPr>
          <t>ddougherty:</t>
        </r>
        <r>
          <rPr>
            <sz val="8"/>
            <color indexed="81"/>
            <rFont val="Tahoma"/>
            <family val="2"/>
          </rPr>
          <t xml:space="preserve">
Gongora 2010</t>
        </r>
      </text>
    </comment>
    <comment ref="Q11" authorId="0">
      <text>
        <r>
          <rPr>
            <b/>
            <sz val="9"/>
            <color indexed="81"/>
            <rFont val="Tahoma"/>
            <family val="2"/>
          </rPr>
          <t>Kiya Gornik:</t>
        </r>
        <r>
          <rPr>
            <sz val="9"/>
            <color indexed="81"/>
            <rFont val="Tahoma"/>
            <family val="2"/>
          </rPr>
          <t xml:space="preserve">
Acosta et al. 1992</t>
        </r>
      </text>
    </comment>
    <comment ref="W11" authorId="0">
      <text>
        <r>
          <rPr>
            <b/>
            <sz val="9"/>
            <color indexed="81"/>
            <rFont val="Arial"/>
            <family val="2"/>
          </rPr>
          <t>Kiya Gornik:</t>
        </r>
        <r>
          <rPr>
            <sz val="9"/>
            <color indexed="81"/>
            <rFont val="Arial"/>
            <family val="2"/>
          </rPr>
          <t xml:space="preserve">
Aguilar-Perera, A., &amp; Aguilar-Dávila, W. (1996). A spawning aggregation of Nassau grouperEpinephelus striatus (Pisces: Serranidae) in the Mexican Caribbean. Environmental Biology of Fishes, 45(4), 351-361.</t>
        </r>
      </text>
    </comment>
    <comment ref="AO11" authorId="0">
      <text>
        <r>
          <rPr>
            <b/>
            <sz val="9"/>
            <color indexed="81"/>
            <rFont val="Tahoma"/>
            <family val="2"/>
          </rPr>
          <t>Kiya Gornik:</t>
        </r>
        <r>
          <rPr>
            <sz val="9"/>
            <color indexed="81"/>
            <rFont val="Tahoma"/>
            <family val="2"/>
          </rPr>
          <t xml:space="preserve">
Stoner et al. 2012 or try Caribbean Queen Conch 2007 p5 for more relationships</t>
        </r>
      </text>
    </comment>
    <comment ref="AP11" authorId="0">
      <text>
        <r>
          <rPr>
            <b/>
            <sz val="9"/>
            <color indexed="81"/>
            <rFont val="Arial"/>
            <family val="2"/>
          </rPr>
          <t>Kiya Gornik:</t>
        </r>
        <r>
          <rPr>
            <sz val="9"/>
            <color indexed="81"/>
            <rFont val="Arial"/>
            <family val="2"/>
          </rPr>
          <t xml:space="preserve">
Some evidence that this is similar in the wild. Growth highly dependent on food intake. Semmens et al. 2004 says that growth may have two
  phases: exponential and power
</t>
        </r>
      </text>
    </comment>
    <comment ref="AR11" authorId="1">
      <text>
        <r>
          <rPr>
            <b/>
            <sz val="8"/>
            <color indexed="81"/>
            <rFont val="Tahoma"/>
            <family val="2"/>
          </rPr>
          <t>ddougherty:</t>
        </r>
        <r>
          <rPr>
            <sz val="8"/>
            <color indexed="81"/>
            <rFont val="Tahoma"/>
            <family val="2"/>
          </rPr>
          <t xml:space="preserve">
Babcock</t>
        </r>
      </text>
    </comment>
    <comment ref="Q12" authorId="1">
      <text>
        <r>
          <rPr>
            <b/>
            <sz val="8"/>
            <color indexed="81"/>
            <rFont val="Tahoma"/>
            <family val="2"/>
          </rPr>
          <t>ddougherty:</t>
        </r>
        <r>
          <rPr>
            <sz val="8"/>
            <color indexed="81"/>
            <rFont val="Tahoma"/>
            <family val="2"/>
          </rPr>
          <t xml:space="preserve">
mm FL to grams
</t>
        </r>
      </text>
    </comment>
    <comment ref="U12" authorId="0">
      <text>
        <r>
          <rPr>
            <b/>
            <sz val="9"/>
            <color indexed="81"/>
            <rFont val="Tahoma"/>
            <family val="2"/>
          </rPr>
          <t>Kiya Gornik:</t>
        </r>
        <r>
          <rPr>
            <sz val="9"/>
            <color indexed="81"/>
            <rFont val="Tahoma"/>
            <family val="2"/>
          </rPr>
          <t xml:space="preserve">
Burton 2002</t>
        </r>
      </text>
    </comment>
    <comment ref="AR12" authorId="0">
      <text>
        <r>
          <rPr>
            <b/>
            <sz val="9"/>
            <color indexed="81"/>
            <rFont val="Tahoma"/>
            <family val="2"/>
          </rPr>
          <t>Kiya Gornik:</t>
        </r>
        <r>
          <rPr>
            <sz val="9"/>
            <color indexed="81"/>
            <rFont val="Tahoma"/>
            <family val="2"/>
          </rPr>
          <t xml:space="preserve">
FAO 2001</t>
        </r>
      </text>
    </comment>
    <comment ref="Q14" authorId="0">
      <text>
        <r>
          <rPr>
            <b/>
            <sz val="9"/>
            <color indexed="81"/>
            <rFont val="Tahoma"/>
            <family val="2"/>
          </rPr>
          <t>Kiya Gornik:</t>
        </r>
        <r>
          <rPr>
            <sz val="9"/>
            <color indexed="81"/>
            <rFont val="Tahoma"/>
            <family val="2"/>
          </rPr>
          <t xml:space="preserve">
Babcock 2011</t>
        </r>
      </text>
    </comment>
    <comment ref="U14" authorId="0">
      <text>
        <r>
          <rPr>
            <b/>
            <sz val="9"/>
            <color indexed="81"/>
            <rFont val="Tahoma"/>
            <family val="2"/>
          </rPr>
          <t>Kiya Gornik:</t>
        </r>
        <r>
          <rPr>
            <sz val="9"/>
            <color indexed="81"/>
            <rFont val="Tahoma"/>
            <family val="2"/>
          </rPr>
          <t xml:space="preserve">
Babcock 2013</t>
        </r>
      </text>
    </comment>
    <comment ref="W14" authorId="0">
      <text>
        <r>
          <rPr>
            <b/>
            <sz val="9"/>
            <color indexed="81"/>
            <rFont val="Tahoma"/>
            <family val="2"/>
          </rPr>
          <t>Kiya Gornik:</t>
        </r>
        <r>
          <rPr>
            <sz val="9"/>
            <color indexed="81"/>
            <rFont val="Tahoma"/>
            <family val="2"/>
          </rPr>
          <t xml:space="preserve">
Babcock 2013</t>
        </r>
      </text>
    </comment>
    <comment ref="AO14" authorId="0">
      <text>
        <r>
          <rPr>
            <b/>
            <sz val="9"/>
            <color indexed="81"/>
            <rFont val="Tahoma"/>
            <family val="2"/>
          </rPr>
          <t>Kiya Gornik:</t>
        </r>
        <r>
          <rPr>
            <sz val="9"/>
            <color indexed="81"/>
            <rFont val="Tahoma"/>
            <family val="2"/>
          </rPr>
          <t xml:space="preserve">
Caribbean Queen Conch 2007</t>
        </r>
      </text>
    </comment>
    <comment ref="AR14" authorId="0">
      <text>
        <r>
          <rPr>
            <b/>
            <sz val="9"/>
            <color indexed="81"/>
            <rFont val="Tahoma"/>
            <family val="2"/>
          </rPr>
          <t>Kiya Gornik:</t>
        </r>
        <r>
          <rPr>
            <sz val="9"/>
            <color indexed="81"/>
            <rFont val="Tahoma"/>
            <family val="2"/>
          </rPr>
          <t xml:space="preserve">
Muller, Robert G., John H. Hunt, Thomas R. Matthews, and William C. Sharp.  (1997)</t>
        </r>
      </text>
    </comment>
    <comment ref="Q15" authorId="0">
      <text>
        <r>
          <rPr>
            <b/>
            <sz val="9"/>
            <color indexed="81"/>
            <rFont val="Tahoma"/>
            <family val="2"/>
          </rPr>
          <t xml:space="preserve">Kiya Gornik
</t>
        </r>
        <r>
          <rPr>
            <sz val="9"/>
            <color indexed="81"/>
            <rFont val="Tahoma"/>
            <family val="2"/>
          </rPr>
          <t>Babcock 2011</t>
        </r>
      </text>
    </comment>
    <comment ref="U15" authorId="0">
      <text>
        <r>
          <rPr>
            <b/>
            <sz val="9"/>
            <color indexed="81"/>
            <rFont val="Tahoma"/>
            <family val="2"/>
          </rPr>
          <t>Kiya Gornik:</t>
        </r>
        <r>
          <rPr>
            <sz val="9"/>
            <color indexed="81"/>
            <rFont val="Tahoma"/>
            <family val="2"/>
          </rPr>
          <t xml:space="preserve">
Babcock 2013</t>
        </r>
      </text>
    </comment>
    <comment ref="W15" authorId="0">
      <text>
        <r>
          <rPr>
            <b/>
            <sz val="9"/>
            <color indexed="81"/>
            <rFont val="Tahoma"/>
            <family val="2"/>
          </rPr>
          <t>Kiya Gornik:</t>
        </r>
        <r>
          <rPr>
            <sz val="9"/>
            <color indexed="81"/>
            <rFont val="Tahoma"/>
            <family val="2"/>
          </rPr>
          <t xml:space="preserve">
Babcock 2013</t>
        </r>
      </text>
    </comment>
    <comment ref="AR15" authorId="0">
      <text>
        <r>
          <rPr>
            <b/>
            <sz val="9"/>
            <color indexed="81"/>
            <rFont val="Arial"/>
            <family val="2"/>
          </rPr>
          <t>Kiya Gornik:</t>
        </r>
        <r>
          <rPr>
            <sz val="9"/>
            <color indexed="81"/>
            <rFont val="Arial"/>
            <family val="2"/>
          </rPr>
          <t xml:space="preserve">
Babcock 2012</t>
        </r>
      </text>
    </comment>
    <comment ref="Q16" authorId="0">
      <text>
        <r>
          <rPr>
            <b/>
            <sz val="9"/>
            <color indexed="81"/>
            <rFont val="Tahoma"/>
            <family val="2"/>
          </rPr>
          <t>Kiya Gornik:</t>
        </r>
        <r>
          <rPr>
            <sz val="9"/>
            <color indexed="81"/>
            <rFont val="Tahoma"/>
            <family val="2"/>
          </rPr>
          <t xml:space="preserve">
Babcock 2011</t>
        </r>
      </text>
    </comment>
    <comment ref="U16" authorId="0">
      <text>
        <r>
          <rPr>
            <b/>
            <sz val="9"/>
            <color indexed="81"/>
            <rFont val="Tahoma"/>
            <family val="2"/>
          </rPr>
          <t>Kiya Gornik:</t>
        </r>
        <r>
          <rPr>
            <sz val="9"/>
            <color indexed="81"/>
            <rFont val="Tahoma"/>
            <family val="2"/>
          </rPr>
          <t xml:space="preserve">
Babcock 2011</t>
        </r>
      </text>
    </comment>
    <comment ref="W16" authorId="0">
      <text>
        <r>
          <rPr>
            <b/>
            <sz val="9"/>
            <color indexed="81"/>
            <rFont val="Tahoma"/>
            <family val="2"/>
          </rPr>
          <t>Kiya Gornik:</t>
        </r>
        <r>
          <rPr>
            <sz val="9"/>
            <color indexed="81"/>
            <rFont val="Tahoma"/>
            <family val="2"/>
          </rPr>
          <t xml:space="preserve">
Babcock 2011</t>
        </r>
      </text>
    </comment>
    <comment ref="AJ16" authorId="0">
      <text>
        <r>
          <rPr>
            <b/>
            <sz val="9"/>
            <color indexed="81"/>
            <rFont val="Arial"/>
            <family val="2"/>
          </rPr>
          <t>Kiya Gornik:</t>
        </r>
        <r>
          <rPr>
            <sz val="9"/>
            <color indexed="81"/>
            <rFont val="Arial"/>
            <family val="2"/>
          </rPr>
          <t xml:space="preserve">
Average of 3 sp.in same family: S. obtusata 1.3, S.jello 0.6, S. picuda 0.5. Method cited as per Keharan 1974 but not available. Instantaneous?</t>
        </r>
      </text>
    </comment>
    <comment ref="AO16" authorId="0">
      <text>
        <r>
          <rPr>
            <b/>
            <sz val="9"/>
            <color indexed="81"/>
            <rFont val="Tahoma"/>
            <family val="2"/>
          </rPr>
          <t>Kiya Gornik:</t>
        </r>
        <r>
          <rPr>
            <sz val="9"/>
            <color indexed="81"/>
            <rFont val="Tahoma"/>
            <family val="2"/>
          </rPr>
          <t xml:space="preserve">
Caribbean Queen Conch 2007</t>
        </r>
      </text>
    </comment>
    <comment ref="AR16" authorId="1">
      <text>
        <r>
          <rPr>
            <b/>
            <sz val="8"/>
            <color indexed="81"/>
            <rFont val="Tahoma"/>
            <family val="2"/>
          </rPr>
          <t>ddougherty:</t>
        </r>
        <r>
          <rPr>
            <sz val="8"/>
            <color indexed="81"/>
            <rFont val="Tahoma"/>
            <family val="2"/>
          </rPr>
          <t xml:space="preserve">
Gongora 2010</t>
        </r>
      </text>
    </comment>
    <comment ref="L17" authorId="0">
      <text>
        <r>
          <rPr>
            <b/>
            <sz val="9"/>
            <color indexed="81"/>
            <rFont val="Arial"/>
            <family val="2"/>
          </rPr>
          <t>Kiya Gornik:</t>
        </r>
        <r>
          <rPr>
            <sz val="9"/>
            <color indexed="81"/>
            <rFont val="Arial"/>
            <family val="2"/>
          </rPr>
          <t xml:space="preserve">
average from two species in same family: values: 50, 57.6</t>
        </r>
      </text>
    </comment>
    <comment ref="Q17" authorId="0">
      <text>
        <r>
          <rPr>
            <b/>
            <sz val="9"/>
            <color indexed="81"/>
            <rFont val="Tahoma"/>
            <family val="2"/>
          </rPr>
          <t>Kiya Gornik:</t>
        </r>
        <r>
          <rPr>
            <sz val="9"/>
            <color indexed="81"/>
            <rFont val="Tahoma"/>
            <family val="2"/>
          </rPr>
          <t xml:space="preserve">
Domeier 2004</t>
        </r>
      </text>
    </comment>
    <comment ref="U17" authorId="0">
      <text>
        <r>
          <rPr>
            <b/>
            <sz val="9"/>
            <color indexed="81"/>
            <rFont val="Tahoma"/>
            <family val="2"/>
          </rPr>
          <t>Kiya Gornik:</t>
        </r>
        <r>
          <rPr>
            <sz val="9"/>
            <color indexed="81"/>
            <rFont val="Tahoma"/>
            <family val="2"/>
          </rPr>
          <t xml:space="preserve">
Domeier 2004</t>
        </r>
      </text>
    </comment>
    <comment ref="W17" authorId="0">
      <text>
        <r>
          <rPr>
            <b/>
            <sz val="9"/>
            <color indexed="81"/>
            <rFont val="Tahoma"/>
            <family val="2"/>
          </rPr>
          <t>Kiya Gornik:</t>
        </r>
        <r>
          <rPr>
            <sz val="9"/>
            <color indexed="81"/>
            <rFont val="Tahoma"/>
            <family val="2"/>
          </rPr>
          <t xml:space="preserve">
 Eggleston. 1995</t>
        </r>
      </text>
    </comment>
    <comment ref="AA17" authorId="0">
      <text>
        <r>
          <rPr>
            <b/>
            <sz val="9"/>
            <color indexed="81"/>
            <rFont val="Arial"/>
            <family val="2"/>
          </rPr>
          <t>Kiya Gornik:</t>
        </r>
        <r>
          <rPr>
            <sz val="9"/>
            <color indexed="81"/>
            <rFont val="Arial"/>
            <family val="2"/>
          </rPr>
          <t xml:space="preserve">
spawn over sea grass beds… so don't have a PLD?</t>
        </r>
      </text>
    </comment>
    <comment ref="AI17" authorId="0">
      <text>
        <r>
          <rPr>
            <b/>
            <sz val="9"/>
            <color indexed="81"/>
            <rFont val="Arial"/>
            <family val="2"/>
          </rPr>
          <t>Kiya Gornik:</t>
        </r>
        <r>
          <rPr>
            <sz val="9"/>
            <color indexed="81"/>
            <rFont val="Arial"/>
            <family val="2"/>
          </rPr>
          <t xml:space="preserve">
average from two species in same family: values: 50, 57.6</t>
        </r>
      </text>
    </comment>
    <comment ref="AJ17" authorId="0">
      <text>
        <r>
          <rPr>
            <b/>
            <sz val="9"/>
            <color indexed="81"/>
            <rFont val="Arial"/>
            <family val="2"/>
          </rPr>
          <t>Kiya Gornik:</t>
        </r>
        <r>
          <rPr>
            <sz val="9"/>
            <color indexed="81"/>
            <rFont val="Arial"/>
            <family val="2"/>
          </rPr>
          <t xml:space="preserve">
use default PLD</t>
        </r>
      </text>
    </comment>
    <comment ref="AK17" authorId="0">
      <text>
        <r>
          <rPr>
            <b/>
            <sz val="9"/>
            <color indexed="81"/>
            <rFont val="Arial"/>
            <family val="2"/>
          </rPr>
          <t>Kiya Gornik:</t>
        </r>
        <r>
          <rPr>
            <sz val="9"/>
            <color indexed="81"/>
            <rFont val="Arial"/>
            <family val="2"/>
          </rPr>
          <t xml:space="preserve">
3 caesionidae sp 22, 4
2, 42 d
</t>
        </r>
      </text>
    </comment>
    <comment ref="AO17" authorId="0">
      <text>
        <r>
          <rPr>
            <b/>
            <sz val="9"/>
            <color indexed="81"/>
            <rFont val="Tahoma"/>
            <family val="2"/>
          </rPr>
          <t>Kiya Gornik:</t>
        </r>
        <r>
          <rPr>
            <sz val="9"/>
            <color indexed="81"/>
            <rFont val="Tahoma"/>
            <family val="2"/>
          </rPr>
          <t xml:space="preserve">
Hernandez‐Lamb et al. 2012</t>
        </r>
      </text>
    </comment>
    <comment ref="AR17" authorId="0">
      <text>
        <r>
          <rPr>
            <b/>
            <sz val="9"/>
            <color indexed="81"/>
            <rFont val="Tahoma"/>
            <family val="2"/>
          </rPr>
          <t>Kiya Gornik:</t>
        </r>
        <r>
          <rPr>
            <sz val="9"/>
            <color indexed="81"/>
            <rFont val="Tahoma"/>
            <family val="2"/>
          </rPr>
          <t xml:space="preserve">
Babcock 2012</t>
        </r>
      </text>
    </comment>
    <comment ref="Q18" authorId="0">
      <text>
        <r>
          <rPr>
            <b/>
            <sz val="9"/>
            <color indexed="81"/>
            <rFont val="Tahoma"/>
            <family val="2"/>
          </rPr>
          <t>Kiya Gornik:</t>
        </r>
        <r>
          <rPr>
            <sz val="9"/>
            <color indexed="81"/>
            <rFont val="Tahoma"/>
            <family val="2"/>
          </rPr>
          <t xml:space="preserve">
Nanami and Yamada 2008</t>
        </r>
      </text>
    </comment>
    <comment ref="U18" authorId="0">
      <text>
        <r>
          <rPr>
            <b/>
            <sz val="9"/>
            <color indexed="81"/>
            <rFont val="Tahoma"/>
            <family val="2"/>
          </rPr>
          <t>Kiya Gornik:</t>
        </r>
        <r>
          <rPr>
            <sz val="9"/>
            <color indexed="81"/>
            <rFont val="Tahoma"/>
            <family val="2"/>
          </rPr>
          <t xml:space="preserve">
Nanami and Yamada  2008</t>
        </r>
      </text>
    </comment>
    <comment ref="W18" authorId="0">
      <text>
        <r>
          <rPr>
            <b/>
            <sz val="9"/>
            <color indexed="81"/>
            <rFont val="Tahoma"/>
            <family val="2"/>
          </rPr>
          <t>Kiya Gornik:</t>
        </r>
        <r>
          <rPr>
            <sz val="9"/>
            <color indexed="81"/>
            <rFont val="Tahoma"/>
            <family val="2"/>
          </rPr>
          <t xml:space="preserve">
Bolden 2000</t>
        </r>
      </text>
    </comment>
    <comment ref="AO18" authorId="0">
      <text>
        <r>
          <rPr>
            <b/>
            <sz val="9"/>
            <color indexed="81"/>
            <rFont val="Tahoma"/>
            <family val="2"/>
          </rPr>
          <t>Kiya Gornik:</t>
        </r>
        <r>
          <rPr>
            <sz val="9"/>
            <color indexed="81"/>
            <rFont val="Tahoma"/>
            <family val="2"/>
          </rPr>
          <t xml:space="preserve">
Hernandez</t>
        </r>
        <r>
          <rPr>
            <sz val="9"/>
            <color indexed="81"/>
            <rFont val="Noteworthy Bold"/>
            <family val="2"/>
          </rPr>
          <t>‐</t>
        </r>
        <r>
          <rPr>
            <sz val="9"/>
            <color indexed="81"/>
            <rFont val="Tahoma"/>
            <family val="2"/>
          </rPr>
          <t>Lamb et al. 2012</t>
        </r>
      </text>
    </comment>
    <comment ref="AR18" authorId="0">
      <text>
        <r>
          <rPr>
            <b/>
            <sz val="9"/>
            <color indexed="81"/>
            <rFont val="Tahoma"/>
            <family val="2"/>
          </rPr>
          <t xml:space="preserve">Kiya Gornik:
</t>
        </r>
        <r>
          <rPr>
            <sz val="9"/>
            <color indexed="81"/>
            <rFont val="Tahoma"/>
            <family val="2"/>
          </rPr>
          <t xml:space="preserve">
Bertelsen, Rodney D., and Jessica Hornbeck.   (2009)</t>
        </r>
      </text>
    </comment>
    <comment ref="Q19" authorId="0">
      <text>
        <r>
          <rPr>
            <b/>
            <sz val="9"/>
            <color indexed="81"/>
            <rFont val="Tahoma"/>
            <family val="2"/>
          </rPr>
          <t>Kiya Gornik:</t>
        </r>
        <r>
          <rPr>
            <sz val="9"/>
            <color indexed="81"/>
            <rFont val="Tahoma"/>
            <family val="2"/>
          </rPr>
          <t xml:space="preserve">
Lane Snapper Report 2010</t>
        </r>
      </text>
    </comment>
    <comment ref="U19" authorId="0">
      <text>
        <r>
          <rPr>
            <b/>
            <sz val="9"/>
            <color indexed="81"/>
            <rFont val="Tahoma"/>
            <family val="2"/>
          </rPr>
          <t>Kiya Gornik:</t>
        </r>
        <r>
          <rPr>
            <sz val="9"/>
            <color indexed="81"/>
            <rFont val="Tahoma"/>
            <family val="2"/>
          </rPr>
          <t xml:space="preserve">
Kojis and Quin 2011</t>
        </r>
      </text>
    </comment>
    <comment ref="W19" authorId="0">
      <text>
        <r>
          <rPr>
            <b/>
            <sz val="9"/>
            <color indexed="81"/>
            <rFont val="Tahoma"/>
            <family val="2"/>
          </rPr>
          <t>Kiya Gornik:</t>
        </r>
        <r>
          <rPr>
            <sz val="9"/>
            <color indexed="81"/>
            <rFont val="Tahoma"/>
            <family val="2"/>
          </rPr>
          <t xml:space="preserve">
NOAA stock assessment 2005</t>
        </r>
      </text>
    </comment>
    <comment ref="AO19" authorId="0">
      <text>
        <r>
          <rPr>
            <b/>
            <sz val="9"/>
            <color indexed="81"/>
            <rFont val="Tahoma"/>
            <family val="2"/>
          </rPr>
          <t>Kiya Gornik:</t>
        </r>
        <r>
          <rPr>
            <sz val="9"/>
            <color indexed="81"/>
            <rFont val="Tahoma"/>
            <family val="2"/>
          </rPr>
          <t xml:space="preserve">
 Appeldoorn 1988</t>
        </r>
      </text>
    </comment>
    <comment ref="AP19" authorId="0">
      <text>
        <r>
          <rPr>
            <b/>
            <sz val="9"/>
            <color indexed="81"/>
            <rFont val="Arial"/>
            <family val="2"/>
          </rPr>
          <t>Kiya Gornik:</t>
        </r>
        <r>
          <rPr>
            <sz val="9"/>
            <color indexed="81"/>
            <rFont val="Arial"/>
            <family val="2"/>
          </rPr>
          <t xml:space="preserve">
Do we need this if terminal spawners? Semmens et al. says growth slows at maturity and stops at spawning</t>
        </r>
      </text>
    </comment>
    <comment ref="AR19" authorId="0">
      <text>
        <r>
          <rPr>
            <b/>
            <sz val="9"/>
            <color indexed="81"/>
            <rFont val="Tahoma"/>
            <family val="2"/>
          </rPr>
          <t>Kiya Gornik:</t>
        </r>
        <r>
          <rPr>
            <sz val="9"/>
            <color indexed="81"/>
            <rFont val="Tahoma"/>
            <family val="2"/>
          </rPr>
          <t xml:space="preserve">
Gongora 2010</t>
        </r>
      </text>
    </comment>
    <comment ref="U20" authorId="0">
      <text>
        <r>
          <rPr>
            <b/>
            <sz val="9"/>
            <color indexed="81"/>
            <rFont val="Tahoma"/>
            <family val="2"/>
          </rPr>
          <t>Kiya Gornik:</t>
        </r>
        <r>
          <rPr>
            <sz val="9"/>
            <color indexed="81"/>
            <rFont val="Tahoma"/>
            <family val="2"/>
          </rPr>
          <t xml:space="preserve">
Babcock 2013</t>
        </r>
      </text>
    </comment>
    <comment ref="W20" authorId="0">
      <text>
        <r>
          <rPr>
            <b/>
            <sz val="9"/>
            <color indexed="81"/>
            <rFont val="Tahoma"/>
            <family val="2"/>
          </rPr>
          <t>Kiya Gornik:</t>
        </r>
        <r>
          <rPr>
            <sz val="9"/>
            <color indexed="81"/>
            <rFont val="Tahoma"/>
            <family val="2"/>
          </rPr>
          <t xml:space="preserve">
Babcock 2013</t>
        </r>
      </text>
    </comment>
    <comment ref="Q21" authorId="0">
      <text>
        <r>
          <rPr>
            <b/>
            <sz val="9"/>
            <color indexed="81"/>
            <rFont val="Tahoma"/>
            <family val="2"/>
          </rPr>
          <t>Kiya Gornik:</t>
        </r>
        <r>
          <rPr>
            <sz val="9"/>
            <color indexed="81"/>
            <rFont val="Tahoma"/>
            <family val="2"/>
          </rPr>
          <t xml:space="preserve">
Manickchand-Dass 1987</t>
        </r>
      </text>
    </comment>
    <comment ref="U21" authorId="0">
      <text>
        <r>
          <rPr>
            <b/>
            <sz val="9"/>
            <color indexed="81"/>
            <rFont val="Tahoma"/>
            <family val="2"/>
          </rPr>
          <t>Kiya Gornik:</t>
        </r>
        <r>
          <rPr>
            <sz val="9"/>
            <color indexed="81"/>
            <rFont val="Tahoma"/>
            <family val="2"/>
          </rPr>
          <t xml:space="preserve">
Graham et al. 2008</t>
        </r>
      </text>
    </comment>
    <comment ref="W21" authorId="0">
      <text>
        <r>
          <rPr>
            <b/>
            <sz val="9"/>
            <color indexed="81"/>
            <rFont val="Tahoma"/>
            <family val="2"/>
          </rPr>
          <t>Kiya Gornik:</t>
        </r>
        <r>
          <rPr>
            <sz val="9"/>
            <color indexed="81"/>
            <rFont val="Tahoma"/>
            <family val="2"/>
          </rPr>
          <t xml:space="preserve">
Sala et al. 2001</t>
        </r>
      </text>
    </comment>
    <comment ref="AO21" authorId="0">
      <text>
        <r>
          <rPr>
            <b/>
            <sz val="9"/>
            <color indexed="81"/>
            <rFont val="Tahoma"/>
            <family val="2"/>
          </rPr>
          <t>Kiya Gornik:</t>
        </r>
        <r>
          <rPr>
            <sz val="9"/>
            <color indexed="81"/>
            <rFont val="Tahoma"/>
            <family val="2"/>
          </rPr>
          <t xml:space="preserve">
Paris et al. 2008</t>
        </r>
      </text>
    </comment>
    <comment ref="AR21" authorId="0">
      <text>
        <r>
          <rPr>
            <b/>
            <sz val="9"/>
            <color indexed="81"/>
            <rFont val="Tahoma"/>
            <family val="2"/>
          </rPr>
          <t>Kiya Gornik:</t>
        </r>
        <r>
          <rPr>
            <sz val="9"/>
            <color indexed="81"/>
            <rFont val="Tahoma"/>
            <family val="2"/>
          </rPr>
          <t xml:space="preserve">
Atlantic Fisheries: Ehrhardt 2005; Glover's fishery: Acosta and Robertson 2003</t>
        </r>
      </text>
    </comment>
    <comment ref="Q22" authorId="0">
      <text>
        <r>
          <rPr>
            <b/>
            <sz val="9"/>
            <color indexed="81"/>
            <rFont val="Tahoma"/>
            <family val="2"/>
          </rPr>
          <t>Kiya Gornik:</t>
        </r>
        <r>
          <rPr>
            <sz val="9"/>
            <color indexed="81"/>
            <rFont val="Tahoma"/>
            <family val="2"/>
          </rPr>
          <t xml:space="preserve">
Manickchand-Dass 1987</t>
        </r>
      </text>
    </comment>
    <comment ref="U22" authorId="0">
      <text>
        <r>
          <rPr>
            <b/>
            <sz val="9"/>
            <color indexed="81"/>
            <rFont val="Tahoma"/>
            <family val="2"/>
          </rPr>
          <t>Kiya Gornik:</t>
        </r>
        <r>
          <rPr>
            <sz val="9"/>
            <color indexed="81"/>
            <rFont val="Tahoma"/>
            <family val="2"/>
          </rPr>
          <t xml:space="preserve">
Watanabe 2001</t>
        </r>
      </text>
    </comment>
    <comment ref="W22" authorId="0">
      <text>
        <r>
          <rPr>
            <b/>
            <sz val="9"/>
            <color indexed="81"/>
            <rFont val="Tahoma"/>
            <family val="2"/>
          </rPr>
          <t>Kiya Gornik:</t>
        </r>
        <r>
          <rPr>
            <sz val="9"/>
            <color indexed="81"/>
            <rFont val="Tahoma"/>
            <family val="2"/>
          </rPr>
          <t xml:space="preserve">
Sadovy, Yvonne, and Anne-Marie Eklund.  (1999).</t>
        </r>
      </text>
    </comment>
    <comment ref="AA22" authorId="0">
      <text>
        <r>
          <rPr>
            <b/>
            <sz val="9"/>
            <color indexed="81"/>
            <rFont val="Arial"/>
            <family val="2"/>
          </rPr>
          <t>Kiya Gornik:</t>
        </r>
        <r>
          <rPr>
            <sz val="9"/>
            <color indexed="81"/>
            <rFont val="Arial"/>
            <family val="2"/>
          </rPr>
          <t xml:space="preserve">
H. melanochir has max size 52.0cm. Use this or default dat?</t>
        </r>
      </text>
    </comment>
    <comment ref="AO22" authorId="0">
      <text>
        <r>
          <rPr>
            <b/>
            <sz val="9"/>
            <color indexed="81"/>
            <rFont val="Tahoma"/>
            <family val="2"/>
          </rPr>
          <t>Kiya Gornik:</t>
        </r>
        <r>
          <rPr>
            <sz val="9"/>
            <color indexed="81"/>
            <rFont val="Tahoma"/>
            <family val="2"/>
          </rPr>
          <t xml:space="preserve">
Stoner et al. 2012</t>
        </r>
      </text>
    </comment>
    <comment ref="AR22" authorId="0">
      <text>
        <r>
          <rPr>
            <b/>
            <sz val="9"/>
            <color indexed="81"/>
            <rFont val="Tahoma"/>
            <family val="2"/>
          </rPr>
          <t>Kiya Gornik:</t>
        </r>
        <r>
          <rPr>
            <sz val="9"/>
            <color indexed="81"/>
            <rFont val="Tahoma"/>
            <family val="2"/>
          </rPr>
          <t xml:space="preserve">
Fonseca-Larios, Martha E., and Patricia Briones-Fourzan. (1998)</t>
        </r>
      </text>
    </comment>
    <comment ref="E25" authorId="0">
      <text>
        <r>
          <rPr>
            <b/>
            <sz val="9"/>
            <color indexed="81"/>
            <rFont val="Arial"/>
            <family val="2"/>
          </rPr>
          <t>Kiya Gornik:</t>
        </r>
        <r>
          <rPr>
            <sz val="9"/>
            <color indexed="81"/>
            <rFont val="Arial"/>
            <family val="2"/>
          </rPr>
          <t xml:space="preserve">
Med resiliance</t>
        </r>
      </text>
    </comment>
    <comment ref="O25" authorId="0">
      <text>
        <r>
          <rPr>
            <b/>
            <sz val="9"/>
            <color indexed="81"/>
            <rFont val="Arial"/>
            <family val="2"/>
          </rPr>
          <t>Kiya Gornik:</t>
        </r>
        <r>
          <rPr>
            <sz val="9"/>
            <color indexed="81"/>
            <rFont val="Arial"/>
            <family val="2"/>
          </rPr>
          <t xml:space="preserve">
high resiliance</t>
        </r>
      </text>
    </comment>
    <comment ref="Q25" authorId="0">
      <text>
        <r>
          <rPr>
            <b/>
            <sz val="9"/>
            <color indexed="81"/>
            <rFont val="Tahoma"/>
            <family val="2"/>
          </rPr>
          <t>Kiya Gornik:</t>
        </r>
        <r>
          <rPr>
            <sz val="9"/>
            <color indexed="81"/>
            <rFont val="Tahoma"/>
            <family val="2"/>
          </rPr>
          <t xml:space="preserve">
RAM database</t>
        </r>
      </text>
    </comment>
    <comment ref="S25" authorId="0">
      <text>
        <r>
          <rPr>
            <b/>
            <sz val="9"/>
            <color indexed="81"/>
            <rFont val="Arial"/>
            <family val="2"/>
          </rPr>
          <t>Kiya Gornik:</t>
        </r>
        <r>
          <rPr>
            <sz val="9"/>
            <color indexed="81"/>
            <rFont val="Arial"/>
            <family val="2"/>
          </rPr>
          <t xml:space="preserve">
Med resiliance (fishbase)</t>
        </r>
      </text>
    </comment>
    <comment ref="T25" authorId="0">
      <text>
        <r>
          <rPr>
            <b/>
            <sz val="9"/>
            <color indexed="81"/>
            <rFont val="Arial"/>
            <family val="2"/>
          </rPr>
          <t>Kiya Gornik:</t>
        </r>
        <r>
          <rPr>
            <sz val="9"/>
            <color indexed="81"/>
            <rFont val="Arial"/>
            <family val="2"/>
          </rPr>
          <t xml:space="preserve">
Medium resiliance
</t>
        </r>
      </text>
    </comment>
    <comment ref="U25" authorId="0">
      <text>
        <r>
          <rPr>
            <b/>
            <sz val="9"/>
            <color indexed="81"/>
            <rFont val="Tahoma"/>
            <family val="2"/>
          </rPr>
          <t>Kiya Gornik:</t>
        </r>
        <r>
          <rPr>
            <sz val="9"/>
            <color indexed="81"/>
            <rFont val="Tahoma"/>
            <family val="2"/>
          </rPr>
          <t xml:space="preserve">
RAM database</t>
        </r>
      </text>
    </comment>
    <comment ref="W25" authorId="0">
      <text>
        <r>
          <rPr>
            <b/>
            <sz val="9"/>
            <color indexed="81"/>
            <rFont val="Tahoma"/>
            <family val="2"/>
          </rPr>
          <t>Kiya Gornik:</t>
        </r>
        <r>
          <rPr>
            <sz val="9"/>
            <color indexed="81"/>
            <rFont val="Tahoma"/>
            <family val="2"/>
          </rPr>
          <t xml:space="preserve">
Southeast Fisheries Science Center 2009</t>
        </r>
      </text>
    </comment>
    <comment ref="Y25" authorId="0">
      <text>
        <r>
          <rPr>
            <b/>
            <sz val="9"/>
            <color indexed="81"/>
            <rFont val="Arial"/>
            <family val="2"/>
          </rPr>
          <t>Kiya Gornik:</t>
        </r>
        <r>
          <rPr>
            <sz val="9"/>
            <color indexed="81"/>
            <rFont val="Arial"/>
            <family val="2"/>
          </rPr>
          <t xml:space="preserve">
med resiliance</t>
        </r>
      </text>
    </comment>
    <comment ref="AR25" authorId="0">
      <text>
        <r>
          <rPr>
            <b/>
            <sz val="9"/>
            <color indexed="81"/>
            <rFont val="Tahoma"/>
            <family val="2"/>
          </rPr>
          <t>Kiya Gornik:</t>
        </r>
        <r>
          <rPr>
            <sz val="9"/>
            <color indexed="81"/>
            <rFont val="Tahoma"/>
            <family val="2"/>
          </rPr>
          <t xml:space="preserve">
SAFMC 2010;RAM database</t>
        </r>
      </text>
    </comment>
  </commentList>
</comments>
</file>

<file path=xl/comments2.xml><?xml version="1.0" encoding="utf-8"?>
<comments xmlns="http://schemas.openxmlformats.org/spreadsheetml/2006/main">
  <authors>
    <author>Kiya Gornik</author>
  </authors>
  <commentList>
    <comment ref="AR27" authorId="0">
      <text>
        <r>
          <rPr>
            <b/>
            <sz val="9"/>
            <color indexed="81"/>
            <rFont val="Tahoma"/>
            <family val="2"/>
          </rPr>
          <t>Kiya Gornik:</t>
        </r>
        <r>
          <rPr>
            <sz val="9"/>
            <color indexed="81"/>
            <rFont val="Tahoma"/>
            <family val="2"/>
          </rPr>
          <t xml:space="preserve">
Gongora 2010 or Babcock 2012</t>
        </r>
      </text>
    </comment>
  </commentList>
</comments>
</file>

<file path=xl/comments3.xml><?xml version="1.0" encoding="utf-8"?>
<comments xmlns="http://schemas.openxmlformats.org/spreadsheetml/2006/main">
  <authors>
    <author>Kiya Gornik</author>
  </authors>
  <commentList>
    <comment ref="AE5" authorId="0">
      <text>
        <r>
          <rPr>
            <b/>
            <sz val="9"/>
            <color indexed="81"/>
            <rFont val="Arial"/>
            <family val="2"/>
          </rPr>
          <t>Kiya Gornik:</t>
        </r>
        <r>
          <rPr>
            <sz val="9"/>
            <color indexed="81"/>
            <rFont val="Arial"/>
            <family val="2"/>
          </rPr>
          <t xml:space="preserve">
Van Heukelem 1973 says O. vulgaris has similar life history but may have longer lifespan (15-24 mo)
</t>
        </r>
      </text>
    </comment>
    <comment ref="U6" authorId="0">
      <text>
        <r>
          <rPr>
            <b/>
            <sz val="9"/>
            <color indexed="81"/>
            <rFont val="Arial"/>
            <family val="2"/>
          </rPr>
          <t>Kiya Gornik:</t>
        </r>
        <r>
          <rPr>
            <sz val="9"/>
            <color indexed="81"/>
            <rFont val="Arial"/>
            <family val="2"/>
          </rPr>
          <t xml:space="preserve">
MESSY</t>
        </r>
      </text>
    </comment>
    <comment ref="A21" authorId="0">
      <text>
        <r>
          <rPr>
            <b/>
            <sz val="9"/>
            <color indexed="81"/>
            <rFont val="Arial"/>
            <family val="2"/>
          </rPr>
          <t>Kiya Gornik:</t>
        </r>
        <r>
          <rPr>
            <sz val="9"/>
            <color indexed="81"/>
            <rFont val="Arial"/>
            <family val="2"/>
          </rPr>
          <t xml:space="preserve">
Rows to be deleted?</t>
        </r>
      </text>
    </comment>
    <comment ref="A35" authorId="0">
      <text>
        <r>
          <rPr>
            <b/>
            <sz val="9"/>
            <color indexed="81"/>
            <rFont val="Arial"/>
            <family val="2"/>
          </rPr>
          <t xml:space="preserve">Kiya Gornik:
</t>
        </r>
        <r>
          <rPr>
            <sz val="9"/>
            <color indexed="81"/>
            <rFont val="Arial"/>
            <family val="2"/>
          </rPr>
          <t>Rows to be deleted?</t>
        </r>
      </text>
    </comment>
    <comment ref="A44" authorId="0">
      <text>
        <r>
          <rPr>
            <b/>
            <sz val="9"/>
            <color indexed="81"/>
            <rFont val="Arial"/>
            <family val="2"/>
          </rPr>
          <t>Kiya Gornik:</t>
        </r>
        <r>
          <rPr>
            <sz val="9"/>
            <color indexed="81"/>
            <rFont val="Arial"/>
            <family val="2"/>
          </rPr>
          <t xml:space="preserve">
Row to be deleted after gut check from MatLeng conversion</t>
        </r>
      </text>
    </comment>
    <comment ref="H45" authorId="0">
      <text>
        <r>
          <rPr>
            <b/>
            <sz val="9"/>
            <color indexed="81"/>
            <rFont val="Arial"/>
            <family val="2"/>
          </rPr>
          <t>Kiya Gornik:</t>
        </r>
        <r>
          <rPr>
            <sz val="9"/>
            <color indexed="81"/>
            <rFont val="Arial"/>
            <family val="2"/>
          </rPr>
          <t xml:space="preserve">
length units from vB</t>
        </r>
      </text>
    </comment>
  </commentList>
</comments>
</file>

<file path=xl/comments4.xml><?xml version="1.0" encoding="utf-8"?>
<comments xmlns="http://schemas.openxmlformats.org/spreadsheetml/2006/main">
  <authors>
    <author>Kiya Gornik</author>
  </authors>
  <commentList>
    <comment ref="A21" authorId="0">
      <text>
        <r>
          <rPr>
            <b/>
            <sz val="9"/>
            <color rgb="FF000000"/>
            <rFont val="Arial"/>
            <family val="2"/>
          </rPr>
          <t>Kiya Gornik:</t>
        </r>
        <r>
          <rPr>
            <sz val="9"/>
            <color rgb="FF000000"/>
            <rFont val="Arial"/>
            <family val="2"/>
          </rPr>
          <t xml:space="preserve">
Rows to be deleted?</t>
        </r>
      </text>
    </comment>
    <comment ref="A35" authorId="0">
      <text>
        <r>
          <rPr>
            <b/>
            <sz val="9"/>
            <color rgb="FF000000"/>
            <rFont val="Arial"/>
            <family val="2"/>
          </rPr>
          <t xml:space="preserve">Kiya Gornik:
</t>
        </r>
        <r>
          <rPr>
            <sz val="9"/>
            <color rgb="FF000000"/>
            <rFont val="Arial"/>
            <family val="2"/>
          </rPr>
          <t>Rows to be deleted?</t>
        </r>
      </text>
    </comment>
    <comment ref="A44" authorId="0">
      <text>
        <r>
          <rPr>
            <b/>
            <sz val="9"/>
            <color rgb="FF000000"/>
            <rFont val="Arial"/>
            <family val="2"/>
          </rPr>
          <t>Kiya Gornik:</t>
        </r>
        <r>
          <rPr>
            <sz val="9"/>
            <color rgb="FF000000"/>
            <rFont val="Arial"/>
            <family val="2"/>
          </rPr>
          <t xml:space="preserve">
Row to be deleted after gut check from MatLeng conversion</t>
        </r>
      </text>
    </comment>
  </commentList>
</comments>
</file>

<file path=xl/comments5.xml><?xml version="1.0" encoding="utf-8"?>
<comments xmlns="http://schemas.openxmlformats.org/spreadsheetml/2006/main">
  <authors>
    <author>ddougherty</author>
    <author>Kiya Gornik</author>
  </authors>
  <commentList>
    <comment ref="E5" authorId="0">
      <text>
        <r>
          <rPr>
            <b/>
            <sz val="8"/>
            <color indexed="81"/>
            <rFont val="Tahoma"/>
            <family val="2"/>
          </rPr>
          <t>ddougherty:</t>
        </r>
        <r>
          <rPr>
            <sz val="8"/>
            <color indexed="81"/>
            <rFont val="Tahoma"/>
            <family val="2"/>
          </rPr>
          <t xml:space="preserve">
Nassau not currently being harvested.  Babcock already did length based indicator study of Mutton
</t>
        </r>
      </text>
    </comment>
    <comment ref="H5" authorId="0">
      <text>
        <r>
          <rPr>
            <b/>
            <sz val="8"/>
            <color indexed="81"/>
            <rFont val="Tahoma"/>
            <family val="2"/>
          </rPr>
          <t>ddougherty:</t>
        </r>
        <r>
          <rPr>
            <sz val="8"/>
            <color indexed="81"/>
            <rFont val="Tahoma"/>
            <family val="2"/>
          </rPr>
          <t xml:space="preserve">
Estimates from study in Puerto Rico, Acosta and Appledoorn
Paper has values for similar countries
</t>
        </r>
      </text>
    </comment>
    <comment ref="C6" authorId="1">
      <text>
        <r>
          <rPr>
            <b/>
            <sz val="9"/>
            <color indexed="81"/>
            <rFont val="Tahoma"/>
            <family val="2"/>
          </rPr>
          <t>Kiya Gornik:</t>
        </r>
        <r>
          <rPr>
            <sz val="9"/>
            <color indexed="81"/>
            <rFont val="Tahoma"/>
            <family val="2"/>
          </rPr>
          <t xml:space="preserve">
Atlantic Fisheries: Ehrhardt 2005; Glover's fishery: Acosta and Robertson 2003</t>
        </r>
      </text>
    </comment>
    <comment ref="D6" authorId="1">
      <text>
        <r>
          <rPr>
            <b/>
            <sz val="9"/>
            <color indexed="81"/>
            <rFont val="Tahoma"/>
            <family val="2"/>
          </rPr>
          <t>Kiya Gornik:</t>
        </r>
        <r>
          <rPr>
            <sz val="9"/>
            <color indexed="81"/>
            <rFont val="Tahoma"/>
            <family val="2"/>
          </rPr>
          <t xml:space="preserve">
Sala et al. 2001</t>
        </r>
      </text>
    </comment>
    <comment ref="E6" authorId="1">
      <text>
        <r>
          <rPr>
            <b/>
            <sz val="9"/>
            <color indexed="81"/>
            <rFont val="Tahoma"/>
            <family val="2"/>
          </rPr>
          <t>Kiya Gornik:</t>
        </r>
        <r>
          <rPr>
            <sz val="9"/>
            <color indexed="81"/>
            <rFont val="Tahoma"/>
            <family val="2"/>
          </rPr>
          <t xml:space="preserve">
Graham et al. 2008</t>
        </r>
      </text>
    </comment>
    <comment ref="F6" authorId="1">
      <text>
        <r>
          <rPr>
            <b/>
            <sz val="9"/>
            <color indexed="81"/>
            <rFont val="Tahoma"/>
            <family val="2"/>
          </rPr>
          <t>Kiya Gornik:</t>
        </r>
        <r>
          <rPr>
            <sz val="9"/>
            <color indexed="81"/>
            <rFont val="Tahoma"/>
            <family val="2"/>
          </rPr>
          <t xml:space="preserve">
Paris et al. 2008</t>
        </r>
      </text>
    </comment>
    <comment ref="H6" authorId="1">
      <text>
        <r>
          <rPr>
            <b/>
            <sz val="9"/>
            <color indexed="81"/>
            <rFont val="Tahoma"/>
            <family val="2"/>
          </rPr>
          <t>Kiya Gornik:</t>
        </r>
        <r>
          <rPr>
            <sz val="9"/>
            <color indexed="81"/>
            <rFont val="Tahoma"/>
            <family val="2"/>
          </rPr>
          <t xml:space="preserve">
Manickchand-Dass 1987</t>
        </r>
      </text>
    </comment>
    <comment ref="C7" authorId="1">
      <text>
        <r>
          <rPr>
            <b/>
            <sz val="9"/>
            <color indexed="81"/>
            <rFont val="Tahoma"/>
            <family val="2"/>
          </rPr>
          <t>Kiya Gornik:</t>
        </r>
        <r>
          <rPr>
            <sz val="9"/>
            <color indexed="81"/>
            <rFont val="Tahoma"/>
            <family val="2"/>
          </rPr>
          <t xml:space="preserve">
Babcock 2012</t>
        </r>
      </text>
    </comment>
    <comment ref="D7" authorId="1">
      <text>
        <r>
          <rPr>
            <b/>
            <sz val="9"/>
            <color indexed="81"/>
            <rFont val="Tahoma"/>
            <family val="2"/>
          </rPr>
          <t>Kiya Gornik:</t>
        </r>
        <r>
          <rPr>
            <sz val="9"/>
            <color indexed="81"/>
            <rFont val="Tahoma"/>
            <family val="2"/>
          </rPr>
          <t xml:space="preserve">
 Eggleston. 1995</t>
        </r>
      </text>
    </comment>
    <comment ref="E7" authorId="1">
      <text>
        <r>
          <rPr>
            <b/>
            <sz val="9"/>
            <color indexed="81"/>
            <rFont val="Tahoma"/>
            <family val="2"/>
          </rPr>
          <t>Kiya Gornik:</t>
        </r>
        <r>
          <rPr>
            <sz val="9"/>
            <color indexed="81"/>
            <rFont val="Tahoma"/>
            <family val="2"/>
          </rPr>
          <t xml:space="preserve">
Domeier 2004</t>
        </r>
      </text>
    </comment>
    <comment ref="F7" authorId="1">
      <text>
        <r>
          <rPr>
            <b/>
            <sz val="9"/>
            <color indexed="81"/>
            <rFont val="Tahoma"/>
            <family val="2"/>
          </rPr>
          <t>Kiya Gornik:</t>
        </r>
        <r>
          <rPr>
            <sz val="9"/>
            <color indexed="81"/>
            <rFont val="Tahoma"/>
            <family val="2"/>
          </rPr>
          <t xml:space="preserve">
Hernandez‐Lamb et al. 2012</t>
        </r>
      </text>
    </comment>
    <comment ref="H7" authorId="1">
      <text>
        <r>
          <rPr>
            <b/>
            <sz val="9"/>
            <color indexed="81"/>
            <rFont val="Tahoma"/>
            <family val="2"/>
          </rPr>
          <t>Kiya Gornik:</t>
        </r>
        <r>
          <rPr>
            <sz val="9"/>
            <color indexed="81"/>
            <rFont val="Tahoma"/>
            <family val="2"/>
          </rPr>
          <t xml:space="preserve">
Domeier 2004</t>
        </r>
      </text>
    </comment>
    <comment ref="C8" authorId="1">
      <text>
        <r>
          <rPr>
            <b/>
            <sz val="9"/>
            <color indexed="81"/>
            <rFont val="Tahoma"/>
            <family val="2"/>
          </rPr>
          <t xml:space="preserve">Kiya Gornik:
</t>
        </r>
        <r>
          <rPr>
            <sz val="9"/>
            <color indexed="81"/>
            <rFont val="Tahoma"/>
            <family val="2"/>
          </rPr>
          <t xml:space="preserve">
Bertelsen, Rodney D., and Jessica Hornbeck.   (2009)</t>
        </r>
      </text>
    </comment>
    <comment ref="D8" authorId="1">
      <text>
        <r>
          <rPr>
            <b/>
            <sz val="9"/>
            <color indexed="81"/>
            <rFont val="Tahoma"/>
            <family val="2"/>
          </rPr>
          <t>Kiya Gornik:</t>
        </r>
        <r>
          <rPr>
            <sz val="9"/>
            <color indexed="81"/>
            <rFont val="Tahoma"/>
            <family val="2"/>
          </rPr>
          <t xml:space="preserve">
Bolden 2000</t>
        </r>
      </text>
    </comment>
    <comment ref="E8" authorId="1">
      <text>
        <r>
          <rPr>
            <b/>
            <sz val="9"/>
            <color indexed="81"/>
            <rFont val="Tahoma"/>
            <family val="2"/>
          </rPr>
          <t>Kiya Gornik:</t>
        </r>
        <r>
          <rPr>
            <sz val="9"/>
            <color indexed="81"/>
            <rFont val="Tahoma"/>
            <family val="2"/>
          </rPr>
          <t xml:space="preserve">
Nanami and Yamada  2008</t>
        </r>
      </text>
    </comment>
    <comment ref="F8" authorId="1">
      <text>
        <r>
          <rPr>
            <b/>
            <sz val="9"/>
            <color indexed="81"/>
            <rFont val="Tahoma"/>
            <family val="2"/>
          </rPr>
          <t>Kiya Gornik:</t>
        </r>
        <r>
          <rPr>
            <sz val="9"/>
            <color indexed="81"/>
            <rFont val="Tahoma"/>
            <family val="2"/>
          </rPr>
          <t xml:space="preserve">
Hernandez</t>
        </r>
        <r>
          <rPr>
            <sz val="9"/>
            <color indexed="81"/>
            <rFont val="Noteworthy Bold"/>
            <family val="2"/>
          </rPr>
          <t>‐</t>
        </r>
        <r>
          <rPr>
            <sz val="9"/>
            <color indexed="81"/>
            <rFont val="Tahoma"/>
            <family val="2"/>
          </rPr>
          <t>Lamb et al. 2012</t>
        </r>
      </text>
    </comment>
    <comment ref="H8" authorId="1">
      <text>
        <r>
          <rPr>
            <b/>
            <sz val="9"/>
            <color indexed="81"/>
            <rFont val="Tahoma"/>
            <family val="2"/>
          </rPr>
          <t>Kiya Gornik:</t>
        </r>
        <r>
          <rPr>
            <sz val="9"/>
            <color indexed="81"/>
            <rFont val="Tahoma"/>
            <family val="2"/>
          </rPr>
          <t xml:space="preserve">
Nanami and Yamada 2008</t>
        </r>
      </text>
    </comment>
    <comment ref="F10" authorId="1">
      <text>
        <r>
          <rPr>
            <b/>
            <sz val="9"/>
            <color indexed="81"/>
            <rFont val="Tahoma"/>
            <family val="2"/>
          </rPr>
          <t>Kiya Gornik:</t>
        </r>
        <r>
          <rPr>
            <sz val="9"/>
            <color indexed="81"/>
            <rFont val="Tahoma"/>
            <family val="2"/>
          </rPr>
          <t xml:space="preserve">
Caribbean Queen Conch 2007</t>
        </r>
      </text>
    </comment>
    <comment ref="C11" authorId="0">
      <text>
        <r>
          <rPr>
            <b/>
            <sz val="8"/>
            <color indexed="81"/>
            <rFont val="Tahoma"/>
            <family val="2"/>
          </rPr>
          <t>ddougherty:</t>
        </r>
        <r>
          <rPr>
            <sz val="8"/>
            <color indexed="81"/>
            <rFont val="Tahoma"/>
            <family val="2"/>
          </rPr>
          <t xml:space="preserve">
Gongora 2010</t>
        </r>
      </text>
    </comment>
    <comment ref="D11" authorId="1">
      <text>
        <r>
          <rPr>
            <b/>
            <sz val="9"/>
            <color indexed="81"/>
            <rFont val="Tahoma"/>
            <family val="2"/>
          </rPr>
          <t>Kiya Gornik:</t>
        </r>
        <r>
          <rPr>
            <sz val="9"/>
            <color indexed="81"/>
            <rFont val="Tahoma"/>
            <family val="2"/>
          </rPr>
          <t xml:space="preserve">
Babcock 2011</t>
        </r>
      </text>
    </comment>
    <comment ref="E11" authorId="1">
      <text>
        <r>
          <rPr>
            <b/>
            <sz val="9"/>
            <color indexed="81"/>
            <rFont val="Tahoma"/>
            <family val="2"/>
          </rPr>
          <t>Kiya Gornik:</t>
        </r>
        <r>
          <rPr>
            <sz val="9"/>
            <color indexed="81"/>
            <rFont val="Tahoma"/>
            <family val="2"/>
          </rPr>
          <t xml:space="preserve">
Babcock 2011</t>
        </r>
      </text>
    </comment>
    <comment ref="F11" authorId="1">
      <text>
        <r>
          <rPr>
            <b/>
            <sz val="9"/>
            <color indexed="81"/>
            <rFont val="Tahoma"/>
            <family val="2"/>
          </rPr>
          <t>Kiya Gornik:</t>
        </r>
        <r>
          <rPr>
            <sz val="9"/>
            <color indexed="81"/>
            <rFont val="Tahoma"/>
            <family val="2"/>
          </rPr>
          <t xml:space="preserve">
Caribbean Queen Conch 2007</t>
        </r>
      </text>
    </comment>
    <comment ref="H11" authorId="1">
      <text>
        <r>
          <rPr>
            <b/>
            <sz val="9"/>
            <color indexed="81"/>
            <rFont val="Tahoma"/>
            <family val="2"/>
          </rPr>
          <t>Kiya Gornik:</t>
        </r>
        <r>
          <rPr>
            <sz val="9"/>
            <color indexed="81"/>
            <rFont val="Tahoma"/>
            <family val="2"/>
          </rPr>
          <t xml:space="preserve">
Babcock 2011</t>
        </r>
      </text>
    </comment>
    <comment ref="C14" authorId="0">
      <text>
        <r>
          <rPr>
            <b/>
            <sz val="8"/>
            <color indexed="81"/>
            <rFont val="Tahoma"/>
            <family val="2"/>
          </rPr>
          <t>ddougherty:</t>
        </r>
        <r>
          <rPr>
            <sz val="8"/>
            <color indexed="81"/>
            <rFont val="Tahoma"/>
            <family val="2"/>
          </rPr>
          <t xml:space="preserve">
Babcock</t>
        </r>
      </text>
    </comment>
    <comment ref="D14" authorId="1">
      <text>
        <r>
          <rPr>
            <b/>
            <sz val="9"/>
            <color indexed="81"/>
            <rFont val="Arial"/>
            <family val="2"/>
          </rPr>
          <t>Kiya Gornik:</t>
        </r>
        <r>
          <rPr>
            <sz val="9"/>
            <color indexed="81"/>
            <rFont val="Arial"/>
            <family val="2"/>
          </rPr>
          <t xml:space="preserve">
Aguilar-Perera, A., &amp; Aguilar-Dávila, W. (1996). A spawning aggregation of Nassau grouperEpinephelus striatus (Pisces: Serranidae) in the Mexican Caribbean. Environmental Biology of Fishes, 45(4), 351-361.</t>
        </r>
      </text>
    </comment>
    <comment ref="F14" authorId="1">
      <text>
        <r>
          <rPr>
            <b/>
            <sz val="9"/>
            <color indexed="81"/>
            <rFont val="Tahoma"/>
            <family val="2"/>
          </rPr>
          <t>Kiya Gornik:</t>
        </r>
        <r>
          <rPr>
            <sz val="9"/>
            <color indexed="81"/>
            <rFont val="Tahoma"/>
            <family val="2"/>
          </rPr>
          <t xml:space="preserve">
Stoner et al. 2012 or try Caribbean Queen Conch 2007 p5 for more relationships</t>
        </r>
      </text>
    </comment>
    <comment ref="H14" authorId="1">
      <text>
        <r>
          <rPr>
            <b/>
            <sz val="9"/>
            <color indexed="81"/>
            <rFont val="Tahoma"/>
            <family val="2"/>
          </rPr>
          <t>Kiya Gornik:</t>
        </r>
        <r>
          <rPr>
            <sz val="9"/>
            <color indexed="81"/>
            <rFont val="Tahoma"/>
            <family val="2"/>
          </rPr>
          <t xml:space="preserve">
Acosta et al. 1992</t>
        </r>
      </text>
    </comment>
    <comment ref="C15" authorId="1">
      <text>
        <r>
          <rPr>
            <b/>
            <sz val="9"/>
            <color indexed="81"/>
            <rFont val="Tahoma"/>
            <family val="2"/>
          </rPr>
          <t>Kiya Gornik:</t>
        </r>
        <r>
          <rPr>
            <sz val="9"/>
            <color indexed="81"/>
            <rFont val="Tahoma"/>
            <family val="2"/>
          </rPr>
          <t xml:space="preserve">
FAO 2001</t>
        </r>
      </text>
    </comment>
    <comment ref="E15" authorId="1">
      <text>
        <r>
          <rPr>
            <b/>
            <sz val="9"/>
            <color indexed="81"/>
            <rFont val="Tahoma"/>
            <family val="2"/>
          </rPr>
          <t>Kiya Gornik:</t>
        </r>
        <r>
          <rPr>
            <sz val="9"/>
            <color indexed="81"/>
            <rFont val="Tahoma"/>
            <family val="2"/>
          </rPr>
          <t xml:space="preserve">
Burton 2002</t>
        </r>
      </text>
    </comment>
    <comment ref="H15" authorId="0">
      <text>
        <r>
          <rPr>
            <b/>
            <sz val="8"/>
            <color indexed="81"/>
            <rFont val="Tahoma"/>
            <family val="2"/>
          </rPr>
          <t>ddougherty:</t>
        </r>
        <r>
          <rPr>
            <sz val="8"/>
            <color indexed="81"/>
            <rFont val="Tahoma"/>
            <family val="2"/>
          </rPr>
          <t xml:space="preserve">
mm FL to grams
</t>
        </r>
      </text>
    </comment>
    <comment ref="C17" authorId="1">
      <text>
        <r>
          <rPr>
            <b/>
            <sz val="9"/>
            <color indexed="81"/>
            <rFont val="Arial"/>
            <family val="2"/>
          </rPr>
          <t>Kiya Gornik:</t>
        </r>
        <r>
          <rPr>
            <sz val="9"/>
            <color indexed="81"/>
            <rFont val="Arial"/>
            <family val="2"/>
          </rPr>
          <t xml:space="preserve">
Babcock 2012</t>
        </r>
      </text>
    </comment>
    <comment ref="D17" authorId="1">
      <text>
        <r>
          <rPr>
            <b/>
            <sz val="9"/>
            <color indexed="81"/>
            <rFont val="Tahoma"/>
            <family val="2"/>
          </rPr>
          <t>Kiya Gornik:</t>
        </r>
        <r>
          <rPr>
            <sz val="9"/>
            <color indexed="81"/>
            <rFont val="Tahoma"/>
            <family val="2"/>
          </rPr>
          <t xml:space="preserve">
Babcock 2013</t>
        </r>
      </text>
    </comment>
    <comment ref="E17" authorId="1">
      <text>
        <r>
          <rPr>
            <b/>
            <sz val="9"/>
            <color indexed="81"/>
            <rFont val="Tahoma"/>
            <family val="2"/>
          </rPr>
          <t>Kiya Gornik:</t>
        </r>
        <r>
          <rPr>
            <sz val="9"/>
            <color indexed="81"/>
            <rFont val="Tahoma"/>
            <family val="2"/>
          </rPr>
          <t xml:space="preserve">
Babcock 2013</t>
        </r>
      </text>
    </comment>
    <comment ref="H17" authorId="1">
      <text>
        <r>
          <rPr>
            <b/>
            <sz val="9"/>
            <color indexed="81"/>
            <rFont val="Tahoma"/>
            <family val="2"/>
          </rPr>
          <t xml:space="preserve">Kiya Gornik
</t>
        </r>
        <r>
          <rPr>
            <sz val="9"/>
            <color indexed="81"/>
            <rFont val="Tahoma"/>
            <family val="2"/>
          </rPr>
          <t>Babcock 2011</t>
        </r>
      </text>
    </comment>
    <comment ref="C19" authorId="1">
      <text>
        <r>
          <rPr>
            <b/>
            <sz val="9"/>
            <color indexed="81"/>
            <rFont val="Tahoma"/>
            <family val="2"/>
          </rPr>
          <t>Kiya Gornik:</t>
        </r>
        <r>
          <rPr>
            <sz val="9"/>
            <color indexed="81"/>
            <rFont val="Tahoma"/>
            <family val="2"/>
          </rPr>
          <t xml:space="preserve">
Muller, Robert G., John H. Hunt, Thomas R. Matthews, and William C. Sharp.  (1997)</t>
        </r>
      </text>
    </comment>
    <comment ref="D19" authorId="1">
      <text>
        <r>
          <rPr>
            <b/>
            <sz val="9"/>
            <color indexed="81"/>
            <rFont val="Tahoma"/>
            <family val="2"/>
          </rPr>
          <t>Kiya Gornik:</t>
        </r>
        <r>
          <rPr>
            <sz val="9"/>
            <color indexed="81"/>
            <rFont val="Tahoma"/>
            <family val="2"/>
          </rPr>
          <t xml:space="preserve">
Babcock 2013</t>
        </r>
      </text>
    </comment>
    <comment ref="E19" authorId="1">
      <text>
        <r>
          <rPr>
            <b/>
            <sz val="9"/>
            <color indexed="81"/>
            <rFont val="Tahoma"/>
            <family val="2"/>
          </rPr>
          <t>Kiya Gornik:</t>
        </r>
        <r>
          <rPr>
            <sz val="9"/>
            <color indexed="81"/>
            <rFont val="Tahoma"/>
            <family val="2"/>
          </rPr>
          <t xml:space="preserve">
Babcock 2013</t>
        </r>
      </text>
    </comment>
    <comment ref="F19" authorId="1">
      <text>
        <r>
          <rPr>
            <b/>
            <sz val="9"/>
            <color indexed="81"/>
            <rFont val="Tahoma"/>
            <family val="2"/>
          </rPr>
          <t>Kiya Gornik:</t>
        </r>
        <r>
          <rPr>
            <sz val="9"/>
            <color indexed="81"/>
            <rFont val="Tahoma"/>
            <family val="2"/>
          </rPr>
          <t xml:space="preserve">
Caribbean Queen Conch 2007</t>
        </r>
      </text>
    </comment>
    <comment ref="H19" authorId="1">
      <text>
        <r>
          <rPr>
            <b/>
            <sz val="9"/>
            <color indexed="81"/>
            <rFont val="Tahoma"/>
            <family val="2"/>
          </rPr>
          <t>Kiya Gornik:</t>
        </r>
        <r>
          <rPr>
            <sz val="9"/>
            <color indexed="81"/>
            <rFont val="Tahoma"/>
            <family val="2"/>
          </rPr>
          <t xml:space="preserve">
Babcock 2011</t>
        </r>
      </text>
    </comment>
    <comment ref="C20" authorId="1">
      <text>
        <r>
          <rPr>
            <b/>
            <sz val="9"/>
            <color indexed="81"/>
            <rFont val="Tahoma"/>
            <family val="2"/>
          </rPr>
          <t>Kiya Gornik:</t>
        </r>
        <r>
          <rPr>
            <sz val="9"/>
            <color indexed="81"/>
            <rFont val="Tahoma"/>
            <family val="2"/>
          </rPr>
          <t xml:space="preserve">
Gongora 2010</t>
        </r>
      </text>
    </comment>
    <comment ref="F20" authorId="1">
      <text>
        <r>
          <rPr>
            <b/>
            <sz val="9"/>
            <color indexed="81"/>
            <rFont val="Tahoma"/>
            <family val="2"/>
          </rPr>
          <t>Kiya Gornik:</t>
        </r>
        <r>
          <rPr>
            <sz val="9"/>
            <color indexed="81"/>
            <rFont val="Tahoma"/>
            <family val="2"/>
          </rPr>
          <t xml:space="preserve">
Hernandez‐Lamb et al. 2012</t>
        </r>
      </text>
    </comment>
    <comment ref="C21" authorId="1">
      <text>
        <r>
          <rPr>
            <b/>
            <sz val="9"/>
            <color indexed="81"/>
            <rFont val="Tahoma"/>
            <family val="2"/>
          </rPr>
          <t>Kiya Gornik:</t>
        </r>
        <r>
          <rPr>
            <sz val="9"/>
            <color indexed="81"/>
            <rFont val="Tahoma"/>
            <family val="2"/>
          </rPr>
          <t xml:space="preserve">
online regulation for size limit</t>
        </r>
      </text>
    </comment>
    <comment ref="D21" authorId="1">
      <text>
        <r>
          <rPr>
            <b/>
            <sz val="9"/>
            <color indexed="81"/>
            <rFont val="Tahoma"/>
            <family val="2"/>
          </rPr>
          <t>Kiya Gornik:</t>
        </r>
        <r>
          <rPr>
            <sz val="9"/>
            <color indexed="81"/>
            <rFont val="Tahoma"/>
            <family val="2"/>
          </rPr>
          <t xml:space="preserve">
Babcock 2013</t>
        </r>
      </text>
    </comment>
    <comment ref="E21" authorId="1">
      <text>
        <r>
          <rPr>
            <b/>
            <sz val="9"/>
            <color indexed="81"/>
            <rFont val="Tahoma"/>
            <family val="2"/>
          </rPr>
          <t>Kiya Gornik:</t>
        </r>
        <r>
          <rPr>
            <sz val="9"/>
            <color indexed="81"/>
            <rFont val="Tahoma"/>
            <family val="2"/>
          </rPr>
          <t xml:space="preserve">
Babcock 2013, 2011</t>
        </r>
      </text>
    </comment>
    <comment ref="F21" authorId="1">
      <text>
        <r>
          <rPr>
            <b/>
            <sz val="9"/>
            <color indexed="81"/>
            <rFont val="Tahoma"/>
            <family val="2"/>
          </rPr>
          <t>Kiya Gornik:</t>
        </r>
        <r>
          <rPr>
            <sz val="9"/>
            <color indexed="81"/>
            <rFont val="Tahoma"/>
            <family val="2"/>
          </rPr>
          <t xml:space="preserve">
Hernandez‐Lamb et al. 2012</t>
        </r>
      </text>
    </comment>
    <comment ref="H21" authorId="1">
      <text>
        <r>
          <rPr>
            <b/>
            <sz val="9"/>
            <color indexed="81"/>
            <rFont val="Tahoma"/>
            <family val="2"/>
          </rPr>
          <t>Kiya Gornik:</t>
        </r>
        <r>
          <rPr>
            <sz val="9"/>
            <color indexed="81"/>
            <rFont val="Tahoma"/>
            <family val="2"/>
          </rPr>
          <t xml:space="preserve">
Babcock 2011</t>
        </r>
      </text>
    </comment>
    <comment ref="C22" authorId="1">
      <text>
        <r>
          <rPr>
            <b/>
            <sz val="9"/>
            <color indexed="81"/>
            <rFont val="Tahoma"/>
            <family val="2"/>
          </rPr>
          <t>Kiya Gornik:</t>
        </r>
        <r>
          <rPr>
            <sz val="9"/>
            <color indexed="81"/>
            <rFont val="Tahoma"/>
            <family val="2"/>
          </rPr>
          <t xml:space="preserve">
Gongora 2010</t>
        </r>
      </text>
    </comment>
    <comment ref="D22" authorId="1">
      <text>
        <r>
          <rPr>
            <b/>
            <sz val="9"/>
            <color indexed="81"/>
            <rFont val="Tahoma"/>
            <family val="2"/>
          </rPr>
          <t>Kiya Gornik:</t>
        </r>
        <r>
          <rPr>
            <sz val="9"/>
            <color indexed="81"/>
            <rFont val="Tahoma"/>
            <family val="2"/>
          </rPr>
          <t xml:space="preserve">
NOAA stock assessment 2005</t>
        </r>
      </text>
    </comment>
    <comment ref="E22" authorId="1">
      <text>
        <r>
          <rPr>
            <b/>
            <sz val="9"/>
            <color indexed="81"/>
            <rFont val="Tahoma"/>
            <family val="2"/>
          </rPr>
          <t>Kiya Gornik:</t>
        </r>
        <r>
          <rPr>
            <sz val="9"/>
            <color indexed="81"/>
            <rFont val="Tahoma"/>
            <family val="2"/>
          </rPr>
          <t xml:space="preserve">
Kojis and Quin 2011</t>
        </r>
      </text>
    </comment>
    <comment ref="F22" authorId="1">
      <text>
        <r>
          <rPr>
            <b/>
            <sz val="9"/>
            <color indexed="81"/>
            <rFont val="Tahoma"/>
            <family val="2"/>
          </rPr>
          <t>Kiya Gornik:</t>
        </r>
        <r>
          <rPr>
            <sz val="9"/>
            <color indexed="81"/>
            <rFont val="Tahoma"/>
            <family val="2"/>
          </rPr>
          <t xml:space="preserve">
 Appeldoorn 1988</t>
        </r>
      </text>
    </comment>
    <comment ref="H22" authorId="1">
      <text>
        <r>
          <rPr>
            <b/>
            <sz val="9"/>
            <color indexed="81"/>
            <rFont val="Tahoma"/>
            <family val="2"/>
          </rPr>
          <t>Kiya Gornik:</t>
        </r>
        <r>
          <rPr>
            <sz val="9"/>
            <color indexed="81"/>
            <rFont val="Tahoma"/>
            <family val="2"/>
          </rPr>
          <t xml:space="preserve">
Lane Snapper Report 2010</t>
        </r>
      </text>
    </comment>
    <comment ref="D23" authorId="1">
      <text>
        <r>
          <rPr>
            <b/>
            <sz val="9"/>
            <color indexed="81"/>
            <rFont val="Tahoma"/>
            <family val="2"/>
          </rPr>
          <t>Kiya Gornik:</t>
        </r>
        <r>
          <rPr>
            <sz val="9"/>
            <color indexed="81"/>
            <rFont val="Tahoma"/>
            <family val="2"/>
          </rPr>
          <t xml:space="preserve">
Babcock 2013</t>
        </r>
      </text>
    </comment>
    <comment ref="E23" authorId="1">
      <text>
        <r>
          <rPr>
            <b/>
            <sz val="9"/>
            <color indexed="81"/>
            <rFont val="Tahoma"/>
            <family val="2"/>
          </rPr>
          <t>Kiya Gornik:</t>
        </r>
        <r>
          <rPr>
            <sz val="9"/>
            <color indexed="81"/>
            <rFont val="Tahoma"/>
            <family val="2"/>
          </rPr>
          <t xml:space="preserve">
Babcock 2013</t>
        </r>
      </text>
    </comment>
    <comment ref="D24" authorId="1">
      <text>
        <r>
          <rPr>
            <b/>
            <sz val="9"/>
            <color indexed="81"/>
            <rFont val="Tahoma"/>
            <family val="2"/>
          </rPr>
          <t>Kiya Gornik:</t>
        </r>
        <r>
          <rPr>
            <sz val="9"/>
            <color indexed="81"/>
            <rFont val="Tahoma"/>
            <family val="2"/>
          </rPr>
          <t xml:space="preserve">
Babcock Selectivity Figure</t>
        </r>
      </text>
    </comment>
    <comment ref="E24" authorId="1">
      <text>
        <r>
          <rPr>
            <b/>
            <sz val="9"/>
            <color indexed="81"/>
            <rFont val="Tahoma"/>
            <family val="2"/>
          </rPr>
          <t>Kiya Gornik:</t>
        </r>
        <r>
          <rPr>
            <sz val="9"/>
            <color indexed="81"/>
            <rFont val="Tahoma"/>
            <family val="2"/>
          </rPr>
          <t xml:space="preserve">
Babcock Selectivity Figure</t>
        </r>
      </text>
    </comment>
    <comment ref="C27" authorId="1">
      <text>
        <r>
          <rPr>
            <b/>
            <sz val="9"/>
            <color indexed="81"/>
            <rFont val="Tahoma"/>
            <family val="2"/>
          </rPr>
          <t>Kiya Gornik:</t>
        </r>
        <r>
          <rPr>
            <sz val="9"/>
            <color indexed="81"/>
            <rFont val="Tahoma"/>
            <family val="2"/>
          </rPr>
          <t xml:space="preserve">
Fonseca-Larios, Martha E., and Patricia Briones-Fourzan. (1998)</t>
        </r>
      </text>
    </comment>
    <comment ref="D27" authorId="1">
      <text>
        <r>
          <rPr>
            <b/>
            <sz val="9"/>
            <color indexed="81"/>
            <rFont val="Tahoma"/>
            <family val="2"/>
          </rPr>
          <t>Kiya Gornik:</t>
        </r>
        <r>
          <rPr>
            <sz val="9"/>
            <color indexed="81"/>
            <rFont val="Tahoma"/>
            <family val="2"/>
          </rPr>
          <t xml:space="preserve">
Sadovy, Yvonne, and Anne-Marie Eklund.  (1999).</t>
        </r>
      </text>
    </comment>
    <comment ref="E27" authorId="1">
      <text>
        <r>
          <rPr>
            <b/>
            <sz val="9"/>
            <color indexed="81"/>
            <rFont val="Tahoma"/>
            <family val="2"/>
          </rPr>
          <t>Kiya Gornik:</t>
        </r>
        <r>
          <rPr>
            <sz val="9"/>
            <color indexed="81"/>
            <rFont val="Tahoma"/>
            <family val="2"/>
          </rPr>
          <t xml:space="preserve">
Watanabe 2001</t>
        </r>
      </text>
    </comment>
    <comment ref="F27" authorId="1">
      <text>
        <r>
          <rPr>
            <b/>
            <sz val="9"/>
            <color indexed="81"/>
            <rFont val="Tahoma"/>
            <family val="2"/>
          </rPr>
          <t>Kiya Gornik:</t>
        </r>
        <r>
          <rPr>
            <sz val="9"/>
            <color indexed="81"/>
            <rFont val="Tahoma"/>
            <family val="2"/>
          </rPr>
          <t xml:space="preserve">
Stoner et al. 2012</t>
        </r>
      </text>
    </comment>
    <comment ref="H27" authorId="1">
      <text>
        <r>
          <rPr>
            <b/>
            <sz val="9"/>
            <color indexed="81"/>
            <rFont val="Tahoma"/>
            <family val="2"/>
          </rPr>
          <t>Kiya Gornik:</t>
        </r>
        <r>
          <rPr>
            <sz val="9"/>
            <color indexed="81"/>
            <rFont val="Tahoma"/>
            <family val="2"/>
          </rPr>
          <t xml:space="preserve">
Manickchand-Dass 1987</t>
        </r>
      </text>
    </comment>
    <comment ref="C29" authorId="1">
      <text>
        <r>
          <rPr>
            <b/>
            <sz val="9"/>
            <color indexed="81"/>
            <rFont val="Tahoma"/>
            <family val="2"/>
          </rPr>
          <t>Kiya Gornik:</t>
        </r>
        <r>
          <rPr>
            <sz val="9"/>
            <color indexed="81"/>
            <rFont val="Tahoma"/>
            <family val="2"/>
          </rPr>
          <t xml:space="preserve">
Babcock 2012 with weekly time scale; SAFMC 2010; Cruz et al. 2005</t>
        </r>
      </text>
    </comment>
    <comment ref="D29" authorId="1">
      <text>
        <r>
          <rPr>
            <b/>
            <sz val="9"/>
            <color indexed="81"/>
            <rFont val="Tahoma"/>
            <family val="2"/>
          </rPr>
          <t>Kiya Gornik:</t>
        </r>
        <r>
          <rPr>
            <sz val="9"/>
            <color indexed="81"/>
            <rFont val="Tahoma"/>
            <family val="2"/>
          </rPr>
          <t xml:space="preserve">
Eggleston 1995. or Porch et al. 2006</t>
        </r>
      </text>
    </comment>
    <comment ref="E29" authorId="1">
      <text>
        <r>
          <rPr>
            <b/>
            <sz val="9"/>
            <color indexed="81"/>
            <rFont val="Tahoma"/>
            <family val="2"/>
          </rPr>
          <t>Kiya Gornik:</t>
        </r>
        <r>
          <rPr>
            <sz val="9"/>
            <color indexed="81"/>
            <rFont val="Tahoma"/>
            <family val="2"/>
          </rPr>
          <t xml:space="preserve">
Mason and Manooch 1985</t>
        </r>
      </text>
    </comment>
    <comment ref="F29" authorId="1">
      <text>
        <r>
          <rPr>
            <b/>
            <sz val="9"/>
            <color indexed="81"/>
            <rFont val="Tahoma"/>
            <family val="2"/>
          </rPr>
          <t>Kiya Gornik:</t>
        </r>
        <r>
          <rPr>
            <sz val="9"/>
            <color indexed="81"/>
            <rFont val="Tahoma"/>
            <family val="2"/>
          </rPr>
          <t xml:space="preserve">
Hernandez‐Lamb et al. 2012</t>
        </r>
      </text>
    </comment>
    <comment ref="H29" authorId="1">
      <text>
        <r>
          <rPr>
            <b/>
            <sz val="9"/>
            <color indexed="81"/>
            <rFont val="Tahoma"/>
            <family val="2"/>
          </rPr>
          <t>Kiya Gornik:</t>
        </r>
        <r>
          <rPr>
            <sz val="9"/>
            <color indexed="81"/>
            <rFont val="Tahoma"/>
            <family val="2"/>
          </rPr>
          <t xml:space="preserve">
Acosta et al. 1992</t>
        </r>
      </text>
    </comment>
    <comment ref="C30" authorId="1">
      <text>
        <r>
          <rPr>
            <b/>
            <sz val="9"/>
            <color indexed="81"/>
            <rFont val="Tahoma"/>
            <family val="2"/>
          </rPr>
          <t>Kiya Gornik:</t>
        </r>
        <r>
          <rPr>
            <sz val="9"/>
            <color indexed="81"/>
            <rFont val="Tahoma"/>
            <family val="2"/>
          </rPr>
          <t xml:space="preserve">
SAFMC 2010;RAM database</t>
        </r>
      </text>
    </comment>
    <comment ref="D30" authorId="1">
      <text>
        <r>
          <rPr>
            <b/>
            <sz val="9"/>
            <color indexed="81"/>
            <rFont val="Tahoma"/>
            <family val="2"/>
          </rPr>
          <t>Kiya Gornik:</t>
        </r>
        <r>
          <rPr>
            <sz val="9"/>
            <color indexed="81"/>
            <rFont val="Tahoma"/>
            <family val="2"/>
          </rPr>
          <t xml:space="preserve">
Southeast Fisheries Science Center 2009</t>
        </r>
      </text>
    </comment>
    <comment ref="E30" authorId="1">
      <text>
        <r>
          <rPr>
            <b/>
            <sz val="9"/>
            <color indexed="81"/>
            <rFont val="Tahoma"/>
            <family val="2"/>
          </rPr>
          <t>Kiya Gornik:</t>
        </r>
        <r>
          <rPr>
            <sz val="9"/>
            <color indexed="81"/>
            <rFont val="Tahoma"/>
            <family val="2"/>
          </rPr>
          <t xml:space="preserve">
RAM database</t>
        </r>
      </text>
    </comment>
    <comment ref="H30" authorId="1">
      <text>
        <r>
          <rPr>
            <b/>
            <sz val="9"/>
            <color indexed="81"/>
            <rFont val="Tahoma"/>
            <family val="2"/>
          </rPr>
          <t>Kiya Gornik:</t>
        </r>
        <r>
          <rPr>
            <sz val="9"/>
            <color indexed="81"/>
            <rFont val="Tahoma"/>
            <family val="2"/>
          </rPr>
          <t xml:space="preserve">
RAM database</t>
        </r>
      </text>
    </comment>
    <comment ref="C31" authorId="0">
      <text>
        <r>
          <rPr>
            <b/>
            <sz val="8"/>
            <color indexed="81"/>
            <rFont val="Tahoma"/>
            <family val="2"/>
          </rPr>
          <t>ddougherty:</t>
        </r>
        <r>
          <rPr>
            <sz val="8"/>
            <color indexed="81"/>
            <rFont val="Tahoma"/>
            <family val="2"/>
          </rPr>
          <t xml:space="preserve">
Gongora 2010</t>
        </r>
      </text>
    </comment>
    <comment ref="D31" authorId="1">
      <text>
        <r>
          <rPr>
            <b/>
            <sz val="9"/>
            <color indexed="81"/>
            <rFont val="Tahoma"/>
            <family val="2"/>
          </rPr>
          <t>Kiya Gornik:</t>
        </r>
        <r>
          <rPr>
            <sz val="9"/>
            <color indexed="81"/>
            <rFont val="Tahoma"/>
            <family val="2"/>
          </rPr>
          <t xml:space="preserve">
Babcock 2011</t>
        </r>
      </text>
    </comment>
    <comment ref="E31" authorId="1">
      <text>
        <r>
          <rPr>
            <b/>
            <sz val="9"/>
            <color indexed="81"/>
            <rFont val="Tahoma"/>
            <family val="2"/>
          </rPr>
          <t>Kiya Gornik:</t>
        </r>
        <r>
          <rPr>
            <sz val="9"/>
            <color indexed="81"/>
            <rFont val="Tahoma"/>
            <family val="2"/>
          </rPr>
          <t xml:space="preserve">
Babcock 2011</t>
        </r>
      </text>
    </comment>
    <comment ref="F31" authorId="1">
      <text>
        <r>
          <rPr>
            <b/>
            <sz val="9"/>
            <color indexed="81"/>
            <rFont val="Tahoma"/>
            <family val="2"/>
          </rPr>
          <t>Kiya Gornik:</t>
        </r>
        <r>
          <rPr>
            <sz val="9"/>
            <color indexed="81"/>
            <rFont val="Tahoma"/>
            <family val="2"/>
          </rPr>
          <t xml:space="preserve">
Caribbean Queen Conch 2007</t>
        </r>
      </text>
    </comment>
    <comment ref="H31" authorId="1">
      <text>
        <r>
          <rPr>
            <b/>
            <sz val="9"/>
            <color indexed="81"/>
            <rFont val="Tahoma"/>
            <family val="2"/>
          </rPr>
          <t>Kiya Gornik:</t>
        </r>
        <r>
          <rPr>
            <sz val="9"/>
            <color indexed="81"/>
            <rFont val="Tahoma"/>
            <family val="2"/>
          </rPr>
          <t xml:space="preserve">
Babcock 2011</t>
        </r>
      </text>
    </comment>
    <comment ref="F32" authorId="1">
      <text>
        <r>
          <rPr>
            <b/>
            <sz val="9"/>
            <color indexed="81"/>
            <rFont val="Tahoma"/>
            <family val="2"/>
          </rPr>
          <t>Kiya Gornik:</t>
        </r>
        <r>
          <rPr>
            <sz val="9"/>
            <color indexed="81"/>
            <rFont val="Tahoma"/>
            <family val="2"/>
          </rPr>
          <t xml:space="preserve">
Hernandez‐Lamb et al. 2012</t>
        </r>
      </text>
    </comment>
    <comment ref="C33" authorId="1">
      <text>
        <r>
          <rPr>
            <b/>
            <sz val="9"/>
            <color indexed="81"/>
            <rFont val="Tahoma"/>
            <family val="2"/>
          </rPr>
          <t>Kiya Gornik:</t>
        </r>
        <r>
          <rPr>
            <sz val="9"/>
            <color indexed="81"/>
            <rFont val="Tahoma"/>
            <family val="2"/>
          </rPr>
          <t xml:space="preserve">
Babcock 2012</t>
        </r>
      </text>
    </comment>
    <comment ref="F33" authorId="1">
      <text>
        <r>
          <rPr>
            <b/>
            <sz val="9"/>
            <color indexed="81"/>
            <rFont val="Tahoma"/>
            <family val="2"/>
          </rPr>
          <t>Kiya Gornik:</t>
        </r>
        <r>
          <rPr>
            <sz val="9"/>
            <color indexed="81"/>
            <rFont val="Tahoma"/>
            <family val="2"/>
          </rPr>
          <t xml:space="preserve">
Hernandez‐Lamb et al. 2012</t>
        </r>
      </text>
    </comment>
  </commentList>
</comments>
</file>

<file path=xl/sharedStrings.xml><?xml version="1.0" encoding="utf-8"?>
<sst xmlns="http://schemas.openxmlformats.org/spreadsheetml/2006/main" count="7518" uniqueCount="1679">
  <si>
    <t>Philippines Species Parameters</t>
  </si>
  <si>
    <t>References in parentheses</t>
  </si>
  <si>
    <t>Philippines</t>
  </si>
  <si>
    <t>Indonesia</t>
  </si>
  <si>
    <t>Indo, Phil</t>
  </si>
  <si>
    <t>Philippines, Indo</t>
  </si>
  <si>
    <t>Sites</t>
  </si>
  <si>
    <t>Tinambac, Cantilan</t>
  </si>
  <si>
    <t>Karimunjawa, Alor</t>
  </si>
  <si>
    <t>Cortes, Karimunjawa</t>
  </si>
  <si>
    <t>Karimunjawa, Teluk Myalibit, Kaimana</t>
  </si>
  <si>
    <t>Alor</t>
  </si>
  <si>
    <t>Cortes &amp; Cantilan</t>
  </si>
  <si>
    <t>Inabanga</t>
  </si>
  <si>
    <t>Teluk Myalibit, Alor, Kaimana</t>
  </si>
  <si>
    <t>Cortes</t>
  </si>
  <si>
    <t>Teluk Myalibit, Kaimana</t>
  </si>
  <si>
    <t>Alor, Teluk Myalibit, Kaimana</t>
  </si>
  <si>
    <t>Tinambac</t>
  </si>
  <si>
    <t>Cortes, Cantilan</t>
  </si>
  <si>
    <t>Karimunjawa</t>
  </si>
  <si>
    <t>Tinambac, Alor, Teluk Myalibit, Kaimana</t>
  </si>
  <si>
    <t>Teluk Myalibit</t>
  </si>
  <si>
    <t>Cantilan</t>
  </si>
  <si>
    <t>Family</t>
  </si>
  <si>
    <t>Acanthuridae</t>
  </si>
  <si>
    <t>Labridae</t>
  </si>
  <si>
    <t>Carangidae</t>
  </si>
  <si>
    <t>Scaridae</t>
  </si>
  <si>
    <t>Serranidae</t>
  </si>
  <si>
    <t>Scombridae</t>
  </si>
  <si>
    <t>Hemiramphidae</t>
  </si>
  <si>
    <t>Lethrinidae</t>
  </si>
  <si>
    <t>Lutjanidae</t>
  </si>
  <si>
    <t>Nemipteridae</t>
  </si>
  <si>
    <t>Invert</t>
  </si>
  <si>
    <t>Epinephelidae</t>
  </si>
  <si>
    <t>Siganidae</t>
  </si>
  <si>
    <t>Sphyraenidae</t>
  </si>
  <si>
    <t>Trichiuridae</t>
  </si>
  <si>
    <t>Panulirus versicolor</t>
  </si>
  <si>
    <t>Species name</t>
  </si>
  <si>
    <t>Scientific</t>
  </si>
  <si>
    <t>Acanthurus nigrofuscus</t>
  </si>
  <si>
    <t>Bolbometopon muricatum</t>
  </si>
  <si>
    <t>Caranx melampygus</t>
  </si>
  <si>
    <t>Caranx ignobilis</t>
  </si>
  <si>
    <t>Cheilinus undulatus</t>
  </si>
  <si>
    <t>Chlorurus sordidus</t>
  </si>
  <si>
    <t>Epinephelus polyphekadion</t>
  </si>
  <si>
    <t>Euthynnus affinis</t>
  </si>
  <si>
    <t>Hyporhamphus affinis</t>
  </si>
  <si>
    <t>Katsuwonus pelamis</t>
  </si>
  <si>
    <t>Lethrinus harak</t>
  </si>
  <si>
    <t>Lethrinus obsoletus</t>
  </si>
  <si>
    <t>Lutjanus argentimaculatus</t>
  </si>
  <si>
    <t>Lutjanus bohar</t>
  </si>
  <si>
    <t>Lutjanus gibbus</t>
  </si>
  <si>
    <t>Naso unicornis</t>
  </si>
  <si>
    <t>Nemipterus peronii</t>
  </si>
  <si>
    <t>Octopus cyanea</t>
  </si>
  <si>
    <t>Plectropomus areolatus</t>
  </si>
  <si>
    <t>Plectropomus leopardus</t>
  </si>
  <si>
    <t>Portunus pelagicus</t>
  </si>
  <si>
    <t>Rastrelliger kanagurta</t>
  </si>
  <si>
    <t>Scarus ghobban</t>
  </si>
  <si>
    <t>Scomberomorus maculatus</t>
  </si>
  <si>
    <t>Selaroides leptolepis</t>
  </si>
  <si>
    <t>Siganus argenteus</t>
  </si>
  <si>
    <t>Siganus canaliculatus</t>
  </si>
  <si>
    <t>Sphyraena flavicauda</t>
  </si>
  <si>
    <t>Thunnus alalunga</t>
  </si>
  <si>
    <t>Trichiurus lepturus</t>
  </si>
  <si>
    <t>common (local)</t>
  </si>
  <si>
    <t>Brown surgeon fish (Mungit, Labahita)</t>
  </si>
  <si>
    <t>Green humphead parrotfish/Bumphead Parrotfish</t>
  </si>
  <si>
    <t>Bluefin Trevally</t>
  </si>
  <si>
    <t>Giant trevally</t>
  </si>
  <si>
    <t>Napoleon wrasse</t>
  </si>
  <si>
    <t>Daisy Parrotfish</t>
  </si>
  <si>
    <t>Camouflage grouper</t>
  </si>
  <si>
    <t>Kawakawa/Eastern little tuna</t>
  </si>
  <si>
    <t>Spotted halfbeak needlefish</t>
  </si>
  <si>
    <t>Skipjack tuna</t>
  </si>
  <si>
    <t>Thumbprint emperor (Katambak)</t>
  </si>
  <si>
    <t>Orange-striped emperor (Katambak)</t>
  </si>
  <si>
    <t>Mangrove red snapper (Maya-maya)</t>
  </si>
  <si>
    <t>Red snapper</t>
  </si>
  <si>
    <t>Humpback snapper</t>
  </si>
  <si>
    <t>Bluespine unicornfish/Short-nose unicornfish</t>
  </si>
  <si>
    <t>Threadfin Bream</t>
  </si>
  <si>
    <t>Ocotopus</t>
  </si>
  <si>
    <t>Painted spiny lobster</t>
  </si>
  <si>
    <t>Squaretail coral grouper</t>
  </si>
  <si>
    <t>Leopard coral grouper</t>
  </si>
  <si>
    <t>Blue Swimming Crab</t>
  </si>
  <si>
    <t>Indian mackerel (ikan lema)</t>
  </si>
  <si>
    <t>Blue-eyed parrotfish/Blue-barred parrotfish</t>
  </si>
  <si>
    <t>Yellowstripe scad</t>
  </si>
  <si>
    <t>Streamlined spinefoot</t>
  </si>
  <si>
    <t>White spotted spinefoot (Danggit)</t>
  </si>
  <si>
    <t>Yellowtail Barracuda</t>
  </si>
  <si>
    <t>Albacore tuna</t>
  </si>
  <si>
    <t>Largehead hairtail</t>
  </si>
  <si>
    <t>VB length at age</t>
  </si>
  <si>
    <t>(New Calcedonia; Couture &amp; Chauvet 1994)</t>
  </si>
  <si>
    <t>(Hawaiian Islands, Smith and Parrish, 2002)</t>
  </si>
  <si>
    <t>(Kitalong &amp; Dalzell 1994)</t>
  </si>
  <si>
    <t>1)mid shelf, 2)outer shelf (SE)( Great Barrier Reef Gust et al. 2002)</t>
  </si>
  <si>
    <t>(India, Rohit et al., 2012)</t>
  </si>
  <si>
    <t>(Central Pacific, Uchiyama &amp; Struhsaker 1981)</t>
  </si>
  <si>
    <t>(Carpenter &amp; Allen 1989)</t>
  </si>
  <si>
    <t>(Allen 1985)</t>
  </si>
  <si>
    <t>(1.) Papua: Wright et al. 1986) or (2.)Australia: Marriott et al. 2007)</t>
  </si>
  <si>
    <t>(Okinawan region of Japan, Nanami et al., 2010)</t>
  </si>
  <si>
    <t>(Myers 1991)</t>
  </si>
  <si>
    <t>(Austrailia, Sainsbury &amp; Whitelaw 1984)</t>
  </si>
  <si>
    <t>(general overview Semmens et al. 2004)</t>
  </si>
  <si>
    <t>(Morgan 1980, Wahle &amp; Fogarty 2006)</t>
  </si>
  <si>
    <t>Sexes pooled (Micronesia same sp. Rhodes et al. 2013)</t>
  </si>
  <si>
    <t>(Philippines same sp. Mamauag 2000)</t>
  </si>
  <si>
    <t>(India same sp. Sukumaran and Neelakantan 1997)</t>
  </si>
  <si>
    <t>(1.) Philipines Guanco 1991) or (2.) Seychelles FAO 1987)</t>
  </si>
  <si>
    <t>1) Solomon Islands, 2) Taiwan (Sabetian, 2010)</t>
  </si>
  <si>
    <t>(Paxton et al 1989)</t>
  </si>
  <si>
    <t>(Woodland 1990)</t>
  </si>
  <si>
    <t>(Egypt fishbase)</t>
  </si>
  <si>
    <t>(Pooled sexes; Western Pacific; method of analysis: spine. Sun et al., 2001)</t>
  </si>
  <si>
    <t>(Nakamura &amp; Parin 1993)</t>
  </si>
  <si>
    <t>k</t>
  </si>
  <si>
    <t>0.194/yr</t>
  </si>
  <si>
    <t>.10/yr</t>
  </si>
  <si>
    <t>1) 1.10 (0.49)   2) 1.15 (0.33)</t>
  </si>
  <si>
    <t>0.195/yr</t>
  </si>
  <si>
    <t>0.56/yr</t>
  </si>
  <si>
    <t>0.55/yr</t>
  </si>
  <si>
    <t>0.47/yr</t>
  </si>
  <si>
    <t>0.38/yr</t>
  </si>
  <si>
    <t>0.19/yr</t>
  </si>
  <si>
    <t>1.) 0.27/yr or 2.) 0.091/yr</t>
  </si>
  <si>
    <t>male 0.210/yr; female 0.256/yr</t>
  </si>
  <si>
    <t>0.14/yr</t>
  </si>
  <si>
    <t>0.25 (0.05)</t>
  </si>
  <si>
    <t>.27/yr</t>
  </si>
  <si>
    <t>0.635/yr</t>
  </si>
  <si>
    <t>0.088/yr</t>
  </si>
  <si>
    <t>male 1.14/yr, female 0.97/yr</t>
  </si>
  <si>
    <t>1.) 0.8/yr or 2.) 0.64/yr</t>
  </si>
  <si>
    <t>1) 1.59/yr, 2) 0.65/yr</t>
  </si>
  <si>
    <t>1.12/yr</t>
  </si>
  <si>
    <t>0.75/yr</t>
  </si>
  <si>
    <t>1.89/yr</t>
  </si>
  <si>
    <t>0.30/yr</t>
  </si>
  <si>
    <t>0.2011/yr</t>
  </si>
  <si>
    <t>.34/yr</t>
  </si>
  <si>
    <t>L∞</t>
  </si>
  <si>
    <t>157.75 cm</t>
  </si>
  <si>
    <t>97.3 cm</t>
  </si>
  <si>
    <t>143.6 cm</t>
  </si>
  <si>
    <t>138 cm TL</t>
  </si>
  <si>
    <t>1) 192.61mm (4.41)  2) 158.21 (3.88)</t>
  </si>
  <si>
    <t>81.92 cm</t>
  </si>
  <si>
    <t>102 cm</t>
  </si>
  <si>
    <t>40.8 cm mTL</t>
  </si>
  <si>
    <t>35.5 cm TL</t>
  </si>
  <si>
    <t>105 cm TL</t>
  </si>
  <si>
    <t>1.) 81.7cm or 2.) 63.06cm</t>
  </si>
  <si>
    <t>male 390.5 mm; female 303.4 mm</t>
  </si>
  <si>
    <t>66.3 cm TL</t>
  </si>
  <si>
    <t>41.9 cm (3.6)</t>
  </si>
  <si>
    <t>144.7 mm CL</t>
  </si>
  <si>
    <t>45.48cm</t>
  </si>
  <si>
    <t>63.013cm</t>
  </si>
  <si>
    <t>carapace width male 211mm, female 204mm</t>
  </si>
  <si>
    <t>1.) 38cm or 2.) 31.7cm</t>
  </si>
  <si>
    <t>1) 297.3 mm, 2) 428.7mm</t>
  </si>
  <si>
    <t>77.6 cm FL</t>
  </si>
  <si>
    <t>20 cm TL</t>
  </si>
  <si>
    <t>34.8 cm TL</t>
  </si>
  <si>
    <t>25.2 cm TL</t>
  </si>
  <si>
    <t>44.6 cm TL</t>
  </si>
  <si>
    <t>208.7 cm</t>
  </si>
  <si>
    <t>131 cm TL</t>
  </si>
  <si>
    <t>t0</t>
  </si>
  <si>
    <t>-0.47/yr</t>
  </si>
  <si>
    <t>-0.196 yr</t>
  </si>
  <si>
    <t>-0.0242 yr</t>
  </si>
  <si>
    <t>-1.14 yrs</t>
  </si>
  <si>
    <t>-0.02 yr</t>
  </si>
  <si>
    <t>-0.32 yrs</t>
  </si>
  <si>
    <t>-.41 yrs</t>
  </si>
  <si>
    <t>-.63 yrs</t>
  </si>
  <si>
    <t>1.) 0.013 or 2.) -3.94</t>
  </si>
  <si>
    <t>male -1.88/yr; female -3.05/yr</t>
  </si>
  <si>
    <t>-0.98 yrs</t>
  </si>
  <si>
    <t>-0.074 (0.14) yrs</t>
  </si>
  <si>
    <t>-0.18 yrs</t>
  </si>
  <si>
    <t>0.309yrs</t>
  </si>
  <si>
    <t>male -0.0194, female -0.0691</t>
  </si>
  <si>
    <t>1) -0.04 yr, 2) -0.07 yr</t>
  </si>
  <si>
    <t>-0.16 yrs</t>
  </si>
  <si>
    <t>-.21 yrs</t>
  </si>
  <si>
    <t>-.09 yrs</t>
  </si>
  <si>
    <t>-0.9906 yr</t>
  </si>
  <si>
    <t>Weight/Length Params</t>
  </si>
  <si>
    <t>W = a* L^b; W in g, length in cm (fishbase)</t>
  </si>
  <si>
    <t>W = a* L^b W in g, FL in cm (Indonesia, Pauly et al 1996)</t>
  </si>
  <si>
    <t>W= a*TL^b with W in g and TL in mm; r^2 = 0.99 (Papua New Guinea and New Caledonia) (Sadvoy et al. 2003)</t>
  </si>
  <si>
    <t>W = aL^b W in g, F=L in mm for lengths 77-224mm r2=0.990 n=67 (Australia, Choat et al 1996)</t>
  </si>
  <si>
    <t>W = aLb W in g, L in cm N=12, r=0.985, % error=13.3 Lmin=13.5cm, Lmax=27.5cm (New Caledonia same sp. Kulbicki et al. 2005)</t>
  </si>
  <si>
    <t>W=a*L^b; W in kg, FL in cm
(N Pacific Uchiyama &amp; Kazama 2003)</t>
  </si>
  <si>
    <t>W = a* L^b; W in g, length in cm FL (Carpenter &amp; Allen 1989)</t>
  </si>
  <si>
    <t>W = a* L^b; W in g, length in cm FL (Allen 1985)</t>
  </si>
  <si>
    <t>W=aLb W in g, L is FL in cm (Papua same sp. Wright et al. 1986)</t>
  </si>
  <si>
    <t>W = a* L^b W in g, FL in cm (New Caledonia Kullbicki et al. 1993)</t>
  </si>
  <si>
    <t>W=a*L^b, W in g; TL in cm (Myers 1991)</t>
  </si>
  <si>
    <t>W = aL^b W in g, FL in cm  %error=8.2 n=271 (New Calendonia sp, Kulbicki et al. 2005)</t>
  </si>
  <si>
    <t>W=a*x^b W=body weight (g),
and x=the age in days after settle-
ment. Sample weight range: 67-658Og. Weights less than 10 g growth follows a different form. (Captivity Hawaii Van Heukelem 1973)</t>
  </si>
  <si>
    <t>W=a*L^b, W in kg; CL in cm (Kulbicki et al 2005)</t>
  </si>
  <si>
    <t>W = aLb W in g, FL in mm. (Australia same sp. Williams et al. 2008. Also available in Indonesian: Alamsyah et al. 2013)</t>
  </si>
  <si>
    <t>W = aLb W in g, FL in mm (Indo same sp. Andamari et al. 2007)</t>
  </si>
  <si>
    <t>W = aL^b W in g, L is Carapace Width in mm, Pooled genders, by-gender available (India same sp. Josileen 2011)</t>
  </si>
  <si>
    <t>W = aLb W in g, L in cm (Malaysia same sp. Rahman 2012)</t>
  </si>
  <si>
    <t>W=a*L^b, W in g; TL in cm (India same sp. Murty 2002)</t>
  </si>
  <si>
    <t>W = a* L^b. SL in cm; W in g (Philippines same sp. Schroeder 1982)</t>
  </si>
  <si>
    <t>W=a*L^b, W in g; FL in cm (Woodland 1990)</t>
  </si>
  <si>
    <t>W = a* L^b; W in g, length in cm TL (Woodland 1990)</t>
  </si>
  <si>
    <t>W = a* L^b; W in g, FL in cm %error=11.2 N=43, r=0.961 (New Caledonia, Kulbucki et al 2005)</t>
  </si>
  <si>
    <t>W = a* FL^b; W in kg, FL in cm (Western Pacific) (Sun et al., 2001)</t>
  </si>
  <si>
    <t>W=a*L^b, W in g; TL in cm (Nakamura &amp; Parin 1993)</t>
  </si>
  <si>
    <t>a</t>
  </si>
  <si>
    <t>a=0.00000128</t>
  </si>
  <si>
    <t>b</t>
  </si>
  <si>
    <t>b=3.92</t>
  </si>
  <si>
    <t> 2.880</t>
  </si>
  <si>
    <t>Max Age</t>
  </si>
  <si>
    <t>16 years (Choat and Robertson 2002).</t>
  </si>
  <si>
    <t>40 years (Hamilton 2003)</t>
  </si>
  <si>
    <t>12.5 years (Paxton et al 1989)</t>
  </si>
  <si>
    <t>26.3 years (Paxton et al 1989)</t>
  </si>
  <si>
    <t>male: 25 yrs; female: 30 yr (NE Australia) (Choat et al. 2006)</t>
  </si>
  <si>
    <t>9 yrs (Great Barrier Reef, Gust et al 2002)</t>
  </si>
  <si>
    <t>~8 years (Rohit et al., 2012)</t>
  </si>
  <si>
    <t>Hemiraphidae family: some sps are short lived, max age 2–4 years other sp live up to 7–10 years (Fowler et al. 2008)</t>
  </si>
  <si>
    <t>12 years (Collette &amp; Nauen 1983)</t>
  </si>
  <si>
    <t>15 yrs (Loubens 1980)</t>
  </si>
  <si>
    <t>14 yrs (Carpenter &amp; Allen 1989)</t>
  </si>
  <si>
    <t>31 yrs (Papua, Fry et al 2006)</t>
  </si>
  <si>
    <t>55 yrs (Australia same sp. Marriott et al. 2007)</t>
  </si>
  <si>
    <t>21 yrs males, 24 yrs females (Okinawan region of Japan, Nanami et al., 2010) 18 yrs (New Caledonia Kullbicki et al. 1993)</t>
  </si>
  <si>
    <t> 30 years in the Great Barrier Reef, 58 years in Hawaii (same sp., McIlwain et al 2012)</t>
  </si>
  <si>
    <t>vB modeled to 5 yrs (Austrailia, Sainsbury &amp; Whitelaw 1984) males 8yrs, females 10 yrs (N. bathybius, Japan, Puentes Granada et al 2004)</t>
  </si>
  <si>
    <t>average lifespan of 12-15 months (captivity Hawaii Van Heukelem 1973)</t>
  </si>
  <si>
    <t>14 years (Australia, Frisch 2007)</t>
  </si>
  <si>
    <t>12 yrs (Micronesia same sp. Rhodes et al. 2013)</t>
  </si>
  <si>
    <t>26 yrs (fishbase) Female: 6 years, Male: 10 years (Adams 2003, northern Great Barrier Reef)</t>
  </si>
  <si>
    <t>3 years (India same sp. Dineshbabu 2008)</t>
  </si>
  <si>
    <t>Effective lifespan 4.91yrs, or 6-7 yrs (India same sp. Central Marine Fisheries Research Institute 1970)</t>
  </si>
  <si>
    <t>13 years (Choat et al 2012)</t>
  </si>
  <si>
    <t>2.5 years (Paxton et al 1989)</t>
  </si>
  <si>
    <t>2 years (S. spinus, Micronesia, Hasse 1977)</t>
  </si>
  <si>
    <t>7.8 yrs (Southern Arabian Gulf same sp., Grandcourt et al 2007</t>
  </si>
  <si>
    <t>5 yrs (S. barracuda Nigeria, Abowei et al 2009)</t>
  </si>
  <si>
    <t>9 years (Altman &amp; Dittmer 1962)</t>
  </si>
  <si>
    <t>15 yrs (Taiwan, Chen &amp; Lee 1982)</t>
  </si>
  <si>
    <t>Max size</t>
  </si>
  <si>
    <t>21.0 cm TL (Sommer et al., 1996)</t>
  </si>
  <si>
    <t>130 cm TL male/unsexed (Lieske &amp; Myers 1994)</t>
  </si>
  <si>
    <t>117 cm FL male/unsexed (IGFA 2001)</t>
  </si>
  <si>
    <t>170 cm TL male/unsexed (Lieske &amp; Myers 1994)</t>
  </si>
  <si>
    <t>229 cm SL male/unsexed (Westneat 2001)</t>
  </si>
  <si>
    <t>40.0 cm TL (fishbase)</t>
  </si>
  <si>
    <t>90.0 cm SL male/unsexed (Heemstra &amp; Randall 1986)</t>
  </si>
  <si>
    <t>100 cm FL male (Collette and Nauen, 1983)</t>
  </si>
  <si>
    <t>38.0cm SL (fishbase)</t>
  </si>
  <si>
    <t>110 cm FL, male (New Zealand McMillan et al. 2011)</t>
  </si>
  <si>
    <t>50.0 cm TL male/unsexed (Carpenter &amp; Allen 1989)</t>
  </si>
  <si>
    <t>60.0 cm TL male/unsexed (Sommer et al 1996)</t>
  </si>
  <si>
    <t>110.6cm (Indonesia, Martinez-Andrade 2003)</t>
  </si>
  <si>
    <t>72cm TL (New Caledonia Kullbicki et al. 1993) 50 cm male (Allen, 1985)</t>
  </si>
  <si>
    <t>70.0 cm FL male/unsexed (Lieske &amp; Myers 1994)</t>
  </si>
  <si>
    <t>26.5cm FL (New Calendonia sp, Kulbicki et al. 2005)</t>
  </si>
  <si>
    <t>6580 g max weight (captivity Hawaii Van Heukelem)</t>
  </si>
  <si>
    <t>40 cm (Holthuis 1991); takes 10-12 yrs to reach max size (Austrailia, Frisch 2007)</t>
  </si>
  <si>
    <t>120cm SL (fishbase)</t>
  </si>
  <si>
    <t>178mm Carapice Width (Aus same sp. Smith et al. 2004) or about 1 year (FAO)</t>
  </si>
  <si>
    <t>Max 32.0cm (India same sp. Central Marine Fisheries Research Institute 1970)</t>
  </si>
  <si>
    <t>Mean max size in Solomon Islands: 29.83 cm; mean max size in Taiwan: 471.14mm; Max reported 90cm in Indian Ocean. (Sabetian, 2010)</t>
  </si>
  <si>
    <t>91.0 cm FL male/unsexed (IGFA 2001)</t>
  </si>
  <si>
    <t>22.0 cm TL male/unsexed (Randall 1997)</t>
  </si>
  <si>
    <t>40.0 cm TL male/unsexed (Woodland 1997)</t>
  </si>
  <si>
    <t>30.0 cm TL male/unsexed (Randall 1995)</t>
  </si>
  <si>
    <t>60cm TL (Philippines, Lavides et al 2009)</t>
  </si>
  <si>
    <t>140 cm FL male (southern Africa) (Torres and Pauly, 1991)</t>
  </si>
  <si>
    <t>234 cm TL male/unsexed (Cuba, Claro 1994)</t>
  </si>
  <si>
    <t>Natural Mortality</t>
  </si>
  <si>
    <t>0.2/yr no error given (Great Barrier Reef, Hart et al. 1996)</t>
  </si>
  <si>
    <t>.21/yr (Randall et al 1990)</t>
  </si>
  <si>
    <t>0.42/yr (Paxton et al 1989)</t>
  </si>
  <si>
    <t>.20/year (Indonesia) (Paxton et al 1989)</t>
  </si>
  <si>
    <t>0.14 annually (NE Australia) (Choat et al. 2006)</t>
  </si>
  <si>
    <t>rate from Pauly 1980= 1.76 (India) (Kasim and Abdussamad, 2003)</t>
  </si>
  <si>
    <t>Instantaneous from three samples: 0.53(+/-0.13), 0.36(+/-0.10), 0.55(+/-0.13) (H. australis Australia, Jones 1990)</t>
  </si>
  <si>
    <t>0.34/yr (Myers 1991)</t>
  </si>
  <si>
    <t>estimated TOTAL probablity of mortality about 0.01/individual-1/day-1 (O. vulgaris, Bermuda, Mather &amp; O'dor 1991)</t>
  </si>
  <si>
    <t>0.265 annual (Australia same sp. Frisch and Hobbs 2012)</t>
  </si>
  <si>
    <t>0.45 annual (Australia same sp. Williams et al. 2007)</t>
  </si>
  <si>
    <t>0.247 annual (Philippines same sp. Mamauag 2000)</t>
  </si>
  <si>
    <t>0.18 annual (Australia Scomberomorus commerson, Newman et al. 2012)</t>
  </si>
  <si>
    <t>.56/year (Parenti &amp; Randall 2000)</t>
  </si>
  <si>
    <t>0.8. Assume instantaneous. (3 sp.  Average s.d.=0.44, India, Mohmad 2000)</t>
  </si>
  <si>
    <t>Between .3 and .4 (Hampton et al 1990)</t>
  </si>
  <si>
    <t>.48/yr (Nakamura &amp; Parin 1993)</t>
  </si>
  <si>
    <t>Larval Duration</t>
  </si>
  <si>
    <t>Mean PLD= 31 days (Wilson &amp; McCormick 1999)</t>
  </si>
  <si>
    <t>31 days (Luiz et al 2013)</t>
  </si>
  <si>
    <t>57.6 d (Luiz et al 2013)</t>
  </si>
  <si>
    <t>53.8 (Average from Carangidae sp N=2 calculated from Luiz et al 2013)</t>
  </si>
  <si>
    <t>34.3 d (Luiz et al. 2013)</t>
  </si>
  <si>
    <t>average 30 d, max 40 (Indo-pacific, Bay et al 2004)</t>
  </si>
  <si>
    <t>27.7 d (Mean of Serranidae sp. N=9 s.d=9.2 (calculated from Luiz et al 2013)</t>
  </si>
  <si>
    <t>1.3- 2 days (Rao 1964)</t>
  </si>
  <si>
    <t>1 day (Ueyanagi et al.
1974)</t>
  </si>
  <si>
    <t>28 days (Luiz et al 2013)</t>
  </si>
  <si>
    <t>25 days (Japan, Nakamura et al 2012)</t>
  </si>
  <si>
    <t>~25 days (Eastern Pacific L. argentiventris, Zapata and Herron 1995)</t>
  </si>
  <si>
    <t>31.4 d (Mean of Lutjanidae sp. N=21 s.d=7.8 (calculated from Luiz et al 2013)</t>
  </si>
  <si>
    <t>54 d (Luiz et al 2013)</t>
  </si>
  <si>
    <t>73.9 d (Luiz et al 2013)</t>
  </si>
  <si>
    <t>~22 days (Average from 2 sp of same family Luiz et al 2013)</t>
  </si>
  <si>
    <t>about 30 days (O. vulgaris Van Heukelem 1973)</t>
  </si>
  <si>
    <t>4-8 months (Dennis et al 2001, Phillips et al 2006)</t>
  </si>
  <si>
    <t>32.2 d (Mean of Lutjanidae sp. N=17 s.d=9.7 (calculated from Luiz et al 2013)</t>
  </si>
  <si>
    <t>25.2 d (Luiz et al 2013)</t>
  </si>
  <si>
    <t>26-45 days (Aus same sp Bryars &amp; Havenhand 2006)</t>
  </si>
  <si>
    <t>29.7 d (Luiz et al 2013)</t>
  </si>
  <si>
    <t>3-4 weeks (Woodland 1990)</t>
  </si>
  <si>
    <t>27.5 d (Luiz et al 2013)</t>
  </si>
  <si>
    <r>
      <t>~16 days (</t>
    </r>
    <r>
      <rPr>
        <i/>
        <sz val="10"/>
        <color rgb="FF000000"/>
        <rFont val="Times New Roman"/>
        <family val="1"/>
      </rPr>
      <t>S. barracuda</t>
    </r>
    <r>
      <rPr>
        <sz val="10"/>
        <color rgb="FF000000"/>
        <rFont val="Times New Roman"/>
        <family val="1"/>
      </rPr>
      <t>, Caribbean, Dalessandro &amp; Sponaugle 2007)</t>
    </r>
  </si>
  <si>
    <t>3-6 days (Nakamura &amp; Parin 1993)</t>
  </si>
  <si>
    <t>Adult Home Range</t>
  </si>
  <si>
    <t>4596 ± 963 linear meters (Hawaii Longnecker and Langston 2008)</t>
  </si>
  <si>
    <t>0.173-0.768km2 (Hawaii C. Ignobilis, Longnecker and Langston 2008)</t>
  </si>
  <si>
    <t>Highly migratory; 25 - 106 km for small fish (under 45 cm FL) (Collette &amp; Nauen 1983)</t>
  </si>
  <si>
    <t>Average 234m, range less than 100m-700m (Fiji, Unsworth et al 2009)</t>
  </si>
  <si>
    <t>Average 234m, range less than 100m-700m (L. harak, Fiji, Unsworth et al 2009)</t>
  </si>
  <si>
    <t>2/3rds of juv fish (&lt; 400mm length caudal fork) moved less than 1km w/in estuary, 20% of larger fish (400-500mm) moved offshore. Max 315km (Australia same sp. Russell and McDougall 2005)</t>
  </si>
  <si>
    <t>40 m (French Polynesia L. kasmira, Vignon et al. 2008)</t>
  </si>
  <si>
    <t>51 m2 to 100,045 m2 (Guam, McIlwain et al 2012); 325-7,650km2 (Naso unicornis, Hawaii, Meyer and Holland 2005)</t>
  </si>
  <si>
    <t>Tagged animals moved less than 30m in 15 to 74d after their
release (Hawaii, Van Heukelem 1973) occupied octopus dens were spaced ca. 30m apart (range 14–98m) and daily feeding forages covered a distance of 15–120m (Palau, Hanolon &amp; Forsythe 2007)</t>
  </si>
  <si>
    <t>Capable of moving up to 459 m/day but typically maintain a home range of 200-300 m in diameter (Morgan 1980)</t>
  </si>
  <si>
    <t>0.004km2 home range, max 0.12km2, min 0.1km2 for size 46-61cm. 4 month study (Micronesia same sp. Hutchinson and Rhodes 2010)</t>
  </si>
  <si>
    <t>average home range 10,500-18,800m2 (Australia same sp. Zeller 1997)</t>
  </si>
  <si>
    <t>1003 tagged crabs (14.7%) were recaptured, with 79% of these recaptured less than 2 km from their release points and 4% recaptured more than 10 km from their release points (Australia, Potter et al. 1991)</t>
  </si>
  <si>
    <t>50 km (Alaska Pleurogrammus monopterygius, McDermott 2005)</t>
  </si>
  <si>
    <t>At least 5 ha (New Caledonia) (Olivier and Wantiez, 2006)</t>
  </si>
  <si>
    <t>&lt; 5km (S. sutor, Kenya, Kaunda-Arara and Rose 2004)</t>
  </si>
  <si>
    <t>Age/Length of Maturity</t>
  </si>
  <si>
    <t>2 yrs, 10-14 cm (Australia, Hart and Russ, 1996)</t>
  </si>
  <si>
    <t> Female: 550-650 mm TL; male: 470 mm TL. (Solomon Islands) (Hamilton et al. 2008)</t>
  </si>
  <si>
    <t>Female: 35.0 cm SL average (Hawaii same sp., Sudekum et al 1991); 2.7 years (Paxton et al 1989)</t>
  </si>
  <si>
    <t>60 cm SL (female, Hawaii same sp. Paxton et al 1989)</t>
  </si>
  <si>
    <t>35-50 cm and &lt;5 years (Sadovy et al., 2003)</t>
  </si>
  <si>
    <t>Between 1 and 2 yrs (Indo-pacific Bay et al 2004)</t>
  </si>
  <si>
    <t>Mature females between 301 and 470 mm FL; mature males between 340 and 500 mm FL (Palau; Johannes et al 1999)</t>
  </si>
  <si>
    <t>Philippines: 40 cm fork length; Indian Ocean: 50-65 cm and the 3rd year (Collette and Nauen, 1983); India: 37.7 cm (Rohit et al., 2012)</t>
  </si>
  <si>
    <t>size: 43cm FL (Philippines, Tandog-Edralin 1990)</t>
  </si>
  <si>
    <t>Less than 20 cm (unsexed, Ryukyu Islands same sp. Ebisawa 2006)</t>
  </si>
  <si>
    <t>2-3 years (age of 50% maturity, Ebisawa &amp; Osawa 2009)</t>
  </si>
  <si>
    <t>Male: 49.6 cm TL; Female: 57 cm TL (Philippines, Emata et al 1999)</t>
  </si>
  <si>
    <t>t50 = 9.39 yrs (female), 1.46 yrs (male) (Australia same sp. Marriott et al. 2007)</t>
  </si>
  <si>
    <t>Size at maturity: male 11.1-13.0 cm, female 15.1-17.0 cm (India same sp, Vijay Anand and Pillai 2002)</t>
  </si>
  <si>
    <t>Age at first maturity males 4.5 yrs, 7.5 yrs females at 37.8 cm (TL) (Hawaii same sp. McIlwain et al 2012);</t>
  </si>
  <si>
    <t>female 15cm 1 yr (Austrailia, Sainsbury &amp; Whitelaw 1984)</t>
  </si>
  <si>
    <t>2417g at maturity, 435 days at maturity (O. vulgaris Wood &amp; Odor 2000)</t>
  </si>
  <si>
    <t>Unsexed: 66 mm carapace length (CL) (Vijayakumaran et al 2012); Female: 8.2 cm CL and 3 yrs to reach sexual maturity (MacDonald 1982)</t>
  </si>
  <si>
    <t>2 yrs female (Micronesia same sp. Rhodes et al. 2013)</t>
  </si>
  <si>
    <t>size of maturity range: 32.0 to 36.0cm TL range(Indo same sp. Mamauag 2000)</t>
  </si>
  <si>
    <t>1.5 yrs</t>
  </si>
  <si>
    <t>Males: first maturity at about 8.7 cm; 100% mature above 11.0 cm. Females: first mature at about 8.8 cm; 100% mature by 11.0 cm (Palk Bay) (Tandon, 1961)</t>
  </si>
  <si>
    <t>males: 21.5 cm LF (1.9 years), females: 25.7 cm LF (2.1 years) (Siganus canaliculatus, Arabian gulf, Grandcourt et al 2007)</t>
  </si>
  <si>
    <t>18 cm SL (unsexed, Soh 1976)</t>
  </si>
  <si>
    <t>2.3 yrs 50% of individuals mature  (Phil., Lavides et al 2009)</t>
  </si>
  <si>
    <t>~90 cm FL (Bianchi et al., 1999)</t>
  </si>
  <si>
    <t>Female: 60.5 TL (Brazil same sp.; Magro 2005)</t>
  </si>
  <si>
    <t>notes</t>
  </si>
  <si>
    <t>50% maturity, male and female</t>
  </si>
  <si>
    <t>Female: 50% maturity. Male: smallest mature</t>
  </si>
  <si>
    <t>nothing else reported</t>
  </si>
  <si>
    <t>mean size of maturity</t>
  </si>
  <si>
    <t>50% maturity</t>
  </si>
  <si>
    <t>min observed age mature = 3yrs (female), 2yrs (male) (Australia same sp. Marriott et al. 2007)</t>
  </si>
  <si>
    <t>minimum size at which fish mature for the first time</t>
  </si>
  <si>
    <t>Size at first reproduction (L50)= females from fishery 328 mm (Guam) and
 378 mm (Hawaii); Males 286 mm (Hawaii), smallest male with sperm
present 266 mm (McIlwain et al 2012); L50= 50% maturity, male and female</t>
  </si>
  <si>
    <t>50% mature</t>
  </si>
  <si>
    <t>females achieve 50% size of sextual maturity (36.6cm), males first identified at 3yrs (35.0cm)</t>
  </si>
  <si>
    <t>Diandric protogynous hermaphrodite, immature one year old males with primary testis, females 5-6 years with transitional gonads (Adams 2003, northern Great Barrier Reef)</t>
  </si>
  <si>
    <t>50% mature at this size</t>
  </si>
  <si>
    <t>average age of maturity from multiple studies (Rare Fact Sheets)</t>
  </si>
  <si>
    <t>mean size and age at maturity</t>
  </si>
  <si>
    <t>Spawning</t>
  </si>
  <si>
    <t xml:space="preserve">Multiple spawner over 4 months (Hart et al. 1996). </t>
  </si>
  <si>
    <t>Pelagic spawning on a lunar cycle near the outer reef slope (Donaldson and Dulvy 2004); utilises resident spawning aggregations sites (Johannes 1981; Gladstone 1986); Generally occurs around the full moon (Solomon Islands) (Hamilton et al. 2008)</t>
  </si>
  <si>
    <t>Adult Bluefin Trevally usually occur singly or in small schools, but  in Palau an aggregation of over 1000 individuals gather during the April new moon to spawn (Amesbury &amp; Myers 2001)</t>
  </si>
  <si>
    <t>Spawn on shallow seaward reefs and offshore banks (Myers 1999); Southeast India peak spawning: November - December (Abdussamad et al. 2008)</t>
  </si>
  <si>
    <t>Spawns between several and all months of the year, in small or large aggregations; spawning coincides with certain phases of the tidal cycle; daily spawner that probably does not migrate far to its spawning site(s), spawning for extended periods each year (Rusell 2004)</t>
  </si>
  <si>
    <t>about 2000 spawns/yr (Johnston Atoll Sancho etal 200);Spawning episodes frequent. reproductive activities were highest recorded in 34 reef fish species Indo-pacific, Bay et al. 2004)</t>
  </si>
  <si>
    <t>Between June and August (Russel et al 2006)</t>
  </si>
  <si>
    <t>Spawn throughout the year in tropics (Muus &amp; Nielson 1999) and seasonally in subtropics; spawn more than once a seaon (Hunter et al. 1986)</t>
  </si>
  <si>
    <t>Spawn throughout the year during the first five days of the lunar month in large aggregations in Palau (Carpenter &amp; Allen 1989)</t>
  </si>
  <si>
    <t>November- April (Palau same sp., Carpenter &amp; Allen 1989)</t>
  </si>
  <si>
    <t>During full and third quarter moon phases (Australia same sp., Russel &amp; McDougall 2008)</t>
  </si>
  <si>
    <t>Papua New Guinea: Peak in Oct-March but at any one time there are sexually active members of the population (Papua same sp. Wright et al. 1986)</t>
  </si>
  <si>
    <t>May-October in Okinawan region of Japan (Nanumi et al. 2010); January-April and August-October in Indian EEZ (Vijay Anand and Pillai 2002)  </t>
  </si>
  <si>
    <t>Spawns around both new and full moons (McIlwain et al 2012)</t>
  </si>
  <si>
    <t>Annual cycle: Higher proportion of ripe fish during nov-dec than may-june. (Australia, Sainsbury &amp; Whitelaw 1984)</t>
  </si>
  <si>
    <t>females in captivity die after spawning (Hawaii captivity, Heukelem 1973)</t>
  </si>
  <si>
    <t>Spawn up to 4 times per year (Vijayakumaran et al 2012)</t>
  </si>
  <si>
    <t>Protogynous. Spawning aggregations occur Sept-Feb and April-Jul. (Indo same sp. Pet et al. 2005)</t>
  </si>
  <si>
    <t>peak in spring (Australia same sp. Williams et al. 2008)</t>
  </si>
  <si>
    <t>Mature females found year-round, two main spawning periods: February to April and July to October (Phil. same sp. Ingles &amp; Bkaum 1989)</t>
  </si>
  <si>
    <t>Year-round spawning with peak during summer months (India same sp. Central Marine Fisheries Research Institute 1970)</t>
  </si>
  <si>
    <t>Protogynous hermaphrodites (Sadovy de Mitcheson and Liu, 2009). Palau: Probably year round. "On days with early to mid-day high tides the spawning period started 2-2.5 h after high tide... On days with later afternoon high tides, spawning occurred sooner after high tide." (Colin, 2010)</t>
  </si>
  <si>
    <t>Spawn on a lunar cycle (Bryan et al 1975), Likely multiple spawner (S. spinus, Hasse 1977)</t>
  </si>
  <si>
    <t>Spawn between January to May in Philippines; Peak spawning period is from April to May (Wassef &amp; Hady 1997)</t>
  </si>
  <si>
    <r>
      <t>April to October, with a peak abundance of' ripe females in
July (</t>
    </r>
    <r>
      <rPr>
        <i/>
        <sz val="10"/>
        <color rgb="FF000000"/>
        <rFont val="Times New Roman"/>
        <family val="1"/>
      </rPr>
      <t xml:space="preserve">S. barracuda, </t>
    </r>
    <r>
      <rPr>
        <sz val="10"/>
        <color rgb="FF000000"/>
        <rFont val="Times New Roman"/>
        <family val="1"/>
      </rPr>
      <t>Caribbean, Munro et al 1973)</t>
    </r>
  </si>
  <si>
    <t>Between 10-25 degrees S during the austral summer (Fournier et al., 1998)</t>
  </si>
  <si>
    <t>2 spawning seasons with peaks in May-June and November-December (India same sp., Tampi et al 1968)</t>
  </si>
  <si>
    <t>Fecundity</t>
  </si>
  <si>
    <t>F(Batch Fecundity) = aSLb SL in mm, for size range 328-640mm (Hawaii C. melampygus, Longenecker and Langston 2008)</t>
  </si>
  <si>
    <t>"extensive reproductive output" but no numbers (Indo-Pacific, Bay et al. 2004)</t>
  </si>
  <si>
    <t>Indian Ocean: 1.4 kg female spawns ~0.21 million eggs per batch (0.79 million per season); 4.6 kg female spawns ~0.68 million eggs per batch (2.5 million per season) (Collette and Nauen, 1983); India: ~308,150 eggs per kg body weight (Rohit et al. 2012)</t>
  </si>
  <si>
    <t>Log (F) = a + b*log(SL). F=# of oocytes, SL = cm (Kenya, Kulmiye 1997)</t>
  </si>
  <si>
    <t>106 oocytes = m*(FL in mm) + b; y = #of oocytes 10^6 (Australia same sp. Russell and McDougall 2005)</t>
  </si>
  <si>
    <t>F(#eggs) = a * (FL cm)b max about 700,000 eggs (Australia L. carponotatus, Evans et al. 2008)</t>
  </si>
  <si>
    <t>46,774 - 130,698 eggs per female (India Vijay Anand and Pillai 2002)</t>
  </si>
  <si>
    <t>F = a * FL ^b n=132, r2=0.69 where F=# of oocytes, FL in mm(Taiwan same sp. Wu et al. 2007)</t>
  </si>
  <si>
    <t>600-1200 eggs in captivity (Hawaii Van Heukelem 1973)</t>
  </si>
  <si>
    <t>An average size female of around 77 mm CL can produce up to 1.5 million eggs (Vijayakumaran et al 2012)</t>
  </si>
  <si>
    <t>Average # oocytes = about 410,000 (Indo same sp Andamari et al. 2007)</t>
  </si>
  <si>
    <t>ln(BatchFecundity)= 1.8208lnCW+3.2862. with 68,450 eggs with CW 84 mm to 324,440 eggs with CW154 mm. Relationship for # batches to Width given (Aus same sp de Lestang 2003)</t>
  </si>
  <si>
    <t>~ 94,000 eggs average (India same sp. Central Marine Fisheries Research Institute 1970)</t>
  </si>
  <si>
    <t>Batch fecundity ranged from c. 0·52 to 2·56 million eggs. BF=a*FL^b (S. canaliculatus tank raised, Japan, Hoque et al 1999)</t>
  </si>
  <si>
    <t>F(Batch Fecundity) = aFLb FL in cm, with range of 0.52-2.56 million eggs (Japan same species, Hogque et al. 1999)</t>
  </si>
  <si>
    <t>Between 2 -3 million eggs per female released each season in at least 2 batches (Kailola et al 1993)</t>
  </si>
  <si>
    <t>45 cm preanal length is estimated at about 130,000 eggs over the entire spawning season around the central part of the Sea of Japan (Nakamura &amp; Parin 1993)</t>
  </si>
  <si>
    <t>param1</t>
  </si>
  <si>
    <t>a=2.286E-09</t>
  </si>
  <si>
    <t>a=2.34</t>
  </si>
  <si>
    <t>m=0.02</t>
  </si>
  <si>
    <t>a=0.0054</t>
  </si>
  <si>
    <t>a=0·0536854</t>
  </si>
  <si>
    <t>a=0.0536854</t>
  </si>
  <si>
    <t>param2</t>
  </si>
  <si>
    <t>b=5.359</t>
  </si>
  <si>
    <t>b=2.43</t>
  </si>
  <si>
    <t>b=-9.82</t>
  </si>
  <si>
    <t>b=5.28</t>
  </si>
  <si>
    <t>b=5·07292.</t>
  </si>
  <si>
    <t>b=5.07292</t>
  </si>
  <si>
    <t>Recruitment</t>
  </si>
  <si>
    <t>Unknown (Kobayashi et al 2011)</t>
  </si>
  <si>
    <t>India: Recruits enter the stock almost year round. Major peak November-December, minor peak April-May (Kasim and Abdussamad, 2003); India: major peak October-December, minor peak February-April (Rohit et al., 2012)</t>
  </si>
  <si>
    <t>Steepnes (h)</t>
  </si>
  <si>
    <t>h=0.75 (Pseudocaranx dentex, New Zealand, RAM)</t>
  </si>
  <si>
    <t>Similar Carribean/Atlantic species: Yellowtail snapper h=0.8, Red snapper h=0.9, Vermillion snapper h=0.56 (RAM)</t>
  </si>
  <si>
    <t>Florida Spiny lobster h=0.97; South African Spiny lobster h=0.713 (RAM)</t>
  </si>
  <si>
    <t>h=0.5 (Australia same sp, Little et al. 2007)</t>
  </si>
  <si>
    <t>Atka mackerel h=0.8, S.Africa cape horse h=0.6, Pacific chub h=0.315 (RAM)</t>
  </si>
  <si>
    <t>Selectivity</t>
  </si>
  <si>
    <t>Caesio cuning</t>
  </si>
  <si>
    <t>Yellowtail fusilier</t>
  </si>
  <si>
    <t>Blue-eyed parrotfish</t>
  </si>
  <si>
    <t>Bluefin trevally</t>
  </si>
  <si>
    <t>Kawakawa</t>
  </si>
  <si>
    <t>Giant Trevally</t>
  </si>
  <si>
    <t>Plectropomus maculatus</t>
  </si>
  <si>
    <t>Cavanx ignobilis</t>
  </si>
  <si>
    <t>Brown surgeon fish</t>
  </si>
  <si>
    <t>Siganus cannaliculatus</t>
  </si>
  <si>
    <t>White spotted spinefoot</t>
  </si>
  <si>
    <t>Mangrove red snapper</t>
  </si>
  <si>
    <t>Thumbprint emperor</t>
  </si>
  <si>
    <t>Octopus</t>
  </si>
  <si>
    <t>Hemiramphus affinis</t>
  </si>
  <si>
    <t>Caesionidae</t>
  </si>
  <si>
    <t>Species (common)</t>
  </si>
  <si>
    <t>Green Humphead Parrotfish/ Bumphead Parrotfish</t>
  </si>
  <si>
    <t>Yellowtail fusilier / Ekor kuning</t>
  </si>
  <si>
    <t>Redbelly yellowtail fusilier</t>
  </si>
  <si>
    <t>Giant Trevally (Talakitok)</t>
  </si>
  <si>
    <t>Giant Trevally (Talakitok, Langog)</t>
  </si>
  <si>
    <t>Giant/Blue Travally</t>
  </si>
  <si>
    <t>Bigeye trevally</t>
  </si>
  <si>
    <t>Napolean Wrasse</t>
  </si>
  <si>
    <t>Tiger Grouper</t>
  </si>
  <si>
    <t>Camoflage Grouper</t>
  </si>
  <si>
    <t>Tropical Halfbeak</t>
  </si>
  <si>
    <t>Skipjack Tuna</t>
  </si>
  <si>
    <t>Blue spotted parrotfish (Molmol)</t>
  </si>
  <si>
    <t>Mangrove Jack</t>
  </si>
  <si>
    <t>Two Spot Red Snapper</t>
  </si>
  <si>
    <t>Dory snapper</t>
  </si>
  <si>
    <t>Perons threadfin bream</t>
  </si>
  <si>
    <t>Spiny Lobster</t>
  </si>
  <si>
    <t>Trout sweetlips</t>
  </si>
  <si>
    <t>Sunu (Squaretail Coral Grouper)</t>
  </si>
  <si>
    <t>Sunu (Leopard Coral Grouper)</t>
  </si>
  <si>
    <t>Leopard coral grouper (Suno)</t>
  </si>
  <si>
    <t>Spotted Coralgrouper</t>
  </si>
  <si>
    <t>Blue Swimmer Crab</t>
  </si>
  <si>
    <t>Indian Mackerel</t>
  </si>
  <si>
    <t>Parrotfishes</t>
  </si>
  <si>
    <t>Blue-eyed Parrotfish/ Blue-barred Parrotfish</t>
  </si>
  <si>
    <t>Spanish Mackerel</t>
  </si>
  <si>
    <t>Bigeye scad</t>
  </si>
  <si>
    <t>Baronang/Rabbitfish / Spinefoot (white-spotted)</t>
  </si>
  <si>
    <t>Little spine foot (Danggit)</t>
  </si>
  <si>
    <t>Yellowtail barracuda</t>
  </si>
  <si>
    <t>Albacore Tuna</t>
  </si>
  <si>
    <t>Species (scientific)</t>
  </si>
  <si>
    <t>Caranx ignobilis&amp; melampygus</t>
  </si>
  <si>
    <t>Caranx sexfasciatus</t>
  </si>
  <si>
    <t>Epinephelus fuscoguttatus</t>
  </si>
  <si>
    <t>Leptoscarus vaigensis</t>
  </si>
  <si>
    <t>Lutjanus fulviflamma</t>
  </si>
  <si>
    <t>Plectorhinchus pictus</t>
  </si>
  <si>
    <t>Scaridae/Scarini NOT bolbometopon muricatum</t>
  </si>
  <si>
    <t>Selar crumenophthalmus</t>
  </si>
  <si>
    <t>Siganus spinus</t>
  </si>
  <si>
    <t>Region</t>
  </si>
  <si>
    <t>Tinambac, Philippines</t>
  </si>
  <si>
    <t>Cantilan, Philippines</t>
  </si>
  <si>
    <t>Cortes, Philippines</t>
  </si>
  <si>
    <t>Hinunangan, Philippines</t>
  </si>
  <si>
    <t>Alor, Indonesia</t>
  </si>
  <si>
    <t>Inabanga, Philippines</t>
  </si>
  <si>
    <t>Teluk Myalibit, Indonesia</t>
  </si>
  <si>
    <t>Inabanga, Philipines</t>
  </si>
  <si>
    <t>Turf</t>
  </si>
  <si>
    <t>VBk</t>
  </si>
  <si>
    <t>.32/yr</t>
  </si>
  <si>
    <t>.11/yr</t>
  </si>
  <si>
    <t>0.111/yr</t>
  </si>
  <si>
    <t>.24/yr</t>
  </si>
  <si>
    <t>.56/yr</t>
  </si>
  <si>
    <t>.55/yr</t>
  </si>
  <si>
    <t>0.49/yr</t>
  </si>
  <si>
    <t>.47/yr</t>
  </si>
  <si>
    <t>.38/yr</t>
  </si>
  <si>
    <t>.19/yr</t>
  </si>
  <si>
    <t>0.27/yr or 0.091/yr</t>
  </si>
  <si>
    <t>.30/yr</t>
  </si>
  <si>
    <t>0.27/year</t>
  </si>
  <si>
    <t>0.27/yr</t>
  </si>
  <si>
    <t>.17/yr</t>
  </si>
  <si>
    <t>0.206/yr</t>
  </si>
  <si>
    <t>0.8/yr or 0.64/yr</t>
  </si>
  <si>
    <t>.88/yr</t>
  </si>
  <si>
    <t>.75/yr</t>
  </si>
  <si>
    <t>2.32/yr</t>
  </si>
  <si>
    <t>Reference</t>
  </si>
  <si>
    <t>Choat, J.H. and D.R. Robertson. 2002. Chapter 3: Age-Based Studies on Coral Reef Fishes. Coral Reef Fishes. p 57-80.</t>
  </si>
  <si>
    <t>Carpenter, K.E., 1987. Revision of the Indo-Pacific fish family Caesionidae (Lutjanoidea), with descriptions of five new species. Indo-Pac. Fish. (15):56 p.</t>
  </si>
  <si>
    <t>Paxton, J.R., D.F. Hoese, G.R. Allen and J.E. Hanley, 1989. Pisces. Petromyzontidae to Carangidae. Zoological Catalogue of Australia, Vol. 7. Australian Government Publishing Service, Canberra, 665 p.</t>
  </si>
  <si>
    <t>Sudekum, A. E., J. D. Parrish, R. L. Radtke, and S. Ralston. "Life history and ecology of large jacks in undisturbed, shallow, oceanic communities." Fishery Bulletin 89, no. 3 (1991): 493-513.</t>
  </si>
  <si>
    <t>Smith, C.J. and J.D. Parrish. 2002. Estuaries as Nurseries for the Jacks Caranx ignobilis and Caranx melampygus (Carangidae) in Hawaii. Estuarine, Coastal and Shelf Science 55: 347-359.</t>
  </si>
  <si>
    <t>Abdussamad, E.M., H. Mohamad Kasim, and T.S. Balasubramanian. 2008. Distribution, biology, and behavior of the giant trevally, Caranx ignobilis - a candidate species for mariculture. Bangladesh J. Fish. Res., 12(1): 89-94.</t>
  </si>
  <si>
    <t>Kitalong, A.H. and P. Dalzell, 1994. A preliminary assessment of the status of inshore coral reef fish stocks in Palau. Inshore Fish. Res. Tech. Doc. No. 6, South Pacific Commission, Noumea, New Caledonia.</t>
  </si>
  <si>
    <t>Gust, N., Choat, J., &amp; Ackerman, J. (2002). Demographic plasticity in tropical reef fishes. Marine Biology, 140(5), 1039-1051.</t>
  </si>
  <si>
    <t>Pears, Rachel J., JHoward Choat, Bruce D. Mapstone, and Gavin A. Begg. "Demography of a large grouper, Epinephelus fuscoguttatus, from Australia's Great Barrier Reef: implications for fishery management." Marine Ecology Progress Series 307 (2006): 259-272.</t>
  </si>
  <si>
    <t>Pears, R.J. 2005. Comparative demography and assemblage structure of serranid fishes: implications for conservation and fisheries management. PhD Thesis, James Cook University.</t>
  </si>
  <si>
    <t>Rohit, P., A. Chellappan, E.M. Abdusssamad, K.K. Joshi, K.P. Said Koya, M. Sivadas, S. Ghosh, A. Margaret Muthu Rathinam, S. Kemparaju, H.K. Dhokia, D. Prakasan, N. Beni. 2012. Fishery and bionomics of the little tuna, Euthynnus affinis (Cantor, 1894) exploited from Indian waters. Indian J. Fish., 59(3): 33-42.</t>
  </si>
  <si>
    <t>Stewart, J., &amp; Hughes, J. M. (2007). Age validation and growth of three commercially important hemiramphids in south‐eastern Australia. Journal of Fish Biology, 70(1), 65-82.</t>
  </si>
  <si>
    <t>Uchiyama, J. &amp; P. Struhsaker. 1981. Age and growth of skipjack tuna, katsuwonus pelamis, and yellowfin tuna, thunnus albacares, as indicated by daily growth increments of sagittae. Fishery Bulletin 79(1): 151-162. http://fishbull.noaa.gov/79-1/uchiyama.pdf</t>
  </si>
  <si>
    <t>Hicks CC, McClanahan TR (2012) Assessing Gear Modifications Needed to Optimize Yields in a Heavily Exploited, Multi-Species, Seagrass and Coral Reef
Fishery. PLoS ONE 7(5): e36022. doi:10.1371/journal.pone.0036022</t>
  </si>
  <si>
    <t>Carpenter, K.E. and G.R. Allen, 1989. FAO Species Catalogue. Vol. 9. Emperor fishes and large-eye breams of the world (family Lethrinidae). An annotated and illustrated catalogue of lethrinid species known to date. FAO Fish. Synop. 125(9):118 p. Rome: FAO.</t>
  </si>
  <si>
    <t>Martinez-Andrade, Fernando. "A comparison of life histories and ecological aspects among snappers (Pisces: Lutjanidae)." PhD diss., Faculty of the Louisiana State university and Agricultural and Mechanical College in partial fulfillment of the requirements for the degree of Doctor of Philosophy in The Department of Oceanography and Coastal Sciences by Fernando Martinez-Andrade BS, Universidad Autonoma Metropolitana, 2003.</t>
  </si>
  <si>
    <t>Allen, G.R., 1985. FAO Species Catalogue. Vol. 6. Snappers of the world. An annotated and illustrated catalogue of lutjanid species known to date. FAO Fish. Synop. 125(6):208 p. Rome: FAO.</t>
  </si>
  <si>
    <t>Wright, A., P. J. Dalzell, and A. H. Richards. "Some aspects of the biology of the red bass, Lutjanus bohar (Forsskal), from the Tigak Islands, Papua New Guinea." Journal of fish biology 28.5 (1986): 533-544. or Marriott, R. J., B. D. Mapstone, and G. A. Begg. "Age-specific demographic parameters, and their implications for management of the red bass,&lt; i&gt; Lutjanus bohar&lt;/i&gt;(Forsskal 1775): A large, long-lived reef fish." Fisheries research 83, no. 2 (2007): 204-215.</t>
  </si>
  <si>
    <t>Nanami, A., T. Kurihara, Y. Kurita, A. Yoshimasa, N. Suzuki, and H. Yamada. "Age, growth and reproduction of the humpback red snapper Lutjanus gibbus off Ishigaki Island, Okinawa." Ichthyolgical Rsearch (2010) 57:240-244.</t>
  </si>
  <si>
    <t>Myers, R.F., 1991. Micronesian reef fishes. Second Ed. Coral Graphics, Barrigada, Guam. 298 p.</t>
  </si>
  <si>
    <t>Sainsbury, K. J., &amp; Whitelaw, A. W. (1984). Biology of peron's threadfin bream, Nemipterus peronii (Valenciennes), from the north west shelf of Australia. Marine and Freshwater Research, 35(2), 167-185.</t>
  </si>
  <si>
    <t>Semmens, J. M., Pecl, G. T., Villanueva, R., Jouffre, D., Sobrino, I., Wood, J. B., &amp; Rigby, P. R. (2004). Understanding octopus growth: patterns, variability and physiology. Marine and Freshwater Research, 55(4), 367-377.</t>
  </si>
  <si>
    <t>Frisch, Ashley J. "Growth and reproduction of the painted spiny lobster (&lt; i&gt; Panulirus versicolor&lt;/i&gt;) on the Great Barrier Reef (Australia)." Fisheries research 85, no. 1 (2007): 61-67.</t>
  </si>
  <si>
    <t>Morgan, G.J. 1980. Population dynamics of spiny lobsters. In: Cobb JS, Phillips BF (eds) The biology and Management of Lobsters (vol. 2). Academic Press, New York, pp 189-217.; Wahle, R.A. &amp; M.J. Fogarty. 2006. Growth and development: understanding and modeling growth variability in lobsters. In: Phillips BF (ed) Lobsters: Biology, Management, Aquaculture and Fisheries. Blackwell Publishing, Oxford, pp 1-44.</t>
  </si>
  <si>
    <t>McKay, R.J., 1984. Haemulidae. In W. Fischer and G. Bianchi (eds.) FAO species identification sheets for fishery purposes. Western Indian Ocean (Fishing Area 51). Vol. 2. FAO, Rome. pag. var.</t>
  </si>
  <si>
    <t>Rhodes, K. L., B. M. Taylor, C. B. Wichilmel, E. Joseph, R. J. Hamilton, and G. R. Almany. "Reproductive biology of squaretail coralgrouper Plectropomus areolatus using age‐based techniques." Journal of fish biology 82, no. 4 (2013): 1333-1350.</t>
  </si>
  <si>
    <t>Mamauag, S. S., T. J. Donaldson, V. R. Pratt, and B. McCullough. "Age and size structure of the leopard coral grouper, Plectropomus leopardus (Serranidae: Epinephelinae), in the live reef fish trade of the Philippines." In Proc 9th Int Coral Reef Symp, vol. 2, pp. 649-655. 2000.</t>
  </si>
  <si>
    <t>Ferreira, P. and Russ, R. ʺAge, Growth and Maturity of the Inshore Coral Trout Plectropomus maculatus (Pisces: Serranidae) from the Central Great Barrier Reef, Australia.ʺ Marine Freshwater Research 43 (1992) 1301-12.</t>
  </si>
  <si>
    <t>Sukumaran, K. K., &amp; Neelakantan, B. (1997). Age and growth in two marine portunid crabs, Portunus (Portunus) sanguinolentus (Herbst) and Portunus (Portunus) pelagicus (Linnaeus) along the southwest coast of India. Indian Journal of Fisheries, 44(2), 111-131.</t>
  </si>
  <si>
    <t>"http://www.fao.org/docrep/field/303859/3038590j.htm","Guanco, M. R. "Growth and mortality of indian mackerel, Rastrelliger kanagurta (Scombridae) in the Visayas Sea, Central Philippines." Fishbyte. ICLARM, Manila Phillippines 9 (1991): 13-15.; or FAO 1987 Preliminary assessment for the Indian Mackerel (Rastrelliger kanagurta) in Seychelles waters. Seychelles Fishing Authority. http://www.fao.org/docrep/field/303859/3038590j.htm"</t>
  </si>
  <si>
    <t>Sabetian, A. 2010. Parrotifsh fisheries and population dynamics: a case-study from Solomon Islands. PhD thesis, James Cook University.</t>
  </si>
  <si>
    <t>Collette, B.B. and C.E. Nauen, 1983. FAO Species Catalogue. Vol. 2. Scombrids of the world. An annotated and illustrated catalogue of tunas, mackerels, bonitos and related species known to date. Rome: FAO. FAO Fish. Synop. 125(2):137 p.</t>
  </si>
  <si>
    <t>Smith-Vaniz, W.F., 1995. Carangidae. Jureles, pámpanos, cojinúas, zapateros, cocineros, casabes, macarelas, chicharros, jorobados, medregales, pez pilota. p. 940-986. In W. Fischer, F. Krupp, W. Schneider, C. Sommer, K.E. Carpenter and V. Niem (eds.) Guia FAO para Identification de Especies para lo Fines de la Pesca. Pacifico Centro-Oriental. 3 Vols. FAO, Rome.</t>
  </si>
  <si>
    <t>Woodland, D.J., 1990. Revision of the fish family Siganidae with descriptions of two new species and comments on distribution and biology. Indo-Pac. Fish. (19):136 p.</t>
  </si>
  <si>
    <t>Grandcourt, E., T. Al Abdessalaam, F. Francis, and A. Al Shamsi. "Population biology and assessment of the white‐spotted spinefoot, Siganus canaliculatus (Park, 1797), in the southern Arabian Gulf." Journal of Applied Ichthyology 23, no. 1 (2007): 53-59.</t>
  </si>
  <si>
    <t>Sun, Chi-Lu, Chien-Lung Huang, Su-Zan Yeh. 2001. Age and growth of the bigeye tuna, Thunnus obesus, in the western Pacific Ocean. Fish Bull. 99:502-509.</t>
  </si>
  <si>
    <t>Nakamura, I. and N.V. Parin, 1993. FAO Species Catalogue. Vol. 15. Snake mackerels and cutlassfishes of the world (families Gempylidae and Trichiuridae). An annotated and illustrated catalogue of the snake mackerels, snoeks, escolars, gemfishes, sackfishes, domine, oilfish, cutlassfishes,. scabbardfishes, hairtails, and frostfishes known to date. FAO Fish. Synop. 125(15):136 p.</t>
  </si>
  <si>
    <t>Linf</t>
  </si>
  <si>
    <t>62.2 cm TL</t>
  </si>
  <si>
    <t>195.7 cm TL</t>
  </si>
  <si>
    <t>183.8cm, t0=-0.097</t>
  </si>
  <si>
    <t>91.0 cm TL</t>
  </si>
  <si>
    <t>0.69/yr, t0=-0.0242 yr</t>
  </si>
  <si>
    <t>806.9mm FL</t>
  </si>
  <si>
    <t>57.3 cm</t>
  </si>
  <si>
    <t>81.92 cm, t0=-0.0317</t>
  </si>
  <si>
    <t>36.6 cm</t>
  </si>
  <si>
    <t>40.8 cm TL</t>
  </si>
  <si>
    <t>98.9cm; t0 = -0.766</t>
  </si>
  <si>
    <t>81.7cm or 63.06cm</t>
  </si>
  <si>
    <t>30.3 cm TL</t>
  </si>
  <si>
    <t>male 390.5 mm; female 303.4 mm, t0=male -1.88/yr; female -3.05/yr</t>
  </si>
  <si>
    <t>41.9 cm (3.6) FL, t0='-0.074 (0.14) yrs</t>
  </si>
  <si>
    <t>144.7mm carapace</t>
  </si>
  <si>
    <t>85 cm TL</t>
  </si>
  <si>
    <t>45.48cm, t0=0.309yrs</t>
  </si>
  <si>
    <t>63.013cm, t0=-4.4114</t>
  </si>
  <si>
    <t>60 cm, t0=0.945/yr</t>
  </si>
  <si>
    <t>Linf carapace width: male 211mm, female 204mm; t0: male -0.0194, female -0.0691</t>
  </si>
  <si>
    <t>38cm or 31.7cm</t>
  </si>
  <si>
    <t>36.5 cm TL</t>
  </si>
  <si>
    <t>24.8cm, t0=0.1</t>
  </si>
  <si>
    <t>24.4 cm TL</t>
  </si>
  <si>
    <t>Wahle, R.A. &amp; M.J. Fogarty. 2006. Growth and development: understanding and modeling growth variability in lobsters. In: Phillips BF (ed) Lobsters: Biology, Management, Aquaculture and Fisheries. Blackwell Publishing, Oxford, pp 1-44.</t>
  </si>
  <si>
    <t>Weight-length</t>
  </si>
  <si>
    <t>W = a* L^b; W in g, length in cm; a=2.38E-02, b= 2.97 (Randall 1956)</t>
  </si>
  <si>
    <t>W=a*L^b, W in g; TL in cm (Pauly et al. 1998); a= 0.0137, b= 3</t>
  </si>
  <si>
    <t>W = a* L^b; W in kg, length in cm SL; a = .028, b= 2.978(Paxton et al 1989)</t>
  </si>
  <si>
    <t>W = aLb W in g, SL in mm, a=0.0000286, b=2.974 (Hawaii C. ignobilis)</t>
  </si>
  <si>
    <t>W = a* L^b; W in g, length in cm SL; a= 0.0265, b= 3.005 (Paxton et al 1989)</t>
  </si>
  <si>
    <t>W = a* L^b W in g, FL in cm (Indonesia, Pauly et al 1996); a= 0.0202, b=3</t>
  </si>
  <si>
    <t>W = aLb Weight in g, Fork length in mm; a = 1.16 * 10^-6; b = 3.075</t>
  </si>
  <si>
    <t>W = a* L^b, TL in cm; W in g (Letourneur et al 1998); a= .0124, b= 3.057</t>
  </si>
  <si>
    <t>W = 0.0007*L^3.575 W in g, L in FL cm N=12, r=0.985, % error=13.3 (New Caledonia same sp. Kulbicki et al. 2005)</t>
  </si>
  <si>
    <t>W=a*L^b; W (kg), L (FL in cm); a=0.00000764751, b=3.24281</t>
  </si>
  <si>
    <t>W = a* L^b; W in g, length in cm (fishbase). a = 0.00985, b = 2.99</t>
  </si>
  <si>
    <t>W = a* L^b; W in g, length in cm FL; a= .017, b= 3.04226 (Carpenter &amp; Allen 1989)</t>
  </si>
  <si>
    <t>W = a* L^b; W in g, length in cm FL; a= .0173, b= 3.02583 (Carpenter &amp; Allen 1989)</t>
  </si>
  <si>
    <t>a=0.03360, b=2.792 for FL(mm) Weight(g)</t>
  </si>
  <si>
    <t>W = a* L^b; W in g, length in cm FL; a= .028, b= 2.84426 (Allen 1985)</t>
  </si>
  <si>
    <t>W=aLb W in g, L is FL in cm a=0.0162 b=3.01</t>
  </si>
  <si>
    <t>W=a*L^b, W in g; SL in cm; a=.0366, b=2.938 (Allen 1985)</t>
  </si>
  <si>
    <t>W = aLb W in g, FL in cm a = 0.021, b = 2.996 (New Calendonia sp)</t>
  </si>
  <si>
    <t>W=a*L^b, W in g; TL in cm; a=.0228, b=2.922 (Myers 1991)</t>
  </si>
  <si>
    <t>W = aLb W in g, FL in cm a = 0.00079, b = 3.251 %error=8.2 (New Calendonia sp)</t>
  </si>
  <si>
    <t>Australia: W (in kg) = a * Length (of carapace) ^ b; a= 10^-6; b= 2.98</t>
  </si>
  <si>
    <t>W=a*L^b, W in kg; CL in cm; a=.001, b=2.98 (Kulbicki et al 2005)</t>
  </si>
  <si>
    <t>W = a* L^b; W in g, length in cm TL; a=.0140, b=3  (McKay 1994)</t>
  </si>
  <si>
    <t>W = aLb W in g, FL in mm. (Same species Australia from Williams et al. 2008. Also available in Indonesian: Alamsyah et al. 2013)</t>
  </si>
  <si>
    <t>W = aLb W in g, FL in mm, a=9E -06, b=3.2064</t>
  </si>
  <si>
    <t>W = aLb W in g, L is Carapace Width in mm, a= 0.000007664, b = 3.438 Pooled genders, by-gender available (India same sp. Josileen 2011)</t>
  </si>
  <si>
    <t>average b = 2.79675; average a = 0.0178</t>
  </si>
  <si>
    <t>W=a*L^b, W in g; TL in cm (India same sp. Murty 2002); a= 0.0233, b= 2.919</t>
  </si>
  <si>
    <t>W=a*L^b, W in g; FL in cm; a= .006, b= 3.002 (Mexico same sp., Claro &amp; García-Arteaga 1994)</t>
  </si>
  <si>
    <t>W=a*L^b, W in g; FL in cm; a= .0097, b=3.19378 (Smith-Vaniz 1995)</t>
  </si>
  <si>
    <t>W = a* L^b. SL in cm; W in g (Philippines same sp. Schroeder 1982); a= .0314, b= 2.880</t>
  </si>
  <si>
    <t>W=a*L^b, W in g; FL in cm; a= .0131, b=3.088 (Woodland 1990)</t>
  </si>
  <si>
    <t>W = aLb W in g, SL in cm. Multiple relationships given. Report pre-spawning period: a=male 0.023, female 0.031, b=male 3.094, female 2.987 (Arabian gulf rabbitfish)</t>
  </si>
  <si>
    <t>W = a* L^b; W in g, length in cm TL; a=.012, b= 3.011 (Woodland 1990)</t>
  </si>
  <si>
    <t>W = a* L^b; W in g, length in cm FL; a= .015, b=3.09251 (Woodland 1990)</t>
  </si>
  <si>
    <t>W = a* FL^b; W in kg, FL in cm (Western Pacific)</t>
  </si>
  <si>
    <t>W=a*L^b, W in g; TL in cm (Nakamura &amp; Parin 1993); a= 0.0002, b= 3.26</t>
  </si>
  <si>
    <t>Randall, J.E., 1956. A revision of the surgeonfish genus Acanthurus. Pac. Sci. 10(2):159-235.</t>
  </si>
  <si>
    <t>Pauly, D., Froese, R., and J.S. Albert. 1998. The BRAINS table. p. 195-198. In R. Froese and D. Pauly (eds.) FishBase 98: Concepts, design and data sources. ICLARM, Manila, Philippines. 298 p.</t>
  </si>
  <si>
    <t>Pauly, D., A. Cabanban, &amp; F.S.B. Torres Jr. 1996. Fishery biology of 40 trawl-caught teleosts of western Indonesia. p. 135-216. In D. Pauly and P. Martosubroto (eds.) Baseline studies of biodiversity:the fish resource of western Indonesia. ICLARM Studies and Reviews 23.</t>
  </si>
  <si>
    <t>Sadovy, Y., M. Kulbicki, P. Labrose, Y. Letourneur, P. Lokani and T.J. Donaldson, 2003. The humphead wrasse, Cheilinus undulatus: synopsis of a threatened and poorly known giant coral reef fish. Rev. Fish Biol. Fish. 13:327-364.</t>
  </si>
  <si>
    <t>Choat, J. H., Axe, L. M., &amp; Lou, D. C. (1996). Growth and longevity in fishes of the family Scaridae. Marine Ecology Progress Series, 145(1), 33-41.</t>
  </si>
  <si>
    <t>Letourneur, Y., M. Kulbicki, &amp; P. Labrosse, 1998. Length-weight relationships of fish from coral reefs and lagoons of New Caledonia, southwestern Pacific Ocean: an update. Naga ICLARM Q. 21(4):39-46.</t>
  </si>
  <si>
    <t>Kulbicki, M., Guillemot, N., &amp; Amand, M. (2005). A general approach to length-weight relationships for New Caledonian lagoon fishes. Cybium, 29(3), 235-252.</t>
  </si>
  <si>
    <t>Fishbase</t>
  </si>
  <si>
    <t>Letourneur, Y., M. Kulbicki and P. Labrosse, 1998. Length-weight relationships of fish from coral reefs and lagoons of New Caledonia, southwestern Pacific Ocean: an update. Naga ICLARM Q. 21(4):39-46.</t>
  </si>
  <si>
    <t>Wright, A., P. J. Dalzell, and A. H. Richards. "Some aspects of the biology of the red bass, Lutjanus bohar (Forsskal), from the Tigak Islands, Papua New Guinea." Journal of fish biology 28, no. 5 (1986): 533-544.</t>
  </si>
  <si>
    <t>Kullbicki, M., Mou Tham, G., Thollot, P., &amp; Wantiez, L. (1993). Length-weight relationships of fish from the lagoon of New Caledonia. ICLARM [International Center for Living Aquatic Resources Management] Quarterly, 16.</t>
  </si>
  <si>
    <t>Frisch, Ashley J., and Jean-Paul A. Hobbs. "Demography, fishery yield and potential management strategies of painted spiny lobster (Panulirus versicolor) at Northwest Island, Great Barrier Reef, Australia." Marine and Freshwater Research 63, no. 5 (2012): 387-396.</t>
  </si>
  <si>
    <t>Kulbicki, M., Guillemot, N., &amp; M. Amand. 2005. A gerenal approach to length-weight relationships for New Calcedonian lagoon fishes. Cybium 29: 235-252.</t>
  </si>
  <si>
    <t>Williams, Ashley J., Leanne M. Currey, Gavin A. Begg, Cameron D. Murchie, and Aaron C. Ballagh. "Population biology of coral trout species in eastern Torres Strait: Implications for fishery management." Continental Shelf Research 28, no. 16 (2008): 2129-2142. ; Alamsyah, Ahmad Saiful, La Sara, and Ahmad Mustafa. "Studi Biologi Reproduksi Ikan Kerapu Sunu (Plectropomus areolatus) Pada Musim Tangkap." Jurnal Mina Laut Indonesia Vol 1, no. 01: 73-83.</t>
  </si>
  <si>
    <t>Andamari, R., Moria, S. B., &amp; Permana, G. N. 2007. ASPECTS OF LEOPARD CORAL GROUPER (Plectropomus leopardus) REPRODUCTION IN INDONESIA.</t>
  </si>
  <si>
    <t>Josileen, J. (2011). Morphometrics and Length-Weight Relationship in the Blue Swimmer Crab, Portunus Pelagicus (Linnaeus, 1758)(Decapoda, Brachyura) from the Mandapam Coast, India. Crustaceana, 84(14), 1665-1681.</t>
  </si>
  <si>
    <t>M.M. Rahman and A. Hafzath, 2012. Condition, Length-Weight Relationship, Sex Ratio and Gonadosomatic Index of Indian Mackerel (Rastrelliger kanagurta) Captured from Kuantan Coastal Water. Journal of Biological Sciences, 12: 426-432.</t>
  </si>
  <si>
    <t>Murty, V.S. 2002. Marine ornamental fish resources of Lakshadweep. CMFRI Spec. Publ. No. 72. 384 p.</t>
  </si>
  <si>
    <t>Claro, R. and J.P. García-Arteaga, 1994. Crecimiento. p.321-402. In R. Claro (ed.) Ecología de los peces marinos de Cuba. Instituto de Oceanologia Academia de Ciencias de Cuba and Centro de Investigaciones de Quintana Roo (CIQRO), México.</t>
  </si>
  <si>
    <t>Schroeder, R.E., 1982. Length-weight relationships of fishes from Honda Bay, Palawan, Philippines. Fish. Res. J. Philipp. 7(2):50-53.</t>
  </si>
  <si>
    <t>Al-Ghais, S. M. "Some aspects of the biology of Siganus canaliculatus in the southern Arabian Gulf." Bulletin of marine science 52, no. 3 (1993): 886-897.</t>
  </si>
  <si>
    <t>Max age (years)</t>
  </si>
  <si>
    <t>40 years (Solomon Islands)</t>
  </si>
  <si>
    <t>9 years (Carpenter 1987)</t>
  </si>
  <si>
    <t>20 yrs (Hawaii C. ignobilis)</t>
  </si>
  <si>
    <t>24 yrs (SPC &amp; LMMA 2006)</t>
  </si>
  <si>
    <t>&gt; 40 years</t>
  </si>
  <si>
    <t>about 8 yrs</t>
  </si>
  <si>
    <t>Hemiraphidae family: some sps are short lived, max age 2–4 years other sp live up to 7–10 years</t>
  </si>
  <si>
    <t>12 years</t>
  </si>
  <si>
    <t>Avg lifespan - 7.7 yrs</t>
  </si>
  <si>
    <t>15 yrs</t>
  </si>
  <si>
    <t>14 years</t>
  </si>
  <si>
    <t>31 years</t>
  </si>
  <si>
    <t>31 yrs (Fry et al 2006)</t>
  </si>
  <si>
    <t>55yrs</t>
  </si>
  <si>
    <t>23 yrs (Loubens 1980)</t>
  </si>
  <si>
    <t>vB modeled to 5 yrs (Austrailia, Sainsbury &amp; Whitelaw 1984); males 8yrs, females 10 yrs (N. bathybius, Japan, Puentes Granada et al 2004)</t>
  </si>
  <si>
    <t>36 years (Kuwait, Al-Husaini et al 2002)</t>
  </si>
  <si>
    <t>26 yrs (fishbase)</t>
  </si>
  <si>
    <t>Female: 6 years, Male: 10 years (Adams 2003, northern Great Barrier Reef)</t>
  </si>
  <si>
    <t>Effective lifespan 4.91yrs, or 6-7 yrs</t>
  </si>
  <si>
    <t>5 years</t>
  </si>
  <si>
    <t>2.9 yrs (India)</t>
  </si>
  <si>
    <t>2 years (S. spinus, Micronesia)</t>
  </si>
  <si>
    <t>7.8 years</t>
  </si>
  <si>
    <t>2 years (Micronesia)</t>
  </si>
  <si>
    <t>15 yrs (Chen &amp; Lee 1982)</t>
  </si>
  <si>
    <t>Hamilton, R.J., S. Adams, and J.H. Choat. 2008. Sexual development and reproductive demography of the green humphead parrotfish (Bolbometopon muricatum) in the Solomon Islands. Coral reefs 27:153-163.</t>
  </si>
  <si>
    <t>Carpenter, K.E., 1988. FAO Species Catalogue. Vol. 8. Fusilier fishes of the world. An annotated and illustrated catalogue of caesionid species known to date. FAO Fish. Synop. 125(8):iv+75p. Rome: FAO.</t>
  </si>
  <si>
    <t>SPC &amp; LMMA. 2006. Information sheet for fishing communities: Trevallies (Carangidae). SPC.int. http://www.spc.int/DigitalLibrary/Doc/FAME/Brochures/Anon_11_ISFC_06_Trevallies.pdf</t>
  </si>
  <si>
    <t>Paxton, J.R., Hoese, D.F., Allen, G.R., &amp; J.E. Hanley. 1989. Pisces: Petromyzontidae to Carangidae. Zoological Catalogue of Australia, Vol. 7. Australian Government Publishing Service, Canberra, 665 p.</t>
  </si>
  <si>
    <t>Choat, J.H., C.R. Davies, J.L. Ackerman, and B.D. Mapstone. 2006. Age structure and growth in a large teleost, Cheilinus undulatus, with a review of size distribution in labrid fishes. Mar. Ecol. Prog. Ser. 318: 237-246.</t>
  </si>
  <si>
    <t>Fowler, A. J., Steer, M. A., Jackson, W. B., &amp; Lloyd, M. T. (2008). Population characteristics of southern sea garfish (Hyporhamphus melanochir, Hemiramphidae) in South Australia. Marine and Freshwater Research, 59(5), 429-443.</t>
  </si>
  <si>
    <t>Collette, B.B. &amp; C.E. Nauen. 1983. FAO Species Catalogue, Volume 2: Scombrids of the world. An annotated and illustrated catalogue of Tunas, Mackerels, Bonitos and related species known to date 125(2):137. http://www.fao.org/fishery/species/2494/en</t>
  </si>
  <si>
    <t>McClanahan, T.R. and C.C. Hicks. 2011. Changes in life history and ecological characteristics of coral reef fish catch composition with increasing fishery managment. Fisheries Management and Ecology 15:50-60.</t>
  </si>
  <si>
    <t>Loubens, G., 1980. Biologie de quelques espèces de poissons du lagon Néo-Calédonien. II. Sexualité et reproduction. Cah. Indo-Pac. 2(1):41-72.</t>
  </si>
  <si>
    <t>Fry, G.C., D.T. Brewer and W.N. Venables, 2006. Vulnerability of deepwater demersal fishes to commercial fishing: Evidence from a study around a tropical volcanic seamount in Papua New Guinea. Fish. Res. 81:126-141.</t>
  </si>
  <si>
    <t>Marriott, R. J., B. D. Mapstone, and G. A. Begg. "Age-specific demographic parameters, and their implications for management of the red bass,&lt; i&gt; Lutjanus bohar&lt;/i&gt;(Forsskal 1775): A large, long-lived reef fish." Fisheries research 83, no. 2 (2007): 204-215.</t>
  </si>
  <si>
    <t>Loubens, G., 1980. Biologie de quelques espèces de poissons du lagon Néo-Calédonien. III. Croissance. Cah. Indo-Pac. 2:101-153.</t>
  </si>
  <si>
    <t>PUENTES GRANADA, V., Masuda, Y., &amp; Matsuoka, T. (2004). Age and growth of the yellowbelly threadfin bream Nemipterus bathybius in Kagoshima Bay, southern Japan. Fisheries Science, 70(3), 497-506.</t>
  </si>
  <si>
    <t>Heukelem, W. (1973). Growth and life‐span of Octopus cyanea (Mollusca: Cephalopoda)*. Journal of Zoology, 169(3), 299-315.</t>
  </si>
  <si>
    <t>Al-Husaini, M., Al-Baz, A., Al-Ayoub, S., Safar, S., Al-Wazan, Z., &amp; Al-Jazzaf, S. (2002). Age, growth, mortality, and yield-per-recruit for nagroor,&lt; i&gt; Pomadasys kakaan&lt;/i&gt;, in Kuwait’s waters. Fisheries research, 59(1), 101-115.</t>
  </si>
  <si>
    <t>Adams, S. "Morphological ontogeny of the gonad of three plectropomid species through sex differentiation and transition." Journal of Fish Biology 63 (2003) 22-36.</t>
  </si>
  <si>
    <t>DINESHBABU, A., SHRIDHARA, B., &amp; MUNIYAPPA, Y. (2008). Biology and exploitation of the blue swimmer crab, Portunus pelagicus (Linnaeus, 1758), from south Karnataka coast, India. Indian J. Fish, 55(3), 215-220.</t>
  </si>
  <si>
    <t>Central Marine Fisheries Research Institute. 1970. Bulletin Number 24 The Indian Mackerel. December 1970. Mandapam Camp, Ramanathapuram District, India.</t>
  </si>
  <si>
    <t>Choat, J.H., Myers, R., Russell, B., Clements, K.D., Rocha, L.A., Lazuardi, M.E., Muljadi, A., Pardede, S. &amp; P. Rahardjo. 2012. Scarus ghobban. In: IUCN 2013. IUCN Red List of Threatened Species. Version 2013.1. &lt;www.iucnredlist.org&gt;. Downloaded on 11 July 2013.</t>
  </si>
  <si>
    <t>Altman, P.L. and D.S. Dittmer, 1962. Growth, including reproduction and morphological development. Federation of American Societies for Experimental Biology.</t>
  </si>
  <si>
    <t>Mohamad Kasim, H (2003) Carangids. In: Status of Exploited Marine Fishery Resources of India. Mohan Joseph, M and Jayaprakash, A A,(eds.) CMFRI, Cochin, pp. 66-75. ISBN 81-901219-3-6</t>
  </si>
  <si>
    <t>Hasse, J. J. (1977). Some aspects of the life history of Siganus canaliculatus Park (Pisces: Siganidae) in Palau. Micronesica, 13, 297-312.</t>
  </si>
  <si>
    <t>Grandcourt, E., Al Abdessalaam, T., Francis. F. &amp; A. Al Shamsi. 2007. Population biology and assessment of the white-spotted spinefoot, Siganus Canaliculatus in the southern Arabian Gulf. Journal of Applied Ichthyology 23: 53–59.</t>
  </si>
  <si>
    <t>Abowei, J. F. N., &amp; Hart, A. I. (2009). Some morphormetric parameters of ten finfish species from the lower Nun River, Niger Delta, Nigeria. Res. J. Biol. Sci, 4(3), 282-288.</t>
  </si>
  <si>
    <t>Chen, W.Y. and S.C. Lee, 1982. Age and growth of the ribbonfishes Trichiurus (Perciformes: Trichiuridae) of Taiwan. Bull. Inst. Zool., Acad. Sin. 21(1):9-20.</t>
  </si>
  <si>
    <t>Max length (cm)</t>
  </si>
  <si>
    <t>21.0 cm TL</t>
  </si>
  <si>
    <t>130 cm TL male (fishbase); 150 cm TL on the Great Barrier Reef (Gladstone 1986)</t>
  </si>
  <si>
    <t>60.0 cm TL male</t>
  </si>
  <si>
    <t>170 cm C. ignobilis philipines</t>
  </si>
  <si>
    <t>120 cm TL male/unsexed</t>
  </si>
  <si>
    <t>229 cm SL male</t>
  </si>
  <si>
    <t>100cm</t>
  </si>
  <si>
    <t>100 cm male</t>
  </si>
  <si>
    <t>110 cm FL, male</t>
  </si>
  <si>
    <t>35.0 cm TL</t>
  </si>
  <si>
    <t>110.6cm</t>
  </si>
  <si>
    <t>90 cm</t>
  </si>
  <si>
    <t>35.0 cm TL male/unsexed (Allen 1985)</t>
  </si>
  <si>
    <t>72cm (New Caledonia Kullbicki et al. 1993) 50 cm male (Allen, 1985)</t>
  </si>
  <si>
    <t>26.5cm FL</t>
  </si>
  <si>
    <t>160mm (carapace)</t>
  </si>
  <si>
    <t>40 cm; 10-12 yrs to reach max size (Frisch 2007)</t>
  </si>
  <si>
    <t>83.0 cm TL male/unsexed (IGAF 2001)</t>
  </si>
  <si>
    <t>80.0 cm</t>
  </si>
  <si>
    <t>120cm (fishbase)</t>
  </si>
  <si>
    <t>125 cm (Heemstra and Randall, 1993)</t>
  </si>
  <si>
    <t>32.0 cm</t>
  </si>
  <si>
    <t>Mean max size in Solomon Islands: 29.83 cm; mean max size in Taiwan: 471.14</t>
  </si>
  <si>
    <t>70.0 cm TL male/unsexed (Kuiter &amp; Tonozuka 2001)</t>
  </si>
  <si>
    <t>30.0cm</t>
  </si>
  <si>
    <t>28.0 cm TL male/unsexed (Liekse &amp; Myers 1994)</t>
  </si>
  <si>
    <t>140 cm FL male (southern Africa)</t>
  </si>
  <si>
    <t>234 cm TL male/unsexed (Claro 1994)</t>
  </si>
  <si>
    <t>Sommer, C., W. Schneider and J.-M. Poutiers, 1996. FAO species identification field guide for fishery purposes. The living marine resources of Somalia. FAO, Rome. 376 p.</t>
  </si>
  <si>
    <t>Lieske, E. &amp; R. Myers, 1994. Collins Pocket
Guide. Coral reef fishes. Indo-Pacific &amp; Caribbean including the Red Sea.
Haper Collins Publishers, 400 p.; Gladstone, William. 1986. Spawning Behavior of the Bumphead Parrotfish Bolbometopon muricatum at Yonge Reef, Great Barrier Reef. Japanese J. of Ichthyology 33(3): 326-328.</t>
  </si>
  <si>
    <t>Lieske, E. and R. Myers, 1994. Collins Pocket Guide. Coral reef fishes. Indo-Pacific &amp; Caribbean including the Red Sea. Haper Collins Publishers, 400 p.</t>
  </si>
  <si>
    <t>LAVIDES, MARGARITA N., NICHOLAS VC POLUNIN, SELINA M. STEAD, DON GEOFF TABARANZA, MIA THERESA COMEROS, and JESUS RAY DONGALLO. "Finfish disappearances around Bohol, Philippines inferred from traditional ecological knowledge." Environmental Conservation 36, no. 3 (2009): 235.</t>
  </si>
  <si>
    <t>IGFA, 2001. Database of IGFA angling records until 2001. IGFA, Fort Lauderdale, USA.)</t>
  </si>
  <si>
    <t>Frimodt, C., 1995. Multilingual illustrated guide to the world's commercial warmwater fish. Fishing News Books, Osney Mead, Oxford, England. 215 p.</t>
  </si>
  <si>
    <t>Lieske, E. &amp; R. Myers. 1994. Collins Pocket Guide. Coral reef fishes. Indo-Pacific &amp; Caribbean including the Red Sea. Haper Collins Publishers, 400 p.</t>
  </si>
  <si>
    <t>Westneat, M.W., 2001. Labridae. Wrasses, hogfishes, razorfishes, corises, tuskfishes. p. 3381-3467. In K.E. Carpenter and V. Niem (eds.) FAO species identification guide for fishery purposes. The living marine resources of the Western Central Pacific. Vol. 6. Bony fishes part 4 (Labridae to Latimeriidae), estuarine crocodiles. FAO, Rome.</t>
  </si>
  <si>
    <t>Heemstra, P.C. &amp; J.E. Randall, 1986. Serranidae. p. 509-537. In M.M. Smith and P.C. Heemstra (eds.) Smiths' sea fishes. Springer-Verlag, Berlin</t>
  </si>
  <si>
    <t>fishbase: http://www.fishbase.us/summary/Hyporhamphus-affinis.html</t>
  </si>
  <si>
    <t>McMillan, P.J., L.H. Griggs, M.P. Francis, P.J Marriott, L.J. Paul, E. Mackay, B.A. Wood, H. Sui and F. Wei, 2011. New Zealand fishes. Volume 3: A field guide to common species caught by surface fishing. New Zealand Aquatic Environment and Biodiversity Report No. 69. 145 p.</t>
  </si>
  <si>
    <t>Randall, J.E., 1986. Scaridae. p. 706-714. In M.M. Smith and P.C. Heemstra (eds.) Smiths' sea fishes. Springer-Verlag, Berlin.</t>
  </si>
  <si>
    <t>fishbase</t>
  </si>
  <si>
    <t>Kullbicki, M., Mou Tham, G., Thollot, P., &amp; Wantiez, L. (1993).
Length-weight relationships of fish from the lagoon of New Caledonia.
ICLARM [International Center for Living Aquatic Resources Management]
Quarterly, 16.; Allen, G.R. "FAO Species Catalogue. Vol. 6. Snappers of the world. An annotated and illustrated catalogue of lutjanid species known to date." FAO Fisheries Synopsis (1985) 125(6):208 p. Rome: FAO.</t>
  </si>
  <si>
    <t>Lipke B. Holthuis (1991). "Panulirus versicolor". FAO Species Catalogue, Volume 13. Marine Lobsters of the World. FAO Fisheries Synopsis No. 125. Food and Agriculture Organization. pp. 156–157. ISBN 92-5-103027-8.</t>
  </si>
  <si>
    <t>IGFA, 2001. Database of IGFA angling records until 2001. IGFA, Fort Lauderdale, USA</t>
  </si>
  <si>
    <t>Heemstra, P.C. and Randall, J.E. ʺFAO Species Catalogueʺ FAO Fisheries Synopsis, no. 125 Vol. 16 (1993) 293-294</t>
  </si>
  <si>
    <t>Smith, K. D., Hall, N. G., de Lestang, S., &amp; Potter, I. C. (2004). Potential bias in estimates of the size of maturity of crabs derived from trap samples. ICES Journal of Marine Science: Journal du Conseil, 61(6), 906-912. OR FAO: http://www.fao.org/fishery/species/2629/en</t>
  </si>
  <si>
    <t>IGFA, 2001. Database of IGFA angling records until 2001. IGFA, Fort Lauderdale, USA.</t>
  </si>
  <si>
    <t>Kuiter, R.H. and T. Tonozuka, 2001. Pictorial guide to Indonesian reef fishes. Part 1. Eels- Snappers, Muraenidae - Lutjanidae. Zoonetics, Australia. 302 p.</t>
  </si>
  <si>
    <t>Randall, J.E., 1997. Randall's underwater photos. Collection of almost 2,000 underwater photos (slides). Unpublished.</t>
  </si>
  <si>
    <t>Woodland, D., 1997. Siganidae. Spinefoots, rabbitfishes. p. 3627-3650. In K.E. Carpenter and V. Niem (eds.) FAO Identification Guide for Fishery Purposes. The Western Central Pacific. 837 p.</t>
  </si>
  <si>
    <t>Randall, J.E., 1995. Coastal fishes of Oman. University of Hawaii Press, Honolulu, Hawaii. 439 p.</t>
  </si>
  <si>
    <t>Lieske, E. and R. Myers, 1994. Collins Pocket Guide. Coral reef fishes. Indo-Pacific &amp; Caribbean including the Red Sea. Haper Collins Publishers, 400 p</t>
  </si>
  <si>
    <t>Lavides, M. N., Polunin, N. V., Stead, S. M., Tabaranza, D. G., Comeros, M. T., &amp; Dongallo, J. R. (2009). Finfish disappearances around Bohol, Philippines inferred from traditional ecological knowledge. Environmental Conservation, 36(3), 235.</t>
  </si>
  <si>
    <t>Torres, Francisco Jr. and Daniel Pauly. 1991. Tabular Data on Marine Fishes from Southern Africa, Part II: Growth Parameters. Fishbyte 9(2): 37-38.</t>
  </si>
  <si>
    <t>Claro, R., 1994. Caracter�sticas generales de la ictiofauna. p. 55-70. In R. Claro (ed.) Ecolog�a de los peces marinos de Cuba. Instituto de Oceanolog�a Academia de Ciencias de Cuba and Centro de Investigaciones de Quintana Roo.</t>
  </si>
  <si>
    <t>0.2/yr (Great Barrier Reef)</t>
  </si>
  <si>
    <t>.59/year (Carpenter 1987)</t>
  </si>
  <si>
    <t>0.47 annual</t>
  </si>
  <si>
    <t>.42/yr (Paxton et al 1989)</t>
  </si>
  <si>
    <t>.48/yr (Paxton et al 1989)</t>
  </si>
  <si>
    <t>0.11/yr</t>
  </si>
  <si>
    <t>natural mortality rate from Pauly 1980 = 1.76 (India) (Kasim and Abdussamad, 2003)</t>
  </si>
  <si>
    <t>0.8/mo. for 21–30 cm FL; 0.12–0.15/mo. for 51–70 cm FL </t>
  </si>
  <si>
    <t>2.30 by Pauly 1980 formula (Kenya, Mwatha 1997)</t>
  </si>
  <si>
    <t>0.37 annual</t>
  </si>
  <si>
    <t>average 0.265 from NW island great barrier reef</t>
  </si>
  <si>
    <t>.36/yr</t>
  </si>
  <si>
    <t>0.45 annual</t>
  </si>
  <si>
    <t>0.247 annual (Indo same sp. Mamauag 2000)</t>
  </si>
  <si>
    <t>~13 years (estimate from Ferreira and Russ, 1992,  Central Great Barrier Reef) </t>
  </si>
  <si>
    <t>Spanish mackerel = 0.16–0.20 yr−1</t>
  </si>
  <si>
    <t>1.55/yr</t>
  </si>
  <si>
    <t>0.66 (annual)</t>
  </si>
  <si>
    <t>Between .3 and .4</t>
  </si>
  <si>
    <t>0.48/yr</t>
  </si>
  <si>
    <t>Hart, A. M., &amp; Russ, G. R. (1996). Response of herbivorous fishes to crown-of-thorns starfish Acanthaster planci outbreaks. III. Age, growth, mortality and maturity indices of Acanthurus nigrofuscus. Marine ecology progress series. Oldendorf, 136(1), 25-35.</t>
  </si>
  <si>
    <t>Randall, J.E., G.R. Allen and R.C. Steene, 1990. Fishes of the Great Barrier Reef and Coral Sea. University of Hawaii Press, Honolulu, Hawaii. 506 p.</t>
  </si>
  <si>
    <t>Polovina, Jeffrey J. "Model of a coral reef ecosystem." Coral reefs 3, no. 1 (1984): 1-11.</t>
  </si>
  <si>
    <t>Bay, L. K., Choat, J. H., Van Herwerden, L., &amp; Robertson, D. R. (2004). High genetic diversities and complex genetic structure in an Indo-Pacific tropical reef fish (Chlorurus sordidus): evidence of an unstable evolutionary past?. Marine Biology, 144(4), 757-767.</t>
  </si>
  <si>
    <t>Kasim, H.M. and E.M Abdussamad. 2003. Stock Assessment of Coastal Tunas Along the East Coast of India. In: Proceedings of the Tuna meet, 26-27 September 2003, Kochi.</t>
  </si>
  <si>
    <t>Jones, G. K. (1990). Growth and mortality in a lightly fished population of garfish (Hyporhamphus melanochir), in Baird Bay, South Australia. Transactions of the Royal Society of South Australia, 114.</t>
  </si>
  <si>
    <t>Langley, A., Hampton, J., &amp; M. Ogura. 2005. Stock assessment of skipjack tuna in the western and central Pacific Ocean. 1st Meeting of the Scientific Committee of the Western and Central Pacific Fisheries Commission WCPFC–SC1. http://www.spc.int/DigitalLibrary/Doc/FAME/Meetings/WCPFC/SC1/SC1_SA_WP_4.pdf</t>
  </si>
  <si>
    <t>Mwatha, G. K. (1997). Aspects of the reproductive biology and fishery of the blue marbled parrot fish leptoscarus vaigiensis (quoy and gaimardi, 1824) in Kenya shallow inshore waters (Doctoral dissertation).</t>
  </si>
  <si>
    <t>Mather, J. A., &amp; O'Dor, R. K. (1991). Foraging strategies and predation risk shape the natural history of juvenile Octopus vulgaris. Bulletin of Marine Science, 49(1-2), 1-2.</t>
  </si>
  <si>
    <t>Williams, Ashley J., Gavin A. Begg, L. Richard Little, Leanne M. Currey, Aaron C. Ballagh, and Cameron D. Murchie. Evaluation of the Eastern Torres Strait reef line fishery. Vol. 1. Townsville, Qld.: James Cook University Fishing &amp; Fisheries, 2007.</t>
  </si>
  <si>
    <t>Ferreira, P. and Russ, R. "Age, Growth and Maturity of the Inshore Coral Trout Plectropomus maculatus (Pisces: Serranidae) from the Central Great Barrier Reef, Australia." Marine Freshwater Research 43 (1992) 1301-12. </t>
  </si>
  <si>
    <t>Newman, Stephen J., Michael C. Mackie, and Paul D. Lewis. "Age-based demography and relative fisheries productivity of Spanish mackerel,&lt; i&gt; Scomberomorus commerson&lt;/i&gt;(Lacepede) in Western Australia." Fisheries Research (2012).</t>
  </si>
  <si>
    <t>Parenti, P. and J.E. Randall, 2000. An annotated checklist of the species of the labroid fish families Labridae and Scaridae. Ichthyol. Bull. J.L.B. Smith Inst. Ichthyol. (68):1-97.</t>
  </si>
  <si>
    <t>Mohamad Kasim, H. (2000). Fishery, stock assessment and management of the barracuda resource in India.</t>
  </si>
  <si>
    <t>Hampton, J., D.A. Fournier, and J.R. Sibert. 1990. MULTIFAN analysis of South Pacific albacore length-frequency data collected by observers, 1989–1990. Paper presented at the Third South Pacific Albacore Research (SPAR) Workshop, 9–12 October 1990. S.Pac.Comm., WP/1.</t>
  </si>
  <si>
    <t>Larval duration</t>
  </si>
  <si>
    <t>31 days (Brothers and Thresher 1985)</t>
  </si>
  <si>
    <t>37-47 days (Pterocaesio chrysozona, Great Barrier Reef, Doherty et al 1995)</t>
  </si>
  <si>
    <t>As a pelagic carangid does not settle; has relatively direct development with few larval specializations (Leis et al 2007)</t>
  </si>
  <si>
    <t>~1 month (SPC &amp; LMMA 2006)</t>
  </si>
  <si>
    <t>25 days (Slamet &amp; Hutapea 2005)</t>
  </si>
  <si>
    <t>~ 4 weeks</t>
  </si>
  <si>
    <t>1.3-2 days</t>
  </si>
  <si>
    <t>1 day</t>
  </si>
  <si>
    <t>about 40 days (Scaridae sp. Great Barrier Reef, Brother et al 1983)</t>
  </si>
  <si>
    <t>28 days (Japan)</t>
  </si>
  <si>
    <t>26 days (Japan)</t>
  </si>
  <si>
    <t>about 25 days (similar sp)</t>
  </si>
  <si>
    <t>Other Lutjanus ~ 22 days</t>
  </si>
  <si>
    <t>62 days (Wilson and McCormick, 1999)</t>
  </si>
  <si>
    <t>90 days (McIlwain et al 2012)</t>
  </si>
  <si>
    <t>Panulirus argus &gt; 6 months</t>
  </si>
  <si>
    <t>4-8 months</t>
  </si>
  <si>
    <t>25 days (Captivity, P. vittatus, Indian ocean, Leu et al 2012)</t>
  </si>
  <si>
    <t>50% of larvae settle within 13km of spawing aggregation, 95% within 33km</t>
  </si>
  <si>
    <t>25-35 days (Australia same sp. Doherty et al. 1994)</t>
  </si>
  <si>
    <t>25 days</t>
  </si>
  <si>
    <t>26-45 days (Aus same sp)</t>
  </si>
  <si>
    <t>Atlantic mackerel 40 days</t>
  </si>
  <si>
    <t>~1 day (Collette &amp; Nauen 1983)</t>
  </si>
  <si>
    <t>Reared larva hatch in 35 days</t>
  </si>
  <si>
    <t>17 days</t>
  </si>
  <si>
    <t>3-6 days</t>
  </si>
  <si>
    <t>Wilson, D. T., and M. I. McCormick. 1999. Microstructure of settlement-marks in the otoliths of tropical reef fishes. Marine Biology 134:29–41.</t>
  </si>
  <si>
    <t>Brothers, E., and R. Thresher.1985. Pelagic duration, dispersal, and the distribution of Indo-Pacific coral-reef fishes. The
Ecology of Coral Reefs 3:53-69.</t>
  </si>
  <si>
    <t>Doherty, P. J., Planes, S., &amp; Mather, P. (1995). Gene flow and larval duration in seven species of fish from the Great Barrier Reef. Ecology, 2373-2391.</t>
  </si>
  <si>
    <t>Leis, J. M., Hay, A. C., Lockett, M. M., Chen, J.-P., and L.S. Fang. 2007. Ontogeny of swimming speed in larvae of pelagic-spawning, tropical, marine fishes. Marine Ecology Progress Series 349, 255–269.</t>
  </si>
  <si>
    <t>Slamet, B. &amp; Hutapea, J. H. (2005). First successful hatchery production of Napoleon wrasse</t>
  </si>
  <si>
    <t>Leis, Jeffrey M., Amanda C. Hay, and Greer J. Howarth. "Ontogeny of in situ behaviours relevant to dispersal and population connectivity in larvae of coral-reef fishes." Mar Ecol Prog Ser 379 (2009): 163-179.</t>
  </si>
  <si>
    <t>Rao, K.V.N. 1964. An account of the ripe ovaries of some Indian tunas. Proc. Symp. Scombroid Fishes, Part 2. Symp.Ser.Mar.Biol.Assoc.India, 1:733–43</t>
  </si>
  <si>
    <t>Ueyanagi, S., Nishikawa, Y. &amp; T. Matsuoka. 1974. Artificial fertilization and larval development of skipjack tuna, Katsuwonus pelamis. [In Jpn., EngI. summ.] Bull. Far Seas Fish. Res. Lab. (Shimizu) 10:179-188.</t>
  </si>
  <si>
    <t>Brothers, E. B., Williams, D. M., &amp; Sale, P. F. (1983). Length of larval life in twelve families of fishes at “One Tree Lagoon”, Great Barrier Reef, Australia. Marine Biology, 76(3), 319-324.</t>
  </si>
  <si>
    <t>Nakamura, Y., Shibuno, T., &amp; Yamaoka, K. (2012). Relationship between pelagic larval duration and abundance of tropical fishes on temperate coasts of Japan. Journal of Fish Biology, 80(2), 346-357.</t>
  </si>
  <si>
    <t>Zapata, Fernando A., and Pilar A. Herrón. "Pelagic larval duration and geographic distribution of tropical eastern Pacific snappers (Pisces: Lutjanidae)." Marine Ecology Progress Series 230 (2002): 295-300.</t>
  </si>
  <si>
    <t>Zapata, Fernando A., and Pilar A. Herrón. "Pelagic larval duration and geographic distribution of tropical eastern Pacific snappers (Pisces: Lutjanidae)." Marine ecology. Progress series 230 (2002): 295-300.</t>
  </si>
  <si>
    <t>Wilson, D.T., McCormick M.I. "Microstructure of settlement-marks in the otoliths of tropical reef fishes." Marine Biology (1999) 134: 29-41.</t>
  </si>
  <si>
    <t>McIlwain, J., Choat, J.H., Abesamis, R., Clements, K.D., Myers, R., Nanola, C., Rocha, L.A., Russell, B. &amp; Stockwell, B. 2012. Naso unicornis. In: IUCN 2013. IUCN Red List of Threatened Species. Version 2013.1. &lt;www.iucnredlist.org&gt;. Downloaded on 18 July 2013.</t>
  </si>
  <si>
    <t>Booth, John D., and Bruce F. Phillips. "Early life history of spiny lobster." Crustaceana (1994): 271-294.</t>
  </si>
  <si>
    <t>Dennis, D.M., Pitcher, C.R., and T.D. Skewes. 2001. Distribution and transport pathways of Panulirus ornatus (Fabricius, 1776) and Panulirus spp. larvae in the Coral Sea, Australia. Marine and Freshwater Research 48: 663-670.; Phillips, B.F., Booth, J.D., Jeffs, A.G., &amp; P. McWilliam. 2006. Larval and postlarval ecology. In: Phillips BF (ed) Lobsters: Biology, Management, Aquaculture and Fisheries. Blackwell Publishing, Oxford, pp 231-262.</t>
  </si>
  <si>
    <t>Leu, M. Y., Meng, P. J., Siong Tew, K., Kuo, J., &amp; Hung, C. C. (2012). Spawning and Development of Larvae and Juveniles of the Indian Ocean Oriental Sweetlips, Plectorhinchus vittatus (Linnaeus, 1758), in the Aquarium. Journal of the World Aquaculture Society, 43(5), 595-606.</t>
  </si>
  <si>
    <t>Almany, Glenn R., Richard J. Hamilton, Michael Bode, Manuai Matawai, Tapas Potuku, Pablo Saenz-Agudelo, Serge Planes et al. "Dispersal of grouper larvae drives local resource sharing in a coral reef fishery." Current Biology (2013).</t>
  </si>
  <si>
    <t>Frisch, A. and Van Herwerden, L. ʺField and experimental studies of hybridization between coral troughts, Plectropomus leopardus and Plectropomus maculatus (Serranidae), on the Great Barrier Reef, Australia. Journal of Fish Biology 68 (2006) 1013-1025. Check: Harrison, H. B., Williamson, D. H., Evans, R. D.,
Almany, G. R., Thorrold, S. R., Russ, G. R., ... &amp; Jones, G. P.
(2012). Larval export from marine reserves and the recruitment benefit
for fish and fisheries. Current Biology, 22(11), 1023-1028.</t>
  </si>
  <si>
    <t>Bryars, S. R., &amp; Havenhand, J. N. (2006). Effects of constant and varying temperatures on the development of blue swimmer crab (&lt; i&gt; Portunus pelagicus&lt;/i&gt;) larvae: Laboratory observations and field predictions for temperate coastal waters. Journal of experimental marine biology and ecology, 329(2), 218-229.</t>
  </si>
  <si>
    <t>Robert, Dominique, Martin Castonguay, and Louis Fortier. "Early growth and recruitment in Atlantic mackerel Scomber scombrus: discriminating the effects of fast growth and selection for fast growth." Marine Ecology Progress Series 337 (2007): 209-219.</t>
  </si>
  <si>
    <t>Bryan, Patrick G., and Becky B. Madraisau. "Larval rearing and development of&lt; i&gt; Siganus lineatus&lt;/i&gt;(Pisces: Siganidae) from hatching through metamorphosis." Aquaculture 10, no. 3 (1977): 243-252.</t>
  </si>
  <si>
    <t>Soliman, V. S., Yamada, H., &amp; Yamaoka, K. (2010). Early life‐history of the spiny siganid Siganus spinus (Linnaeus 1758) inferred from otolith microstructure. Journal of Applied Ichthyology, 26(4), 540-545.</t>
  </si>
  <si>
    <t>D’ALESSANDRO, E. K., &amp; SPONAUGLE, S. (2007). Larval Growth, Duration, and Supply Patterns of Sphyraena barracuda. In Proceedings of the Gulf and Caribbean Fisheries Institute (Vol. 58, p. 225). Gulf and Caribbean Fisheries Institute.</t>
  </si>
  <si>
    <t>Adult movement</t>
  </si>
  <si>
    <t>325-7650km2 (Naso unicornis, Hawaii, Meyer and Holland 2005); Surgeonfishes show varying degrees of habitat preference and utilization of coral reef habitats, with some species spending the majority of their life stages on coral reef while others primarily utilize seagrass beds, mangroves, algal beds, and /or rocky reefs (Randall 1956)</t>
  </si>
  <si>
    <t>1985. Pelagic duration, dispersal, and the distribution of Indo-Pacific coral-reef fishes. The</t>
  </si>
  <si>
    <t>Often in silty areas with low visibility at 1-30 m depth; Inhabits coastal areas, usually over rocky and coral reefs (Allen &amp; Erdmann 2012)</t>
  </si>
  <si>
    <t>0.173-0.768km2 (Hawaii C. Ignobilis): Strong site fidelity in C. malampygus: 75.5% recaptured within 0.5 km of release points (Holland et al 1996)</t>
  </si>
  <si>
    <t>Pelagic over sand and rock (Mundy 2005). Adults occur singly and inhabit clear lagoon and seaward reefs (Lieske &amp; Myers 1994).</t>
  </si>
  <si>
    <t> Coastal and oceanic species associated with reefs (Smith-Vaniz 1995; Mundy 2005); Juveniles occur seasonally in shallow sandy inshore waters (Lieske &amp; Myers 1994)</t>
  </si>
  <si>
    <t>Pelagic over sand and rock (Mundy 2005); Adults occur singly and inhabit clear lagoon and seaward reefs (Lieske &amp; Myers 1994)</t>
  </si>
  <si>
    <t>at Gondol Research Institute for Mariculture, Bali. South Pacific Community Live Reef</t>
  </si>
  <si>
    <t>nassau grouper 50-100 km</t>
  </si>
  <si>
    <t>Usually found in coral-rich areas of lagoon and outer reefs; in caves and large crevices; most abundant around islands, particularly atolls (Kuiter &amp; Tonozuka 2001)</t>
  </si>
  <si>
    <t>"Throughout the warm (18-29 degrees C) waters of the Indo-West Pacific, including oceanic islands and archipelagos. A few stray specimens have been collected in the eastern tropical Pacific."</t>
  </si>
  <si>
    <t>Highly migratory; 25 - 106 km for small fish (under 45 cm FL)</t>
  </si>
  <si>
    <t>Indo-Pacific: northern Red Sea and South Africa to Easter Island, north to southern Japan, south to Poor Knight's Island in New Zealand and Rottnest Island in Australia. Southeast Atlantic: False Bay, South Africa</t>
  </si>
  <si>
    <t>2/3rds of juv fish (&lt; 400mm length caudal fork) moved less than 1km w/in estuary, 20% of larger fish (400-500mm) moved offshore. Max 315km</t>
  </si>
  <si>
    <t>Lutjanus russellii about 40 meters</t>
  </si>
  <si>
    <t>Reef-associated; depth range 1 - 150 m (Lieske &amp; Myers 1994); Tropical: 33°N - 29°S, 31°E - 134°W (Bouhlel 1988)</t>
  </si>
  <si>
    <t>Inhabit channels, moats, lagoon and seaward reefs with strong surge (Kuiter &amp; Tonozuka 2001); Home range estimates of N. unicornis from a study on Guam ranged from 51 m2 to 100,045 m2; Strong ontogenetic shift in both home range size and habitat preference; On Guam, large individuals (26 cm) use not only the shallow reef flats but range over deeper, more exposed habitat on the reef slope (McIlwain et al 2012)</t>
  </si>
  <si>
    <t>500 m</t>
  </si>
  <si>
    <t>In the daytime they hide in small caves and crevices in reefs or under coral at depths up to 15 metres (Holthuis 1991); Studies using tagged specimens have shown the species to have high site fidelity, with individuals frequently returning to areas near their original den (Frisch 2007). Capable of moving up to 459 m/day but typically maintain a home range of 200-300 m in diameter (Morgan 1980)</t>
  </si>
  <si>
    <t>Out of 82 tagged 3 recovered within 3km, 4 recovered 30-80km (P. flavomaculatus, Kenya, Kaunda-Arara and Rose 2004)</t>
  </si>
  <si>
    <t>0.004km2 home range, max 0.12km2, min 0.1km2 for size 46-61cm. 4 month study</t>
  </si>
  <si>
    <t>Atka mackerel about 50km</t>
  </si>
  <si>
    <t>Home range = at least 5 ha (New Caledonia)</t>
  </si>
  <si>
    <t>Migrates in large schools over great distances along the shore between 10-35 m depth; Subtropical; 20°C - 30°C, 44°N -  19°N, 97°W -  64°W (FAO-FIGIS 2005; Gines &amp; Cervign 1967; Collette &amp; Nauen 1983)</t>
  </si>
  <si>
    <t>Adults prefer clear oceanic waters around islands to neritic waters (Cervigón et al 1992) </t>
  </si>
  <si>
    <t>Occurs in inshore waters of the continental shelf; Forms large demersal schools over soft bottom habitats at depths shallower than 50 m (Paxton et al 1989)</t>
  </si>
  <si>
    <t>&lt; 5km (S. spinus Kenya, Kaunda-Arara and Rose 2004)</t>
  </si>
  <si>
    <t>55indiv caught within 5km, 2 caught within 15-30 km (Kenya Siganus sutor)</t>
  </si>
  <si>
    <t>&lt; 5km (Kenya, Kaunda-Arara and Rose 2004)</t>
  </si>
  <si>
    <t>Depth: 0-600m; subtropical 10-25 degrees C (fishbase); 59 degrees N - 46 degrees S, 180 degrees W - 180 degrees E (Collette and Nauen, 1983)</t>
  </si>
  <si>
    <t>Generally found over muddy bottoms of shallow coastal waters and often enter estuaries; Large adults usually feed near the surface during the daytime and migrate to the bottom at night. Juveniles and small adults form schools 100 m above the bottom during the daytime and form loose feeding aggregations at night near the surface (Nakamura 1995)</t>
  </si>
  <si>
    <t>Meyer, C. G., &amp;
Holland, K. N. (2005). Movement patterns, home range size and habitat
utilization of the bluespine unicornfish, Naso unicornis (Acanthuridae)
in a Hawaiian marine reserve. Environmental Biology of Fishes, 73(2), 201-210.; Randall, J.E., 1956. A revision of the surgeonfish genus Acanthurus. Pac. Sci. 10(2):159-235.</t>
  </si>
  <si>
    <t>Ecology of Coral Reefs 3:53-69.</t>
  </si>
  <si>
    <t>Allen, G.R. and M.V. Erdmann, 2012. Reef fishes of the East Indies. Perth, Australia: Universitiy of Hawai'i Press, Volumes I-III. Tropical Reef Research.</t>
  </si>
  <si>
    <t>Longenecker, K. and R. Langston. "Life History Compendium of Exploited Hawaiian Fishes." Fisheries Local Aciton Strategy and Division of Aquatic Resources. (2008). ; Holland, K. N., Lowe, C.
G., &amp; Wetherbee, B. M. (1996). Movements and dispersal patterns of
blue trevally (&lt; i&gt; Caranx melampygus&lt;/i&gt;) in a fisheries
conservation zone. Fisheries Research, 25(3), 279-292.</t>
  </si>
  <si>
    <t>Mundy, B.C., 2005. Checklist of the fishes of the Hawaiian Archipelago. Bishop Museum Bulletins in Zoology. Bishop Mus. Bull. Zool. (6):1-704.; Lieske, E. and R. Myers, 1994. Collins Pocket Guide. Coral reef fishes. Indo-Pacific &amp; Caribbean including the Red Sea. Haper Collins Publishers, 400 p.</t>
  </si>
  <si>
    <t>Longenecker, K. and R. Langston. "Life History Compendium of Exploited Hawaiian Fishes." Fisheries Local Aciton Strategy and Division of Aquatic Resources. (2008).</t>
  </si>
  <si>
    <t>Smith-Vaniz, W.F., 1995. Carangidae. Jureles, pámpanos, cojinúas, zapateros, cocineros, casabes, macarelas, chicharros, jorobados, medregales, pez pilota. p. 940-986. In W. Fischer, F. Krupp, W. Schneider, C. Sommer, K.E. Carpenter and V. Niem (eds.) Guia FAO para Identification de Especies para lo Fines de la Pesca. Pacifico Centro-Oriental. 3 Vols. FAO, Rome.; Mundy, B.C., 2005. Checklist of the fishes of the Hawaiian Archipelago. Bishop Museum Bulletins in Zoology. Bishop Mus. Bull. Zool. (6):1-704;  Lieske, E. and R. Myers, 1994. Collins Pocket Guide. Coral reef fishes. Indo-Pacific &amp; Caribbean including the Red Sea. Haper Collins Publishers, 400 p.     </t>
  </si>
  <si>
    <t>Mundy, B.C., 2005. Checklist of the fishes of the Hawaiian Archipelago. Bishop Museum Bulletins in Zoology. Bishop Mus. Bull. Zool. (6):1-704; Lieske, E. and R. Myers, 1994. Collins Pocket Guide. Coral reef fishes. Indo-Pacific &amp; Caribbean including the Red Sea. Haper Collins Publishers, 400 p.</t>
  </si>
  <si>
    <t>Fish Information Bulletin 13, 43–44.</t>
  </si>
  <si>
    <t>Starr, Richard M., Enric Sala, Enric Ballesteros, and Mikel Zabala. "Spatial dynamics of the Nassau grouper Epinephelus striatus in a Caribbean atoll." Marine Ecology Progress Series 343, no. 2002 (2007): 239-249.</t>
  </si>
  <si>
    <t>Bruce, R.W. and J.E. Randall, 1985. A revision of the Indo-West Pacific parrotfish genera Calotomus and Leptoscarus (Scaridae: Sparisomatinae). Indo-Pac. Fish. (5):32 p.</t>
  </si>
  <si>
    <t>Unsworth, R. K., De León, P. S., Garrard, S. L., Smith, D. J., &amp; Bell, J. J. (2009). Habitat Usage of the Thumbprint Emporer Lethrinus harak (Forsskål, 1775) in an Indo-Pacific Coastal Seascape. Open Marine Biology Journal, 3, 16-20.</t>
  </si>
  <si>
    <t>Russell, D. J., and A. J. McDougall. "Movement and juvenile recruitment of mangrove jack, Lutjanus argentimaculatus (Forsskål), in northern Australia." Marine and freshwater research 56, no. 4 (2005): 465-475.</t>
  </si>
  <si>
    <t>Vignon, M., et al. "Evidence for spatial limitation of the bluestripe snapper Lutjanus kasmira in French Polynesia from parasite and otolith shape analysis." Journal of Fish Biology 73.10 (2008): 2305-2320.</t>
  </si>
  <si>
    <t>Lieske, E. and R. Myers, 1994. Collins Pocket Guide. Coral reef fishes. Indo-Pacific &amp; Caribbean including the Red Sea. Haper Collins Publishers, 400 p.; Bouhlel, M., 1988. Poissons de Djibouti. Placerville (California, USA): RDA International, Inc. 416 p.</t>
  </si>
  <si>
    <t>Kuiter, R.H. and T. Tonozuka, 2001. Pictorial guide to Indonesian reef fishes. Part 3. Jawfishes - Sunfishes, Opistognathidae - Molidae. Zoonetics, Australia. p. 623-893.; McIlwain, J., Choat, J.H., Abesamis, R., Clements, K.D., Myers, R., Nanola, C., Rocha, L.A., Russell, B. &amp; Stockwell, B. 2012. Naso unicornis. In: IUCN 2013. IUCN Red List of Threatened Species. Version 2013.1. &lt;www.iucnredlist.org&gt;. Downloaded on 18 July 2013.</t>
  </si>
  <si>
    <t>Hanlon, R. T., &amp; Forsythe, J. W. (2008). Sexual cannibalism by Octopus cyanea on a Pacific coral reef. Marine and Freshwater Behaviour and Physiology, 41(1), 19-28.</t>
  </si>
  <si>
    <t>Frisch, A. J. "Short-and long-term movements of painted lobster (Panulirus versicolor) on a coral reef at Northwest Island, Australia." Coral Reefs 26, no. 2 (2007): 311-317.</t>
  </si>
  <si>
    <t>Lipke B. Holthuis (1991). "Panulirus versicolor". FAO Species Catalogue, Volume 13. Marine Lobsters of the World. FAO Fisheries Synopsis No. 125. Food and Agriculture Organization. pp. 156–157. ISBN 92-5-103027-8.; Frisch AJ (2007) Short- and long-term movements of painted lobster (Panulirus versicolor) on a coral reef at Northwest
Island, Australia. Coral Reefs 26(2): 311–317, http://dx.doi.org/10.1007/s00338-006-0194-6.; Morgan, G.J. 1980. Population dynamics of spiny lobsters. In: Cobb JS, Phillips BF (eds) The biology and Management of Lobsters (vol. 2). Academic Press, New York, pp 189-217.</t>
  </si>
  <si>
    <t>Kaunda-Arara, B., &amp; Rose, G. A. (2004). Long-distance movements of coral reef fishes. Coral Reefs, 23(3), 410-412.</t>
  </si>
  <si>
    <t>Hutchinson, N., and K. L. Rhodes. "Home range estimates for squaretail coralgrouper, Plectropomus areolatus (Rüppell 1830)." Coral Reefs 29, no. 2 (2010): 511-519.</t>
  </si>
  <si>
    <t>Potter, M. A., Sumpton, W. D., &amp; Smith, G. S. (1991). Movement, fishery sector impact, and factors affecting the recapture rate of tagged sand crabs, Portunus pelagicus (L.), in Moreton Bay, Queensland. Marine and Freshwater Research, 42(6), 751-760.</t>
  </si>
  <si>
    <t>MCDERMOTT, SUSANNE F., L. W. Fritz, and V. Haist. "Estimating movement and abundance of Atka mackerel (Pleurogrammus monopterygius) with tag–release–recapture data." Fisheries Oceanography 14, no. s1 (2005): 113-130.</t>
  </si>
  <si>
    <t>Olivier C. and L. Wantiez. 2006. Site fidelity and activity patterns of a humphead wrasse, Cheilinus undulatus (Labridae), as determined by acoustic telemetry. Environ. Biol. Fish. 80: 503-508.</t>
  </si>
  <si>
    <t>Gines, H. and F. Cervig�n, 1967. Exploracion pesquera en las costas de Guyana y Surinam a�o 1967. Estac�on de Investigaciones Marinas de Margarita. Fundac�on La Salle de Ciencias Naturales, no. 29; Collette, B.B. and C.E. Nauen, 1983. FAO Species Catalogue. Vol. 2. Scombrids of the world. An annotated and illustrated catalogue of tunas, mackerels, bonitos and related species known to date. Rome: FAO. FAO Fish. Synop. 125(2):137 p.;   FAO-FIGIS, 2005. A world overview of species of interest to fisheries. Chapter: Scomberomorus maculatus. Retrieved on 08 July 2005, from www.fao.org/figis/servlet/species?fid=3282. 3p. FIGIS Species Fact Sheets. Species Identification and Data Programme-SIDP, FAO-FIGIS</t>
  </si>
  <si>
    <t>Cervigón, F., R. Cipriani, W. Fischer, L. Garibaldi, M. Hendrickx, A.J. Lemus, R. Márquez, J.M. Poutiers, G. Robaina and B. Rodriguez, 1992. Fichas FAO de identificación de especies para los fines de la pesca. Guía de campo de las especies comerciales marinas y de aquas salobres de la costa septentrional de Sur América. FAO, Rome. 513 p. Preparado con el financiamento de la Comisión de Comunidades Europeas y de NORAD.</t>
  </si>
  <si>
    <t>Kaunda-Arara, Boaz, and George A. Rose. "Long-distance movements of coral reef fishes." Coral Reefs 23, no. 3 (2004): 410-412.</t>
  </si>
  <si>
    <t>Nakamura, I., 1995. Trichiuridae. Peces sables, cintillas. p. 1638-1642. In W. Fischer, F. Krupp, W. Schneider, C. Sommer, K.E. Carpenter and V. Niem (eds.) Guia FAO para Identification de Especies para lo Fines de la Pesca. Pacifico Centro-Oriental. 3 Vols. FAO, Rome.</t>
  </si>
  <si>
    <t>Age/length at maturity (years)</t>
  </si>
  <si>
    <t>2 yrs, 10-14 cm (Australia)</t>
  </si>
  <si>
    <t>Female: 550-650 mm TL; male: 470 mm TL. (Solomon Islands) (Hamilton et al. 2008)</t>
  </si>
  <si>
    <t>34.1 cm TL (Malaysia) (Carpenter 1987)</t>
  </si>
  <si>
    <t>5.1 yrs age at which 50% mature (C. ignobilis, philipines)</t>
  </si>
  <si>
    <t>Female: 60 cm SL (Hawaii same sp. Sudekum et al 1991); Unsexed: 65 cm FL (South Africa same sp., van der Elst et al 1991)</t>
  </si>
  <si>
    <t>Female: 35 cm SL (Hawaii same sp., Sudekum et al 1991); 2.7 years (Paxotn et al 1989)</t>
  </si>
  <si>
    <t>Unsexed: 42 cm SL (South African estuaries same sp., Whitfield 1998)</t>
  </si>
  <si>
    <t>35-50 cm and &lt;5 years</t>
  </si>
  <si>
    <t>9 years (female)</t>
  </si>
  <si>
    <t>Mean size of maturity 43cm FL (Philippines, Tandog-Edralin 1990)</t>
  </si>
  <si>
    <t>16.8cm total length (Kenya Mwatha 1997)</t>
  </si>
  <si>
    <t>4.4 years</t>
  </si>
  <si>
    <t>t50 = 9.39 yrs (female), 1.46 yrs (male), min observed age mature = 3yrs (female), 2yrs (male)</t>
  </si>
  <si>
    <t>Unsexed: 13 cm SL (South Africa same sp., Whitfield 1998)</t>
  </si>
  <si>
    <t>Size at first reproduction (L50)= for females collected from the fishery in Guam (2008-2009) was 328 mm; In Hawaii the L50 for reproductive females collected was 378 mm; The L50 for males from Hawaii was 286 mm, and the smallest male with sperm present was 266 mm (McIlwain et al 2012); Age of maturity= Males reach age at first maturity at 4.5 yrs, 7.5 years for females at 37.8 cm (TL) (Hawaii same sp. McIlwain et al 2012);</t>
  </si>
  <si>
    <t>50% mature female at 15cm</t>
  </si>
  <si>
    <t>3-4 years</t>
  </si>
  <si>
    <t>Unsexed: 66 mm CL; Female: 8.2 cm CL (MacDonald 1982)</t>
  </si>
  <si>
    <t>Unsexed: 53.6 cm TL (Kuwait same sp., Randall et al 1990)</t>
  </si>
  <si>
    <t>2 yrs female: achieve 50% size of sextual maturity (36.6cm), males first identified at 3yrs (35.0cm)</t>
  </si>
  <si>
    <t>size of maturity range: 32.0 to 36.0cm TL (Indo same sp. Mamauag 2000)</t>
  </si>
  <si>
    <t>Diandric protogynous hermaphrodite, immature one year old males with primary testis, females 5-6 years with transitional gonads (Adams 2003, northern Great Barrier Reef); OR Female 50% mature at 30.0cm SL and 2yrs. Transition male at 35.4cm and 4.4yrs (Central Great Barrier Reef, Ferreira 1993)</t>
  </si>
  <si>
    <t>Size at 50% mature: 101.1mm (Aus same sp.) or about 1 year (FAO)</t>
  </si>
  <si>
    <t>1-2 years</t>
  </si>
  <si>
    <t>Male: 33 cm FL (Mexico same sp.); Female: 35 cm FL (Florida same sp.) (Collette &amp; Nauen 1983)</t>
  </si>
  <si>
    <t>≤200 mm standard length. Average age of maturity? (Hawaii same sp. Clarke &amp; Privitera 1995)</t>
  </si>
  <si>
    <t>mean size of maturity male 1.9 yrs, female 2.1 yrs(Grandcourt et al. 2007)</t>
  </si>
  <si>
    <t>Hart, Anothony M. and Garry R. Russ. 1996. Response of herbivorous fishes to crown-of-thorns starfish Acanthaster planci outbreaks. III. Age, growth, mortality and maturity indices of Acanthurus nigrofuscus. Mar. Ecol. Prog. Ser. 136: 25-35.</t>
  </si>
  <si>
    <t>Sudekum, A.E., J.D. Parrish, R.L. Radtke and S. Ralston, 1991. Life history and ecology of large jacks in undisturbed, shallow, oceanic communities. Fish. Bull. 89:493-513.; van der Elst, R.P. and F. Adkin (eds.), 1991. Marine linefish: priority species and research objectives in southern Africa. Oceanogr. Res. Inst., Spec. Publ. No.1. 132 p.  </t>
  </si>
  <si>
    <t>Sudekum, A.E., J.D. Parrish, R.L. Radtke and S. Ralston, 1991. Life history and ecology of large jacks in undisturbed, shallow, oceanic communities. Fish. Bull. 89:493-513; Paxton, J.R., D.F. Hoese, G.R. Allen and J.E. Hanley, 1989. Pisces. Petromyzontidae to Carangidae. Zoological Catalogue of Australia, Vol. 7. Australian Government Publishing Service, Canberra, 665 p.</t>
  </si>
  <si>
    <t>Whitfield, A.K., 1998. Biology and ecology of fishes in southern African estuaries. J.L.B. Smith Institute of Ichthyology, South Africa. 223 p.</t>
  </si>
  <si>
    <t>Paxton, J.R., D.F. Hoese, G.R. Allen, &amp; J.E. Hanley, 1989. Pisces: Petromyzontidae to Carangidae. Zoological Catalogue of Australia, Vol. 7. Australian Government Publishing Service, Canberra, 665 p.</t>
  </si>
  <si>
    <t>Rare Fact Sheets</t>
  </si>
  <si>
    <t>Johannes, R. E., Squire, L., Graham, T., Sadovy, Y. &amp; H. Renguul. 1999. Spawning aggregations of groupers (Serranidae) in Palau. Marine Conservation Research Series Publication No. 1, The Nature Conservancy.</t>
  </si>
  <si>
    <t>Collette, B.B. and C.E. Nauen, 1983. FAO Species Catalogue. Vol. 2. Scombrids of the world. An annotated and illustrated catalogue of tunas, mackerels, bonitos and related species known to date. Rome: FAO. FAO Fish. Synop. 125(2):137 p.                       Rohit, P., A. Chellappan, E.M. Abdusssamad, K.K. Joshi, K.P. Said Koya, M. Sivadas, S. Ghosh, A. Margaret Muthu Rathinam, S. Kemparaju, H.K. Dhokia, D. Prakasan, N. Beni. 2012. Fishery and bionomics of the little tuna, Euthynnus affinis (Cantor, 1894) exploited from Indian waters. Indian J. Fish., 59(3): 33-42.</t>
  </si>
  <si>
    <t>Tandog-Edralin, D. D., CORTESZARAGOZA, E., Dalzell, P., &amp; Pauly, D. (1990). Some aspects of the biology of skipjack (Katsuwonus pelamis) in Philippine waters. Asian Mar. Biol, 7, 15-29.</t>
  </si>
  <si>
    <t>Ebisawa A. 2006. Reproductive and sexual characteristics in five Lethrinus species in waters off the Ryukyu Islands. Ichthyol Res (2006) 53: 269–280</t>
  </si>
  <si>
    <t>Ebisawa A, Ozawa T (2009) Life-history traits of eight Lethrinus species from two local populations in waters off the Ryukyu Islands. Fisheries Science 75: 553–566. doi: 10.1007/s12562-009-0061-9.</t>
  </si>
  <si>
    <t>Emata, A.C., J.P. Damaso and B.E. Eullaran, 1999. Growth, maturity and induced spawning of mangrove red snapper, Lutjanus argentimaculatus, broodstock reared in concrete tanks. Isr. J. Aquacult./Bamidgeh 51(2):58-64.</t>
  </si>
  <si>
    <t>Vijay Anand, P.E. and Pillai, N.G.K. "Reproductive biology of some common coral reef fishes of the Indian EEZ." Journal of Marine Biological Association of India (2002) 44:122-135.</t>
  </si>
  <si>
    <t>Wood, J. B., &amp; O'dor, R. K. (2000). Do larger cephalopods live longer? Effects of temperature and phylogeny on interspecific comparisons of age and size at maturity. Marine Biology, 136(1), 91-99.</t>
  </si>
  <si>
    <t>Vijayakumaran, M., Maharajan, A., Rajalakshmi, S., Jayagopal, P., Subramanian, M.S., &amp; M.C. Remani. 2012. Fecundity and viability of eggs in wild breeders of spiny lobsters, Panulirus homarus, Panulirus versicolor, and Panulirus ornatus. Journal of the Marine Biological Association of India Vol. 54(2): 5-9.; Frisch AJ (2007a) Population biology and fishery ecology of the painted crayfish, Panulirus versicolor, on the Great Barrier Reef. PhD thesis, James Cook University, 147 pp</t>
  </si>
  <si>
    <t>Adams, S. ʺMorphological ontogeny of the gonad of three plectropomid species through sex differentiation and transition.ʺ Journal of Fish Biology 63 (2003) 22-36. ;OR Ferreira, B. P. (1993). Reproduction of the inshore
coral trout Plectropomus maculates (Perciformes: Serranidae) from the
central Great Barrier Reef, Australia. Journal of Fish Biology, 42(6), 831-844.</t>
  </si>
  <si>
    <t>Rare Fact sheets</t>
  </si>
  <si>
    <t>Clarke. T.A., &amp; L.A. Privitera. 1995. Reproductive biology of two Hawaiian pelagic carangid fishes, the bigeye scad, Selar crumenophthalmus, and the round scad, decapturus macarellus. Bulletin of Marine Science. 56(1): 33-47.</t>
  </si>
  <si>
    <t>Grandcourt, E., Al Abdessalaam, T., Francis, F., &amp; Al Shamsi, A. (2007). Population biology and assessment of the white‐spotted spinefoot, Siganus canaliculatus (Park, 1797), in the southern Arabian Gulf. Journal of Applied Ichthyology, 23(1), 53-59.</t>
  </si>
  <si>
    <t>Soh, C.L., 1976. Some aspects of the biology of Siganus canaliculatus (Park) 1797. Nat'l. Univ. of Singapore. 293 p. Ph. D. dissertation</t>
  </si>
  <si>
    <t>Bianchi, G., K.E. Carpenter, J.-P. Roux, F.J. Molloy, D. Boyer and H.J. Boyer. 1999. Field guide to the living marine resources of Namibia. FAO species identification guide for fishery purposes. Rome, FAO. 265 p., 186   </t>
  </si>
  <si>
    <t>Magro, M., 2005. Trichiurus lepturus Linnaeus, 1758. p. 162-163. In M.C. Cergole, A.O. Ávila-da-Silva and C.L.D.B. Rossi-Wongtchowski (eds.) Análise das principais pescarias commerciais da região sudeste-sul do Brasil: dinâmica populacional das espécies em explotaçao. São Paulo: Instituto Oceanográfico.</t>
  </si>
  <si>
    <t>Form spawning aggregations. In areas with tidal currents, spawn 1.5-4 hours after high tide, greatest spawning activity mid to late afternoon tides.  In areas without defined tidal currents, spawning aggregations occured in late afternoon (Domeier and Colin, 1997; Robertson, 1983)</t>
  </si>
  <si>
    <t>Prolonged throughout most of the year, and mass spawning on a lunar cycle (for the Genus Caesio, specific speices not specified) (Carpenter 1988)</t>
  </si>
  <si>
    <t>Two main spawning seaons in Jan/Dec and June (C. ignobilis, Philipines)</t>
  </si>
  <si>
    <t>April- November in Hawaii (Sudekum et al 1991)</t>
  </si>
  <si>
    <t>Spawn in aggregations around edges of fringing reefs or near reef passages; spawn on a lunar cycle (SPC &amp; LMMA 2006)</t>
  </si>
  <si>
    <t>Strong spawning seasonality with narrow peak in Nov-Jan. Females may spawn more than once</t>
  </si>
  <si>
    <t>Probably August to October off Indonesia</t>
  </si>
  <si>
    <t>Spawn in pairs or groups between September and November (Aldabra same sp., Robertson et al 1982)</t>
  </si>
  <si>
    <t>Lethrinus species in waters off the Ryukyu Islands. Ichthyol Res 2006; 53: 269-80.</t>
  </si>
  <si>
    <t>Austrailia: during austral spring-summer peaking in Dec</t>
  </si>
  <si>
    <t>Papua New Guinea: Peak in Oct-March but at any one time there are sexually active members of the population</t>
  </si>
  <si>
    <t>November/December to April/May, during which several batches of eggs released (Kaunda-Arara &amp; Ntiba 1997)</t>
  </si>
  <si>
    <t>Protracted spawning, perhaps continues year round</t>
  </si>
  <si>
    <t>Spawn up to 4 times per year</t>
  </si>
  <si>
    <t>Protogynous. Spawning aggregations occur Sept-Feb and April-Jul. (Great Barrier Reef)</t>
  </si>
  <si>
    <t>Brief spawning aggregations during new moons in late spring and early summer (Frisch and Van Herwerden, 2005); hybridize with P. leopardus on the east coast of Australia (unknown if it occurs elsewhere) (Adams 2003, northern Great Barrier Reef)</t>
  </si>
  <si>
    <t>Year-round spawning with peak during summer months</t>
  </si>
  <si>
    <t>Protogynous hermaphrodites (Sadovy de Mitcheson and Liu, 2009). Probably year round. "On days with early to mid-day high tides the spawning period started 2-2.5 h after high tide... On days with later afternoon high tides, spawning occurred sooner after high tide." (Colin, 2010)</t>
  </si>
  <si>
    <t>One clear seasonal peak per year (Collette &amp; Nauen 1983)</t>
  </si>
  <si>
    <t>March-October (Hawaii same sp., Honebrink 1990)</t>
  </si>
  <si>
    <t>Spawn on a lunar cycle (Bryan et al 1975); likely multiple spawner (S. spinus Hasse 1997)</t>
  </si>
  <si>
    <t>Multiple spawns per season. Spawning peaks in summer</t>
  </si>
  <si>
    <t>Spawn on a lunar cycle (Bryan et al 1975); likely multiple spawner (Hasse 1997)</t>
  </si>
  <si>
    <t>Domeier, M.L. and P.L. Colin, 1997. Tropical reef fish spawning and aggregations: defined and reviewed. Bull. Mar. Sci. 60(3):698-726.       Robertson, D. R. 1983. On the spawning behavior and spawning cycles of eight surgeonfishes (Acanthuridae) form the Indo-Pacific. Envir. BioI. Fish. 9: 193-223.</t>
  </si>
  <si>
    <t>Donaldson, T.J. and N.K. Dulvy. 2004. Threatened fishes
of the world: Bolbometopon muricatum (Valenciennes 1840) Scaridae.
Environmental Biology of Fishes 70:373.; Johannes, R.E. 1981. Words of the
Lagoon, Univ. of California Press, 245 pp.; Gladstone, W. 1986. Spawning
behavior of the bumphead parrotfish Bolbometopon muricatum at Yonge Reef, Great Barrier Reef. Japan. J. Ichthyol. 33:326-328.; Hamilton, R.J., S. Adams, and J.H. Choat. 2008. Sexual development and reproductive demography of the green humphead parrotfish (Bolbometopon muricatum) in the Solomon Islands. Coral reefs 27:153-163.</t>
  </si>
  <si>
    <t>Westernhagen, H. von. "Observations on the natural spawning of Alectis indicus (Rüppell) and Caranx ignobilis (Forsk.)(Carangidae)." Journal of Fish Biology 6, no. 4 (1974): 513-516.</t>
  </si>
  <si>
    <t>Sudekum, A.E., J.D. Parrish, R.L. Radtke and S. Ralston, 1991. Life history and ecology of large jacks in undisturbed, shallow, oceanic communities. Fish. Bull. 89:493-513.</t>
  </si>
  <si>
    <t>Amesbury, S.S., and R.F. Myers. 2001. Guide to the Coastal Resources of Guam, Vol 1. The Fishes. www.uog.edu/marinelab/fish/thefishes.html</t>
  </si>
  <si>
    <t>Russell, B. (Grouper &amp; Wrasse Specialist Group) 2004. Cheilinus undulatus. In: IUCN 2013. IUCN Red List of Threatened Species. Version 2013.1. &lt;www.iucnredlist.org&gt;. Downloaded on 16 July 2013.</t>
  </si>
  <si>
    <t>Sancho, G., Solow, A. R., &amp; Lobel, P. S. (2000). Environmental influences on the diel timing of spawning in coral reef fishes. Marine Ecology Progress Series, 206, 193-212.</t>
  </si>
  <si>
    <t>Pears, R. J., J. H. Choat, B. D. Mapstone, and G. A. Begg. "Reproductive biology of a large, aggregation‐spawning serranid, Epinephelus fuscoguttatus (Forsskål): management implications." Journal of Fish Biology 71, no. 3 (2007): 795-817.</t>
  </si>
  <si>
    <t>Russell, B., Situ, A. &amp; A. Cornish (Grouper &amp; Wrasse Specialist Group). 2006. Epinephelus polyphekadion. In: IUCN 2013. IUCN Red List of Threatened Species. Version 2013.1. &lt;www.iucnredlist.org&gt;. Downloaded on 11 July 2013.</t>
  </si>
  <si>
    <t>Muus, B.J. &amp; J.G. Nielsen. 1999. Sea fish. Scandinavian Fishing Year Book, Hedehusene, Denmark. 340 p.; Hunter, J.R., Macewicz, B.J., &amp; J.R. Sibert. 1986. The spawning frequency of skipjack tuna, katsuwonus pelamis, from the south Pacific. Fishery Bulletin 84(4): 895-903.</t>
  </si>
  <si>
    <t>Robertson, R. D., Reinboth, R., &amp; Bruce, R. W. 1982. Gonochorism, protogynous sex-change and spawning in three sparisomatinine parrotfishes from the western Indian Ocean. Bulletin of Marine Science, 32(4), 868-879.</t>
  </si>
  <si>
    <t>Russell, D. J., and A. J. McDougall. "Reproductive biology of mangrove jack (Lutjanus argentimacuiatus) in northeastern Queensland, Australia." New Zealand Journal of Marine and Freshwater Research 42, no. 2 (2008): 219-232.</t>
  </si>
  <si>
    <t>Russell, D.J. and McDougall, A.J. (2008) Reproductive biology of mangrove jack (Lutjanus argentimaculatus) in northeastern Queensland, Australia. New Zealand Journal of Marine and Freshwater Research, 42 (2). pp. 219-232.</t>
  </si>
  <si>
    <t>Kaunda-Arara, B., &amp; Ntiba, M. J. 1997. The reproductive biology of Lutjanus fulviflamma (Pisces: Lutjanidae) in Kenyan inshore marine waters. Hydrobiologia, 353(1-3), 153-160.</t>
  </si>
  <si>
    <t>Nanami, A., T. Kurihara, Y. Kurita, A. Yoshimasa, N. Suzuki, and H. Yamada. "Age, growth and reproduction of the humpback red snapper Lutjanus gibbus off Ishigaki Island, Okinawa." Ichthyolgical Rsearch (2010) 57:240-244.      AND       Vijay Anand, P.E. and Pillai, N.G.K. "Reproductive biology of some common coral reef fishes of the Indian EEZ." Journal of Marine Biological Association of India (2002) 44:122-135.</t>
  </si>
  <si>
    <t>Vijayakumaran, M., Maharajan, A., Rajalakshmi, S., Jayagopal, P., Subramanian, M.S., &amp; M.C. Remani. 2012. Fecundity and viability of eggs in wild breeders of spiny lobsters, Panulirus homarus, Panulirus versicolor, and Panulirus ornatus. Journal of the Marine Biological Association of India Vol. 54(2): 5-9.</t>
  </si>
  <si>
    <t>Pet, Jos S., Peter J. Mous, Andreas H. Muljadi, Yvonne J. Sadovy, and Lyle Squire. "Aggregations of Plectropomus areolatus and Epinephelus fuscoguttatus (groupers, Serranidae) in the Komodo National Park, Indonesia: monitoring and implications for management." Environmental Biology of Fishes 74, no. 2 (2005): 209-218.</t>
  </si>
  <si>
    <t>Adams, S. ʺMorphological ontogeny of the gonad of three plectropomid species through sex differentiation and transition.ʺ Journal of Fish Biology 63 (2003) 22-36.     AND      Frisch, A. and Van Herwerden, L. "Field and experimental studies of hybridization between coral troughts, Plectropomus leopardus and Plectropomus maculatus (Serranidae), on the Great Barrier Reef, Australia. Journal of Fish Biology 68 (2006) 1013-1025.</t>
  </si>
  <si>
    <t>Ingles, J. A., &amp; Bkaum, E. (1989). Reproduction and larval ecology of the blue swimming crab Portunus pelagicus in Ragay Gulf, Philippines. Internationale Revue der gesamten Hydrobiologie und Hydrographie, 74(5), 471-490.</t>
  </si>
  <si>
    <t>Sadovy de Mitcheson, Y. and M. Liu. 2009. Gonadal development in a giant threatened reef fish, the humphead wrasse Cheilinus undulatus, and its relationship to international trade. Journal of Fish Biology 77: 706-718.                        Colin, P.L. 2010. Aggregation and spawning of the humphead wrasse Cheilinus undulatus (Pisces: Labridae): general aspects of spawning behavior. Journal of Fish Biology 76(4): 987-1007.</t>
  </si>
  <si>
    <t>Honebrink, R., 1990. Fishing in Hawaii: a student manual. Education Program, Division of Aquatic Resources, Honolulu, Hawaii. 79 p.</t>
  </si>
  <si>
    <t>Byran, P. G., Madraisau, B. B., and McVey, J. P. 1975. Hormone induced and natural spawning of captive Siganus canaliculatus (Pisces: Siganidae) year around. Micronesica 11: 199-204. ; Hasse, J. J. (1977). Some aspects of the life history of Siganus
canaliculatus Park (Pisces: Siganidae) in Palau. Micronesica, 13,
297-312.</t>
  </si>
  <si>
    <t>Hoque, M. M., A. Takemura, M. Matsuyama, S. Matsuura, and K. Takano. "Lunar spawning in Siganus canaliculatus." Journal of fish biology 55, no. 6 (1999): 1213-1222.</t>
  </si>
  <si>
    <t>Wassef, E.A. and H.A. Abdul Hady, 1997. Breeding biology of rabbitfish Siganus canaliculatus (Siganidae) in mid Arabian Gulf. Fish. Res. 33:159-166.</t>
  </si>
  <si>
    <t>Munro, J. L., Gaut, V. C., Thompson, R., &amp; Reeson, P. H. (1973). The spawning seasons of Caribbean reef fishes. Journal of Fish Biology, 5(1), 69-84.</t>
  </si>
  <si>
    <t>Fournier, D.A., J. Hampton, and J.R. Silbert. 1998. MULTIFAN-CL: a length-based, age-structured model for fisheries stock assessment, with application to South Pacific albacore, Thunnus alalunga. Can. J. Fish. Aquat. Sci. 55: 2150-2116.</t>
  </si>
  <si>
    <t>Tampi, P.R.S., Meenakshisundaram, P.T., Basheeruddin, S., &amp; J.C. Gnanamuttu. 1968. Spawning periodicity of the ribbon fish, Trichiurus lepturus, with a note on its rate of growth. Indian Journal of Fisheries 15(4): 53-60.</t>
  </si>
  <si>
    <t>log F = -2.54158 + 2.6155333*Log (L) L in mm (C. caeruleus, India)</t>
  </si>
  <si>
    <t>F(Batch Fecundity) = aSLb SL in mm, for size range 328-640mm a=2.286E-09, b=5.359(Hawaii C. melampygus)</t>
  </si>
  <si>
    <t>Between 49,700 and 4.27 millions eggs from females ranging from 32.8 cm SL to 64 cm SL (Hawaii same sp., Sudekum et al 1991)</t>
  </si>
  <si>
    <t>GOM Tiger Grouper Batch Fecundity (#oocytes)= m*(FL in cm) + b for sample size range 39.8-61.5cm, m=-1,301,714, b=35,674</t>
  </si>
  <si>
    <t>range 186,000 to 1,806,000 eggs, mean potential 674,000 (Kenya, Mwatha 1997)</t>
  </si>
  <si>
    <t>log (F) = 2.34 +2.43*log(SL in cm) (Kenya)</t>
  </si>
  <si>
    <t>y10^(-6) = 0.02x - 9.82; y = #of oocytes 10^6, x = FL(mm)</t>
  </si>
  <si>
    <t>For Lutjanus carponotatus: max of about 700,000 eggs; F = 0.0054 * FL(cm)^5.28 (r^2=0.64)</t>
  </si>
  <si>
    <t>range 51,000 to 460,000 (mean: 167,000) oocytes for fish with total length (Kenya, Kaunda-Arara &amp; Ntiba 1997)</t>
  </si>
  <si>
    <t>46,774 - 130,698 eggs per female (Indian EEZ, Vijay Anand and Pillai 2002)</t>
  </si>
  <si>
    <t>F = 0.00005*FL ^3.747 n=132, r2=0.69 where F=# of oocytes, FL in mm (Taiwan same sp. Wu et al. 2007)</t>
  </si>
  <si>
    <t>Eggs = 2.715 * (Carapace Length)^2.581 (similar sp.)</t>
  </si>
  <si>
    <t>about 94,000 eggs</t>
  </si>
  <si>
    <t>48,000-262,000 eggs per female between 199-244 mm SL (Hawaii same sp. Clarke &amp; Privitera 1995)</t>
  </si>
  <si>
    <t>Batch fecundity ranged from c. 0·52 to 2·56 million eggs. BF=a*FL^b (S. canaliculatus tank raised, Japan, Hoque et al 1999) a=0·0536854, b=5·07292.</t>
  </si>
  <si>
    <t>F(Batch Fecundity) = aFL(cm)b with range of 0.52-2.56 million eggs. a=0.0536854, b=5.07292</t>
  </si>
  <si>
    <t>Pillai, P. P., Gopakumar, G., &amp; Koya, K. P. (2002). Spatial distribution pattern and biology of tuna live-bait fishes in Lakshadweep. Journal of the Marine Biological Association of India, 44(1 &amp; 2), 231-236.</t>
  </si>
  <si>
    <t>K. Longenecker, and R. Langston. "Life History Compendium of Exploited Hawaiian Fishes." Fisheries Local Action Strategy and Division of Aquatic Resources. (2008).</t>
  </si>
  <si>
    <t>Caballero-Arango, Doralice, Thierry Brulé, Virginia Nóh-Quiñones, Teresa Colás-Marrufo, and Esperanza Pérez-Díaz. "Reproductive Biology of the Tiger Grouper in the Southern Gulf of Mexico." Transactions of the American Fisheries Society 142, no. 1 (2013): 282-299.</t>
  </si>
  <si>
    <t>Kulmiye, A. J. (1997). The reproductive biology of the thumbprint emperor, Lethrinus harak (Forsskal,. 1775), from the marine waters of Kenya, with special emphasis on its fecundity estimates.</t>
  </si>
  <si>
    <t>Evans, R. D., G. R. Russ, and J. P. Kritzer. "Batch fecundity of Lutjanus carponotatus (Lutjanidae) and implications of no-take marine reserves on the Great Barrier Reef, Australia." Coral Reefs 27.1 (2008): 179-189.</t>
  </si>
  <si>
    <t>Kaunda-Arara, B., &amp; Ntiba, M. J. (1997). The reproductive biology of Lutjanus fulviflamma (Forsskål, 1775)(Pisces: Lutjanidae) in Kenyan inshore marine waters. Hydrobiologia, 353(1-3), 153-160.</t>
  </si>
  <si>
    <t>Wu, C. C., Weng, J. S., Liu, K. M., &amp; Su, W. C. (2008). Reproductive biology of the notchedfin threadfin bream, Nemipterus peronii (Nemipteridae), in waters of southwestern Taiwan. ZOOLOGICAL STUDIES-TAIPEI-, 47(1), 103.</t>
  </si>
  <si>
    <t>Plaut, I. "Sexual maturity, reproductive season and fecundity of the spiny lobster Panulirus penicillatus from the Gulf of Eilat (Aqaba), Red Sea." Marine and Freshwater Research 44, no. 4 (1993): 527-535.</t>
  </si>
  <si>
    <t>de Lestang, S; Hall, NG; Potter, IC. 2003. Reproductive biology of the blue swimmer crab (Portunus pelagicus, Decapoda : Portunidae) in five bodies of water on the west coast of Australia. FISHERY BULLETIN. 101(4):
745-757</t>
  </si>
  <si>
    <t>Rao, V. Ramamohana. "Spawning behaviour and fecundity of the Indian mackerel, Rastrelliger kanagurta (Cuvier), at Mangalore." Indian Journal of Fisheries 14.1 &amp; 2 (2011): 171-186.</t>
  </si>
  <si>
    <t>Hoque, M. M., Takemura, A., Matsuyama, M., Matsuura, S., &amp; Takano, K. (1999). Lunar spawning in Siganus canaliculatus. Journal of fish biology, 55(6), 1213-1222.</t>
  </si>
  <si>
    <t>Kailola, P.J., M.J. Williams, P.C. Stewart, R.E. Reichelt, A. McNee and C. Grieve, 1993. Australian fisheries resources. Bureau of Resource Sciences, Canberra, Australia. 422 p.</t>
  </si>
  <si>
    <t>Giant: Southeast India- major peak in November to December, minor peak March to April  (Abdussamad et al. 2008)</t>
  </si>
  <si>
    <t>Occurs all yr round</t>
  </si>
  <si>
    <t>R = 1 / (α + (β/St-tc)) * error α = 3.3 β = 0.9</t>
  </si>
  <si>
    <t>Kobayashi, D. R., A. Friedlander, C. Grimes, R. Nichols, and B. Zgliczynski. 2011. Bumphead Parrotfish (Bolbometopon muricatum) Status Review. U.S.
Dep. Commer., NOAA Tech. Memo., NOAA-TM-NMFS-PIFSC-26, 102 p. +
Appendix.</t>
  </si>
  <si>
    <t>Kasim, H.M. and E.M Abdussamad. 2003. Stock Assessment of Coastal Tunas Along the East Coast of India. In: Proceedings of the Tuna meet, 26-27 September 2003, Kochi.            Rohit, P., A. Chellappan, E.M. Abdusssamad, K.K. Joshi, K.P. Said Koya, M. Sivadas, S. Ghosh, A. Margaret Muthu Rathinam, S. Kemparaju, H.K. Dhokia, D. Prakasan, N. Beni. 2012. Fishery and bionomics of the little tuna, Euthynnus affinis (Cantor, 1894) exploited from Indian waters. Indian J. Fish., 59(3): 33-42.</t>
  </si>
  <si>
    <t>MacDonald CD (1982) Catch composition and reproduction of the spiny lobster Panulirus versicolor at Palau. Transactions of the American Fisheries Society 111: 694–699, doi.org/10.1577/1548-8659(1982)111&lt;694:CCAROT&gt;2.0.CO;2</t>
  </si>
  <si>
    <t>Zhang, Chang Ik, and Jae Bong Lee. "Stock assessment and management implications of horse mackerel (&lt; i&gt; Trachurus japonicus&lt;/i&gt;) in Korean waters, based on the relationships between recruitment and the ocean environment." Progress in oceanography 49, no. 1 (2001): 513-537.</t>
  </si>
  <si>
    <t>2011. Bumphead Parrotfish (Bolbometopon muricatum) Status Review. U.S.</t>
  </si>
  <si>
    <t>h=0.75 (New Zealand Pseudocaranx dentex)</t>
  </si>
  <si>
    <t>Similar gulf of mexico species: gag grouper h=0.79, red grouper h=0.84</t>
  </si>
  <si>
    <t>Similar Carribean/Atlantic species: Yellowtail snapper h=0.8, Red snapper h=0.9, Vermillion snapper h=0.56</t>
  </si>
  <si>
    <t>Florida Spiny lobster h=0.97; South African Spiny lobster h=0.713</t>
  </si>
  <si>
    <t>Atka mackerel h=0.8, S.Africa cape horse h=0.6, Pacific chub h=0.315</t>
  </si>
  <si>
    <t>h=0.879 (Indian Ocean Siganus sutor)</t>
  </si>
  <si>
    <t>Dep. Commer., NOAA Tech. Memo., NOAA-TM-NMFS-PIFSC-26, 102 p. +</t>
  </si>
  <si>
    <t>RAM</t>
  </si>
  <si>
    <t>Medley, Paul. ParFish - Participatory Fisheries stock assessment. Chapter 9. pg 149-261. &lt;http://r4d.dfid.gov.uk/PDF/Outputs/Fisheries/R5030_Man2.pdf</t>
  </si>
  <si>
    <t>Age fished/Selectivity</t>
  </si>
  <si>
    <t>Appendix.</t>
  </si>
  <si>
    <t>Spawn on shallow seaward reefs and offshore banks (Myers 1999); Southeast India: major peak in November to December, minor peak March to April  (Abdussamad et al. 2008)</t>
  </si>
  <si>
    <t>1)0.195/yr   2)0.18/yr</t>
  </si>
  <si>
    <t>1)53.70 cm  2)57.9cm</t>
  </si>
  <si>
    <t>1) -0.245 yr</t>
  </si>
  <si>
    <t>90.0 cm SL male/unsexed (Heemstra &amp; Randall 1986) 62.0cm (Saychelles, Grandcourt 2005)</t>
  </si>
  <si>
    <t>1) (Great Barrier Reef, Pears, 2005)  2) Saychelles, Groundcourt 2005</t>
  </si>
  <si>
    <t>31 yrs (Saychelles, Grandcourt 2005)</t>
  </si>
  <si>
    <t>Grandcourt, E. M. (2005). Demographic Characteristics of Selected Epinepheline Groupers (family Serranidae, Subfamily Epinephelinae) from Aldabra Atoll, Seychelles. National Museum of Natural History, Smithsonian Institution.</t>
  </si>
  <si>
    <r>
      <t xml:space="preserve">Same family: single female at 125 mm SL had mature gonads </t>
    </r>
    <r>
      <rPr>
        <i/>
        <sz val="10"/>
        <color rgb="FF000000"/>
        <rFont val="Times New Roman"/>
        <family val="1"/>
      </rPr>
      <t>Hyporhamphus quoyi</t>
    </r>
    <r>
      <rPr>
        <sz val="10"/>
        <color rgb="FF000000"/>
        <rFont val="Times New Roman"/>
        <family val="1"/>
      </rPr>
      <t xml:space="preserve">; at about 125-130cm </t>
    </r>
    <r>
      <rPr>
        <i/>
        <sz val="10"/>
        <color rgb="FF000000"/>
        <rFont val="Times New Roman"/>
        <family val="1"/>
      </rPr>
      <t>Oxyporhamphus  micropterus</t>
    </r>
    <r>
      <rPr>
        <sz val="10"/>
        <color rgb="FF000000"/>
        <rFont val="Times New Roman"/>
        <family val="1"/>
      </rPr>
      <t xml:space="preserve"> (Collette and Su 1986) </t>
    </r>
  </si>
  <si>
    <t>Noell, C. J. (2005). Early life stages of the southern sea garfish, Hyporhamphus Melanochir (Valenciennes 1846), and their association with seagrass beds.</t>
  </si>
  <si>
    <t>eggs take 29d to hatch. Have filaments  that may attach to sea grass (H. melanochir Austrailia Noell 2005)</t>
  </si>
  <si>
    <t>protracted spawning season from October to March (H melanochir, Austrailia, Noell 2005)</t>
  </si>
  <si>
    <t>201-3044 oocytes depending on fish size (H melanochir, Austrailia, Noell 2005)</t>
  </si>
  <si>
    <t>1.85 instantaneous (Austrailia, Sainsbury &amp; Whitelaw 1984)</t>
  </si>
  <si>
    <t>1.2 d (calculated average from N=3 scombridae from this spreadsheet)</t>
  </si>
  <si>
    <t>Indian mackerel</t>
  </si>
  <si>
    <t>90cm TL (fishbase)</t>
  </si>
  <si>
    <t>80.0cm TL (fishbase)</t>
  </si>
  <si>
    <t>0.25 (0.05) /yr</t>
  </si>
  <si>
    <t>high resiliance (fishbase)</t>
  </si>
  <si>
    <t>med resiliance (fishbase</t>
  </si>
  <si>
    <t>low resiliance (fishbase)</t>
  </si>
  <si>
    <t>med reiliance (fishbase)</t>
  </si>
  <si>
    <t>med resiliance (fishbase)</t>
  </si>
  <si>
    <t>very low (fishbase)</t>
  </si>
  <si>
    <t>Parameter</t>
  </si>
  <si>
    <t>Steepness</t>
  </si>
  <si>
    <t>yr</t>
  </si>
  <si>
    <t>mo</t>
  </si>
  <si>
    <t>kUnits</t>
  </si>
  <si>
    <t>kError</t>
  </si>
  <si>
    <t>t0Error</t>
  </si>
  <si>
    <t>NA</t>
  </si>
  <si>
    <t>TLcm</t>
  </si>
  <si>
    <t>LinfError</t>
  </si>
  <si>
    <t>Na</t>
  </si>
  <si>
    <t>WeightA</t>
  </si>
  <si>
    <t>WeightB</t>
  </si>
  <si>
    <t>xLcm</t>
  </si>
  <si>
    <t>http://www.pifsc.noaa.gov/adminrpts/2000-present/PIFSC_Admin_Rep_03-01.pdf</t>
  </si>
  <si>
    <t>AgeAvg</t>
  </si>
  <si>
    <t>AgeFem</t>
  </si>
  <si>
    <t>AgeMale</t>
  </si>
  <si>
    <t>AgeUnits</t>
  </si>
  <si>
    <t>SizeFem</t>
  </si>
  <si>
    <t>SizeMale</t>
  </si>
  <si>
    <t>FLcm</t>
  </si>
  <si>
    <t>SLcm</t>
  </si>
  <si>
    <t>Size</t>
  </si>
  <si>
    <t>MortYr</t>
  </si>
  <si>
    <t>MortInst</t>
  </si>
  <si>
    <t>http://pdf.usaid.gov/pdf_docs/PNAAJ627.pdf#page=162</t>
  </si>
  <si>
    <t>1.85 (Pauly 1985)</t>
  </si>
  <si>
    <t>1.85 instantaneous(unknown region, Pauly 1980)</t>
  </si>
  <si>
    <t>Soliman, V. S., Bobiles, R. U., &amp; Yamaoka, K. (2009). Overfishing of three siganid species (Family: Siganidae) in Lagonoy Gulf, Philippines.</t>
  </si>
  <si>
    <t>1.51 inst (philippines, Soliman et al 2009)</t>
  </si>
  <si>
    <t>1.29 inst (philippines, Soliman et al 2009)</t>
  </si>
  <si>
    <t>PLD</t>
  </si>
  <si>
    <t>Range</t>
  </si>
  <si>
    <t>RangeError</t>
  </si>
  <si>
    <t>MatFemLeng</t>
  </si>
  <si>
    <t>MatFemAge</t>
  </si>
  <si>
    <t>MatMaleLeng</t>
  </si>
  <si>
    <t>MatMaleAge</t>
  </si>
  <si>
    <t>MatLeng</t>
  </si>
  <si>
    <t>MatAge</t>
  </si>
  <si>
    <t>yrxLcm</t>
  </si>
  <si>
    <t>yrSLcm</t>
  </si>
  <si>
    <t>yrFLcm</t>
  </si>
  <si>
    <t>yrTLcm</t>
  </si>
  <si>
    <t>yrCLcm</t>
  </si>
  <si>
    <t>FecundA</t>
  </si>
  <si>
    <t>FecundB</t>
  </si>
  <si>
    <t>size: 101.1mm CW (Aus same sp. Smith et al. 2004)</t>
  </si>
  <si>
    <t>CWcm</t>
  </si>
  <si>
    <t>1) W = a* L^b, TL in cm; W in g (Letourneur et al 1998)</t>
  </si>
  <si>
    <t>184.0 cm</t>
  </si>
  <si>
    <t>(hawaii Sudekum et al 1991)</t>
  </si>
  <si>
    <t>age</t>
  </si>
  <si>
    <t>linf</t>
  </si>
  <si>
    <t>fecundity</t>
  </si>
  <si>
    <t>Average output</t>
  </si>
  <si>
    <t>Mature</t>
  </si>
  <si>
    <r>
      <t>Rhodes, K. L., B. M. Taylor, C. B. Wichilmel, E. Joseph, R. J. Hamilton, and G. R. Almany. "Reproductive biology of squaretail coralgrouper Plectropomus areolatus using age</t>
    </r>
    <r>
      <rPr>
        <sz val="10"/>
        <color rgb="FF000000"/>
        <rFont val="Noteworthy Light"/>
        <family val="2"/>
      </rPr>
      <t>‐</t>
    </r>
    <r>
      <rPr>
        <sz val="10"/>
        <color rgb="FF000000"/>
        <rFont val="Arial"/>
        <family val="2"/>
      </rPr>
      <t>based techniques." Journal of fish biology 82, no. 4 (2013): 1333-1350.</t>
    </r>
  </si>
  <si>
    <t>(Malaysia, Carpenter 1987)</t>
  </si>
  <si>
    <t>0.32/yr</t>
  </si>
  <si>
    <t>-0.42 yrs</t>
  </si>
  <si>
    <t>W=a*L^b, W in g; TL in cm (Pauly et al. 1998)</t>
  </si>
  <si>
    <t>60.0 cm TL male (Sri Lanka) (Carpenter, 1988)</t>
  </si>
  <si>
    <t>Karimunjawa, Cantilan</t>
  </si>
  <si>
    <t>Orange-striped emperor</t>
  </si>
  <si>
    <t>Bumphead Parrotfish</t>
  </si>
  <si>
    <t>Eastern little tuna</t>
  </si>
  <si>
    <t>Bluespine unicornfish</t>
  </si>
  <si>
    <t>0.35 inst (Great Barrier Reef, mean from Gust et al. 2002, n=8 s.d. = 0.092)</t>
  </si>
  <si>
    <t>0.13/yr inst (Saychelles, Grandcourt 2005)</t>
  </si>
  <si>
    <t>h=0.91 sd 0.05</t>
  </si>
  <si>
    <t>0.91 sd. 0.05 (W and Central Pacific Langley et al 2005)</t>
  </si>
  <si>
    <t>Taylor, B. M., &amp; McIlwain, J. L. (2010). Beyond abundance and biomass: effects of marine protected areas on the demography of a highly exploited reef fish. Marine Ecology Progress Series, 411, 243-258.</t>
  </si>
  <si>
    <t>0.79 mean ins rate /yr sd=0.21 (Taylor &amp; Mcllwain 2010)</t>
  </si>
  <si>
    <t>MatAge_Lit</t>
  </si>
  <si>
    <t>yrxLmm</t>
  </si>
  <si>
    <t>cm</t>
  </si>
  <si>
    <t>LinfUnit1</t>
  </si>
  <si>
    <t>LinfUnit2</t>
  </si>
  <si>
    <t>mm</t>
  </si>
  <si>
    <t>SL</t>
  </si>
  <si>
    <t>xL</t>
  </si>
  <si>
    <t>TL</t>
  </si>
  <si>
    <t>CL</t>
  </si>
  <si>
    <t>CW</t>
  </si>
  <si>
    <t>WeightUnit1</t>
  </si>
  <si>
    <t>WeightUnit2</t>
  </si>
  <si>
    <t>WeightUnit3</t>
  </si>
  <si>
    <t>FL</t>
  </si>
  <si>
    <t>g</t>
  </si>
  <si>
    <t>kg</t>
  </si>
  <si>
    <t>SizeUnit2</t>
  </si>
  <si>
    <t>SizeUnit1</t>
  </si>
  <si>
    <t>MatAgeUnit</t>
  </si>
  <si>
    <t>MatLengUnit1</t>
  </si>
  <si>
    <t>MatLengUnit2</t>
  </si>
  <si>
    <t>MatUnits_old</t>
  </si>
  <si>
    <t>35 d (average from Luiz et al same family)</t>
  </si>
  <si>
    <t>Lee, H. H., &amp; Hsu, C. C. (2003). Population biology of the swimming crab Portunus sanguinolentus in the waters off northern Taiwan. Journal of Crustacean Biology, 23(3), 691-699.</t>
  </si>
  <si>
    <t>1.65 male 1.8 female inst (P. sanguinolentus Taiwan, Lee and Hsu 2003)</t>
  </si>
  <si>
    <t>m</t>
  </si>
  <si>
    <t>length cm</t>
  </si>
  <si>
    <t>depends on cm</t>
  </si>
  <si>
    <t>depends on mm</t>
  </si>
  <si>
    <t>Length cm</t>
  </si>
  <si>
    <t>0·0536854</t>
  </si>
  <si>
    <t>5·07292.</t>
  </si>
  <si>
    <t>Indeterminate? Probably August to October off Indonesia (Collette and Nauen, 1983)</t>
  </si>
  <si>
    <t>average output</t>
  </si>
  <si>
    <t>Stequert, B., &amp; Ramcharrun, B. (1996). The fecundity of skipjack tuna (Katsuwonus pelamis) from the Western Indian Ocean.</t>
  </si>
  <si>
    <t>8000-1.25million eggs for 43-73cm. 40-130eggs/g of body weight 4 succesive spawnings/yr. (W Indian Ocean, Stequert and Ramcharrun 1996)</t>
  </si>
  <si>
    <t>SpawnFreq</t>
  </si>
  <si>
    <t>0.37 inst (Martinez-Andrade 2003)</t>
  </si>
  <si>
    <t>0.56 inst (Martinez-Andrade 2003)</t>
  </si>
  <si>
    <t>0.82 inst (Martinez-Andrade 2003)</t>
  </si>
  <si>
    <t>FecundUnit1</t>
  </si>
  <si>
    <t>FecundUnit2</t>
  </si>
  <si>
    <t>FecundEggs</t>
  </si>
  <si>
    <t>(Australia, Hart and Russ, 1996)</t>
  </si>
  <si>
    <t>0.57/yr</t>
  </si>
  <si>
    <t>15.2 FLcm</t>
  </si>
  <si>
    <t>xLmm</t>
  </si>
  <si>
    <t>1.56inst from: 0.8/mo. for 21–30 cm FL; 0.12–0.15/mo. for 51–70 cm FL (W&amp;Central Pacific, Langley et al. 2005)</t>
  </si>
  <si>
    <t>Venkataramani, V. K., &amp; Jayakumar, N. (2006). BIODIVERSITY AND BIOLOGY OF MARINE ORNAMENTAL REEF FISHES OF GULF OF MANNAR–PARROTFISHES (FAMILY: SCARIDAE). Fisheries College and Research Institute. Tamilnadu Veterinary and Animal Sciences University. Thoothukudi-628, 8(7).</t>
  </si>
  <si>
    <t>40cm (gulf of mannar, Venkataramani,  &amp; Jayakumar 2006)</t>
  </si>
  <si>
    <t>39.7 cm TL</t>
  </si>
  <si>
    <t>1.82x10^-3</t>
  </si>
  <si>
    <t>Common</t>
  </si>
  <si>
    <t>ID</t>
  </si>
  <si>
    <t>Country</t>
  </si>
  <si>
    <t>Unique ID by site, country, species</t>
  </si>
  <si>
    <t>Indonesia or Philippines</t>
  </si>
  <si>
    <t>cm or mm</t>
  </si>
  <si>
    <t>Average max age by study or gender</t>
  </si>
  <si>
    <t>deleted because sometimes inconsistent.</t>
  </si>
  <si>
    <t>cm or mm. Consistend with vB units to ease conversions</t>
  </si>
  <si>
    <t xml:space="preserve">Panulirus argus </t>
  </si>
  <si>
    <t>mature</t>
  </si>
  <si>
    <t>brood size in thousands of eggs = 3.40 *CL ^2.5723 CL in mm</t>
  </si>
  <si>
    <t>eggs per year</t>
  </si>
  <si>
    <t>Lane snapper (belize)</t>
  </si>
  <si>
    <t># of eggs</t>
  </si>
  <si>
    <t>average # eggs</t>
  </si>
  <si>
    <t>Belize</t>
  </si>
  <si>
    <t>Port Honduras</t>
  </si>
  <si>
    <t>Glover's Reef, Port Honduras</t>
  </si>
  <si>
    <t>Glover's Reef</t>
  </si>
  <si>
    <t>Haemulidae</t>
  </si>
  <si>
    <t>Sciaenidae</t>
  </si>
  <si>
    <t>Centropomidae</t>
  </si>
  <si>
    <t>Invertebrate</t>
  </si>
  <si>
    <t>Haemulon plumierii</t>
  </si>
  <si>
    <t>Ocyurus chrysurus</t>
  </si>
  <si>
    <t>Bairdiella sanctaeluciae</t>
  </si>
  <si>
    <t>Caranx hippos</t>
  </si>
  <si>
    <t>Centropomus undecimalis</t>
  </si>
  <si>
    <t>Panulirus argus</t>
  </si>
  <si>
    <t>Epinephelus striatus</t>
  </si>
  <si>
    <t>Lutjanus analis</t>
  </si>
  <si>
    <t>Strombus gigas</t>
  </si>
  <si>
    <t>Lutjanus synagris</t>
  </si>
  <si>
    <t>White Grunt</t>
  </si>
  <si>
    <t>Yellowtail Snapper</t>
  </si>
  <si>
    <t>Striped Croaker</t>
  </si>
  <si>
    <t>Crevalle Jack</t>
  </si>
  <si>
    <t>Common Snook</t>
  </si>
  <si>
    <t>Nassau Grouper</t>
  </si>
  <si>
    <t>Mutton Snapper</t>
  </si>
  <si>
    <t>Conch</t>
  </si>
  <si>
    <t>Lane Snapper</t>
  </si>
  <si>
    <t>SE alpha=0.05 (Brazil, Araújo &amp; Martins 2007)</t>
  </si>
  <si>
    <t>(Florida, Garcia et al., 2003)</t>
  </si>
  <si>
    <t>(Fishbase)</t>
  </si>
  <si>
    <t>(Florida 1)east coast 2)west coast (SE) Taylor et al 2000)</t>
  </si>
  <si>
    <t>Prior to maturation Length(mm) = 460(1-exp(-0.25(age in yrs-0.244))),</t>
  </si>
  <si>
    <t>0.48 yr (0.08)</t>
  </si>
  <si>
    <t>0.17 yr</t>
  </si>
  <si>
    <t>0.66 yr</t>
  </si>
  <si>
    <t>1)0.235(0.0076) 2)0.175(0.0155) yr</t>
  </si>
  <si>
    <t>18.3 cm</t>
  </si>
  <si>
    <t>94 cm</t>
  </si>
  <si>
    <t>88 cm FL</t>
  </si>
  <si>
    <t xml:space="preserve"> post maturation: Lip thickness(mm) = 54.9(1-exp(-0.3706*age(yrs)))</t>
  </si>
  <si>
    <t>45.0 cm</t>
  </si>
  <si>
    <t>312.2 mm TL (1.79)</t>
  </si>
  <si>
    <t>607.7 mm TL</t>
  </si>
  <si>
    <t>273 mm TL</t>
  </si>
  <si>
    <t>127.0 cm TL</t>
  </si>
  <si>
    <t>1)989.3(11.64) 2)947.3(32.15) mmFL</t>
  </si>
  <si>
    <t>-0.32   (0.75)</t>
  </si>
  <si>
    <t>1)-0.0976(0.04447) 2)-1.352(0.1714)</t>
  </si>
  <si>
    <t>W=a(L)^b; W = weight in g, and L = TL in cm (Brazil, Frota et al., 2004)</t>
  </si>
  <si>
    <t>W in g, TL in mm (Florida, Garcia et al., 2003)</t>
  </si>
  <si>
    <r>
      <t xml:space="preserve"> W = aL^b TL cm, g B. ronchus (Lesser Antilles Vaslet, A., Bouchon</t>
    </r>
    <r>
      <rPr>
        <sz val="10"/>
        <color rgb="FF000000"/>
        <rFont val="Menlo Italic"/>
        <family val="1"/>
      </rPr>
      <t>‐</t>
    </r>
    <r>
      <rPr>
        <sz val="10"/>
        <color rgb="FF000000"/>
        <rFont val="Times New Roman"/>
        <family val="1"/>
      </rPr>
      <t>Navaro et al 2008)</t>
    </r>
  </si>
  <si>
    <t>W in g, SL in cm (Colombia, Duarte et al. 1999)</t>
  </si>
  <si>
    <t>W in g, FL in mm  (Gulf coast of Florida, Fish &amp; Wildlife Service 2012)</t>
  </si>
  <si>
    <t>Total weight (g) = a *Carapace length(mm)^b</t>
  </si>
  <si>
    <r>
      <t>W (g) =  a*TL</t>
    </r>
    <r>
      <rPr>
        <sz val="11"/>
        <color theme="1"/>
        <rFont val="Calibri"/>
        <family val="2"/>
        <scheme val="minor"/>
      </rPr>
      <t>(</t>
    </r>
    <r>
      <rPr>
        <sz val="11"/>
        <color theme="1"/>
        <rFont val="Calibri"/>
        <family val="2"/>
        <scheme val="minor"/>
      </rPr>
      <t>c</t>
    </r>
    <r>
      <rPr>
        <sz val="11"/>
        <color theme="1"/>
        <rFont val="Calibri"/>
        <family val="2"/>
        <scheme val="minor"/>
      </rPr>
      <t>m)^b</t>
    </r>
    <r>
      <rPr>
        <sz val="11"/>
        <color theme="1"/>
        <rFont val="Calibri"/>
        <family val="2"/>
        <scheme val="minor"/>
      </rPr>
      <t xml:space="preserve"> (mexico)</t>
    </r>
  </si>
  <si>
    <t>Several relationships: Reference p.79: Shell length/lip thickness vs. soft tissue weight/gonad weight</t>
  </si>
  <si>
    <t>Weight(g) = a FL(mm) ^b</t>
  </si>
  <si>
    <t>0.0021 ± 0.1453</t>
  </si>
  <si>
    <t>1.01 x 10-8  TL to kg</t>
  </si>
  <si>
    <t>Soft tissue weight (g) = 3.902(shell length mm) -529.07</t>
  </si>
  <si>
    <t>3.589 ± 0.107</t>
  </si>
  <si>
    <t>Soft tissue weight (g) = 351.2*exp[-0.5^(shell lip thickness(mm)-22.432)/19.612]^2</t>
  </si>
  <si>
    <t>14 years (Antigua, Constantine 2008)</t>
  </si>
  <si>
    <t>13 years (Florida, Garcia et al., 2003).</t>
  </si>
  <si>
    <t>4.3 years (Fishbase)</t>
  </si>
  <si>
    <t>17.0 years (Fishbase)</t>
  </si>
  <si>
    <t>21 years (Florida, Taylor et al., 2000)</t>
  </si>
  <si>
    <t>378 mm (Brazil, Araújo &amp; Martins 2007)</t>
  </si>
  <si>
    <t>70 cm TL (Florida, Garcia et al., 2003)</t>
  </si>
  <si>
    <t>26 cm TL (Fishbase/Chao)</t>
  </si>
  <si>
    <t>124 cm TL (Fishbase)</t>
  </si>
  <si>
    <t>1145 mm TL Female (Florida, Fish &amp; Wildlife Service 2012)</t>
  </si>
  <si>
    <t>260mm</t>
  </si>
  <si>
    <t>120cm</t>
  </si>
  <si>
    <t>84.9cm</t>
  </si>
  <si>
    <t>180cm</t>
  </si>
  <si>
    <t>0.15/yr (95% confidence interval: 0.18–0.24 year-1) (Brazil, Araújo &amp; Martins 2007</t>
  </si>
  <si>
    <t>0.64 instantaneous for ages 3-13 (Garcia et al 2003)</t>
  </si>
  <si>
    <t>1.04/yr inst (Fishbase)</t>
  </si>
  <si>
    <t>0.33/yr inst (Fishbase)</t>
  </si>
  <si>
    <t>0.25/year (Gulf coast of Florida, Fish &amp; Wildlife Service 2012)</t>
  </si>
  <si>
    <t>Adult conch age 4.25 M=0.52; M(total or natural?) = -0.242+4.33/age in yrs (once M=0.1 natural mortality should be assumed to be constant with older conch)</t>
  </si>
  <si>
    <t>22.6 (Luiz et al.)</t>
  </si>
  <si>
    <t>30.9 (Luiz et al)</t>
  </si>
  <si>
    <t>22.5 d (Sciaena umbra, Mediterranean, MacPherson &amp; Raventos 2006)</t>
  </si>
  <si>
    <t>17.5 d (Florida, Peters et al. 1996)</t>
  </si>
  <si>
    <r>
      <t>6 months</t>
    </r>
    <r>
      <rPr>
        <sz val="11"/>
        <color theme="1"/>
        <rFont val="Calibri"/>
        <family val="2"/>
        <scheme val="minor"/>
      </rPr>
      <t>, 6-10months (Gongora)</t>
    </r>
  </si>
  <si>
    <t>30-45days</t>
  </si>
  <si>
    <t>30 days</t>
  </si>
  <si>
    <t>6 weeks</t>
  </si>
  <si>
    <t>201 linear meters (default data)</t>
  </si>
  <si>
    <t>863 linear m (default data)</t>
  </si>
  <si>
    <t>84 linear m (default data)</t>
  </si>
  <si>
    <t>4596 ± 963 linear meters (C melamygus, Hawaii, Longnecker and Langston 2008)</t>
  </si>
  <si>
    <t>2743 linear m (default data based on 101.5 length)</t>
  </si>
  <si>
    <t>0.09-1km2</t>
  </si>
  <si>
    <t>min = 0km, max = 220km</t>
  </si>
  <si>
    <t>93.0 - 3638.4 m2 (similar sp)</t>
  </si>
  <si>
    <t>5.98 ha; or dispersal equation p724, param values p725</t>
  </si>
  <si>
    <t>2 yrs, 16 cm FL (Cuba, Fishbase, García-Cagide, A., R. Claro and B.V. Koshelev, 1994)</t>
  </si>
  <si>
    <t>1-2 yrs, 25-31 cm (Florida, McClellan &amp; Cummings 1998)</t>
  </si>
  <si>
    <t>1.1 yr, 16.3 cm TL (Fishbase)</t>
  </si>
  <si>
    <t>3.5 yrs, 64.8 cm TL (Fishbase)</t>
  </si>
  <si>
    <t>Male: 1 year, 150-200 mm FL.  Transition to Female: 1-7 years, 240 to 824 mm FL. (Florida, Fish &amp; Wildlife Service 2012)</t>
  </si>
  <si>
    <r>
      <t>maturity level: age 2 = 0.44, age 3 = 0.86, age 4 = 0.95, age 5 = 0.98, age 6 = 1.0</t>
    </r>
    <r>
      <rPr>
        <sz val="11"/>
        <color theme="1"/>
        <rFont val="Calibri"/>
        <family val="2"/>
        <scheme val="minor"/>
      </rPr>
      <t>; size 70-80mm</t>
    </r>
  </si>
  <si>
    <t>"Most individuals attain maturity by 7 years" (unqualified value) 48cm xL (Babcock 2011)</t>
  </si>
  <si>
    <t>range of mean age at maturity over carribean: 2.07, 3.71, 5.5; length 37 (babcock2011)</t>
  </si>
  <si>
    <t>3.6 years</t>
  </si>
  <si>
    <r>
      <t>1yr male, 2yr female</t>
    </r>
    <r>
      <rPr>
        <sz val="11"/>
        <color theme="1"/>
        <rFont val="Calibri"/>
        <family val="2"/>
        <scheme val="minor"/>
      </rPr>
      <t>; length 20cm (Babcock 2011)</t>
    </r>
  </si>
  <si>
    <t>female</t>
  </si>
  <si>
    <t>Protandrous hermaphrodite</t>
  </si>
  <si>
    <t>assumes females spawn only once</t>
  </si>
  <si>
    <t>or- 52cm is median length of maturity</t>
  </si>
  <si>
    <t>or- 39cm is median length of maturity</t>
  </si>
  <si>
    <t>based on observation that no ripe gonads found until lip thickness is 4mm (4mm=3.6yrs)</t>
  </si>
  <si>
    <t>unqualified value - implies mean age of maturity</t>
  </si>
  <si>
    <t>26 times during 9 month spawning season (S Gulf of Mexico, Trejo-Martınez et al. 2011)</t>
  </si>
  <si>
    <t>Spawning occurs every 1.1-2.5 days when water temperature is 25°C above the winter minima, and between the hours of 14:00 and 20:00.  (Florida, Fish &amp; Wildlife Service 2012)</t>
  </si>
  <si>
    <t>Conflicting information: For atlantic fisheries primary spawning Feb-May sometimes second peak in Sept, Glover's fishery may have year-round spawning</t>
  </si>
  <si>
    <t>Dec-Jan spawning agrregations during full moons (one site at Glover's)</t>
  </si>
  <si>
    <t>Spawning season March through June, spawn repeatedly over a period of days or months</t>
  </si>
  <si>
    <t>mexico: march to oct with 1-6 spawning events per female</t>
  </si>
  <si>
    <t>spawn throughout year but primary peak in march</t>
  </si>
  <si>
    <t>Absolute Fecundity: Geometric mean: 141,308 from 64,000-312,000 (Cuba, Fishbase, García-Cagide, A., R. Claro and B.V. Koshelev, 1994)</t>
  </si>
  <si>
    <t>14 102 to 164 756 oocytes for size between range 22.7–39.7cm FL (S Gulf of Mexico, Trejo-Martınez et al. 2011)</t>
  </si>
  <si>
    <t>188 964 mean eggs for B. ronchus, (Columbia, Torres Castro et al 1999)</t>
  </si>
  <si>
    <t>3,464,102 eggs (Mexico, Fishbase, García-Cagide et al., 1994); Mean annual fucundity 1,279,768 eggs (Florida, Fish &amp; Wildlife Service 2012)</t>
  </si>
  <si>
    <r>
      <rPr>
        <sz val="11"/>
        <color theme="1"/>
        <rFont val="Calibri"/>
        <family val="2"/>
        <scheme val="minor"/>
      </rPr>
      <t xml:space="preserve">brood size in thousands of eggs </t>
    </r>
    <r>
      <rPr>
        <sz val="11"/>
        <color theme="1"/>
        <rFont val="Calibri"/>
        <family val="2"/>
        <scheme val="minor"/>
      </rPr>
      <t xml:space="preserve">= </t>
    </r>
    <r>
      <rPr>
        <sz val="11"/>
        <color theme="1"/>
        <rFont val="Calibri"/>
        <family val="2"/>
        <scheme val="minor"/>
      </rPr>
      <t>3.40 *CL ^2.5723 CL in mm</t>
    </r>
  </si>
  <si>
    <t>350,000-6,500,000 oocytes for females 300-700mm Standard length</t>
  </si>
  <si>
    <t>373,000eggs for 2.3kg to 1,379,000eggs for 2.27kg female</t>
  </si>
  <si>
    <t>Female: Gonad weight(g) = 0.153 (shell length mm) - 23.238</t>
  </si>
  <si>
    <t>F (#eggs) = a*Total Length(in cm)^b; a=8.5x10^7; b=7.15</t>
  </si>
  <si>
    <t>Similar Carribean/Atlantic species: Yellowtail snapper h=0.8, Red snapper h=0.9, Vermillion snapper h=0.56 (RAM database)</t>
  </si>
  <si>
    <t>0.7 default</t>
  </si>
  <si>
    <t>common</t>
  </si>
  <si>
    <t>01</t>
  </si>
  <si>
    <t>Glovers</t>
  </si>
  <si>
    <t>02</t>
  </si>
  <si>
    <t xml:space="preserve">Lutjanus analis </t>
  </si>
  <si>
    <t>03</t>
  </si>
  <si>
    <t>04</t>
  </si>
  <si>
    <t>05</t>
  </si>
  <si>
    <t>Honduras</t>
  </si>
  <si>
    <t>06</t>
  </si>
  <si>
    <t>07</t>
  </si>
  <si>
    <t>08</t>
  </si>
  <si>
    <t>09</t>
  </si>
  <si>
    <t xml:space="preserve">Lutjanus synagris </t>
  </si>
  <si>
    <t>10</t>
  </si>
  <si>
    <t>11</t>
  </si>
  <si>
    <t>12</t>
  </si>
  <si>
    <t>Site</t>
  </si>
  <si>
    <t>15</t>
  </si>
  <si>
    <t>19</t>
  </si>
  <si>
    <t>20</t>
  </si>
  <si>
    <t>23</t>
  </si>
  <si>
    <t>32</t>
  </si>
  <si>
    <t>41</t>
  </si>
  <si>
    <t>48</t>
  </si>
  <si>
    <t>52</t>
  </si>
  <si>
    <t>Kaimana</t>
  </si>
  <si>
    <t>24</t>
  </si>
  <si>
    <t>30</t>
  </si>
  <si>
    <t>33</t>
  </si>
  <si>
    <t>42</t>
  </si>
  <si>
    <t>14</t>
  </si>
  <si>
    <t>21</t>
  </si>
  <si>
    <t>40</t>
  </si>
  <si>
    <t>47</t>
  </si>
  <si>
    <t>25</t>
  </si>
  <si>
    <t>31</t>
  </si>
  <si>
    <t>34</t>
  </si>
  <si>
    <t>43</t>
  </si>
  <si>
    <t>46</t>
  </si>
  <si>
    <t>16</t>
  </si>
  <si>
    <t>37</t>
  </si>
  <si>
    <t>49</t>
  </si>
  <si>
    <t>17</t>
  </si>
  <si>
    <t>26</t>
  </si>
  <si>
    <t>28</t>
  </si>
  <si>
    <t>29</t>
  </si>
  <si>
    <t>38</t>
  </si>
  <si>
    <t>50</t>
  </si>
  <si>
    <t>13</t>
  </si>
  <si>
    <t>22</t>
  </si>
  <si>
    <t>27</t>
  </si>
  <si>
    <t>36</t>
  </si>
  <si>
    <t>45</t>
  </si>
  <si>
    <t>51</t>
  </si>
  <si>
    <t>18</t>
  </si>
  <si>
    <t>35</t>
  </si>
  <si>
    <t>39</t>
  </si>
  <si>
    <t>44</t>
  </si>
  <si>
    <t>53</t>
  </si>
  <si>
    <t>54</t>
  </si>
  <si>
    <t>55</t>
  </si>
  <si>
    <t>56</t>
  </si>
  <si>
    <t>57</t>
  </si>
  <si>
    <t>58</t>
  </si>
  <si>
    <t>59</t>
  </si>
  <si>
    <t>60</t>
  </si>
  <si>
    <t>61</t>
  </si>
  <si>
    <t>62</t>
  </si>
  <si>
    <t>63</t>
  </si>
  <si>
    <t>64</t>
  </si>
  <si>
    <t>65</t>
  </si>
  <si>
    <t>SL=standard length, FL=Fork Length, TL=Total Length, xL=Length type not reported, CL=caparpace length CW=carapace width.</t>
  </si>
  <si>
    <t>Site name</t>
  </si>
  <si>
    <t>Country name</t>
  </si>
  <si>
    <t>Family name for finfish or Invertebrate</t>
  </si>
  <si>
    <t>Scientific name</t>
  </si>
  <si>
    <t>Common name</t>
  </si>
  <si>
    <t>vB k. Averaged If &gt; 1 value is found.</t>
  </si>
  <si>
    <t>Yr. Always on yearly timestep. Monthly time steps do not currently fit with model structure</t>
  </si>
  <si>
    <t>Mostly NA. Averaged If &gt; 1 value is found.</t>
  </si>
  <si>
    <t>vB L-infinity. Averaged If &gt; 1 value is found.</t>
  </si>
  <si>
    <t>vB t-not. Default t0=0. Averaged If &gt; 1 value is found.</t>
  </si>
  <si>
    <t>B param for W=a*L^b. Averaged If &gt; 1 value is found. Average errors. Units for length and weight noted</t>
  </si>
  <si>
    <t>A param for W=a*L^b. Averaged If &gt; 1 value is found. Average errors. Units for length and weight noted</t>
  </si>
  <si>
    <t>In g or kg</t>
  </si>
  <si>
    <t>Always converted to years</t>
  </si>
  <si>
    <t>In order of prioritization: average max age of male &amp; female, max age of male, max age of female, or unreported gender. Units noted. Male/unsexed deonotes SizeMale and SizeAvg are of equal value</t>
  </si>
  <si>
    <r>
      <t xml:space="preserve">Luiz, O. J., Allen, A. P., Robertson, D. R., Floeter, S. R., Kulbicki, M., Vigliola, L., ... &amp; Madin, J. S. (2013). Adult and larval traits as determinants of geographic range size among tropical reef fishes. </t>
    </r>
    <r>
      <rPr>
        <i/>
        <sz val="10"/>
        <rFont val="Arial"/>
      </rPr>
      <t>Proceedings of the National Academy of Sciences</t>
    </r>
    <r>
      <rPr>
        <sz val="10"/>
        <rFont val="Arial"/>
        <family val="2"/>
      </rPr>
      <t xml:space="preserve">, </t>
    </r>
    <r>
      <rPr>
        <i/>
        <sz val="10"/>
        <rFont val="Arial"/>
      </rPr>
      <t>110</t>
    </r>
    <r>
      <rPr>
        <sz val="10"/>
        <rFont val="Arial"/>
        <family val="2"/>
      </rPr>
      <t>(41), 16498-16502.</t>
    </r>
  </si>
  <si>
    <t>mostly NA. Averaged If &gt; 1 value is found.\</t>
  </si>
  <si>
    <t>Annual mortality. From literature or converted from instantaneous mortality. MortYr = 1-EXP(MortInst)</t>
  </si>
  <si>
    <t>Instantaneous mortality. From literature or converted from annual mortality. MortInst = -LN(1-MortYr)</t>
  </si>
  <si>
    <t>Pelagic larval duration in days 1) from literature by species, mostly Luiz et al. 2013 2) Averaged by family</t>
  </si>
  <si>
    <r>
      <t xml:space="preserve">Kramer, D. L., &amp; Chapman, M. R. (1999). Implications of fish home range size and relocation for marine reserve function. </t>
    </r>
    <r>
      <rPr>
        <i/>
        <sz val="10"/>
        <rFont val="Arial"/>
      </rPr>
      <t>Environmental biology of Fishes</t>
    </r>
    <r>
      <rPr>
        <sz val="10"/>
        <rFont val="Arial"/>
        <family val="2"/>
      </rPr>
      <t xml:space="preserve">, </t>
    </r>
    <r>
      <rPr>
        <i/>
        <sz val="10"/>
        <rFont val="Arial"/>
      </rPr>
      <t>55</t>
    </r>
    <r>
      <rPr>
        <sz val="10"/>
        <rFont val="Arial"/>
        <family val="2"/>
      </rPr>
      <t>(1-2), 65-79.</t>
    </r>
  </si>
  <si>
    <t>Description, Methods, Assumptions</t>
  </si>
  <si>
    <t>Source</t>
  </si>
  <si>
    <r>
      <t xml:space="preserve">Adult movement in linear meters. As 1) linear distance in m diameter reported from lit  2) long axis or diameter of home range </t>
    </r>
    <r>
      <rPr>
        <i/>
        <sz val="10"/>
        <rFont val="Arial"/>
      </rPr>
      <t>calculated</t>
    </r>
    <r>
      <rPr>
        <sz val="10"/>
        <rFont val="Arial"/>
        <family val="2"/>
      </rPr>
      <t xml:space="preserve"> from lit 3) default data using Kramer &amp; Chapman 1999 dependent on max size: Range =  10^(-3.75+(2.35*LOG10(10*(MaxSize in cm)))</t>
    </r>
  </si>
  <si>
    <t>Metadata</t>
  </si>
  <si>
    <t xml:space="preserve">Length of Maturity, in order of priority  1) length of maturity reported in literature, averaged if necessary. 2) inferred length of maturity from MatAge using vB equation: MatLeng = Linf*(1-EXP(-k*((MatAge in vB units)-t0))) Averaged if neccesary. If data on both age and length was available then overrode 1 with 2 but gut-checked for similarity. Units are noted. Units should be consistant with VB units. </t>
  </si>
  <si>
    <r>
      <t xml:space="preserve">Age of Maturity. In order of priority: 1) inferred age of maturity from MatLeng using vB equation: MatAge = t0+(1/k)*(LN(Linf/(Linf-(MatLeng in vB units)))) Averaged if neccesary. 2) age of maturity reported in literature, averaged if necessary. If data on </t>
    </r>
    <r>
      <rPr>
        <u/>
        <sz val="10"/>
        <rFont val="Arial"/>
      </rPr>
      <t>both</t>
    </r>
    <r>
      <rPr>
        <sz val="10"/>
        <rFont val="Arial"/>
        <family val="2"/>
      </rPr>
      <t xml:space="preserve"> age and length was available then overrode 2 with 1 but gut-checked for similarity. Units are noted. Units should be consistant with VB units. </t>
    </r>
  </si>
  <si>
    <t>see FecundA</t>
  </si>
  <si>
    <t>Fecundity parameters dependent on lenght OR weight (see units) Priority: 1) params from # of eggs in batch=a*L^b  2)  assume a=1, b=3 for #of eggs in batch=a*W^b. NA if FecundEggs given.</t>
  </si>
  <si>
    <t>Average # of eggs per mature individual from literature or, given a linear fecundity relationship, the average number of ages once reached maturity (See spreadsheet FecundCalcs). NA if FecundA and FecundB are filled</t>
  </si>
  <si>
    <t>Fecundity Units indicate data sources. Priority: 1) if cm/mm then assume FecundA&amp;B depend on length (See Fecund A #1).  2) If g, then see assume FecundA&amp;B depend on weight with default data template (See FecundA #2). 3) If NA then assume knife-edge fecundity using FecundEggs</t>
  </si>
  <si>
    <t># of spawns per year. Assumed default value is 1, or determinate fecundity</t>
  </si>
  <si>
    <t>Queen Conch</t>
  </si>
  <si>
    <t>Paneluris Argus</t>
  </si>
  <si>
    <t>Lutjanus Synagris</t>
  </si>
  <si>
    <t>Babcock 2011 Length-based indicators of fishery and ecosystem status: Glover's Reef Marine Reserve, Belize; Maniscript Draft</t>
  </si>
  <si>
    <t>Belize data - Appeldoorn 1988</t>
  </si>
  <si>
    <t>Brazil: Neves Araújo, J., &amp; Silva Martins, A. (2007). Age, growth and mortality of white grunt (Haemulon plumierii) from the central coast of Brazil. Scientia Marina, 71(4), 793-800.</t>
  </si>
  <si>
    <r>
      <t xml:space="preserve">Florida: Garcia, E. R., Potts, J. C., Rulifson, R. A., &amp; Manooch, C. S. (2003). Age and growth of yellowtail snapper, Ocyurus chrysurus, from the southeastern United States. </t>
    </r>
    <r>
      <rPr>
        <i/>
        <sz val="10"/>
        <color rgb="FF222222"/>
        <rFont val="Arial"/>
        <family val="2"/>
      </rPr>
      <t>Bulletin of marine science</t>
    </r>
    <r>
      <rPr>
        <sz val="10"/>
        <color rgb="FF222222"/>
        <rFont val="Arial"/>
        <family val="2"/>
      </rPr>
      <t xml:space="preserve">, </t>
    </r>
    <r>
      <rPr>
        <i/>
        <sz val="10"/>
        <color rgb="FF222222"/>
        <rFont val="Arial"/>
        <family val="2"/>
      </rPr>
      <t>72</t>
    </r>
    <r>
      <rPr>
        <sz val="10"/>
        <color rgb="FF222222"/>
        <rFont val="Arial"/>
        <family val="2"/>
      </rPr>
      <t>(3), 909-921.</t>
    </r>
  </si>
  <si>
    <t>http://www.fishbase.org/PopDyn/KeyfactsSummary_2v2.php?ID=1167&amp;GenusName=Bairdiella&amp;SpeciesName=sanctaeluciae&amp;vStockCode=1183&amp;fc=331</t>
  </si>
  <si>
    <t>http://www.fishbase.org/PopDyn/KeyfactsSummary_2v2.php?ID=71&amp;GenusName=Caranx&amp;SpeciesName=hippos&amp;vStockCode=267&amp;fc=314</t>
  </si>
  <si>
    <t>Taylor, R. G., Whittington, J. A., Grier, H. J., &amp; Crabtree, R. E. (2000). Age, growth, maturation, and protandric sex reversal in common snook, Centropomus undecimalis, from the east and west coasts of South Florida. Fishery Bulletin, 98(3).</t>
  </si>
  <si>
    <t>13.3cm</t>
  </si>
  <si>
    <t>869 mm TL</t>
  </si>
  <si>
    <t>54.9 mm</t>
  </si>
  <si>
    <t>450 mm</t>
  </si>
  <si>
    <t>Babcock 2012 Twoard Catch Quotas for Spiny Lobster (Panulirus argus) at Glover's Reef Marine Reserve. Wildlife Conservation Society</t>
  </si>
  <si>
    <t>Total weight (g) = 0.0046 *Carapace length(mm)^2.63</t>
  </si>
  <si>
    <t>(mexico)</t>
  </si>
  <si>
    <t>1.01 x 10-8  TL to kg; a=3.05, b=29</t>
  </si>
  <si>
    <t>Weight(g) = 0.000061 FL(mm) ^2.75</t>
  </si>
  <si>
    <t>Weight (g) = 0.0335TL(mm)^2.772</t>
  </si>
  <si>
    <t>Weight(g)=0.0000364 TL(mm)^2.76</t>
  </si>
  <si>
    <t>Weight(g)=0.04040 SL(Cm)^2.910</t>
  </si>
  <si>
    <t>Weight(g)=0.0000044014 FL(mm)^3.1117</t>
  </si>
  <si>
    <t>Aguilar-Perera, A., &amp; Aguilar-Dávila, W. (1996). A spawning aggregation of Nassau grouperEpinephelus striatus (Pisces: Serranidae) in the Mexican Caribbean. Environmental Biology of Fishes, 45(4), 351-361.</t>
  </si>
  <si>
    <t>Burton, Michael L. "Age, growth and mortality of mutton snapper,&lt; i&gt; Lutjanus analis&lt;/i&gt;, from the east coast of Florida, with a brief discussion of management implications." Fisheries research 59, no. 1 (2002): 31-41.</t>
  </si>
  <si>
    <t>Stoner, Allan W., Karl W. Mueller, Nancy J. Brown-Peterson, Martha H. Davis, and Catherine J. Booker. "Maturation and age in queen conch (&lt; i&gt; Strombus gigas&lt;/i&gt;): Urgent need for changes in harvest criteria." Fisheries Research (2012).</t>
  </si>
  <si>
    <t>Acosta, Alejandro, and Richard S. Appeldoorn. "Estimation of growth, mortality and yield per recruit for Lutjanus synagris (Linnaeus) in Puerto Rico." Bulletin of marine science 50, no. 2 (1992): 282-291.</t>
  </si>
  <si>
    <t>Brazil: Frota, L. O., Costa, P. A. S., &amp; Braga, A. C. (2005). Length-weight relationships of marine fishes from the central Brazilian coast. Naga, 27(1-2), 20-26.</t>
  </si>
  <si>
    <t>Vaslet, A., Bouchon‐Navaro, Y., Louis, M., &amp; Bouchon, C. (2008). Weight–length relationships for 20 fish species collected in the mangroves of Guadeloupe (Lesser Antilles). Journal of Applied Ichthyology, 24(1), 99-100.</t>
  </si>
  <si>
    <t xml:space="preserve">Colombia:Duarte, L.O., C.B. García, N. Sandoval, D. von Schiller, G. Melo and P. Navajas, 1999. Length-weight relationships of demersal fishes from the Gulf of Salamanca, Colombia. Naga ICLARM Q. 22(1):34-36. </t>
  </si>
  <si>
    <t>Florida: Florida Fish &amp; Wildlife Conservation Commission, The 2012 Stock Assessment Update of Common Snook, Centropomus undecimalis  http://www.myfwc.com/media/203323/snook__2012.pdf</t>
  </si>
  <si>
    <t>15 years</t>
  </si>
  <si>
    <t>30 years</t>
  </si>
  <si>
    <t>4.3 yr</t>
  </si>
  <si>
    <t>17.0 years</t>
  </si>
  <si>
    <t>21 years</t>
  </si>
  <si>
    <t>Muller, Robert G., John H. Hunt, Thomas R. Matthews, and William C. Sharp. "Evaluation of effort reduction in the Florida Keys spiny lobster, Panulirus argus, fishery using an age-structured population analysis." Marine and Freshwater Research 48, no. 8 (1997): 1045-1058.</t>
  </si>
  <si>
    <t>Babcock, E. A., Coleman, R., Karnauskas, M., &amp; Gibson, J. (2013). Length-based indicators of fishery and ecosystem status: Glover's Reef Marine Reserve, Belize. Fisheries Research.</t>
  </si>
  <si>
    <t>(Belize Dropbox\Belize Fishery Management Evaluation\Lobster and Conch Background\Literature\S14SAR3 Queen Conch Report)</t>
  </si>
  <si>
    <t>Antigua: CONSTANTINE, S. (2008). Preliminary Age Estimates of White Grunt (Haemulon plumieri) in Antiguan Waters. In Proceedings of the Gulf and Caribbean Fisheries Institute (Vol. 60, p. 282). Gulf and Caribbean Fisheries Institute.</t>
  </si>
  <si>
    <t>Florida: Taylor, R. G., Whittington, J. A., Grier, H. J., &amp; Crabtree, R. E. (2000). Age, growth, maturation, and protandric sex reversal in common snook, Centropomus undecimalis, from the east and west coasts of South Florida.Fishery Bulletin, 98(3).</t>
  </si>
  <si>
    <t>37.8 cm</t>
  </si>
  <si>
    <t>70 cm</t>
  </si>
  <si>
    <t>26 cm</t>
  </si>
  <si>
    <t xml:space="preserve">124 cm TL </t>
  </si>
  <si>
    <t>114.5 cm TL Female</t>
  </si>
  <si>
    <t>http://www.fishbase.org/references/FBRefSummary.php?ID=3702  Chao, L.N., 1978. Sciaenidae. In W. Fischer (ed.) FAO species identification sheets for fishery purposes. West Atlantic (Fishing Area 31). Volume 4. FAO, Rome.</t>
  </si>
  <si>
    <t>M = 0.16, F = 0.33</t>
  </si>
  <si>
    <t>M = 0.16, F = 0.44</t>
  </si>
  <si>
    <t>total mortality: 0.002391/day; fishing mortality = 0.00198/day</t>
  </si>
  <si>
    <t>Hernandez‐Lamb, Jennifer, Anthony Dibello, Shelley Lewis, Gail Mackin, Kevin Kirby, and Charles Acosta. "Modelling the effects of reserve size and fishing mortality for Caribbean queen conch Strombus gigas." Aquatic Conservation: Marine and Freshwater Ecosystems 22, no. 6 (2012): 721-730.</t>
  </si>
  <si>
    <t>6 months</t>
  </si>
  <si>
    <t xml:space="preserve">Male: 1 year, 150-200 mm FL.  Transition to Female: 1-7 years, 240 to 824 mm FL. </t>
  </si>
  <si>
    <t xml:space="preserve"> Eggleston. 1995. Recruitment in Nassau grouper Epinephelus striatus: post-settlement abundance, microhabitat features, and ontogenetic habitat shifts. http://www.int-res.com/articles/meps/124/m124p009.pdf</t>
  </si>
  <si>
    <t>Domeier, Michael L. "A potential larval recruitment pathway originating from a Florida marine protected area." Fisheries Oceanography 13, no. 5 (2004): 287-294.</t>
  </si>
  <si>
    <t>Macpherson, E., &amp; Raventós, N. (2006). Relationship between pelagic larval duration and geographic distribution in Mediterranean littoral fishes. Marine Ecology Progress Series, 327, 257-265.</t>
  </si>
  <si>
    <t>Peters, K. M., Matheson, J., Richard, E., &amp; Taylor, R. G. (1998). Reproduction and early life history of common snook, Centropomus undecimalis (Bloch), in Florida. Bulletin of Marine Science, 62(2), 509-529.</t>
  </si>
  <si>
    <t>0-220km</t>
  </si>
  <si>
    <t>5.98 ha</t>
  </si>
  <si>
    <t>Bertelsen, Rodney D., and Jessica Hornbeck. "Using acoustic tagging to determine adult spiny lobster (Panulirus argus) movement patterns in the Western Sambo Ecological Reserve (Florida, United States)." New Zealand Journal of Marine and Freshwater Research 43, no. 1 (2009): 35-46.</t>
  </si>
  <si>
    <t>Bolden, Stephania K. "Long-distance movement of a Nassau grouper (Epinephelus striatus) to a spawning aggregation in the central Bahamas." FISHERY BULLETIN-NATIONAL OCEANIC AND ATMOSPHERIC ADMINISTRATION 98, no. 3 (2000): 642-645.</t>
  </si>
  <si>
    <t>Nanami, Atsushi, and Hideaki Yamada. "Size and spatial arrangement of home range of checkered snapper Lutjanus decussatus (Lutjanidae) in an Okinawan coral reef determined using a portable GPS receiver." Marine Biology 153, no. 6 (2008): 1103-1111.</t>
  </si>
  <si>
    <t>Most individuals attain maturity by 50.0 cm SL and 7 years; or- 52cm is median length of maturity</t>
  </si>
  <si>
    <t>range of mean age at maturity over carribean: 2.07, 3.71, 5.5; or- 39cm is median length of maturity</t>
  </si>
  <si>
    <t>3.6 years, based on observation that no ripe gonads found until lip thickness is 4mm (4mm = 3.6yrs)</t>
  </si>
  <si>
    <t>1 yr</t>
  </si>
  <si>
    <t>2 yrs, 16 cm FL</t>
  </si>
  <si>
    <t>1-2 yrs, 25 to 31 cm FL</t>
  </si>
  <si>
    <t>3.5 yrs, 64.8 cm TL</t>
  </si>
  <si>
    <t>SAFMC NOAA Stock Assessment and Fishery Evaluation Report for the Snapper Grouper fisher of the South Atlantic 2005. Belize Dropbox, Finfish Lit; Babcock, E. A., Coleman, R., Karnauskas, M., &amp; Gibson, J. (2013). Length-based indicators of fishery and ecosystem status: Glover's Reef Marine Reserve, Belize. Fisheries Research.</t>
  </si>
  <si>
    <t>"Kojis and Quin 2011"; Belize Dropbox; ; Babcock, E. A., Coleman, R., Karnauskas, M., &amp; Gibson, J. (2013). Length-based indicators of fishery and ecosystem status: Glover's Reef Marine Reserve, Belize. Fisheries Research.</t>
  </si>
  <si>
    <t>Appeldoorn, Richard S. "Age determination, growth, mortality and age of first reproduction in adult Queen Conch, Strombus gigas L., off Puerto Rico." Fisheries Research 6, no. 4 (1988): 363-378.</t>
  </si>
  <si>
    <t>Lane Snapper Report "FWRI 2010" Belize Dropbox</t>
  </si>
  <si>
    <t>Cuba: García-Cagide, A., R. Claro and B.V. Koshelev, 1994. Reproducción. p. 187-262. In R. Claro (ed.) Ecología de los peces marinos de Cuba. Inst. Oceanol. Acad. Cienc. Cuba. and Cen. Invest. Quintana Roo (CIQRO) México.  http://www.fishbase.org/Reproduction/FishMaturitySummary.php?id=1140&amp;vstockcode=1156&amp;vmaturityrefno=26409&amp;vsex=female&amp;vlocality=Southwest+region</t>
  </si>
  <si>
    <t>Florida: McClellan, D. B., &amp; Cummings, N. J. (1998). Fishery and biology of the yellowtail snapper, Ocyurus chrysurus, from the southeastern United States, 1962 through 1996. In Proceedings of the Gulf and Caribbean Fisheries Institute (Vol. 49, pp. 25-45).</t>
  </si>
  <si>
    <t>Conflicting information: Atlantic fishery primary spawning Feb-May sometimes second peak in Sept, Glover's fishery may have year-round spawning</t>
  </si>
  <si>
    <t>Spawning season March through June</t>
  </si>
  <si>
    <t xml:space="preserve">Spawning occurs every 1.1-2.5 days when water temperature is 25°C above the winter minima, and between the hours of 14:00 and 20:00. </t>
  </si>
  <si>
    <t>Atlantic fishery: Ehrhardt, Nelson M. "Population dynamic characteristics and sustainability mechanisms in key Western Central Atlantic spiny lobster, Panulirus argus, fisheries." Bulletin of Marine Science 76, no. 2 (2005): 501-526.; Glover's fishery: Acosta, C., and D. Robertson. "Comparative spatial ecology of fished spiny lobsters Panulirus argus and an unfished congener P. guttatus in an isolated marine reserve at Glover's Reef atoll, Belize." Coral reefs 22, no. 1 (2003): 1-9.</t>
  </si>
  <si>
    <t>Sala, Enric, Enric Ballesteros, and Richard M. Starr. "Rapid decline of Nassau grouper spawning aggregations in Belize: fishery management and conservation needs." Fisheries 26, no. 10 (2001): 23-30.</t>
  </si>
  <si>
    <t>Graham, R. T., R. Carcamo, K. L. Rhodes, C. M. Roberts, and N. Requena. "Historical and contemporary evidence of a mutton snapper (Lutjanus analis Cuvier, 1828) spawning aggregation fishery in decline." Coral Reefs 27, no. 2 (2008): 311-319.</t>
  </si>
  <si>
    <t>Paris, C. B., D. Aldana-Aranda, M. Perez Perez, and J. Kool. "Connectivity of Queen conch, Strombus gigas, populations from Mexico." In Proceedings of the 11th International Coral Reef Symposium, Ft. Lauderdale, Florida, 7-11 July 2008, pp. 439-443. 11th International Coral Reef Symposium, 2009.</t>
  </si>
  <si>
    <t>Manickchand-Dass, Sherry. "Reproduction, age and growth of the lane snapper, Lutjanus synagris (Linnaeus), in Trinidad, West Indies." Bulletin of marine science 40, no. 1 (1987): 22-28.</t>
  </si>
  <si>
    <t>Trejo‐Martínez, J., Brulé, T., Mena‐Loría, A., Colás‐Marrufo, T., &amp; Sánchez‐Crespo, M. (2011). Reproductive aspects of the yellowtail snapper Ocyurus chrysurus from the southern Gulf of Mexico. Journal of fish biology, 79(4), 915-936.</t>
  </si>
  <si>
    <t>log (brood size (#eggs)) = 0.5315 + 2.5723 log CL(mm); BS = 3.40 CL(mm) ^ 2.5723</t>
  </si>
  <si>
    <t>373,000 for 2.3kg to 1,379,000 for 2.27kg female</t>
  </si>
  <si>
    <t>3464102 eggs / 1,279,768 eggs</t>
  </si>
  <si>
    <t>Fonseca-Larios, Martha E., and Patricia Briones-Fourzan. "Fecundity of the spiny lobster Panulirus argus (Latreille, 1804) in the Caribbean coast of Mexico." Bulletin of marine science 63, no. 1 (1998): 21-32.</t>
  </si>
  <si>
    <t>Sadovy, Yvonne, and Anne-Marie Eklund. "Synopsis of biological data on the Nassau grouper, Epinephelus striatus (Bloch, 1792), and the jewfish, E. itajara (Lichenstein, 1822)." (1999).</t>
  </si>
  <si>
    <t>Watanabe. 2001. Species Profile Mutton Snapper. Souther Regional Aquaculture Center. SRAC Publication No. 725. https://srac.tamu.edu/index.cfm/event/getFactSheet/whichfactsheet/147/</t>
  </si>
  <si>
    <t>Torres Castro, L., Santos-Martínez, A., &amp; Acero P, A. (1999). Reproducción de Bairdiella ronchus (Pisces: Sciaenidae) en la Ciénaga Grande de Santa Marta, Caribe Colombiano. Revista de Biología Tropical, 47(3), 553-560.</t>
  </si>
  <si>
    <t>Mexico: Fishbase, García-Cagide, A., R. Claro and B.V. Koshelev, 1994. Reproducción. p. 187-262. In R. Claro (ed.) Ecología de los peces marinos de Cuba. Inst. Oceanol. Acad. Cienc. Cuba. and Cen. Invest. Quintana Roo (CIQRO) México. / Florida: Florida Fish &amp; Wildlife Services  http://www.myfwc.com/media/203323/snook__2012.pdf</t>
  </si>
  <si>
    <t>Linear relationship in Cuba: Index of Recruits = 1.0808+0.0412*(Index of Juv)</t>
  </si>
  <si>
    <t>recruitment rate: 0.000000263 /ha day</t>
  </si>
  <si>
    <t>beverton-holt?</t>
  </si>
  <si>
    <t>Cruz, R., M. E. De Leon, and R. Puga. "Prediction of commercial catches of the spiny lobster Panulirus argus in the Gulf of Batabano, Cuba." Crustaceana (1995): 238-244.</t>
  </si>
  <si>
    <t>Porch, Clay E., Anne-Marie Eklund, and Gerald P. Scott. "A catch-free stock assessment model with application to goliath grouper (Epinephelus itajara) off southern Florida." Fishery Bulletin 104, no. 1 (2006): 89-101.</t>
  </si>
  <si>
    <t>Acosta and Appeldoorn 1992. Estimation of Growth, Mortality and Yield Per Recruit for Lutjanus Synagris (Linnaeus) in Puerto Rico</t>
  </si>
  <si>
    <t>Florida Spiny lobster h=0.97; South African Spiny lobster h=0.713; Linear relationship in Cuba: Index of Recruits = 1.0808+0.0412*(Index of Juv)</t>
  </si>
  <si>
    <t>South Atlantic Fishery Management Council. Spiny Lobster Update Assessment Review Workshop Report. GMFMC/SAFMC/SEDAR Update Assessment Workshop. (2010);RAM database; Cruz, R., M. E. De Leon, and R. Puga. "Prediction of commercial catches of the spiny lobster Panulirus argus in the Gulf of Batabano, Cuba." Crustaceana (1995): 238-244.</t>
  </si>
  <si>
    <t>Southeast Fisheries Science Center. Steepness of spawner-recruit relationships in reef fishes of the southeastern U.S.: A prior distribution for possible use in stock assessment. SEDAR19-DW-06. (2009)</t>
  </si>
  <si>
    <t>RAM database</t>
  </si>
  <si>
    <t>2; size limit 7.6cm</t>
  </si>
  <si>
    <t>Most common lengths in speargun fishery: 41-71cm</t>
  </si>
  <si>
    <t>Most common lengths in speargun fishery: 34-62; hand line 49cm</t>
  </si>
  <si>
    <t>Recruits are 2 years * length first capture 17.6cm Shell Length</t>
  </si>
  <si>
    <t>*length first captre 23cm</t>
  </si>
  <si>
    <t>Mauro Gongora. 2010. Assessment of the Spiny Lobster of Belize Based on Fishery-Dependent Data; http://ambergriscaye.com/help/article-236.html</t>
  </si>
  <si>
    <t>Glovers, Honduras</t>
  </si>
  <si>
    <t>Belize Managed Access Areas</t>
  </si>
  <si>
    <t>Species Parameters</t>
  </si>
  <si>
    <t>Lobster</t>
  </si>
  <si>
    <t>Spawning Time</t>
  </si>
  <si>
    <t>Adult home range</t>
  </si>
  <si>
    <t>params</t>
  </si>
  <si>
    <r>
      <t xml:space="preserve">[(m^2 + </t>
    </r>
    <r>
      <rPr>
        <sz val="11"/>
        <color theme="1"/>
        <rFont val="Calibri"/>
        <family val="2"/>
      </rPr>
      <t>ψ</t>
    </r>
    <r>
      <rPr>
        <sz val="7.05"/>
        <color theme="1"/>
        <rFont val="Calibri"/>
        <family val="2"/>
      </rPr>
      <t xml:space="preserve"> (2m^</t>
    </r>
    <r>
      <rPr>
        <sz val="8"/>
        <color theme="1"/>
        <rFont val="Calibri"/>
        <family val="2"/>
      </rPr>
      <t>21 - ))/(4t(1- ψ)]</t>
    </r>
    <r>
      <rPr>
        <sz val="5.0999999999999996"/>
        <color theme="1"/>
        <rFont val="Calibri"/>
        <family val="2"/>
      </rPr>
      <t>▽^</t>
    </r>
    <r>
      <rPr>
        <sz val="8"/>
        <color theme="1"/>
        <rFont val="Calibri"/>
        <family val="2"/>
      </rPr>
      <t>2u = D▽^2u</t>
    </r>
  </si>
  <si>
    <t>VB Length at age</t>
  </si>
  <si>
    <t xml:space="preserve">Linf </t>
  </si>
  <si>
    <t xml:space="preserve">Weight at length </t>
  </si>
  <si>
    <t>Max age</t>
  </si>
  <si>
    <t>Age first capture</t>
  </si>
  <si>
    <t>Length first capture</t>
  </si>
  <si>
    <t>7.6cm</t>
  </si>
  <si>
    <t>17.6cm Shell Length</t>
  </si>
  <si>
    <t>Age maturity</t>
  </si>
  <si>
    <t>Gamma selectivity model for 30-170mm: function(L,params) { #gamma  theta=params[1] k=params[2] exp(k)/(theta*k)^(k-1)*L^(k-1)*exp(-L/theta)}</t>
  </si>
  <si>
    <t>Check Figure: knife-edge spearfishing ~ 30cm</t>
  </si>
  <si>
    <t>Check Figure: knife-edge spearfishing ~ 25cm</t>
  </si>
  <si>
    <t>param 1</t>
  </si>
  <si>
    <t>theta = 3.856</t>
  </si>
  <si>
    <t>param 2</t>
  </si>
  <si>
    <t>k = 26.82</t>
  </si>
  <si>
    <t>Model Time Scale</t>
  </si>
  <si>
    <t>recruitment is weekly</t>
  </si>
  <si>
    <t>Glovers Reef Nt+1 = Nt*e^(-M/52)-Catch*e^(-M/104); Florida R = (1.64*10^7*SSB)/(7.29*10^10*SSB); Cuba linear relationship: Index of Recruits = 1.0808+0.0412*(Index of Juv)</t>
  </si>
  <si>
    <t>two potential sources</t>
  </si>
  <si>
    <t>potential source given</t>
  </si>
  <si>
    <t>Glover's MPA recruitment rate: 0.000000263 /ha day from reaction-diffusion model</t>
  </si>
  <si>
    <t>steepness</t>
  </si>
  <si>
    <t>Natural mortality (inst)</t>
  </si>
  <si>
    <t>Totl Mortality /yr (Z)</t>
  </si>
  <si>
    <t>0.002391/day</t>
  </si>
  <si>
    <t>Fishing Mortality (F)</t>
  </si>
  <si>
    <t>0.63-0.67</t>
  </si>
  <si>
    <t>0.00198/day</t>
  </si>
  <si>
    <t xml:space="preserve"> </t>
  </si>
  <si>
    <t>Luiz, O. J., Allen, A. P., Robertson, D. R., Floeter, S. R., Kulbicki, M., Vigliola, L., ... &amp; Madin, J. S. (2013). Adult and larval traits as determinants of geographic range size among tropical reef fishes. Proceedings of the National Academy of Science et al</t>
  </si>
  <si>
    <t>Luiz, O. J., Allen, A. P., Robertson, D. R., Floeter, S. R., Kulbicki, M., Vigliola, L., ... &amp; Madin, J. S. (2013). Adult and larval traits as determinants of geographic range size among tropical reef fishes. Proceedings of the National Academy of Science et al Family average</t>
  </si>
  <si>
    <t>Steepness parameter h. Priority: 1) value from literature or RAM database at species level 2) value from lit or RAM database at family level, averaged 3) Resiliance bins from fishbase: low = 0.5, medium=0.7, high=0.84 4) Assume med steepness of 0.7</t>
  </si>
  <si>
    <t>CleanParams_All</t>
  </si>
  <si>
    <t>CleanParams_Belize</t>
  </si>
  <si>
    <t>CleanParams_IndoPacific</t>
  </si>
  <si>
    <t>RawParams</t>
  </si>
  <si>
    <t>References</t>
  </si>
  <si>
    <t>Raw to Clean1</t>
  </si>
  <si>
    <t>Raw to Clean2</t>
  </si>
  <si>
    <t>Raw to Clean_Belize</t>
  </si>
  <si>
    <t>FecundityCalcs</t>
  </si>
  <si>
    <t>Original RawParams Belize</t>
  </si>
  <si>
    <t>Artifacts</t>
  </si>
  <si>
    <t>Important</t>
  </si>
  <si>
    <t>Life history parameters for Philipinnes and Indonesia. Ready for import. Sorted by site. Some species will be repeated if identified as targets in multiple sites.</t>
  </si>
  <si>
    <t>Complete list of life history parameters for all countries. Ready for import. Sorted alphabetically by scientific name. Some species will be repeated if identified as targets in multiple sites.</t>
  </si>
  <si>
    <t>Intermediate step 2 between Raw and Clean data, with formulas and default data calculations. May aid in data cleaning process.</t>
  </si>
  <si>
    <t>Intermediate step between Raw and Clean data for Belize, with formulas and default data calculations. May aid in data cleaning process.</t>
  </si>
  <si>
    <t>Intermediate step 1 between Raw and Clean data with formulas and default data calculations. May aid in data cleaning process.</t>
  </si>
  <si>
    <t>Provides full references for RawParams for all countries. Currently in alphebetical order by common name of species. Format has changed over time. For example, it became redundant to report the value of the parameter with this spreadsheet in addition to RawParams. If a source provides more than one parameter, it may only be entered in the species column only once. The easiest way to search is Ctrl F with the short reference name from RawParams.</t>
  </si>
  <si>
    <t>The following spreadsheets are artifacts of my research process. They are available as needed for reference.</t>
  </si>
  <si>
    <t>Description of enclosed spreadsheets</t>
  </si>
  <si>
    <t>Fecundity calculations to determine average number of eggs from linear fecundity relationships. See FecundEggs in Metadata.</t>
  </si>
  <si>
    <t>The first LH parameter search effort has a slightly different format. While these species are repeated in RawParams, I thought it useful to include the additional research I conducted on different parameters. A separate reference list is available for the first cut of Belize parameters in a word doc titled "Belize LHparams Reference List".</t>
  </si>
  <si>
    <t>The first 6 spreadsheets are the most relevant for using LH parameters in modeling and understanding their sources and limitations. They present parameters formated for import and as notes, with references.</t>
  </si>
  <si>
    <t>Gives methodology for translating RawParams to CleanParams, including default data templates and prioritized lists of data sources. See also Clean to Raw1&amp;2, Clean to Raw_Belize for further questions about this process.</t>
  </si>
  <si>
    <t>Life history parameters for Belize. Ready for import. Sorted by site. Species sorted by site. Some species will be repeated if identified as targets in multiple sites.</t>
  </si>
  <si>
    <t>Complete literative review of life history parameters for all countries. Reported as notes. Species are sorted alphabetically by common name. After most cells the following information about the source should be given in parenthesis: 1. Species (if different than column title), region of study if available, a short citation). A few Belize species lack this designation (See Original RawParams Belize)</t>
  </si>
  <si>
    <t>Notes to guide future research efforts</t>
  </si>
  <si>
    <t>*Research aids, in order of usefulness: Google Scholar, Google, Fishbase, Web of Science.</t>
  </si>
  <si>
    <t>*Always record the species, region, and citation.</t>
  </si>
  <si>
    <t>*If a parameter value seems out of the ordinary, gut-check in Fishbase</t>
  </si>
  <si>
    <t>*Be careful about the distinction between instantaneous and annual (discrete) natural mortality. Studies often do not report which they use but, in my experience, most studies use instantaneous. Units for mortality are often per year regardless of the form it takes.</t>
  </si>
  <si>
    <t>*Whenever possible, use studies from the region of interest.</t>
  </si>
  <si>
    <t>*Always record units. For length-based parameters, record units (cm or mm) as well as length type e.g. FL or TL. Refer to Metadata tab for all necessary units.</t>
  </si>
  <si>
    <t>*Watch out for high vB k values (near or over 1), especially within slow growing species. This may indicate an unreliable source.</t>
  </si>
  <si>
    <t>GOOD LUCK</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</si>
</sst>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2" formatCode="_(&quot;$&quot;* #,##0_);_(&quot;$&quot;* \(#,##0\);_(&quot;$&quot;* &quot;-&quot;_);_(@_)"/>
    <numFmt numFmtId="41" formatCode="_(* #,##0_);_(* \(#,##0\);_(* &quot;-&quot;_);_(@_)"/>
    <numFmt numFmtId="43" formatCode="_(* #,##0.00_);_(* \(#,##0.00\);_(* &quot;-&quot;??_);_(@_)"/>
    <numFmt numFmtId="164" formatCode="0.0"/>
    <numFmt numFmtId="165" formatCode="0.0000"/>
    <numFmt numFmtId="166" formatCode="_(* #,##0_);_(* \(#,##0\);_(* &quot;-&quot;??_);_(@_)"/>
    <numFmt numFmtId="167" formatCode="0.000000000000"/>
    <numFmt numFmtId="168" formatCode="0.0000000000"/>
    <numFmt numFmtId="169" formatCode="0.00000"/>
    <numFmt numFmtId="170" formatCode="0.0000000"/>
    <numFmt numFmtId="171" formatCode="0.000"/>
  </numFmts>
  <fonts count="52" x14ac:knownFonts="1">
    <font>
      <sz val="10"/>
      <name val="Arial"/>
      <family val="2"/>
    </font>
    <font>
      <sz val="10"/>
      <name val="Arial"/>
      <family val="2"/>
    </font>
    <font>
      <sz val="10"/>
      <color rgb="FF000000"/>
      <name val="Calibri"/>
      <family val="2"/>
    </font>
    <font>
      <sz val="10"/>
      <color rgb="FF000000"/>
      <name val="Arial"/>
      <family val="2"/>
    </font>
    <font>
      <sz val="10"/>
      <name val="Times New Roman"/>
      <family val="1"/>
    </font>
    <font>
      <b/>
      <sz val="10"/>
      <color rgb="FF000000"/>
      <name val="Arial"/>
      <family val="2"/>
    </font>
    <font>
      <sz val="8"/>
      <name val="Calibri"/>
      <scheme val="minor"/>
    </font>
    <font>
      <sz val="8"/>
      <color rgb="FF000000"/>
      <name val="Calibri"/>
      <family val="2"/>
      <scheme val="minor"/>
    </font>
    <font>
      <b/>
      <sz val="10"/>
      <color rgb="FF000000"/>
      <name val="Calibri"/>
      <family val="2"/>
    </font>
    <font>
      <i/>
      <sz val="8"/>
      <color rgb="FF000000"/>
      <name val="Calibri"/>
      <family val="2"/>
      <scheme val="minor"/>
    </font>
    <font>
      <i/>
      <sz val="8"/>
      <name val="Calibri"/>
      <family val="2"/>
      <scheme val="minor"/>
    </font>
    <font>
      <sz val="10"/>
      <color rgb="FF000000"/>
      <name val="Calibri"/>
      <family val="2"/>
      <scheme val="minor"/>
    </font>
    <font>
      <sz val="10"/>
      <color rgb="FF000000"/>
      <name val="Times New Roman"/>
      <family val="1"/>
    </font>
    <font>
      <i/>
      <sz val="10"/>
      <color rgb="FF000000"/>
      <name val="Times New Roman"/>
      <family val="1"/>
    </font>
    <font>
      <b/>
      <sz val="9"/>
      <color indexed="81"/>
      <name val="Arial"/>
      <family val="2"/>
    </font>
    <font>
      <sz val="9"/>
      <color indexed="81"/>
      <name val="Arial"/>
      <family val="2"/>
    </font>
    <font>
      <b/>
      <sz val="9"/>
      <color indexed="81"/>
      <name val="Tahoma"/>
      <family val="2"/>
    </font>
    <font>
      <sz val="9"/>
      <color indexed="81"/>
      <name val="Tahoma"/>
      <family val="2"/>
    </font>
    <font>
      <i/>
      <sz val="10"/>
      <color rgb="FF000000"/>
      <name val="Arial"/>
      <family val="2"/>
    </font>
    <font>
      <sz val="11"/>
      <color rgb="FF9C6500"/>
      <name val="Calibri"/>
      <family val="2"/>
      <scheme val="minor"/>
    </font>
    <font>
      <u/>
      <sz val="10"/>
      <color theme="10"/>
      <name val="Arial"/>
      <family val="2"/>
    </font>
    <font>
      <u/>
      <sz val="10"/>
      <color theme="11"/>
      <name val="Arial"/>
      <family val="2"/>
    </font>
    <font>
      <b/>
      <sz val="10"/>
      <name val="Arial"/>
    </font>
    <font>
      <i/>
      <sz val="10"/>
      <name val="Arial"/>
    </font>
    <font>
      <i/>
      <sz val="10"/>
      <color rgb="FF000000"/>
      <name val="Calibri"/>
      <scheme val="minor"/>
    </font>
    <font>
      <sz val="10"/>
      <color rgb="FF000000"/>
      <name val="Noteworthy Light"/>
      <family val="2"/>
    </font>
    <font>
      <sz val="11"/>
      <color theme="1"/>
      <name val="Calibri"/>
      <family val="2"/>
      <scheme val="minor"/>
    </font>
    <font>
      <sz val="10"/>
      <color rgb="FF000000"/>
      <name val="Menlo Italic"/>
      <family val="1"/>
    </font>
    <font>
      <b/>
      <sz val="8"/>
      <color indexed="81"/>
      <name val="Tahoma"/>
      <family val="2"/>
    </font>
    <font>
      <sz val="8"/>
      <color indexed="81"/>
      <name val="Tahoma"/>
      <family val="2"/>
    </font>
    <font>
      <sz val="9"/>
      <color indexed="81"/>
      <name val="Noteworthy Bold"/>
      <family val="2"/>
    </font>
    <font>
      <u/>
      <sz val="10"/>
      <name val="Arial"/>
    </font>
    <font>
      <sz val="10"/>
      <color rgb="FF222222"/>
      <name val="Arial"/>
      <family val="2"/>
    </font>
    <font>
      <i/>
      <sz val="10"/>
      <color rgb="FF222222"/>
      <name val="Arial"/>
      <family val="2"/>
    </font>
    <font>
      <sz val="8"/>
      <name val="Calibri"/>
      <family val="2"/>
    </font>
    <font>
      <i/>
      <sz val="8"/>
      <color rgb="FF000000"/>
      <name val="Calibri"/>
      <family val="2"/>
    </font>
    <font>
      <b/>
      <sz val="9"/>
      <color rgb="FF000000"/>
      <name val="Arial"/>
      <family val="2"/>
    </font>
    <font>
      <sz val="9"/>
      <color rgb="FF000000"/>
      <name val="Arial"/>
      <family val="2"/>
    </font>
    <font>
      <sz val="11"/>
      <color rgb="FF006100"/>
      <name val="Calibri"/>
      <family val="2"/>
      <scheme val="minor"/>
    </font>
    <font>
      <b/>
      <sz val="11"/>
      <color theme="1"/>
      <name val="Calibri"/>
      <family val="2"/>
      <scheme val="minor"/>
    </font>
    <font>
      <sz val="11"/>
      <color theme="1"/>
      <name val="Calibri"/>
      <family val="2"/>
    </font>
    <font>
      <sz val="7.05"/>
      <color theme="1"/>
      <name val="Calibri"/>
      <family val="2"/>
    </font>
    <font>
      <sz val="8"/>
      <color theme="1"/>
      <name val="Calibri"/>
      <family val="2"/>
    </font>
    <font>
      <sz val="5.0999999999999996"/>
      <color theme="1"/>
      <name val="Calibri"/>
      <family val="2"/>
    </font>
    <font>
      <sz val="10"/>
      <name val="Lucida Console"/>
      <family val="3"/>
    </font>
    <font>
      <b/>
      <i/>
      <sz val="10"/>
      <color rgb="FF000000"/>
      <name val="Arial"/>
    </font>
    <font>
      <sz val="12"/>
      <name val="Arial"/>
    </font>
    <font>
      <b/>
      <sz val="12"/>
      <name val="Arial"/>
    </font>
    <font>
      <sz val="8"/>
      <name val="Arial"/>
      <family val="2"/>
    </font>
    <font>
      <sz val="11"/>
      <name val="Garamond"/>
    </font>
    <font>
      <u/>
      <sz val="12"/>
      <name val="Arial"/>
    </font>
    <font>
      <sz val="12"/>
      <name val="Garamond"/>
    </font>
  </fonts>
  <fills count="16">
    <fill>
      <patternFill patternType="none"/>
    </fill>
    <fill>
      <patternFill patternType="gray125"/>
    </fill>
    <fill>
      <patternFill patternType="solid">
        <fgColor rgb="FFFFEB9C"/>
      </patternFill>
    </fill>
    <fill>
      <patternFill patternType="solid">
        <fgColor rgb="FFEEECE1"/>
        <bgColor rgb="FFEAF1DD"/>
      </patternFill>
    </fill>
    <fill>
      <patternFill patternType="solid">
        <fgColor rgb="FFFFFFFF"/>
        <bgColor rgb="FFEFEFEF"/>
      </patternFill>
    </fill>
    <fill>
      <patternFill patternType="solid">
        <fgColor rgb="FFC0504D"/>
        <bgColor rgb="FF993366"/>
      </patternFill>
    </fill>
    <fill>
      <patternFill patternType="solid">
        <fgColor rgb="FFC6D9F0"/>
        <bgColor rgb="FFC5D9F1"/>
      </patternFill>
    </fill>
    <fill>
      <patternFill patternType="solid">
        <fgColor theme="9" tint="0.39997558519241921"/>
        <bgColor rgb="FFEEECE1"/>
      </patternFill>
    </fill>
    <fill>
      <patternFill patternType="solid">
        <fgColor rgb="FFFFFF00"/>
        <bgColor indexed="64"/>
      </patternFill>
    </fill>
    <fill>
      <patternFill patternType="solid">
        <fgColor rgb="FFFFFF00"/>
        <bgColor rgb="FFEAF1DD"/>
      </patternFill>
    </fill>
    <fill>
      <patternFill patternType="solid">
        <fgColor rgb="FFC6EFCE"/>
      </patternFill>
    </fill>
    <fill>
      <patternFill patternType="solid">
        <fgColor theme="5"/>
        <bgColor indexed="64"/>
      </patternFill>
    </fill>
    <fill>
      <patternFill patternType="solid">
        <fgColor theme="3" tint="0.79998168889431442"/>
        <bgColor indexed="64"/>
      </patternFill>
    </fill>
    <fill>
      <patternFill patternType="solid">
        <fgColor rgb="FFFABF8F"/>
        <bgColor rgb="FFEEECE1"/>
      </patternFill>
    </fill>
    <fill>
      <patternFill patternType="solid">
        <fgColor theme="5" tint="0.79998168889431442"/>
        <bgColor indexed="64"/>
      </patternFill>
    </fill>
    <fill>
      <patternFill patternType="solid">
        <fgColor theme="8" tint="0.79998168889431442"/>
        <bgColor indexed="64"/>
      </patternFill>
    </fill>
  </fills>
  <borders count="29">
    <border>
      <left/>
      <right/>
      <top/>
      <bottom/>
      <diagonal/>
    </border>
    <border>
      <left/>
      <right style="thin">
        <color rgb="FF000000"/>
      </right>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auto="1"/>
      </top>
      <bottom/>
      <diagonal/>
    </border>
    <border>
      <left style="thin">
        <color auto="1"/>
      </left>
      <right/>
      <top/>
      <bottom/>
      <diagonal/>
    </border>
    <border>
      <left/>
      <right/>
      <top/>
      <bottom style="thin">
        <color rgb="FF000000"/>
      </bottom>
      <diagonal/>
    </border>
    <border>
      <left style="thin">
        <color auto="1"/>
      </left>
      <right/>
      <top style="thin">
        <color auto="1"/>
      </top>
      <bottom/>
      <diagonal/>
    </border>
    <border>
      <left style="thin">
        <color rgb="FF000000"/>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diagonal/>
    </border>
    <border>
      <left/>
      <right style="thin">
        <color auto="1"/>
      </right>
      <top/>
      <bottom/>
      <diagonal/>
    </border>
    <border>
      <left/>
      <right/>
      <top/>
      <bottom style="double">
        <color auto="1"/>
      </bottom>
      <diagonal/>
    </border>
    <border>
      <left/>
      <right style="thin">
        <color auto="1"/>
      </right>
      <top/>
      <bottom style="double">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top/>
      <bottom style="medium">
        <color auto="1"/>
      </bottom>
      <diagonal/>
    </border>
    <border>
      <left style="thin">
        <color auto="1"/>
      </left>
      <right style="medium">
        <color auto="1"/>
      </right>
      <top/>
      <bottom/>
      <diagonal/>
    </border>
    <border>
      <left style="thin">
        <color auto="1"/>
      </left>
      <right style="medium">
        <color auto="1"/>
      </right>
      <top/>
      <bottom style="medium">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theme="0" tint="-0.14999847407452621"/>
      </bottom>
      <diagonal/>
    </border>
    <border>
      <left style="thin">
        <color auto="1"/>
      </left>
      <right style="medium">
        <color auto="1"/>
      </right>
      <top style="thin">
        <color auto="1"/>
      </top>
      <bottom style="thin">
        <color theme="0" tint="-0.14999847407452621"/>
      </bottom>
      <diagonal/>
    </border>
    <border>
      <left style="thin">
        <color auto="1"/>
      </left>
      <right/>
      <top style="thin">
        <color theme="0" tint="-0.14999847407452621"/>
      </top>
      <bottom style="thin">
        <color theme="0" tint="-0.14999847407452621"/>
      </bottom>
      <diagonal/>
    </border>
    <border>
      <left style="thin">
        <color auto="1"/>
      </left>
      <right style="medium">
        <color auto="1"/>
      </right>
      <top style="thin">
        <color theme="0" tint="-0.14999847407452621"/>
      </top>
      <bottom style="thin">
        <color theme="0" tint="-0.14999847407452621"/>
      </bottom>
      <diagonal/>
    </border>
    <border>
      <left style="thin">
        <color auto="1"/>
      </left>
      <right/>
      <top style="thin">
        <color theme="0" tint="-0.14999847407452621"/>
      </top>
      <bottom style="thin">
        <color auto="1"/>
      </bottom>
      <diagonal/>
    </border>
    <border>
      <left style="thin">
        <color auto="1"/>
      </left>
      <right style="medium">
        <color auto="1"/>
      </right>
      <top style="thin">
        <color theme="0" tint="-0.14999847407452621"/>
      </top>
      <bottom style="thin">
        <color auto="1"/>
      </bottom>
      <diagonal/>
    </border>
  </borders>
  <cellStyleXfs count="513">
    <xf numFmtId="0" fontId="0" fillId="0" borderId="0"/>
    <xf numFmtId="41" fontId="1" fillId="0" borderId="0" applyFill="0" applyBorder="0" applyAlignment="0" applyProtection="0"/>
    <xf numFmtId="42" fontId="1" fillId="0" borderId="0" applyFill="0" applyBorder="0" applyAlignment="0" applyProtection="0"/>
    <xf numFmtId="0" fontId="19" fillId="2" borderId="0" applyNumberFormat="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43" fontId="1" fillId="0" borderId="0" applyFon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6"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6" fillId="0" borderId="0"/>
    <xf numFmtId="0" fontId="26"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38" fillId="10" borderId="0" applyNumberFormat="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221">
    <xf numFmtId="0" fontId="0" fillId="0" borderId="0" xfId="0"/>
    <xf numFmtId="0" fontId="2" fillId="0" borderId="0" xfId="0" applyFont="1"/>
    <xf numFmtId="0" fontId="3" fillId="0" borderId="0" xfId="0" applyFont="1" applyFill="1" applyBorder="1" applyAlignment="1" applyProtection="1"/>
    <xf numFmtId="0" fontId="0" fillId="0" borderId="0" xfId="0" applyFont="1" applyBorder="1" applyAlignment="1">
      <alignment vertical="center" wrapText="1"/>
    </xf>
    <xf numFmtId="0" fontId="4" fillId="0" borderId="0" xfId="0" applyFont="1" applyBorder="1" applyAlignment="1">
      <alignment vertical="center" wrapText="1"/>
    </xf>
    <xf numFmtId="0" fontId="5" fillId="0" borderId="0" xfId="0" applyFont="1" applyBorder="1" applyAlignment="1">
      <alignment vertical="center" wrapText="1"/>
    </xf>
    <xf numFmtId="0" fontId="5" fillId="0" borderId="1" xfId="0" applyFont="1" applyBorder="1" applyAlignment="1">
      <alignment vertical="center" wrapText="1"/>
    </xf>
    <xf numFmtId="0" fontId="5" fillId="0" borderId="2" xfId="0" applyFont="1" applyBorder="1" applyAlignment="1">
      <alignment vertical="center" wrapText="1"/>
    </xf>
    <xf numFmtId="0" fontId="5" fillId="0" borderId="3" xfId="0" applyFont="1" applyBorder="1" applyAlignment="1">
      <alignment vertical="center" wrapText="1"/>
    </xf>
    <xf numFmtId="0" fontId="5" fillId="0" borderId="4" xfId="0" applyFont="1" applyBorder="1" applyAlignment="1">
      <alignment vertical="center" wrapText="1"/>
    </xf>
    <xf numFmtId="0" fontId="5" fillId="0" borderId="0" xfId="0" applyFont="1"/>
    <xf numFmtId="0" fontId="6" fillId="0" borderId="5" xfId="0" applyFont="1" applyBorder="1" applyAlignment="1">
      <alignment vertical="center" wrapText="1"/>
    </xf>
    <xf numFmtId="0" fontId="7" fillId="0" borderId="5" xfId="0" applyFont="1" applyBorder="1" applyAlignment="1">
      <alignment vertical="center" wrapText="1"/>
    </xf>
    <xf numFmtId="0" fontId="3" fillId="0" borderId="0" xfId="0" applyFont="1"/>
    <xf numFmtId="0" fontId="5" fillId="0" borderId="0" xfId="0" applyNumberFormat="1" applyFont="1" applyAlignment="1">
      <alignment horizontal="left"/>
    </xf>
    <xf numFmtId="0" fontId="8" fillId="0" borderId="0" xfId="0" applyNumberFormat="1" applyFont="1" applyBorder="1" applyAlignment="1">
      <alignment horizontal="left" vertical="center" wrapText="1"/>
    </xf>
    <xf numFmtId="0" fontId="7" fillId="0" borderId="0" xfId="0" applyNumberFormat="1" applyFont="1" applyBorder="1" applyAlignment="1">
      <alignment horizontal="left" vertical="center"/>
    </xf>
    <xf numFmtId="0" fontId="7" fillId="0" borderId="0" xfId="0" applyFont="1" applyBorder="1" applyAlignment="1">
      <alignment horizontal="left" vertical="center" wrapText="1"/>
    </xf>
    <xf numFmtId="0" fontId="3" fillId="0" borderId="0" xfId="0" applyNumberFormat="1" applyFont="1" applyAlignment="1">
      <alignment horizontal="left"/>
    </xf>
    <xf numFmtId="0" fontId="3" fillId="0" borderId="0" xfId="0" applyNumberFormat="1" applyFont="1" applyFill="1" applyBorder="1" applyAlignment="1" applyProtection="1">
      <alignment horizontal="left"/>
    </xf>
    <xf numFmtId="0" fontId="9" fillId="0" borderId="6" xfId="0" applyFont="1" applyBorder="1" applyAlignment="1">
      <alignment horizontal="left" vertical="center" wrapText="1"/>
    </xf>
    <xf numFmtId="0" fontId="9" fillId="0" borderId="0" xfId="0" applyFont="1" applyBorder="1" applyAlignment="1">
      <alignment horizontal="left" vertical="center" wrapText="1"/>
    </xf>
    <xf numFmtId="0" fontId="10" fillId="0" borderId="0" xfId="0" applyFont="1" applyBorder="1"/>
    <xf numFmtId="0" fontId="8" fillId="0" borderId="0" xfId="0" applyFont="1" applyBorder="1" applyAlignment="1">
      <alignment horizontal="left" vertical="center" wrapText="1"/>
    </xf>
    <xf numFmtId="0" fontId="3" fillId="0" borderId="0" xfId="0" applyFont="1" applyAlignment="1">
      <alignment horizontal="left"/>
    </xf>
    <xf numFmtId="0" fontId="0" fillId="0" borderId="0" xfId="0" applyAlignment="1">
      <alignment horizontal="left"/>
    </xf>
    <xf numFmtId="0" fontId="8" fillId="0" borderId="7" xfId="0" applyFont="1" applyBorder="1" applyAlignment="1">
      <alignment horizontal="center" vertical="center"/>
    </xf>
    <xf numFmtId="0" fontId="8" fillId="3" borderId="4" xfId="0" applyFont="1" applyFill="1" applyBorder="1" applyAlignment="1">
      <alignment vertical="center"/>
    </xf>
    <xf numFmtId="0" fontId="8" fillId="3" borderId="2" xfId="0" applyFont="1" applyFill="1" applyBorder="1" applyAlignment="1">
      <alignment vertical="center"/>
    </xf>
    <xf numFmtId="0" fontId="12" fillId="0" borderId="8" xfId="0" applyFont="1" applyBorder="1" applyAlignment="1">
      <alignment horizontal="left" vertical="center" wrapText="1"/>
    </xf>
    <xf numFmtId="0" fontId="12" fillId="0" borderId="5" xfId="0" applyFont="1" applyBorder="1" applyAlignment="1">
      <alignment horizontal="left" vertical="center" wrapText="1"/>
    </xf>
    <xf numFmtId="0" fontId="8" fillId="3" borderId="9" xfId="0" applyFont="1" applyFill="1" applyBorder="1" applyAlignment="1">
      <alignment vertical="center"/>
    </xf>
    <xf numFmtId="0" fontId="8" fillId="3" borderId="0" xfId="0" applyFont="1" applyFill="1" applyAlignment="1">
      <alignment vertical="center"/>
    </xf>
    <xf numFmtId="0" fontId="12" fillId="0" borderId="6" xfId="0" applyFont="1" applyBorder="1" applyAlignment="1">
      <alignment horizontal="left" vertical="center" wrapText="1"/>
    </xf>
    <xf numFmtId="0" fontId="12" fillId="0" borderId="0" xfId="0" applyFont="1" applyBorder="1" applyAlignment="1">
      <alignment horizontal="left" vertical="center" wrapText="1"/>
    </xf>
    <xf numFmtId="0" fontId="12" fillId="0" borderId="0" xfId="0" quotePrefix="1" applyFont="1" applyBorder="1" applyAlignment="1">
      <alignment horizontal="left" vertical="center" wrapText="1"/>
    </xf>
    <xf numFmtId="4" fontId="12" fillId="0" borderId="0" xfId="0" applyNumberFormat="1" applyFont="1" applyBorder="1" applyAlignment="1">
      <alignment horizontal="left" vertical="center" wrapText="1"/>
    </xf>
    <xf numFmtId="11" fontId="12" fillId="0" borderId="0" xfId="0" applyNumberFormat="1" applyFont="1" applyBorder="1" applyAlignment="1">
      <alignment horizontal="left" vertical="center" wrapText="1"/>
    </xf>
    <xf numFmtId="11" fontId="2" fillId="0" borderId="0" xfId="0" applyNumberFormat="1" applyFont="1" applyAlignment="1">
      <alignment horizontal="left" vertical="center" wrapText="1"/>
    </xf>
    <xf numFmtId="0" fontId="2" fillId="0" borderId="0" xfId="0" applyFont="1" applyAlignment="1">
      <alignment horizontal="left" vertical="center" wrapText="1"/>
    </xf>
    <xf numFmtId="0" fontId="8" fillId="3" borderId="0" xfId="0" applyFont="1" applyFill="1" applyBorder="1" applyAlignment="1">
      <alignment vertical="center"/>
    </xf>
    <xf numFmtId="0" fontId="12" fillId="0" borderId="10" xfId="0" applyFont="1" applyBorder="1" applyAlignment="1">
      <alignment horizontal="left" vertical="center" wrapText="1"/>
    </xf>
    <xf numFmtId="0" fontId="12" fillId="0" borderId="11" xfId="0" applyFont="1" applyBorder="1" applyAlignment="1">
      <alignment horizontal="left" vertical="center" wrapText="1"/>
    </xf>
    <xf numFmtId="0" fontId="2" fillId="0" borderId="0" xfId="0" applyFont="1" applyBorder="1" applyAlignment="1">
      <alignment horizontal="left" vertical="center"/>
    </xf>
    <xf numFmtId="0" fontId="12" fillId="0" borderId="0" xfId="0" applyFont="1" applyBorder="1" applyAlignment="1">
      <alignment horizontal="left" vertical="center"/>
    </xf>
    <xf numFmtId="0" fontId="3" fillId="0" borderId="1" xfId="0" applyFont="1" applyBorder="1"/>
    <xf numFmtId="0" fontId="2" fillId="0" borderId="13" xfId="0" applyFont="1" applyBorder="1" applyAlignment="1">
      <alignment horizontal="left" vertical="center"/>
    </xf>
    <xf numFmtId="0" fontId="2" fillId="0" borderId="0" xfId="0" applyFont="1" applyAlignment="1">
      <alignment horizontal="left" vertical="center"/>
    </xf>
    <xf numFmtId="0" fontId="3" fillId="0" borderId="0" xfId="0" applyFont="1" applyAlignment="1">
      <alignment horizontal="left" vertical="center"/>
    </xf>
    <xf numFmtId="0" fontId="2" fillId="0" borderId="1" xfId="0" applyFont="1" applyBorder="1" applyAlignment="1">
      <alignment horizontal="left" vertical="center"/>
    </xf>
    <xf numFmtId="0" fontId="2" fillId="0" borderId="0" xfId="0" applyFont="1" applyAlignment="1">
      <alignment vertical="center"/>
    </xf>
    <xf numFmtId="0" fontId="2" fillId="0" borderId="0" xfId="0" applyFont="1" applyBorder="1" applyAlignment="1">
      <alignment vertical="center"/>
    </xf>
    <xf numFmtId="0" fontId="3" fillId="0" borderId="0" xfId="0" applyFont="1" applyAlignment="1">
      <alignment vertical="center"/>
    </xf>
    <xf numFmtId="0" fontId="3" fillId="0" borderId="0" xfId="0" applyFont="1" applyBorder="1"/>
    <xf numFmtId="0" fontId="3" fillId="0" borderId="12" xfId="0" applyFont="1" applyFill="1" applyBorder="1" applyAlignment="1" applyProtection="1"/>
    <xf numFmtId="0" fontId="12" fillId="0" borderId="0" xfId="0" applyFont="1" applyFill="1" applyBorder="1" applyAlignment="1" applyProtection="1"/>
    <xf numFmtId="0" fontId="3" fillId="0" borderId="13" xfId="0" applyFont="1" applyFill="1" applyBorder="1" applyAlignment="1" applyProtection="1"/>
    <xf numFmtId="0" fontId="18" fillId="0" borderId="0" xfId="0" applyFont="1" applyBorder="1" applyAlignment="1">
      <alignment horizontal="left" vertical="center" wrapText="1"/>
    </xf>
    <xf numFmtId="0" fontId="18" fillId="0" borderId="0" xfId="0" applyFont="1" applyBorder="1" applyAlignment="1">
      <alignment horizontal="left" vertical="center"/>
    </xf>
    <xf numFmtId="0" fontId="3" fillId="0" borderId="0" xfId="0" applyFont="1" applyBorder="1" applyAlignment="1">
      <alignment horizontal="left"/>
    </xf>
    <xf numFmtId="0" fontId="3" fillId="5" borderId="0" xfId="0" applyFont="1" applyFill="1" applyBorder="1" applyAlignment="1">
      <alignment horizontal="left" vertical="top" wrapText="1"/>
    </xf>
    <xf numFmtId="0" fontId="3" fillId="0" borderId="0" xfId="0" applyFont="1" applyBorder="1" applyAlignment="1">
      <alignment horizontal="left" vertical="top" wrapText="1"/>
    </xf>
    <xf numFmtId="0" fontId="3" fillId="0" borderId="0" xfId="0" applyFont="1" applyBorder="1" applyAlignment="1">
      <alignment vertical="top" wrapText="1"/>
    </xf>
    <xf numFmtId="0" fontId="3" fillId="4" borderId="0" xfId="0" applyFont="1" applyFill="1" applyBorder="1" applyAlignment="1">
      <alignment horizontal="left" vertical="top" wrapText="1"/>
    </xf>
    <xf numFmtId="0" fontId="3" fillId="6" borderId="0" xfId="0" applyFont="1" applyFill="1" applyBorder="1" applyAlignment="1">
      <alignment horizontal="left" vertical="top" wrapText="1"/>
    </xf>
    <xf numFmtId="0" fontId="3" fillId="6" borderId="0" xfId="0" applyFont="1" applyFill="1" applyBorder="1" applyAlignment="1">
      <alignment vertical="top" wrapText="1"/>
    </xf>
    <xf numFmtId="0" fontId="0" fillId="0" borderId="0" xfId="0" applyBorder="1" applyAlignment="1">
      <alignment vertical="top" wrapText="1"/>
    </xf>
    <xf numFmtId="0" fontId="0" fillId="6" borderId="0" xfId="0" applyFill="1" applyBorder="1" applyAlignment="1">
      <alignment wrapText="1"/>
    </xf>
    <xf numFmtId="0" fontId="0" fillId="0" borderId="0" xfId="0" applyAlignment="1">
      <alignment wrapText="1"/>
    </xf>
    <xf numFmtId="0" fontId="3" fillId="0" borderId="6" xfId="0" applyFont="1" applyFill="1" applyBorder="1" applyAlignment="1" applyProtection="1"/>
    <xf numFmtId="0" fontId="11" fillId="7" borderId="6" xfId="0" applyFont="1" applyFill="1" applyBorder="1" applyAlignment="1">
      <alignment horizontal="center" vertical="center" wrapText="1"/>
    </xf>
    <xf numFmtId="0" fontId="11" fillId="7" borderId="0" xfId="0" applyFont="1" applyFill="1" applyBorder="1" applyAlignment="1">
      <alignment horizontal="center" vertical="center" wrapText="1"/>
    </xf>
    <xf numFmtId="0" fontId="22" fillId="0" borderId="0" xfId="0" applyFont="1" applyAlignment="1">
      <alignment wrapText="1"/>
    </xf>
    <xf numFmtId="0" fontId="12" fillId="0" borderId="0" xfId="0" applyFont="1" applyAlignment="1">
      <alignment horizontal="left" vertical="center" wrapText="1"/>
    </xf>
    <xf numFmtId="2" fontId="12" fillId="0" borderId="6" xfId="0" applyNumberFormat="1" applyFont="1" applyBorder="1" applyAlignment="1">
      <alignment horizontal="left" vertical="center" wrapText="1"/>
    </xf>
    <xf numFmtId="2" fontId="12" fillId="0" borderId="0" xfId="0" applyNumberFormat="1" applyFont="1" applyBorder="1" applyAlignment="1">
      <alignment horizontal="left" vertical="center" wrapText="1"/>
    </xf>
    <xf numFmtId="1" fontId="12" fillId="0" borderId="0" xfId="0" applyNumberFormat="1" applyFont="1" applyBorder="1" applyAlignment="1">
      <alignment horizontal="left" vertical="center" wrapText="1"/>
    </xf>
    <xf numFmtId="1" fontId="12" fillId="0" borderId="6" xfId="0" applyNumberFormat="1" applyFont="1" applyBorder="1" applyAlignment="1">
      <alignment horizontal="left" vertical="center" wrapText="1"/>
    </xf>
    <xf numFmtId="164" fontId="12" fillId="0" borderId="0" xfId="0" applyNumberFormat="1" applyFont="1" applyBorder="1" applyAlignment="1">
      <alignment horizontal="left" vertical="center" wrapText="1"/>
    </xf>
    <xf numFmtId="0" fontId="12" fillId="0" borderId="0" xfId="0" applyFont="1" applyAlignment="1">
      <alignment horizontal="left" vertical="center"/>
    </xf>
    <xf numFmtId="0" fontId="24" fillId="0" borderId="0" xfId="0" applyFont="1" applyBorder="1" applyAlignment="1">
      <alignment horizontal="left" vertical="center"/>
    </xf>
    <xf numFmtId="2" fontId="8" fillId="3" borderId="0" xfId="0" applyNumberFormat="1" applyFont="1" applyFill="1" applyAlignment="1">
      <alignment vertical="center"/>
    </xf>
    <xf numFmtId="2" fontId="3" fillId="0" borderId="0" xfId="0" applyNumberFormat="1" applyFont="1"/>
    <xf numFmtId="2" fontId="2" fillId="0" borderId="0" xfId="0" applyNumberFormat="1" applyFont="1"/>
    <xf numFmtId="2" fontId="0" fillId="0" borderId="0" xfId="0" applyNumberFormat="1"/>
    <xf numFmtId="2" fontId="12" fillId="0" borderId="0" xfId="0" applyNumberFormat="1" applyFont="1" applyFill="1" applyBorder="1" applyAlignment="1" applyProtection="1">
      <alignment horizontal="left" vertical="center"/>
    </xf>
    <xf numFmtId="2" fontId="3" fillId="0" borderId="0" xfId="0" applyNumberFormat="1" applyFont="1" applyAlignment="1">
      <alignment horizontal="left" vertical="center"/>
    </xf>
    <xf numFmtId="2" fontId="0" fillId="0" borderId="0" xfId="0" applyNumberFormat="1" applyAlignment="1">
      <alignment horizontal="left" vertical="center"/>
    </xf>
    <xf numFmtId="2" fontId="8" fillId="9" borderId="0" xfId="0" applyNumberFormat="1" applyFont="1" applyFill="1" applyAlignment="1">
      <alignment horizontal="left" vertical="center"/>
    </xf>
    <xf numFmtId="0" fontId="8" fillId="9" borderId="0" xfId="0" applyFont="1" applyFill="1" applyAlignment="1">
      <alignment vertical="center"/>
    </xf>
    <xf numFmtId="0" fontId="9" fillId="0" borderId="0" xfId="0" applyFont="1" applyBorder="1" applyAlignment="1">
      <alignment horizontal="left" vertical="center"/>
    </xf>
    <xf numFmtId="2" fontId="12" fillId="0" borderId="0" xfId="0" applyNumberFormat="1" applyFont="1" applyFill="1" applyBorder="1" applyAlignment="1">
      <alignment horizontal="left" vertical="center" wrapText="1"/>
    </xf>
    <xf numFmtId="165" fontId="0" fillId="0" borderId="0" xfId="0" applyNumberFormat="1"/>
    <xf numFmtId="164" fontId="0" fillId="0" borderId="0" xfId="0" applyNumberFormat="1"/>
    <xf numFmtId="1" fontId="0" fillId="0" borderId="0" xfId="0" applyNumberFormat="1"/>
    <xf numFmtId="1" fontId="0" fillId="0" borderId="0" xfId="198" applyNumberFormat="1" applyFont="1"/>
    <xf numFmtId="166" fontId="0" fillId="0" borderId="0" xfId="198" applyNumberFormat="1" applyFont="1"/>
    <xf numFmtId="164" fontId="8" fillId="3" borderId="0" xfId="0" applyNumberFormat="1" applyFont="1" applyFill="1" applyAlignment="1">
      <alignment vertical="center"/>
    </xf>
    <xf numFmtId="164" fontId="3" fillId="0" borderId="0" xfId="0" applyNumberFormat="1" applyFont="1"/>
    <xf numFmtId="167" fontId="12" fillId="0" borderId="0" xfId="0" applyNumberFormat="1" applyFont="1" applyBorder="1" applyAlignment="1">
      <alignment horizontal="left" vertical="center" wrapText="1"/>
    </xf>
    <xf numFmtId="2" fontId="2" fillId="0" borderId="0" xfId="0" applyNumberFormat="1" applyFont="1" applyAlignment="1">
      <alignment horizontal="left" vertical="center" wrapText="1"/>
    </xf>
    <xf numFmtId="165" fontId="3" fillId="0" borderId="0" xfId="0" applyNumberFormat="1" applyFont="1"/>
    <xf numFmtId="165" fontId="2" fillId="0" borderId="0" xfId="0" applyNumberFormat="1" applyFont="1"/>
    <xf numFmtId="165" fontId="2" fillId="0" borderId="0" xfId="0" applyNumberFormat="1" applyFont="1" applyAlignment="1">
      <alignment horizontal="left" vertical="center" wrapText="1"/>
    </xf>
    <xf numFmtId="165" fontId="12" fillId="0" borderId="0" xfId="0" applyNumberFormat="1" applyFont="1" applyBorder="1" applyAlignment="1">
      <alignment horizontal="left" vertical="center" wrapText="1"/>
    </xf>
    <xf numFmtId="165" fontId="12" fillId="0" borderId="6" xfId="0" applyNumberFormat="1" applyFont="1" applyBorder="1" applyAlignment="1">
      <alignment horizontal="left" vertical="center" wrapText="1"/>
    </xf>
    <xf numFmtId="165" fontId="8" fillId="3" borderId="0" xfId="0" applyNumberFormat="1" applyFont="1" applyFill="1" applyAlignment="1">
      <alignment vertical="center"/>
    </xf>
    <xf numFmtId="0" fontId="23" fillId="0" borderId="0" xfId="0" applyFont="1"/>
    <xf numFmtId="0" fontId="12" fillId="8" borderId="0" xfId="0" applyFont="1" applyFill="1" applyBorder="1" applyAlignment="1">
      <alignment horizontal="left" vertical="center"/>
    </xf>
    <xf numFmtId="43" fontId="0" fillId="0" borderId="0" xfId="198" applyFont="1"/>
    <xf numFmtId="0" fontId="6" fillId="0" borderId="0" xfId="0" applyFont="1" applyBorder="1" applyAlignment="1">
      <alignment vertical="center" wrapText="1"/>
    </xf>
    <xf numFmtId="3" fontId="12" fillId="0" borderId="0" xfId="0" applyNumberFormat="1" applyFont="1" applyBorder="1" applyAlignment="1">
      <alignment horizontal="left" vertical="center" wrapText="1"/>
    </xf>
    <xf numFmtId="0" fontId="0" fillId="0" borderId="2" xfId="0" applyFont="1" applyBorder="1" applyAlignment="1">
      <alignment vertical="center" wrapText="1"/>
    </xf>
    <xf numFmtId="0" fontId="3" fillId="0" borderId="2" xfId="0" applyFont="1" applyFill="1" applyBorder="1" applyAlignment="1" applyProtection="1"/>
    <xf numFmtId="0" fontId="2" fillId="0" borderId="9" xfId="0" applyFont="1" applyBorder="1" applyAlignment="1">
      <alignment horizontal="left" vertical="center"/>
    </xf>
    <xf numFmtId="0" fontId="3" fillId="0" borderId="1" xfId="0" applyFont="1" applyFill="1" applyBorder="1" applyAlignment="1" applyProtection="1"/>
    <xf numFmtId="0" fontId="22" fillId="0" borderId="0" xfId="0" applyFont="1"/>
    <xf numFmtId="49" fontId="0" fillId="0" borderId="0" xfId="0" applyNumberFormat="1"/>
    <xf numFmtId="0" fontId="22" fillId="0" borderId="0" xfId="0" applyFont="1" applyAlignment="1">
      <alignment vertical="center" wrapText="1"/>
    </xf>
    <xf numFmtId="0" fontId="0" fillId="0" borderId="0" xfId="0" applyAlignment="1">
      <alignment vertical="center" wrapText="1"/>
    </xf>
    <xf numFmtId="0" fontId="22" fillId="0" borderId="14" xfId="0" applyFont="1" applyBorder="1" applyAlignment="1">
      <alignment horizontal="center" vertical="center" wrapText="1"/>
    </xf>
    <xf numFmtId="0" fontId="0" fillId="0" borderId="0" xfId="0" applyFont="1" applyFill="1" applyBorder="1" applyAlignment="1">
      <alignment vertical="center" wrapText="1"/>
    </xf>
    <xf numFmtId="0" fontId="26" fillId="0" borderId="0" xfId="439"/>
    <xf numFmtId="0" fontId="5" fillId="0" borderId="0" xfId="0" applyFont="1" applyFill="1"/>
    <xf numFmtId="0" fontId="34" fillId="0" borderId="0" xfId="0" applyFont="1" applyFill="1" applyBorder="1" applyAlignment="1">
      <alignment vertical="center" wrapText="1"/>
    </xf>
    <xf numFmtId="0" fontId="8" fillId="0" borderId="0" xfId="0" applyNumberFormat="1" applyFont="1" applyFill="1" applyBorder="1" applyAlignment="1">
      <alignment horizontal="left" vertical="center" wrapText="1"/>
    </xf>
    <xf numFmtId="0" fontId="35" fillId="0" borderId="0" xfId="0" applyFont="1" applyFill="1" applyBorder="1" applyAlignment="1">
      <alignment horizontal="left" vertical="center" wrapText="1"/>
    </xf>
    <xf numFmtId="0" fontId="8" fillId="0" borderId="0" xfId="0" applyFont="1" applyFill="1" applyBorder="1" applyAlignment="1">
      <alignment horizontal="left" vertical="center" wrapText="1"/>
    </xf>
    <xf numFmtId="0" fontId="8" fillId="0" borderId="7" xfId="0" applyFont="1" applyFill="1" applyBorder="1" applyAlignment="1">
      <alignment horizontal="center" vertical="center"/>
    </xf>
    <xf numFmtId="0" fontId="2" fillId="13" borderId="0" xfId="0" applyFont="1" applyFill="1" applyBorder="1" applyAlignment="1">
      <alignment horizontal="center" vertical="center" wrapText="1"/>
    </xf>
    <xf numFmtId="0" fontId="26" fillId="0" borderId="0" xfId="439" applyAlignment="1"/>
    <xf numFmtId="0" fontId="12" fillId="0" borderId="0" xfId="0" applyFont="1" applyFill="1" applyBorder="1" applyAlignment="1">
      <alignment horizontal="left" vertical="center" wrapText="1"/>
    </xf>
    <xf numFmtId="0" fontId="26" fillId="0" borderId="0" xfId="439" applyAlignment="1">
      <alignment wrapText="1"/>
    </xf>
    <xf numFmtId="165" fontId="12" fillId="0" borderId="0" xfId="0" applyNumberFormat="1" applyFont="1" applyFill="1" applyBorder="1" applyAlignment="1">
      <alignment horizontal="left" vertical="center" wrapText="1"/>
    </xf>
    <xf numFmtId="168" fontId="12" fillId="0" borderId="0" xfId="0" applyNumberFormat="1" applyFont="1" applyFill="1" applyBorder="1" applyAlignment="1">
      <alignment horizontal="left" vertical="center" wrapText="1"/>
    </xf>
    <xf numFmtId="169" fontId="12" fillId="0" borderId="0" xfId="0" applyNumberFormat="1" applyFont="1" applyFill="1" applyBorder="1" applyAlignment="1">
      <alignment horizontal="left" vertical="center" wrapText="1"/>
    </xf>
    <xf numFmtId="170" fontId="12" fillId="0" borderId="0" xfId="0" applyNumberFormat="1" applyFont="1" applyFill="1" applyBorder="1" applyAlignment="1">
      <alignment horizontal="left" vertical="center" wrapText="1"/>
    </xf>
    <xf numFmtId="164" fontId="12" fillId="0" borderId="0" xfId="0" applyNumberFormat="1" applyFont="1" applyFill="1" applyBorder="1" applyAlignment="1">
      <alignment horizontal="left" vertical="center" wrapText="1"/>
    </xf>
    <xf numFmtId="167" fontId="12" fillId="0" borderId="0" xfId="0" applyNumberFormat="1" applyFont="1" applyFill="1" applyBorder="1" applyAlignment="1">
      <alignment horizontal="left" vertical="center" wrapText="1"/>
    </xf>
    <xf numFmtId="171" fontId="12" fillId="0" borderId="0" xfId="0" applyNumberFormat="1" applyFont="1" applyFill="1" applyBorder="1" applyAlignment="1">
      <alignment horizontal="left" vertical="center" wrapText="1"/>
    </xf>
    <xf numFmtId="0" fontId="0" fillId="0" borderId="0" xfId="0" applyFont="1" applyFill="1"/>
    <xf numFmtId="0" fontId="39" fillId="0" borderId="0" xfId="439" applyFont="1"/>
    <xf numFmtId="0" fontId="38" fillId="10" borderId="6" xfId="496" applyBorder="1"/>
    <xf numFmtId="0" fontId="38" fillId="10" borderId="0" xfId="496" applyBorder="1"/>
    <xf numFmtId="0" fontId="38" fillId="10" borderId="0" xfId="496" applyBorder="1" applyAlignment="1">
      <alignment wrapText="1"/>
    </xf>
    <xf numFmtId="0" fontId="19" fillId="2" borderId="6" xfId="3" applyBorder="1"/>
    <xf numFmtId="0" fontId="19" fillId="2" borderId="0" xfId="3" applyBorder="1"/>
    <xf numFmtId="0" fontId="19" fillId="2" borderId="13" xfId="3" applyBorder="1"/>
    <xf numFmtId="0" fontId="39" fillId="0" borderId="0" xfId="439" applyFont="1" applyAlignment="1"/>
    <xf numFmtId="0" fontId="26" fillId="0" borderId="6" xfId="439" applyFont="1" applyBorder="1" applyAlignment="1">
      <alignment wrapText="1"/>
    </xf>
    <xf numFmtId="0" fontId="26" fillId="0" borderId="0" xfId="439" applyFont="1" applyBorder="1" applyAlignment="1">
      <alignment wrapText="1"/>
    </xf>
    <xf numFmtId="0" fontId="26" fillId="0" borderId="6" xfId="439" applyBorder="1" applyAlignment="1">
      <alignment wrapText="1"/>
    </xf>
    <xf numFmtId="0" fontId="26" fillId="0" borderId="13" xfId="439" applyBorder="1" applyAlignment="1">
      <alignment wrapText="1"/>
    </xf>
    <xf numFmtId="0" fontId="26" fillId="0" borderId="0" xfId="439" applyBorder="1" applyAlignment="1">
      <alignment wrapText="1"/>
    </xf>
    <xf numFmtId="0" fontId="39" fillId="0" borderId="0" xfId="439" applyFont="1" applyAlignment="1">
      <alignment wrapText="1"/>
    </xf>
    <xf numFmtId="0" fontId="26" fillId="0" borderId="0" xfId="439" applyFill="1" applyBorder="1" applyAlignment="1">
      <alignment wrapText="1"/>
    </xf>
    <xf numFmtId="0" fontId="44" fillId="0" borderId="6" xfId="0" applyFont="1" applyBorder="1" applyAlignment="1">
      <alignment wrapText="1"/>
    </xf>
    <xf numFmtId="0" fontId="26" fillId="0" borderId="10" xfId="439" applyFont="1" applyBorder="1" applyAlignment="1">
      <alignment wrapText="1"/>
    </xf>
    <xf numFmtId="0" fontId="26" fillId="0" borderId="11" xfId="439" applyFont="1" applyBorder="1" applyAlignment="1">
      <alignment wrapText="1"/>
    </xf>
    <xf numFmtId="0" fontId="26" fillId="0" borderId="10" xfId="439" applyBorder="1" applyAlignment="1">
      <alignment wrapText="1"/>
    </xf>
    <xf numFmtId="0" fontId="26" fillId="0" borderId="17" xfId="439" applyBorder="1" applyAlignment="1">
      <alignment wrapText="1"/>
    </xf>
    <xf numFmtId="0" fontId="26" fillId="0" borderId="0" xfId="439" applyFont="1"/>
    <xf numFmtId="0" fontId="44" fillId="0" borderId="0" xfId="0" applyFont="1" applyAlignment="1">
      <alignment vertical="center"/>
    </xf>
    <xf numFmtId="0" fontId="0" fillId="11" borderId="0" xfId="0" applyFill="1" applyBorder="1" applyAlignment="1">
      <alignment horizontal="left" vertical="top" wrapText="1"/>
    </xf>
    <xf numFmtId="0" fontId="0" fillId="0" borderId="0" xfId="0" applyBorder="1" applyAlignment="1">
      <alignment horizontal="left" vertical="top" wrapText="1"/>
    </xf>
    <xf numFmtId="0" fontId="0" fillId="12" borderId="0" xfId="0" applyFill="1" applyBorder="1" applyAlignment="1">
      <alignment horizontal="left" vertical="top" wrapText="1"/>
    </xf>
    <xf numFmtId="0" fontId="12" fillId="0" borderId="13" xfId="0" applyFont="1" applyBorder="1" applyAlignment="1">
      <alignment horizontal="left" vertical="center" wrapText="1"/>
    </xf>
    <xf numFmtId="0" fontId="3" fillId="0" borderId="0" xfId="0" applyFont="1" applyBorder="1" applyAlignment="1">
      <alignment vertical="center"/>
    </xf>
    <xf numFmtId="0" fontId="0" fillId="0" borderId="0" xfId="0" applyBorder="1" applyAlignment="1">
      <alignment horizontal="left"/>
    </xf>
    <xf numFmtId="0" fontId="3" fillId="5" borderId="0" xfId="0" applyFont="1" applyFill="1" applyBorder="1"/>
    <xf numFmtId="0" fontId="0" fillId="0" borderId="0" xfId="0" applyBorder="1"/>
    <xf numFmtId="0" fontId="3" fillId="6" borderId="0" xfId="0" applyFont="1" applyFill="1" applyBorder="1" applyAlignment="1">
      <alignment wrapText="1"/>
    </xf>
    <xf numFmtId="0" fontId="22" fillId="0" borderId="15" xfId="0" applyFont="1" applyBorder="1" applyAlignment="1">
      <alignment horizontal="center" vertical="center" wrapText="1"/>
    </xf>
    <xf numFmtId="0" fontId="45" fillId="0" borderId="13" xfId="0" applyFont="1" applyBorder="1" applyAlignment="1">
      <alignment horizontal="left" vertical="center" wrapText="1"/>
    </xf>
    <xf numFmtId="0" fontId="5" fillId="0" borderId="13" xfId="0" applyFont="1" applyBorder="1" applyAlignment="1">
      <alignment horizontal="left" vertical="center" wrapText="1"/>
    </xf>
    <xf numFmtId="0" fontId="5" fillId="5" borderId="13" xfId="0" applyFont="1" applyFill="1" applyBorder="1" applyAlignment="1">
      <alignment vertical="center" wrapText="1"/>
    </xf>
    <xf numFmtId="0" fontId="5" fillId="0" borderId="13" xfId="0" applyFont="1" applyBorder="1" applyAlignment="1">
      <alignment vertical="center" wrapText="1"/>
    </xf>
    <xf numFmtId="0" fontId="5" fillId="6" borderId="13" xfId="0" applyFont="1" applyFill="1" applyBorder="1" applyAlignment="1">
      <alignment vertical="center" wrapText="1"/>
    </xf>
    <xf numFmtId="0" fontId="5" fillId="0" borderId="13" xfId="0" applyFont="1" applyBorder="1" applyAlignment="1">
      <alignment vertical="center"/>
    </xf>
    <xf numFmtId="0" fontId="5" fillId="0" borderId="13" xfId="0" applyFont="1" applyFill="1" applyBorder="1" applyAlignment="1" applyProtection="1">
      <alignment vertical="center"/>
    </xf>
    <xf numFmtId="0" fontId="46" fillId="0" borderId="0" xfId="0" applyFont="1"/>
    <xf numFmtId="0" fontId="46" fillId="0" borderId="0" xfId="0" applyFont="1" applyAlignment="1">
      <alignment wrapText="1"/>
    </xf>
    <xf numFmtId="0" fontId="46" fillId="0" borderId="0" xfId="0" applyFont="1" applyAlignment="1">
      <alignment vertical="top"/>
    </xf>
    <xf numFmtId="0" fontId="46" fillId="0" borderId="6" xfId="0" applyFont="1" applyBorder="1" applyAlignment="1">
      <alignment vertical="top"/>
    </xf>
    <xf numFmtId="0" fontId="46" fillId="0" borderId="18" xfId="0" applyFont="1" applyBorder="1" applyAlignment="1">
      <alignment vertical="top"/>
    </xf>
    <xf numFmtId="0" fontId="46" fillId="0" borderId="19" xfId="0" applyFont="1" applyBorder="1" applyAlignment="1">
      <alignment vertical="top" wrapText="1"/>
    </xf>
    <xf numFmtId="0" fontId="46" fillId="0" borderId="20" xfId="0" applyFont="1" applyBorder="1" applyAlignment="1">
      <alignment vertical="top" wrapText="1"/>
    </xf>
    <xf numFmtId="0" fontId="46" fillId="0" borderId="23" xfId="0" applyFont="1" applyBorder="1" applyAlignment="1">
      <alignment vertical="top"/>
    </xf>
    <xf numFmtId="0" fontId="46" fillId="0" borderId="24" xfId="0" applyFont="1" applyBorder="1" applyAlignment="1">
      <alignment vertical="top" wrapText="1"/>
    </xf>
    <xf numFmtId="0" fontId="46" fillId="0" borderId="25" xfId="0" applyFont="1" applyBorder="1" applyAlignment="1">
      <alignment vertical="top"/>
    </xf>
    <xf numFmtId="0" fontId="46" fillId="0" borderId="26" xfId="0" applyFont="1" applyBorder="1" applyAlignment="1">
      <alignment vertical="top" wrapText="1"/>
    </xf>
    <xf numFmtId="0" fontId="46" fillId="0" borderId="27" xfId="0" applyFont="1" applyBorder="1" applyAlignment="1">
      <alignment vertical="top"/>
    </xf>
    <xf numFmtId="0" fontId="46" fillId="0" borderId="28" xfId="0" applyFont="1" applyBorder="1" applyAlignment="1">
      <alignment vertical="top" wrapText="1"/>
    </xf>
    <xf numFmtId="0" fontId="49" fillId="0" borderId="0" xfId="0" applyFont="1" applyAlignment="1">
      <alignment vertical="center"/>
    </xf>
    <xf numFmtId="0" fontId="50" fillId="0" borderId="0" xfId="0" applyFont="1" applyAlignment="1">
      <alignment vertical="top"/>
    </xf>
    <xf numFmtId="0" fontId="7" fillId="0" borderId="8" xfId="0" applyFont="1" applyBorder="1" applyAlignment="1">
      <alignment vertical="center" wrapText="1"/>
    </xf>
    <xf numFmtId="0" fontId="3" fillId="0" borderId="5" xfId="0" applyFont="1" applyBorder="1"/>
    <xf numFmtId="0" fontId="6" fillId="0" borderId="16" xfId="0" applyFont="1" applyBorder="1" applyAlignment="1">
      <alignment vertical="center" wrapText="1"/>
    </xf>
    <xf numFmtId="0" fontId="7" fillId="0" borderId="6" xfId="0" applyNumberFormat="1" applyFont="1" applyBorder="1" applyAlignment="1">
      <alignment horizontal="left" vertical="center"/>
    </xf>
    <xf numFmtId="0" fontId="3" fillId="0" borderId="0" xfId="0" applyNumberFormat="1" applyFont="1" applyBorder="1" applyAlignment="1">
      <alignment horizontal="left"/>
    </xf>
    <xf numFmtId="0" fontId="7" fillId="0" borderId="13" xfId="0" applyNumberFormat="1" applyFont="1" applyBorder="1" applyAlignment="1">
      <alignment horizontal="left" vertical="center"/>
    </xf>
    <xf numFmtId="0" fontId="10" fillId="0" borderId="13" xfId="0" applyFont="1" applyBorder="1"/>
    <xf numFmtId="0" fontId="9" fillId="0" borderId="13" xfId="0" applyFont="1" applyBorder="1" applyAlignment="1">
      <alignment horizontal="left" vertical="center" wrapText="1"/>
    </xf>
    <xf numFmtId="0" fontId="11" fillId="7" borderId="13" xfId="0" applyFont="1" applyFill="1" applyBorder="1" applyAlignment="1">
      <alignment horizontal="center" vertical="center" wrapText="1"/>
    </xf>
    <xf numFmtId="0" fontId="12" fillId="0" borderId="16" xfId="0" applyFont="1" applyBorder="1" applyAlignment="1">
      <alignment horizontal="left" vertical="center" wrapText="1"/>
    </xf>
    <xf numFmtId="11" fontId="2" fillId="0" borderId="0" xfId="0" applyNumberFormat="1" applyFont="1" applyBorder="1" applyAlignment="1">
      <alignment horizontal="left" vertical="center" wrapText="1"/>
    </xf>
    <xf numFmtId="0" fontId="2" fillId="0" borderId="0" xfId="0" applyFont="1" applyBorder="1" applyAlignment="1">
      <alignment horizontal="left" vertical="center" wrapText="1"/>
    </xf>
    <xf numFmtId="0" fontId="3" fillId="0" borderId="11" xfId="0" applyFont="1" applyBorder="1"/>
    <xf numFmtId="0" fontId="12" fillId="0" borderId="17" xfId="0" applyFont="1" applyBorder="1" applyAlignment="1">
      <alignment horizontal="left" vertical="center" wrapText="1"/>
    </xf>
    <xf numFmtId="0" fontId="47" fillId="14" borderId="21" xfId="0" applyFont="1" applyFill="1" applyBorder="1" applyAlignment="1">
      <alignment horizontal="center" vertical="center"/>
    </xf>
    <xf numFmtId="0" fontId="46" fillId="14" borderId="22" xfId="0" applyFont="1" applyFill="1" applyBorder="1" applyAlignment="1">
      <alignment horizontal="left" vertical="center" wrapText="1"/>
    </xf>
    <xf numFmtId="0" fontId="47" fillId="15" borderId="21" xfId="0" applyFont="1" applyFill="1" applyBorder="1" applyAlignment="1">
      <alignment horizontal="center" vertical="center"/>
    </xf>
    <xf numFmtId="0" fontId="46" fillId="15" borderId="22" xfId="0" applyFont="1" applyFill="1" applyBorder="1" applyAlignment="1">
      <alignment vertical="center" wrapText="1"/>
    </xf>
    <xf numFmtId="0" fontId="51" fillId="0" borderId="0" xfId="0" applyFont="1" applyAlignment="1">
      <alignment vertical="center"/>
    </xf>
    <xf numFmtId="0" fontId="51" fillId="0" borderId="0" xfId="0" applyFont="1" applyAlignment="1">
      <alignment horizontal="left" vertical="top" wrapText="1"/>
    </xf>
    <xf numFmtId="0" fontId="8" fillId="0" borderId="7" xfId="0" applyFont="1" applyBorder="1" applyAlignment="1">
      <alignment horizontal="center" vertical="center" wrapText="1"/>
    </xf>
    <xf numFmtId="0" fontId="38" fillId="10" borderId="8" xfId="496" applyBorder="1" applyAlignment="1">
      <alignment horizontal="center"/>
    </xf>
    <xf numFmtId="0" fontId="38" fillId="10" borderId="5" xfId="496" applyBorder="1" applyAlignment="1">
      <alignment horizontal="center"/>
    </xf>
    <xf numFmtId="0" fontId="19" fillId="2" borderId="8" xfId="3" applyBorder="1" applyAlignment="1">
      <alignment horizontal="center"/>
    </xf>
    <xf numFmtId="0" fontId="19" fillId="2" borderId="5" xfId="3" applyBorder="1" applyAlignment="1">
      <alignment horizontal="center"/>
    </xf>
    <xf numFmtId="0" fontId="19" fillId="2" borderId="16" xfId="3" applyBorder="1" applyAlignment="1">
      <alignment horizontal="center"/>
    </xf>
  </cellXfs>
  <cellStyles count="513">
    <cellStyle name="Comma" xfId="198" builtinId="3"/>
    <cellStyle name="Comma[0]" xfId="1"/>
    <cellStyle name="Currency[0]" xfId="2"/>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Good 2" xfId="496"/>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Neutral 2" xfId="3"/>
    <cellStyle name="Normal" xfId="0" builtinId="0"/>
    <cellStyle name="Normal 2" xfId="478"/>
    <cellStyle name="Normal 2 2" xfId="439"/>
    <cellStyle name="Normal 2 2 2" xfId="479"/>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externalLink" Target="externalLinks/externalLink1.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43</xdr:col>
      <xdr:colOff>112056</xdr:colOff>
      <xdr:row>6</xdr:row>
      <xdr:rowOff>228600</xdr:rowOff>
    </xdr:from>
    <xdr:to>
      <xdr:col>43</xdr:col>
      <xdr:colOff>1674156</xdr:colOff>
      <xdr:row>6</xdr:row>
      <xdr:rowOff>438150</xdr:rowOff>
    </xdr:to>
    <xdr:pic>
      <xdr:nvPicPr>
        <xdr:cNvPr id="2" name="Picture 1"/>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6705756" y="1651000"/>
          <a:ext cx="1562100" cy="2095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98270</xdr:colOff>
      <xdr:row>24</xdr:row>
      <xdr:rowOff>19049</xdr:rowOff>
    </xdr:from>
    <xdr:to>
      <xdr:col>2</xdr:col>
      <xdr:colOff>1208048</xdr:colOff>
      <xdr:row>24</xdr:row>
      <xdr:rowOff>239484</xdr:rowOff>
    </xdr:to>
    <xdr:pic>
      <xdr:nvPicPr>
        <xdr:cNvPr id="2" name="Picture 3"/>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blip>
        <a:srcRect/>
        <a:stretch>
          <a:fillRect/>
        </a:stretch>
      </xdr:blipFill>
      <xdr:spPr bwMode="auto">
        <a:xfrm>
          <a:off x="1660370" y="9645649"/>
          <a:ext cx="1109778" cy="220435"/>
        </a:xfrm>
        <a:prstGeom prst="rect">
          <a:avLst/>
        </a:prstGeom>
        <a:noFill/>
      </xdr:spPr>
    </xdr:pic>
    <xdr:clientData/>
  </xdr:twoCellAnchor>
  <xdr:twoCellAnchor>
    <xdr:from>
      <xdr:col>2</xdr:col>
      <xdr:colOff>112056</xdr:colOff>
      <xdr:row>9</xdr:row>
      <xdr:rowOff>228600</xdr:rowOff>
    </xdr:from>
    <xdr:to>
      <xdr:col>2</xdr:col>
      <xdr:colOff>1674156</xdr:colOff>
      <xdr:row>9</xdr:row>
      <xdr:rowOff>438150</xdr:rowOff>
    </xdr:to>
    <xdr:pic>
      <xdr:nvPicPr>
        <xdr:cNvPr id="3" name="Picture 2"/>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674156" y="2717800"/>
          <a:ext cx="1562100" cy="1206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F%20Fishery%20Characterization%20Parameters_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sImport"/>
      <sheetName val="Inter_ParamsImport"/>
      <sheetName val="BySpecies"/>
      <sheetName val="References"/>
      <sheetName val="FecundityCalcs"/>
      <sheetName val="Metadata"/>
      <sheetName val="Species Lists"/>
      <sheetName val="Sheet2"/>
    </sheetNames>
    <sheetDataSet>
      <sheetData sheetId="0"/>
      <sheetData sheetId="1"/>
      <sheetData sheetId="2"/>
      <sheetData sheetId="3"/>
      <sheetData sheetId="4">
        <row r="3">
          <cell r="B3">
            <v>2.34</v>
          </cell>
        </row>
        <row r="4">
          <cell r="B4">
            <v>2.4300000000000002</v>
          </cell>
        </row>
        <row r="5">
          <cell r="B5">
            <v>40.799999999999997</v>
          </cell>
        </row>
        <row r="6">
          <cell r="B6">
            <v>0.47</v>
          </cell>
        </row>
        <row r="7">
          <cell r="B7">
            <v>-0.32</v>
          </cell>
        </row>
      </sheetData>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5.vml"/><Relationship Id="rId3"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hyperlink" Target="http://www.fishbase.org/references/FBRefSummary.php?ID=3702%20%20Chao,%20L.N.,%201978.%20Sciaenidae.%20In%20W.%20Fischer%20(ed.)%20FAO%20species%20identification%20sheets%20for%20fishery%20purposes.%20West%20Atlantic%20(Fishing%20Area%2031).%20Volume%204.%20FAO,%20Rome." TargetMode="Externa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showGridLines="0" zoomScale="125" zoomScaleNormal="125" zoomScalePageLayoutView="125" workbookViewId="0">
      <selection activeCell="A26" sqref="A26"/>
    </sheetView>
  </sheetViews>
  <sheetFormatPr baseColWidth="10" defaultRowHeight="16" x14ac:dyDescent="0.2"/>
  <cols>
    <col min="1" max="1" width="34.6640625" style="182" bestFit="1" customWidth="1"/>
    <col min="2" max="2" width="117.83203125" style="181" customWidth="1"/>
    <col min="3" max="16384" width="10.83203125" style="180"/>
  </cols>
  <sheetData>
    <row r="1" spans="1:2" x14ac:dyDescent="0.2">
      <c r="A1" s="182" t="s">
        <v>1663</v>
      </c>
    </row>
    <row r="2" spans="1:2" ht="59" customHeight="1" x14ac:dyDescent="0.2">
      <c r="A2" s="209" t="s">
        <v>1655</v>
      </c>
      <c r="B2" s="210" t="s">
        <v>1666</v>
      </c>
    </row>
    <row r="3" spans="1:2" ht="36" customHeight="1" x14ac:dyDescent="0.2">
      <c r="A3" s="187" t="s">
        <v>1487</v>
      </c>
      <c r="B3" s="188" t="s">
        <v>1667</v>
      </c>
    </row>
    <row r="4" spans="1:2" ht="45" customHeight="1" x14ac:dyDescent="0.2">
      <c r="A4" s="189" t="s">
        <v>1644</v>
      </c>
      <c r="B4" s="190" t="s">
        <v>1657</v>
      </c>
    </row>
    <row r="5" spans="1:2" ht="46" customHeight="1" x14ac:dyDescent="0.2">
      <c r="A5" s="189" t="s">
        <v>1646</v>
      </c>
      <c r="B5" s="190" t="s">
        <v>1656</v>
      </c>
    </row>
    <row r="6" spans="1:2" ht="45" customHeight="1" x14ac:dyDescent="0.2">
      <c r="A6" s="189" t="s">
        <v>1645</v>
      </c>
      <c r="B6" s="190" t="s">
        <v>1668</v>
      </c>
    </row>
    <row r="7" spans="1:2" ht="73" customHeight="1" x14ac:dyDescent="0.2">
      <c r="A7" s="189" t="s">
        <v>1647</v>
      </c>
      <c r="B7" s="190" t="s">
        <v>1669</v>
      </c>
    </row>
    <row r="8" spans="1:2" ht="68" customHeight="1" x14ac:dyDescent="0.2">
      <c r="A8" s="191" t="s">
        <v>1648</v>
      </c>
      <c r="B8" s="192" t="s">
        <v>1661</v>
      </c>
    </row>
    <row r="9" spans="1:2" ht="59" customHeight="1" x14ac:dyDescent="0.2">
      <c r="A9" s="211" t="s">
        <v>1654</v>
      </c>
      <c r="B9" s="212" t="s">
        <v>1662</v>
      </c>
    </row>
    <row r="10" spans="1:2" ht="32" customHeight="1" x14ac:dyDescent="0.2">
      <c r="A10" s="183" t="s">
        <v>1649</v>
      </c>
      <c r="B10" s="185" t="s">
        <v>1660</v>
      </c>
    </row>
    <row r="11" spans="1:2" ht="32" customHeight="1" x14ac:dyDescent="0.2">
      <c r="A11" s="189" t="s">
        <v>1650</v>
      </c>
      <c r="B11" s="190" t="s">
        <v>1658</v>
      </c>
    </row>
    <row r="12" spans="1:2" ht="32" customHeight="1" x14ac:dyDescent="0.2">
      <c r="A12" s="189" t="s">
        <v>1651</v>
      </c>
      <c r="B12" s="190" t="s">
        <v>1659</v>
      </c>
    </row>
    <row r="13" spans="1:2" ht="32" customHeight="1" x14ac:dyDescent="0.2">
      <c r="A13" s="189" t="s">
        <v>1652</v>
      </c>
      <c r="B13" s="190" t="s">
        <v>1664</v>
      </c>
    </row>
    <row r="14" spans="1:2" ht="54" customHeight="1" thickBot="1" x14ac:dyDescent="0.25">
      <c r="A14" s="184" t="s">
        <v>1653</v>
      </c>
      <c r="B14" s="186" t="s">
        <v>1665</v>
      </c>
    </row>
    <row r="17" spans="1:2" x14ac:dyDescent="0.2">
      <c r="A17" s="194" t="s">
        <v>1670</v>
      </c>
    </row>
    <row r="18" spans="1:2" x14ac:dyDescent="0.2">
      <c r="A18" s="213" t="s">
        <v>1671</v>
      </c>
      <c r="B18" s="213"/>
    </row>
    <row r="19" spans="1:2" x14ac:dyDescent="0.2">
      <c r="A19" s="213" t="s">
        <v>1675</v>
      </c>
      <c r="B19" s="213"/>
    </row>
    <row r="20" spans="1:2" x14ac:dyDescent="0.2">
      <c r="A20" s="213" t="s">
        <v>1676</v>
      </c>
      <c r="B20" s="213"/>
    </row>
    <row r="21" spans="1:2" x14ac:dyDescent="0.2">
      <c r="A21" s="213" t="s">
        <v>1672</v>
      </c>
      <c r="B21" s="213"/>
    </row>
    <row r="22" spans="1:2" ht="28" customHeight="1" x14ac:dyDescent="0.2">
      <c r="A22" s="214" t="s">
        <v>1674</v>
      </c>
      <c r="B22" s="214"/>
    </row>
    <row r="23" spans="1:2" x14ac:dyDescent="0.2">
      <c r="A23" s="213" t="s">
        <v>1677</v>
      </c>
    </row>
    <row r="24" spans="1:2" x14ac:dyDescent="0.2">
      <c r="A24" s="213" t="s">
        <v>1673</v>
      </c>
    </row>
    <row r="25" spans="1:2" x14ac:dyDescent="0.2">
      <c r="A25" s="193" t="s">
        <v>1678</v>
      </c>
    </row>
  </sheetData>
  <mergeCells count="1">
    <mergeCell ref="A22:B22"/>
  </mergeCells>
  <phoneticPr fontId="48" type="noConversion"/>
  <pageMargins left="0.75" right="0.75" top="1" bottom="1" header="0.5" footer="0.5"/>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K98"/>
  <sheetViews>
    <sheetView zoomScale="140" zoomScaleNormal="140" zoomScalePageLayoutView="140" workbookViewId="0">
      <selection activeCell="D21" sqref="D21"/>
    </sheetView>
  </sheetViews>
  <sheetFormatPr baseColWidth="10" defaultColWidth="8.83203125" defaultRowHeight="15" x14ac:dyDescent="0.2"/>
  <cols>
    <col min="1" max="1" width="12.33203125" style="2" bestFit="1" customWidth="1"/>
    <col min="2" max="6" width="14.6640625" style="2" customWidth="1"/>
    <col min="7" max="11" width="14.6640625" style="122" customWidth="1"/>
    <col min="12" max="16384" width="8.83203125" style="122"/>
  </cols>
  <sheetData>
    <row r="1" spans="1:11" x14ac:dyDescent="0.2">
      <c r="B1" s="121"/>
      <c r="C1" s="121"/>
      <c r="D1" s="121"/>
      <c r="E1" s="121"/>
      <c r="F1" s="121"/>
    </row>
    <row r="2" spans="1:11" x14ac:dyDescent="0.2">
      <c r="A2" s="123"/>
      <c r="B2" s="124" t="s">
        <v>1256</v>
      </c>
      <c r="C2" s="124" t="s">
        <v>1256</v>
      </c>
      <c r="D2" s="124" t="s">
        <v>1256</v>
      </c>
      <c r="E2" s="124" t="s">
        <v>1256</v>
      </c>
      <c r="F2" s="124" t="s">
        <v>1256</v>
      </c>
      <c r="G2" s="110" t="s">
        <v>1256</v>
      </c>
      <c r="H2" s="110" t="s">
        <v>1256</v>
      </c>
      <c r="I2" s="110" t="s">
        <v>1256</v>
      </c>
      <c r="J2" s="110" t="s">
        <v>1256</v>
      </c>
      <c r="K2" s="110" t="s">
        <v>1256</v>
      </c>
    </row>
    <row r="3" spans="1:11" x14ac:dyDescent="0.2">
      <c r="A3" s="125" t="s">
        <v>6</v>
      </c>
      <c r="B3" s="124" t="s">
        <v>1603</v>
      </c>
      <c r="C3" s="124" t="s">
        <v>1392</v>
      </c>
      <c r="D3" s="124" t="s">
        <v>1392</v>
      </c>
      <c r="E3" s="124" t="s">
        <v>1398</v>
      </c>
      <c r="F3" s="124" t="s">
        <v>1603</v>
      </c>
      <c r="G3" s="16" t="s">
        <v>1398</v>
      </c>
      <c r="H3" s="16" t="s">
        <v>1398</v>
      </c>
      <c r="I3" s="16" t="s">
        <v>1398</v>
      </c>
      <c r="J3" s="16" t="s">
        <v>1398</v>
      </c>
      <c r="K3" s="16" t="s">
        <v>1398</v>
      </c>
    </row>
    <row r="4" spans="1:11" x14ac:dyDescent="0.2">
      <c r="A4" s="125" t="s">
        <v>24</v>
      </c>
      <c r="B4" s="126" t="s">
        <v>35</v>
      </c>
      <c r="C4" s="126" t="s">
        <v>29</v>
      </c>
      <c r="D4" s="22" t="s">
        <v>33</v>
      </c>
      <c r="E4" s="22" t="s">
        <v>33</v>
      </c>
      <c r="F4" s="126" t="s">
        <v>35</v>
      </c>
      <c r="G4" s="22" t="s">
        <v>1260</v>
      </c>
      <c r="H4" s="22" t="s">
        <v>33</v>
      </c>
      <c r="I4" s="22" t="s">
        <v>1261</v>
      </c>
      <c r="J4" s="22" t="s">
        <v>27</v>
      </c>
      <c r="K4" s="22" t="s">
        <v>1262</v>
      </c>
    </row>
    <row r="5" spans="1:11" ht="22" x14ac:dyDescent="0.2">
      <c r="A5" s="127" t="s">
        <v>42</v>
      </c>
      <c r="B5" s="126" t="s">
        <v>1249</v>
      </c>
      <c r="C5" s="126" t="s">
        <v>1270</v>
      </c>
      <c r="D5" s="126" t="s">
        <v>1394</v>
      </c>
      <c r="E5" s="126" t="s">
        <v>1403</v>
      </c>
      <c r="F5" s="126" t="s">
        <v>1272</v>
      </c>
      <c r="G5" s="21" t="s">
        <v>1264</v>
      </c>
      <c r="H5" s="21" t="s">
        <v>1265</v>
      </c>
      <c r="I5" s="21" t="s">
        <v>1266</v>
      </c>
      <c r="J5" s="21" t="s">
        <v>1267</v>
      </c>
      <c r="K5" s="21" t="s">
        <v>1268</v>
      </c>
    </row>
    <row r="6" spans="1:11" s="130" customFormat="1" x14ac:dyDescent="0.2">
      <c r="A6" s="128" t="s">
        <v>73</v>
      </c>
      <c r="B6" s="129" t="s">
        <v>504</v>
      </c>
      <c r="C6" s="129" t="s">
        <v>1279</v>
      </c>
      <c r="D6" s="129" t="s">
        <v>1280</v>
      </c>
      <c r="E6" s="129" t="s">
        <v>1282</v>
      </c>
      <c r="F6" s="129" t="s">
        <v>1281</v>
      </c>
      <c r="G6" s="71" t="s">
        <v>1274</v>
      </c>
      <c r="H6" s="71" t="s">
        <v>1275</v>
      </c>
      <c r="I6" s="71" t="s">
        <v>1276</v>
      </c>
      <c r="J6" s="71" t="s">
        <v>1277</v>
      </c>
      <c r="K6" s="71" t="s">
        <v>1278</v>
      </c>
    </row>
    <row r="7" spans="1:11" x14ac:dyDescent="0.2">
      <c r="A7" s="32" t="s">
        <v>129</v>
      </c>
      <c r="B7" s="131">
        <v>0.24</v>
      </c>
      <c r="C7" s="131">
        <v>0.06</v>
      </c>
      <c r="D7" s="131">
        <v>0.15</v>
      </c>
      <c r="E7" s="131">
        <v>0.23</v>
      </c>
      <c r="F7" s="131" t="s">
        <v>1119</v>
      </c>
      <c r="G7" s="91">
        <v>0.48</v>
      </c>
      <c r="H7" s="91">
        <v>0.17</v>
      </c>
      <c r="I7" s="91">
        <v>0.66</v>
      </c>
      <c r="J7" s="91">
        <v>0.17</v>
      </c>
      <c r="K7" s="91">
        <f>AVERAGE(0.235,0.175)</f>
        <v>0.20499999999999999</v>
      </c>
    </row>
    <row r="8" spans="1:11" s="132" customFormat="1" x14ac:dyDescent="0.2">
      <c r="A8" s="32" t="s">
        <v>1116</v>
      </c>
      <c r="B8" s="131" t="s">
        <v>1114</v>
      </c>
      <c r="C8" s="131" t="s">
        <v>1114</v>
      </c>
      <c r="D8" s="131" t="s">
        <v>1114</v>
      </c>
      <c r="E8" s="131" t="s">
        <v>1114</v>
      </c>
      <c r="F8" s="131" t="s">
        <v>1119</v>
      </c>
      <c r="G8" s="91" t="s">
        <v>1114</v>
      </c>
      <c r="H8" s="91" t="s">
        <v>1114</v>
      </c>
      <c r="I8" s="91" t="s">
        <v>1114</v>
      </c>
      <c r="J8" s="91" t="s">
        <v>1114</v>
      </c>
      <c r="K8" s="91" t="s">
        <v>1114</v>
      </c>
    </row>
    <row r="9" spans="1:11" x14ac:dyDescent="0.2">
      <c r="A9" s="32" t="s">
        <v>1117</v>
      </c>
      <c r="B9" s="131" t="s">
        <v>1119</v>
      </c>
      <c r="C9" s="131" t="s">
        <v>1119</v>
      </c>
      <c r="D9" s="131" t="s">
        <v>1119</v>
      </c>
      <c r="E9" s="131" t="s">
        <v>1119</v>
      </c>
      <c r="F9" s="131" t="s">
        <v>1119</v>
      </c>
      <c r="G9" s="91">
        <v>0.08</v>
      </c>
      <c r="H9" s="91" t="s">
        <v>1119</v>
      </c>
      <c r="I9" s="91" t="s">
        <v>1119</v>
      </c>
      <c r="J9" s="91" t="s">
        <v>1119</v>
      </c>
      <c r="K9" s="91">
        <f>AVERAGE(0.0076,0.0155)</f>
        <v>1.155E-2</v>
      </c>
    </row>
    <row r="10" spans="1:11" x14ac:dyDescent="0.2">
      <c r="A10" s="32" t="s">
        <v>599</v>
      </c>
      <c r="B10" s="131">
        <v>18.3</v>
      </c>
      <c r="C10" s="131">
        <v>94</v>
      </c>
      <c r="D10" s="131">
        <v>88</v>
      </c>
      <c r="E10" s="131">
        <v>45</v>
      </c>
      <c r="F10" s="131" t="s">
        <v>1119</v>
      </c>
      <c r="G10" s="91">
        <v>312.2</v>
      </c>
      <c r="H10" s="91">
        <v>607.70000000000005</v>
      </c>
      <c r="I10" s="91">
        <v>273</v>
      </c>
      <c r="J10" s="91">
        <v>127</v>
      </c>
      <c r="K10" s="91">
        <f>AVERAGE(989.3,947.3)</f>
        <v>968.3</v>
      </c>
    </row>
    <row r="11" spans="1:11" x14ac:dyDescent="0.2">
      <c r="A11" s="32" t="s">
        <v>1190</v>
      </c>
      <c r="B11" s="131" t="s">
        <v>1189</v>
      </c>
      <c r="C11" s="131" t="s">
        <v>1189</v>
      </c>
      <c r="D11" s="131" t="s">
        <v>1189</v>
      </c>
      <c r="E11" s="131" t="s">
        <v>1189</v>
      </c>
      <c r="F11" s="131" t="s">
        <v>1119</v>
      </c>
      <c r="G11" s="91" t="s">
        <v>1192</v>
      </c>
      <c r="H11" s="91" t="s">
        <v>1192</v>
      </c>
      <c r="I11" s="91" t="s">
        <v>1192</v>
      </c>
      <c r="J11" s="91" t="s">
        <v>1189</v>
      </c>
      <c r="K11" s="91" t="s">
        <v>1192</v>
      </c>
    </row>
    <row r="12" spans="1:11" x14ac:dyDescent="0.2">
      <c r="A12" s="32" t="s">
        <v>1191</v>
      </c>
      <c r="B12" s="131" t="s">
        <v>1196</v>
      </c>
      <c r="C12" s="131" t="s">
        <v>1194</v>
      </c>
      <c r="D12" s="131" t="s">
        <v>1194</v>
      </c>
      <c r="E12" s="131" t="s">
        <v>1194</v>
      </c>
      <c r="F12" s="131" t="s">
        <v>1119</v>
      </c>
      <c r="G12" s="91" t="s">
        <v>1195</v>
      </c>
      <c r="H12" s="91" t="s">
        <v>1195</v>
      </c>
      <c r="I12" s="91" t="s">
        <v>1195</v>
      </c>
      <c r="J12" s="91" t="s">
        <v>1195</v>
      </c>
      <c r="K12" s="91" t="s">
        <v>1201</v>
      </c>
    </row>
    <row r="13" spans="1:11" x14ac:dyDescent="0.2">
      <c r="A13" s="32" t="s">
        <v>1121</v>
      </c>
      <c r="B13" s="131" t="s">
        <v>1119</v>
      </c>
      <c r="C13" s="131" t="s">
        <v>1119</v>
      </c>
      <c r="D13" s="131" t="s">
        <v>1119</v>
      </c>
      <c r="E13" s="131" t="s">
        <v>1119</v>
      </c>
      <c r="F13" s="131" t="s">
        <v>1119</v>
      </c>
      <c r="G13" s="91">
        <v>1.79</v>
      </c>
      <c r="H13" s="91" t="s">
        <v>1119</v>
      </c>
      <c r="I13" s="91" t="s">
        <v>1119</v>
      </c>
      <c r="J13" s="91" t="s">
        <v>1119</v>
      </c>
      <c r="K13" s="91">
        <f>AVERAGE(11.64,32.15)</f>
        <v>21.895</v>
      </c>
    </row>
    <row r="14" spans="1:11" x14ac:dyDescent="0.2">
      <c r="A14" s="32" t="s">
        <v>183</v>
      </c>
      <c r="B14" s="131">
        <v>0.44</v>
      </c>
      <c r="C14" s="131">
        <v>0</v>
      </c>
      <c r="D14" s="131">
        <v>0</v>
      </c>
      <c r="E14" s="2">
        <v>0</v>
      </c>
      <c r="F14" s="131" t="s">
        <v>1119</v>
      </c>
      <c r="G14" s="91">
        <v>-0.32</v>
      </c>
      <c r="H14" s="91">
        <v>-1.88</v>
      </c>
      <c r="I14" s="91">
        <v>-0.25</v>
      </c>
      <c r="J14" s="91">
        <v>-0.67</v>
      </c>
      <c r="K14" s="91">
        <f>AVERAGE(-0.0976,-1.352)</f>
        <v>-0.7248</v>
      </c>
    </row>
    <row r="15" spans="1:11" x14ac:dyDescent="0.2">
      <c r="A15" s="32" t="s">
        <v>1118</v>
      </c>
      <c r="B15" s="131" t="s">
        <v>1119</v>
      </c>
      <c r="C15" s="131" t="s">
        <v>1119</v>
      </c>
      <c r="D15" s="131" t="s">
        <v>1119</v>
      </c>
      <c r="E15" s="2" t="s">
        <v>1119</v>
      </c>
      <c r="F15" s="131" t="s">
        <v>1119</v>
      </c>
      <c r="G15" s="91">
        <v>0.75</v>
      </c>
      <c r="H15" s="91" t="s">
        <v>1119</v>
      </c>
      <c r="I15" s="91" t="s">
        <v>1119</v>
      </c>
      <c r="J15" s="91" t="s">
        <v>1119</v>
      </c>
      <c r="K15" s="91">
        <f>AVERAGE(0.04447,0.1714)</f>
        <v>0.107935</v>
      </c>
    </row>
    <row r="16" spans="1:11" x14ac:dyDescent="0.2">
      <c r="A16" s="32" t="s">
        <v>1123</v>
      </c>
      <c r="B16" s="133">
        <v>4.5999999999999999E-3</v>
      </c>
      <c r="C16" s="133">
        <v>-7.1099999999999997E-2</v>
      </c>
      <c r="D16" s="134">
        <v>1.0099999999999999E-8</v>
      </c>
      <c r="E16" s="131">
        <v>6.0999999999999999E-5</v>
      </c>
      <c r="F16" s="131" t="s">
        <v>1119</v>
      </c>
      <c r="G16" s="135">
        <v>3.3500000000000001E-3</v>
      </c>
      <c r="H16" s="136">
        <v>3.6399999999999997E-5</v>
      </c>
      <c r="I16" s="34">
        <v>2.0999999999999999E-3</v>
      </c>
      <c r="J16" s="133">
        <v>4.0399999999999998E-2</v>
      </c>
      <c r="K16" s="134">
        <v>4.4013999999999999E-6</v>
      </c>
    </row>
    <row r="17" spans="1:11" x14ac:dyDescent="0.2">
      <c r="A17" s="81" t="s">
        <v>1124</v>
      </c>
      <c r="B17" s="91">
        <v>2.63</v>
      </c>
      <c r="C17" s="91">
        <v>2.423</v>
      </c>
      <c r="D17" s="91">
        <v>3.05</v>
      </c>
      <c r="E17" s="91">
        <v>2.75</v>
      </c>
      <c r="F17" s="131" t="s">
        <v>1119</v>
      </c>
      <c r="G17" s="91">
        <v>2.7719999999999998</v>
      </c>
      <c r="H17" s="34">
        <v>2.76</v>
      </c>
      <c r="I17" s="34">
        <v>3.589</v>
      </c>
      <c r="J17" s="91">
        <v>2.91</v>
      </c>
      <c r="K17" s="91">
        <v>3.1116999999999999</v>
      </c>
    </row>
    <row r="18" spans="1:11" x14ac:dyDescent="0.2">
      <c r="A18" s="32" t="s">
        <v>1198</v>
      </c>
      <c r="B18" s="131" t="s">
        <v>1192</v>
      </c>
      <c r="C18" s="131" t="s">
        <v>1192</v>
      </c>
      <c r="D18" s="131" t="s">
        <v>1189</v>
      </c>
      <c r="E18" s="131" t="s">
        <v>1192</v>
      </c>
      <c r="F18" s="131" t="s">
        <v>1119</v>
      </c>
      <c r="G18" s="91" t="s">
        <v>1189</v>
      </c>
      <c r="H18" s="91" t="s">
        <v>1192</v>
      </c>
      <c r="I18" s="91" t="s">
        <v>1189</v>
      </c>
      <c r="J18" s="91" t="s">
        <v>1189</v>
      </c>
      <c r="K18" s="91" t="s">
        <v>1192</v>
      </c>
    </row>
    <row r="19" spans="1:11" x14ac:dyDescent="0.2">
      <c r="A19" s="32" t="s">
        <v>1199</v>
      </c>
      <c r="B19" s="131" t="s">
        <v>1196</v>
      </c>
      <c r="C19" s="131" t="s">
        <v>1193</v>
      </c>
      <c r="D19" s="131" t="s">
        <v>1195</v>
      </c>
      <c r="E19" s="131" t="s">
        <v>1201</v>
      </c>
      <c r="F19" s="131" t="s">
        <v>1119</v>
      </c>
      <c r="G19" s="91" t="s">
        <v>1195</v>
      </c>
      <c r="H19" s="91" t="s">
        <v>1195</v>
      </c>
      <c r="I19" s="91" t="s">
        <v>1195</v>
      </c>
      <c r="J19" s="91" t="s">
        <v>1193</v>
      </c>
      <c r="K19" s="91" t="s">
        <v>1201</v>
      </c>
    </row>
    <row r="20" spans="1:11" x14ac:dyDescent="0.2">
      <c r="A20" s="32" t="s">
        <v>1200</v>
      </c>
      <c r="B20" s="131" t="s">
        <v>1202</v>
      </c>
      <c r="C20" s="131" t="s">
        <v>1202</v>
      </c>
      <c r="D20" s="131" t="s">
        <v>1203</v>
      </c>
      <c r="E20" s="131" t="s">
        <v>1202</v>
      </c>
      <c r="F20" s="131" t="s">
        <v>1119</v>
      </c>
      <c r="G20" s="91" t="s">
        <v>1202</v>
      </c>
      <c r="H20" s="91" t="s">
        <v>1202</v>
      </c>
      <c r="I20" s="91" t="s">
        <v>1202</v>
      </c>
      <c r="J20" s="91" t="s">
        <v>1202</v>
      </c>
      <c r="K20" s="91" t="s">
        <v>1202</v>
      </c>
    </row>
    <row r="21" spans="1:11" s="132" customFormat="1" x14ac:dyDescent="0.2">
      <c r="A21" s="89" t="s">
        <v>1128</v>
      </c>
      <c r="B21" s="131" t="s">
        <v>1119</v>
      </c>
      <c r="C21" s="131" t="s">
        <v>1119</v>
      </c>
      <c r="D21" s="131" t="s">
        <v>1119</v>
      </c>
      <c r="E21" s="131" t="s">
        <v>1119</v>
      </c>
      <c r="F21" s="131" t="s">
        <v>1119</v>
      </c>
      <c r="G21" s="91"/>
      <c r="H21" s="91"/>
      <c r="I21" s="91"/>
      <c r="J21" s="91"/>
      <c r="K21" s="91"/>
    </row>
    <row r="22" spans="1:11" s="132" customFormat="1" x14ac:dyDescent="0.2">
      <c r="A22" s="89" t="s">
        <v>1129</v>
      </c>
      <c r="B22" s="131" t="s">
        <v>1119</v>
      </c>
      <c r="C22" s="131" t="s">
        <v>1119</v>
      </c>
      <c r="D22" s="131" t="s">
        <v>1119</v>
      </c>
      <c r="E22" s="131" t="s">
        <v>1119</v>
      </c>
      <c r="F22" s="131" t="s">
        <v>1119</v>
      </c>
      <c r="G22" s="91"/>
      <c r="H22" s="91"/>
      <c r="I22" s="91"/>
      <c r="J22" s="91"/>
      <c r="K22" s="91"/>
    </row>
    <row r="23" spans="1:11" s="132" customFormat="1" x14ac:dyDescent="0.2">
      <c r="A23" s="32" t="s">
        <v>1127</v>
      </c>
      <c r="B23" s="131">
        <v>15</v>
      </c>
      <c r="C23" s="131">
        <v>29</v>
      </c>
      <c r="D23" s="131">
        <v>29</v>
      </c>
      <c r="E23" s="131">
        <v>19</v>
      </c>
      <c r="F23" s="131">
        <v>30</v>
      </c>
      <c r="G23" s="91">
        <v>14</v>
      </c>
      <c r="H23" s="91">
        <v>13</v>
      </c>
      <c r="I23" s="91">
        <v>4.3</v>
      </c>
      <c r="J23" s="91">
        <v>17</v>
      </c>
      <c r="K23" s="91">
        <v>21</v>
      </c>
    </row>
    <row r="24" spans="1:11" s="132" customFormat="1" x14ac:dyDescent="0.2">
      <c r="A24" s="32" t="s">
        <v>1130</v>
      </c>
      <c r="B24" s="131" t="s">
        <v>1114</v>
      </c>
      <c r="C24" s="131" t="s">
        <v>1114</v>
      </c>
      <c r="D24" s="131" t="s">
        <v>1114</v>
      </c>
      <c r="E24" s="131" t="s">
        <v>1114</v>
      </c>
      <c r="F24" s="131" t="s">
        <v>1114</v>
      </c>
      <c r="G24" s="91" t="s">
        <v>1114</v>
      </c>
      <c r="H24" s="91" t="s">
        <v>1114</v>
      </c>
      <c r="I24" s="91" t="s">
        <v>1114</v>
      </c>
      <c r="J24" s="91" t="s">
        <v>1114</v>
      </c>
      <c r="K24" s="91" t="s">
        <v>1114</v>
      </c>
    </row>
    <row r="25" spans="1:11" s="132" customFormat="1" x14ac:dyDescent="0.2">
      <c r="A25" s="89" t="s">
        <v>1131</v>
      </c>
      <c r="B25" s="131" t="s">
        <v>1119</v>
      </c>
      <c r="C25" s="131" t="s">
        <v>1119</v>
      </c>
      <c r="D25" s="131" t="s">
        <v>1119</v>
      </c>
      <c r="E25" s="131" t="s">
        <v>1119</v>
      </c>
      <c r="F25" s="131" t="s">
        <v>1119</v>
      </c>
      <c r="G25" s="91" t="s">
        <v>1119</v>
      </c>
      <c r="H25" s="91" t="s">
        <v>1119</v>
      </c>
      <c r="I25" s="91" t="s">
        <v>1119</v>
      </c>
      <c r="J25" s="91" t="s">
        <v>1119</v>
      </c>
      <c r="K25" s="91">
        <v>1145</v>
      </c>
    </row>
    <row r="26" spans="1:11" s="132" customFormat="1" x14ac:dyDescent="0.2">
      <c r="A26" s="89" t="s">
        <v>1132</v>
      </c>
      <c r="B26" s="131" t="s">
        <v>1119</v>
      </c>
      <c r="C26" s="131" t="s">
        <v>1119</v>
      </c>
      <c r="D26" s="131" t="s">
        <v>1119</v>
      </c>
      <c r="E26" s="131" t="s">
        <v>1119</v>
      </c>
      <c r="F26" s="131" t="s">
        <v>1119</v>
      </c>
      <c r="G26" s="91" t="s">
        <v>1119</v>
      </c>
      <c r="H26" s="91" t="s">
        <v>1119</v>
      </c>
      <c r="I26" s="91" t="s">
        <v>1119</v>
      </c>
      <c r="J26" s="91" t="s">
        <v>1119</v>
      </c>
      <c r="K26" s="91" t="s">
        <v>1119</v>
      </c>
    </row>
    <row r="27" spans="1:11" s="132" customFormat="1" x14ac:dyDescent="0.2">
      <c r="A27" s="32" t="s">
        <v>1135</v>
      </c>
      <c r="B27" s="131">
        <v>260</v>
      </c>
      <c r="C27" s="131">
        <v>120</v>
      </c>
      <c r="D27" s="131">
        <v>84.9</v>
      </c>
      <c r="E27" s="131">
        <v>180</v>
      </c>
      <c r="F27" s="131" t="s">
        <v>1119</v>
      </c>
      <c r="G27" s="91">
        <v>378</v>
      </c>
      <c r="H27" s="91">
        <v>700</v>
      </c>
      <c r="I27" s="91">
        <v>260</v>
      </c>
      <c r="J27" s="91">
        <v>124</v>
      </c>
      <c r="K27" s="91">
        <v>1145</v>
      </c>
    </row>
    <row r="28" spans="1:11" s="132" customFormat="1" x14ac:dyDescent="0.2">
      <c r="A28" s="32" t="s">
        <v>1205</v>
      </c>
      <c r="B28" s="131" t="s">
        <v>1192</v>
      </c>
      <c r="C28" s="131" t="s">
        <v>1189</v>
      </c>
      <c r="D28" s="131" t="s">
        <v>1189</v>
      </c>
      <c r="E28" s="131" t="s">
        <v>1189</v>
      </c>
      <c r="F28" s="131" t="s">
        <v>1119</v>
      </c>
      <c r="G28" s="91" t="s">
        <v>1192</v>
      </c>
      <c r="H28" s="91" t="s">
        <v>1192</v>
      </c>
      <c r="I28" s="91" t="s">
        <v>1192</v>
      </c>
      <c r="J28" s="91" t="s">
        <v>1192</v>
      </c>
      <c r="K28" s="91" t="s">
        <v>1192</v>
      </c>
    </row>
    <row r="29" spans="1:11" s="132" customFormat="1" x14ac:dyDescent="0.2">
      <c r="A29" s="32" t="s">
        <v>1204</v>
      </c>
      <c r="B29" s="131" t="s">
        <v>1196</v>
      </c>
      <c r="C29" s="131" t="s">
        <v>1194</v>
      </c>
      <c r="D29" s="131" t="s">
        <v>1194</v>
      </c>
      <c r="E29" s="131" t="s">
        <v>1194</v>
      </c>
      <c r="F29" s="131" t="s">
        <v>1119</v>
      </c>
      <c r="G29" s="91" t="s">
        <v>1201</v>
      </c>
      <c r="H29" s="91" t="s">
        <v>1195</v>
      </c>
      <c r="I29" s="91" t="s">
        <v>1195</v>
      </c>
      <c r="J29" s="91" t="s">
        <v>1195</v>
      </c>
      <c r="K29" s="91" t="s">
        <v>1195</v>
      </c>
    </row>
    <row r="30" spans="1:11" x14ac:dyDescent="0.2">
      <c r="A30" s="81" t="s">
        <v>1136</v>
      </c>
      <c r="B30" s="91">
        <f t="shared" ref="B30:E30" si="0">1-EXP(-B31)</f>
        <v>0.28822967723739035</v>
      </c>
      <c r="C30" s="91">
        <f t="shared" si="0"/>
        <v>0.14785621103378865</v>
      </c>
      <c r="D30" s="91">
        <f t="shared" si="0"/>
        <v>0.14785621103378865</v>
      </c>
      <c r="E30" s="91">
        <f t="shared" si="0"/>
        <v>0.20546639749666595</v>
      </c>
      <c r="F30" s="131" t="s">
        <v>1119</v>
      </c>
      <c r="G30" s="91">
        <f>1-EXP(-G31)</f>
        <v>0.13929202357494219</v>
      </c>
      <c r="H30" s="91">
        <f t="shared" ref="H30:K30" si="1">1-EXP(-H31)</f>
        <v>0.47270757595695145</v>
      </c>
      <c r="I30" s="91">
        <f t="shared" si="1"/>
        <v>0.64654531804121984</v>
      </c>
      <c r="J30" s="91">
        <f t="shared" si="1"/>
        <v>0.28107626656807383</v>
      </c>
      <c r="K30" s="91">
        <f t="shared" si="1"/>
        <v>0.22119921692859512</v>
      </c>
    </row>
    <row r="31" spans="1:11" x14ac:dyDescent="0.2">
      <c r="A31" s="81" t="s">
        <v>1137</v>
      </c>
      <c r="B31" s="91">
        <v>0.34</v>
      </c>
      <c r="C31" s="91">
        <v>0.16</v>
      </c>
      <c r="D31" s="91">
        <v>0.16</v>
      </c>
      <c r="E31" s="91">
        <v>0.23</v>
      </c>
      <c r="F31" s="131">
        <v>0.52</v>
      </c>
      <c r="G31" s="91">
        <v>0.15</v>
      </c>
      <c r="H31" s="91">
        <v>0.64</v>
      </c>
      <c r="I31" s="91">
        <v>1.04</v>
      </c>
      <c r="J31" s="91">
        <v>0.33</v>
      </c>
      <c r="K31" s="91">
        <v>0.25</v>
      </c>
    </row>
    <row r="32" spans="1:11" x14ac:dyDescent="0.2">
      <c r="A32" s="81" t="s">
        <v>1144</v>
      </c>
      <c r="B32" s="91">
        <f>6*30</f>
        <v>180</v>
      </c>
      <c r="C32" s="91">
        <v>37.5</v>
      </c>
      <c r="D32" s="91">
        <v>30</v>
      </c>
      <c r="E32" s="91">
        <v>30</v>
      </c>
      <c r="F32" s="131">
        <v>42</v>
      </c>
      <c r="G32" s="91">
        <v>22.6</v>
      </c>
      <c r="H32" s="91">
        <v>30.9</v>
      </c>
      <c r="I32" s="91">
        <v>22.5</v>
      </c>
      <c r="J32" s="91">
        <v>53.8</v>
      </c>
      <c r="K32" s="91">
        <v>17.5</v>
      </c>
    </row>
    <row r="33" spans="1:11" x14ac:dyDescent="0.2">
      <c r="A33" s="32" t="s">
        <v>1145</v>
      </c>
      <c r="B33" s="131">
        <v>1044</v>
      </c>
      <c r="C33" s="131">
        <v>14832</v>
      </c>
      <c r="D33" s="131">
        <v>61</v>
      </c>
      <c r="E33" s="131">
        <v>61</v>
      </c>
      <c r="F33" s="131">
        <v>346</v>
      </c>
      <c r="G33" s="91">
        <v>201</v>
      </c>
      <c r="H33" s="91">
        <v>863</v>
      </c>
      <c r="I33" s="91">
        <v>84</v>
      </c>
      <c r="J33" s="91">
        <v>4596</v>
      </c>
      <c r="K33" s="91">
        <v>2743</v>
      </c>
    </row>
    <row r="34" spans="1:11" x14ac:dyDescent="0.2">
      <c r="A34" s="32" t="s">
        <v>1146</v>
      </c>
      <c r="B34" s="131" t="s">
        <v>1119</v>
      </c>
      <c r="C34" s="131" t="s">
        <v>1119</v>
      </c>
      <c r="D34" s="131" t="s">
        <v>1119</v>
      </c>
      <c r="E34" s="131" t="s">
        <v>1119</v>
      </c>
      <c r="F34" s="131" t="s">
        <v>1119</v>
      </c>
      <c r="G34" s="91" t="s">
        <v>1119</v>
      </c>
      <c r="H34" s="91" t="s">
        <v>1119</v>
      </c>
      <c r="I34" s="91" t="s">
        <v>1119</v>
      </c>
      <c r="J34" s="91">
        <v>963</v>
      </c>
      <c r="K34" s="91" t="s">
        <v>1119</v>
      </c>
    </row>
    <row r="35" spans="1:11" x14ac:dyDescent="0.2">
      <c r="A35" s="89" t="s">
        <v>1147</v>
      </c>
      <c r="B35" s="131" t="s">
        <v>1119</v>
      </c>
      <c r="C35" s="91" t="s">
        <v>1119</v>
      </c>
      <c r="D35" s="91" t="s">
        <v>1119</v>
      </c>
      <c r="E35" s="91"/>
      <c r="F35" s="131" t="s">
        <v>1119</v>
      </c>
      <c r="G35" s="91"/>
      <c r="H35" s="91"/>
      <c r="I35" s="91"/>
      <c r="J35" s="91"/>
      <c r="K35" s="91">
        <f>AVERAGE(240,824)</f>
        <v>532</v>
      </c>
    </row>
    <row r="36" spans="1:11" x14ac:dyDescent="0.2">
      <c r="A36" s="89" t="s">
        <v>1148</v>
      </c>
      <c r="B36" s="131" t="s">
        <v>1119</v>
      </c>
      <c r="C36" s="91" t="s">
        <v>1119</v>
      </c>
      <c r="D36" s="91" t="s">
        <v>1119</v>
      </c>
      <c r="E36" s="91">
        <v>2</v>
      </c>
      <c r="F36" s="131" t="s">
        <v>1119</v>
      </c>
      <c r="G36" s="91"/>
      <c r="H36" s="91"/>
      <c r="I36" s="91"/>
      <c r="J36" s="91"/>
      <c r="K36" s="91">
        <v>4</v>
      </c>
    </row>
    <row r="37" spans="1:11" x14ac:dyDescent="0.2">
      <c r="A37" s="89" t="s">
        <v>1149</v>
      </c>
      <c r="B37" s="131" t="s">
        <v>1119</v>
      </c>
      <c r="C37" s="91" t="s">
        <v>1119</v>
      </c>
      <c r="D37" s="91" t="s">
        <v>1119</v>
      </c>
      <c r="E37" s="91"/>
      <c r="F37" s="131" t="s">
        <v>1119</v>
      </c>
      <c r="G37" s="91"/>
      <c r="H37" s="91"/>
      <c r="I37" s="91"/>
      <c r="J37" s="91"/>
      <c r="K37" s="91">
        <v>175</v>
      </c>
    </row>
    <row r="38" spans="1:11" x14ac:dyDescent="0.2">
      <c r="A38" s="89" t="s">
        <v>1150</v>
      </c>
      <c r="B38" s="131" t="s">
        <v>1119</v>
      </c>
      <c r="C38" s="91" t="s">
        <v>1119</v>
      </c>
      <c r="D38" s="91" t="s">
        <v>1119</v>
      </c>
      <c r="E38" s="91">
        <v>1</v>
      </c>
      <c r="F38" s="131" t="s">
        <v>1119</v>
      </c>
      <c r="G38" s="91"/>
      <c r="H38" s="91"/>
      <c r="I38" s="91"/>
      <c r="J38" s="91"/>
      <c r="K38" s="91">
        <v>1</v>
      </c>
    </row>
    <row r="39" spans="1:11" x14ac:dyDescent="0.2">
      <c r="A39" s="81" t="s">
        <v>1151</v>
      </c>
      <c r="B39" s="91">
        <v>7.5</v>
      </c>
      <c r="C39" s="91">
        <v>48</v>
      </c>
      <c r="D39" s="91">
        <v>37</v>
      </c>
      <c r="E39" s="91">
        <v>20</v>
      </c>
      <c r="F39" s="131" t="s">
        <v>1119</v>
      </c>
      <c r="G39" s="91">
        <v>16</v>
      </c>
      <c r="H39" s="91">
        <f>(25+31)/2</f>
        <v>28</v>
      </c>
      <c r="I39" s="91">
        <v>16.3</v>
      </c>
      <c r="J39" s="91">
        <v>64.8</v>
      </c>
      <c r="K39" s="91">
        <f>AVERAGE(K35,K37)</f>
        <v>353.5</v>
      </c>
    </row>
    <row r="40" spans="1:11" x14ac:dyDescent="0.2">
      <c r="A40" s="81" t="s">
        <v>1207</v>
      </c>
      <c r="B40" s="91" t="s">
        <v>1189</v>
      </c>
      <c r="C40" s="91" t="s">
        <v>1189</v>
      </c>
      <c r="D40" s="91" t="s">
        <v>1189</v>
      </c>
      <c r="E40" s="91" t="s">
        <v>1189</v>
      </c>
      <c r="F40" s="131" t="s">
        <v>1119</v>
      </c>
      <c r="G40" s="91" t="s">
        <v>1189</v>
      </c>
      <c r="H40" s="91" t="s">
        <v>1189</v>
      </c>
      <c r="I40" s="91" t="s">
        <v>1189</v>
      </c>
      <c r="J40" s="91" t="s">
        <v>1189</v>
      </c>
      <c r="K40" s="91" t="s">
        <v>1192</v>
      </c>
    </row>
    <row r="41" spans="1:11" x14ac:dyDescent="0.2">
      <c r="A41" s="81" t="s">
        <v>1208</v>
      </c>
      <c r="B41" s="91" t="s">
        <v>1196</v>
      </c>
      <c r="C41" s="91" t="s">
        <v>1194</v>
      </c>
      <c r="D41" s="91" t="s">
        <v>1194</v>
      </c>
      <c r="E41" s="91" t="s">
        <v>1194</v>
      </c>
      <c r="F41" s="131" t="s">
        <v>1119</v>
      </c>
      <c r="G41" s="91" t="s">
        <v>1201</v>
      </c>
      <c r="H41" s="91" t="s">
        <v>1119</v>
      </c>
      <c r="I41" s="91" t="s">
        <v>1195</v>
      </c>
      <c r="J41" s="91" t="s">
        <v>1195</v>
      </c>
      <c r="K41" s="91" t="s">
        <v>1201</v>
      </c>
    </row>
    <row r="42" spans="1:11" x14ac:dyDescent="0.2">
      <c r="A42" s="97" t="s">
        <v>1152</v>
      </c>
      <c r="B42" s="137">
        <f>B14+(1/B7)*(LN(B10/(B10-(B39))))</f>
        <v>2.6373121904883385</v>
      </c>
      <c r="C42" s="137">
        <f>C14+(1/C7)*(LN(C10/(C10-(C39))))</f>
        <v>11.910889763015151</v>
      </c>
      <c r="D42" s="137">
        <f>D14+(1/D7)*(LN(D10/(D10-(D39))))</f>
        <v>3.6367412116925388</v>
      </c>
      <c r="E42" s="137">
        <f>E14+(1/E7)*(LN(E10/(E10-(E39))))</f>
        <v>2.5555941952266044</v>
      </c>
      <c r="F42" s="131" t="s">
        <v>1119</v>
      </c>
      <c r="G42" s="91">
        <f>G14+(1/G7)*(LN(G10/(G10-(G39*10))))</f>
        <v>1.1767678388619716</v>
      </c>
      <c r="H42" s="91">
        <f>H14+(1/H7)*(LN(H10/(H10-(H39*10))))</f>
        <v>1.7528399025678856</v>
      </c>
      <c r="I42" s="91">
        <f>I14+(1/I7)*(LN(I10/(I10-(I39*10))))</f>
        <v>1.1272597415038539</v>
      </c>
      <c r="J42" s="91">
        <f>J14+(1/J7)*(LN(J10/(J10-(J39))))</f>
        <v>3.5290122747850434</v>
      </c>
      <c r="K42" s="91">
        <f>K14+(1/K7)*(LN(K10/(K10-(K39))))</f>
        <v>1.4910289997709492</v>
      </c>
    </row>
    <row r="43" spans="1:11" x14ac:dyDescent="0.2">
      <c r="A43" s="81" t="s">
        <v>1206</v>
      </c>
      <c r="B43" s="131" t="s">
        <v>1114</v>
      </c>
      <c r="C43" s="131" t="s">
        <v>1114</v>
      </c>
      <c r="D43" s="131" t="s">
        <v>1114</v>
      </c>
      <c r="E43" s="131" t="s">
        <v>1114</v>
      </c>
      <c r="F43" s="131" t="s">
        <v>1119</v>
      </c>
      <c r="G43" s="91" t="s">
        <v>1114</v>
      </c>
      <c r="H43" s="91" t="s">
        <v>1114</v>
      </c>
      <c r="I43" s="91" t="s">
        <v>1114</v>
      </c>
      <c r="J43" s="91" t="s">
        <v>1114</v>
      </c>
      <c r="K43" s="91" t="s">
        <v>1114</v>
      </c>
    </row>
    <row r="44" spans="1:11" x14ac:dyDescent="0.2">
      <c r="A44" s="89" t="s">
        <v>1187</v>
      </c>
      <c r="B44" s="131">
        <v>2</v>
      </c>
      <c r="C44" s="131">
        <v>7</v>
      </c>
      <c r="D44" s="137">
        <f>AVERAGE(2.07,3.72,5.5)</f>
        <v>3.7633333333333332</v>
      </c>
      <c r="E44" s="137">
        <v>1.5</v>
      </c>
      <c r="F44" s="137">
        <v>3.6</v>
      </c>
      <c r="G44" s="91"/>
      <c r="H44" s="91"/>
      <c r="I44" s="91"/>
      <c r="J44" s="91"/>
      <c r="K44" s="91"/>
    </row>
    <row r="45" spans="1:11" x14ac:dyDescent="0.2">
      <c r="A45" s="32" t="s">
        <v>1209</v>
      </c>
      <c r="B45" s="131" t="s">
        <v>1114</v>
      </c>
      <c r="C45" s="131" t="s">
        <v>1114</v>
      </c>
      <c r="D45" s="131" t="s">
        <v>1114</v>
      </c>
      <c r="E45" s="131" t="s">
        <v>1114</v>
      </c>
      <c r="F45" s="131" t="s">
        <v>1114</v>
      </c>
      <c r="G45" s="91"/>
      <c r="H45" s="91"/>
      <c r="I45" s="91"/>
      <c r="J45" s="91"/>
      <c r="K45" s="91"/>
    </row>
    <row r="46" spans="1:11" x14ac:dyDescent="0.2">
      <c r="A46" s="32" t="s">
        <v>1158</v>
      </c>
      <c r="B46" s="131" t="s">
        <v>1119</v>
      </c>
      <c r="C46" s="131" t="s">
        <v>1119</v>
      </c>
      <c r="D46" s="131" t="s">
        <v>1119</v>
      </c>
      <c r="E46" s="131" t="s">
        <v>1119</v>
      </c>
      <c r="F46" s="131" t="s">
        <v>1119</v>
      </c>
      <c r="G46" s="91" t="s">
        <v>1119</v>
      </c>
      <c r="H46" s="34" t="s">
        <v>1119</v>
      </c>
      <c r="I46" s="91" t="s">
        <v>1119</v>
      </c>
      <c r="J46" s="138">
        <v>2.2860000000000002E-9</v>
      </c>
      <c r="K46" s="91" t="s">
        <v>1119</v>
      </c>
    </row>
    <row r="47" spans="1:11" x14ac:dyDescent="0.2">
      <c r="A47" s="32" t="s">
        <v>1159</v>
      </c>
      <c r="B47" s="131" t="s">
        <v>1119</v>
      </c>
      <c r="C47" s="131" t="s">
        <v>1119</v>
      </c>
      <c r="D47" s="131" t="s">
        <v>1119</v>
      </c>
      <c r="E47" s="131" t="s">
        <v>1119</v>
      </c>
      <c r="F47" s="131" t="s">
        <v>1119</v>
      </c>
      <c r="G47" s="91" t="s">
        <v>1119</v>
      </c>
      <c r="H47" s="91" t="s">
        <v>1119</v>
      </c>
      <c r="I47" s="91" t="s">
        <v>1119</v>
      </c>
      <c r="J47" s="91">
        <v>5.359</v>
      </c>
      <c r="K47" s="91" t="s">
        <v>1119</v>
      </c>
    </row>
    <row r="48" spans="1:11" x14ac:dyDescent="0.2">
      <c r="A48" s="32" t="s">
        <v>1230</v>
      </c>
      <c r="B48" s="131">
        <v>8300000</v>
      </c>
      <c r="C48" s="131">
        <v>3425000</v>
      </c>
      <c r="D48" s="131">
        <v>876000</v>
      </c>
      <c r="E48" s="131">
        <v>230800</v>
      </c>
      <c r="F48" s="131" t="s">
        <v>1119</v>
      </c>
      <c r="G48" s="91">
        <v>141308</v>
      </c>
      <c r="H48" s="91">
        <f>AVERAGE(14102,164756)</f>
        <v>89429</v>
      </c>
      <c r="I48" s="91">
        <v>188964</v>
      </c>
      <c r="J48" s="91" t="s">
        <v>1119</v>
      </c>
      <c r="K48" s="91">
        <f>(1279768+3464102)/2</f>
        <v>2371935</v>
      </c>
    </row>
    <row r="49" spans="1:11" x14ac:dyDescent="0.2">
      <c r="A49" s="32" t="s">
        <v>1228</v>
      </c>
      <c r="B49" s="131" t="s">
        <v>1192</v>
      </c>
      <c r="C49" s="131" t="s">
        <v>1119</v>
      </c>
      <c r="D49" s="131" t="s">
        <v>1119</v>
      </c>
      <c r="E49" s="131" t="s">
        <v>1189</v>
      </c>
      <c r="F49" s="131" t="s">
        <v>1119</v>
      </c>
      <c r="G49" s="91" t="s">
        <v>1119</v>
      </c>
      <c r="H49" s="91" t="s">
        <v>1119</v>
      </c>
      <c r="I49" s="91" t="s">
        <v>1119</v>
      </c>
      <c r="J49" s="91" t="s">
        <v>1192</v>
      </c>
      <c r="K49" s="91" t="s">
        <v>1119</v>
      </c>
    </row>
    <row r="50" spans="1:11" x14ac:dyDescent="0.2">
      <c r="A50" s="89" t="s">
        <v>1229</v>
      </c>
      <c r="B50" s="131" t="s">
        <v>1196</v>
      </c>
      <c r="C50" s="131" t="s">
        <v>1119</v>
      </c>
      <c r="D50" s="131" t="s">
        <v>1119</v>
      </c>
      <c r="E50" s="131" t="s">
        <v>1195</v>
      </c>
      <c r="F50" s="131" t="s">
        <v>1119</v>
      </c>
      <c r="G50" s="91"/>
      <c r="H50" s="91"/>
      <c r="I50" s="91"/>
      <c r="J50" s="91" t="s">
        <v>1193</v>
      </c>
      <c r="K50" s="91"/>
    </row>
    <row r="51" spans="1:11" x14ac:dyDescent="0.2">
      <c r="A51" s="32" t="s">
        <v>1224</v>
      </c>
      <c r="B51" s="131">
        <v>1</v>
      </c>
      <c r="C51" s="131">
        <v>1</v>
      </c>
      <c r="D51" s="131">
        <v>1</v>
      </c>
      <c r="E51" s="131">
        <v>1</v>
      </c>
      <c r="F51" s="131">
        <v>3</v>
      </c>
      <c r="G51" s="91">
        <v>1</v>
      </c>
      <c r="H51" s="91">
        <v>26</v>
      </c>
      <c r="I51" s="91">
        <v>1</v>
      </c>
      <c r="J51" s="91">
        <v>1</v>
      </c>
      <c r="K51" s="91">
        <v>1</v>
      </c>
    </row>
    <row r="52" spans="1:11" x14ac:dyDescent="0.2">
      <c r="A52" s="32" t="s">
        <v>1113</v>
      </c>
      <c r="B52" s="131">
        <v>0.97</v>
      </c>
      <c r="C52" s="131">
        <v>0.81499999999999995</v>
      </c>
      <c r="D52" s="139">
        <f>AVERAGE(0.8,0.9,0.56)</f>
        <v>0.75333333333333341</v>
      </c>
      <c r="E52" s="139">
        <f>AVERAGE(0.8,0.9,0.56)</f>
        <v>0.75333333333333341</v>
      </c>
      <c r="F52" s="139">
        <v>0.7</v>
      </c>
      <c r="G52" s="139">
        <v>0.7</v>
      </c>
      <c r="H52" s="139">
        <f>AVERAGE(0.8,0.9,0.56)</f>
        <v>0.75333333333333341</v>
      </c>
      <c r="I52" s="131">
        <v>0.84</v>
      </c>
      <c r="J52" s="139">
        <v>0.7</v>
      </c>
      <c r="K52" s="139">
        <v>0.7</v>
      </c>
    </row>
    <row r="53" spans="1:11" x14ac:dyDescent="0.2">
      <c r="A53" s="140"/>
      <c r="B53" s="131"/>
      <c r="C53" s="131"/>
      <c r="D53" s="131"/>
      <c r="E53" s="131"/>
      <c r="F53" s="131"/>
    </row>
    <row r="54" spans="1:11" x14ac:dyDescent="0.2">
      <c r="A54" s="140"/>
      <c r="B54" s="140"/>
      <c r="C54" s="140"/>
      <c r="D54" s="140"/>
      <c r="E54" s="140"/>
      <c r="F54" s="140"/>
    </row>
    <row r="55" spans="1:11" x14ac:dyDescent="0.2">
      <c r="A55" s="140"/>
      <c r="B55" s="140"/>
      <c r="C55" s="140"/>
      <c r="D55" s="140"/>
      <c r="E55" s="140"/>
      <c r="F55" s="140"/>
    </row>
    <row r="56" spans="1:11" x14ac:dyDescent="0.2">
      <c r="A56" s="140"/>
      <c r="B56" s="140"/>
      <c r="C56" s="140"/>
      <c r="D56" s="140"/>
      <c r="E56" s="140"/>
      <c r="F56" s="140"/>
    </row>
    <row r="57" spans="1:11" x14ac:dyDescent="0.2">
      <c r="A57" s="140"/>
      <c r="B57" s="140"/>
      <c r="C57" s="140"/>
      <c r="D57" s="140"/>
      <c r="E57" s="140"/>
      <c r="F57" s="140"/>
    </row>
    <row r="58" spans="1:11" x14ac:dyDescent="0.2">
      <c r="A58" s="140"/>
      <c r="B58" s="140"/>
      <c r="C58" s="140"/>
      <c r="D58" s="140"/>
      <c r="E58" s="140"/>
      <c r="F58" s="140"/>
    </row>
    <row r="59" spans="1:11" x14ac:dyDescent="0.2">
      <c r="A59" s="140"/>
      <c r="B59" s="140"/>
      <c r="C59" s="140"/>
      <c r="D59" s="140"/>
      <c r="E59" s="140"/>
      <c r="F59" s="140"/>
    </row>
    <row r="60" spans="1:11" x14ac:dyDescent="0.2">
      <c r="A60" s="140"/>
      <c r="B60" s="140"/>
      <c r="C60" s="140"/>
      <c r="D60" s="140"/>
      <c r="E60" s="140"/>
      <c r="F60" s="140"/>
    </row>
    <row r="61" spans="1:11" x14ac:dyDescent="0.2">
      <c r="A61" s="140"/>
      <c r="B61" s="140"/>
      <c r="C61" s="140"/>
      <c r="D61" s="140"/>
      <c r="E61" s="140"/>
      <c r="F61" s="140"/>
    </row>
    <row r="62" spans="1:11" x14ac:dyDescent="0.2">
      <c r="A62" s="140"/>
      <c r="B62" s="140"/>
      <c r="C62" s="140"/>
      <c r="D62" s="140"/>
      <c r="E62" s="140"/>
      <c r="F62" s="140"/>
    </row>
    <row r="63" spans="1:11" x14ac:dyDescent="0.2">
      <c r="A63" s="140"/>
      <c r="B63" s="140"/>
      <c r="C63" s="140"/>
      <c r="D63" s="140"/>
      <c r="E63" s="140"/>
      <c r="F63" s="140"/>
    </row>
    <row r="64" spans="1:11" x14ac:dyDescent="0.2">
      <c r="A64" s="140"/>
      <c r="B64" s="140"/>
      <c r="C64" s="140"/>
      <c r="D64" s="140"/>
      <c r="E64" s="140"/>
      <c r="F64" s="140"/>
    </row>
    <row r="65" spans="1:6" x14ac:dyDescent="0.2">
      <c r="A65" s="140"/>
      <c r="B65" s="140"/>
      <c r="C65" s="140"/>
      <c r="D65" s="140"/>
      <c r="E65" s="140"/>
      <c r="F65" s="140"/>
    </row>
    <row r="66" spans="1:6" x14ac:dyDescent="0.2">
      <c r="A66" s="140"/>
      <c r="B66" s="140"/>
      <c r="C66" s="140"/>
      <c r="D66" s="140"/>
      <c r="E66" s="140"/>
      <c r="F66" s="140"/>
    </row>
    <row r="67" spans="1:6" x14ac:dyDescent="0.2">
      <c r="A67" s="140"/>
      <c r="B67" s="140"/>
      <c r="C67" s="140"/>
      <c r="D67" s="140"/>
      <c r="E67" s="140"/>
      <c r="F67" s="140"/>
    </row>
    <row r="68" spans="1:6" x14ac:dyDescent="0.2">
      <c r="A68" s="140"/>
      <c r="B68" s="140"/>
      <c r="C68" s="140"/>
      <c r="D68" s="140"/>
      <c r="E68" s="140"/>
      <c r="F68" s="140"/>
    </row>
    <row r="69" spans="1:6" x14ac:dyDescent="0.2">
      <c r="A69" s="140"/>
      <c r="B69" s="140"/>
      <c r="C69" s="140"/>
      <c r="D69" s="140"/>
      <c r="E69" s="140"/>
      <c r="F69" s="140"/>
    </row>
    <row r="70" spans="1:6" x14ac:dyDescent="0.2">
      <c r="A70" s="140"/>
      <c r="B70" s="140"/>
      <c r="C70" s="140"/>
      <c r="D70" s="140"/>
      <c r="E70" s="140"/>
      <c r="F70" s="140"/>
    </row>
    <row r="71" spans="1:6" x14ac:dyDescent="0.2">
      <c r="A71" s="140"/>
      <c r="B71" s="140"/>
      <c r="C71" s="140"/>
      <c r="D71" s="140"/>
      <c r="E71" s="140"/>
      <c r="F71" s="140"/>
    </row>
    <row r="72" spans="1:6" x14ac:dyDescent="0.2">
      <c r="A72" s="140"/>
      <c r="B72" s="140"/>
      <c r="C72" s="140"/>
      <c r="D72" s="140"/>
      <c r="E72" s="140"/>
      <c r="F72" s="140"/>
    </row>
    <row r="73" spans="1:6" x14ac:dyDescent="0.2">
      <c r="A73" s="140"/>
      <c r="B73" s="140"/>
      <c r="C73" s="140"/>
      <c r="D73" s="140"/>
      <c r="E73" s="140"/>
      <c r="F73" s="140"/>
    </row>
    <row r="74" spans="1:6" x14ac:dyDescent="0.2">
      <c r="A74" s="140"/>
      <c r="B74" s="140"/>
      <c r="C74" s="140"/>
      <c r="D74" s="140"/>
      <c r="E74" s="140"/>
      <c r="F74" s="140"/>
    </row>
    <row r="75" spans="1:6" x14ac:dyDescent="0.2">
      <c r="A75" s="140"/>
      <c r="B75" s="140"/>
      <c r="C75" s="140"/>
      <c r="D75" s="140"/>
      <c r="E75" s="140"/>
      <c r="F75" s="140"/>
    </row>
    <row r="76" spans="1:6" x14ac:dyDescent="0.2">
      <c r="A76" s="140"/>
      <c r="B76" s="140"/>
      <c r="C76" s="140"/>
      <c r="D76" s="140"/>
      <c r="E76" s="140"/>
      <c r="F76" s="140"/>
    </row>
    <row r="77" spans="1:6" x14ac:dyDescent="0.2">
      <c r="A77" s="140"/>
      <c r="B77" s="140"/>
      <c r="C77" s="140"/>
      <c r="D77" s="140"/>
      <c r="E77" s="140"/>
      <c r="F77" s="140"/>
    </row>
    <row r="78" spans="1:6" x14ac:dyDescent="0.2">
      <c r="A78" s="140"/>
      <c r="B78" s="140"/>
      <c r="C78" s="140"/>
      <c r="D78" s="140"/>
      <c r="E78" s="140"/>
      <c r="F78" s="140"/>
    </row>
    <row r="79" spans="1:6" x14ac:dyDescent="0.2">
      <c r="A79" s="140"/>
      <c r="B79" s="140"/>
      <c r="C79" s="140"/>
      <c r="D79" s="140"/>
      <c r="E79" s="140"/>
      <c r="F79" s="140"/>
    </row>
    <row r="80" spans="1:6" x14ac:dyDescent="0.2">
      <c r="A80" s="140"/>
      <c r="B80" s="140"/>
      <c r="C80" s="140"/>
      <c r="D80" s="140"/>
      <c r="E80" s="140"/>
      <c r="F80" s="140"/>
    </row>
    <row r="81" spans="1:6" x14ac:dyDescent="0.2">
      <c r="A81" s="140"/>
      <c r="B81" s="140"/>
      <c r="C81" s="140"/>
      <c r="D81" s="140"/>
      <c r="E81" s="140"/>
      <c r="F81" s="140"/>
    </row>
    <row r="82" spans="1:6" x14ac:dyDescent="0.2">
      <c r="A82" s="140"/>
      <c r="B82" s="140"/>
      <c r="C82" s="140"/>
      <c r="D82" s="140"/>
      <c r="E82" s="140"/>
      <c r="F82" s="140"/>
    </row>
    <row r="83" spans="1:6" x14ac:dyDescent="0.2">
      <c r="A83" s="140"/>
      <c r="B83" s="140"/>
      <c r="C83" s="140"/>
      <c r="D83" s="140"/>
      <c r="E83" s="140"/>
      <c r="F83" s="140"/>
    </row>
    <row r="84" spans="1:6" x14ac:dyDescent="0.2">
      <c r="A84" s="140"/>
      <c r="B84" s="140"/>
      <c r="C84" s="140"/>
      <c r="D84" s="140"/>
      <c r="E84" s="140"/>
      <c r="F84" s="140"/>
    </row>
    <row r="85" spans="1:6" x14ac:dyDescent="0.2">
      <c r="A85" s="140"/>
      <c r="B85" s="140"/>
      <c r="C85" s="140"/>
      <c r="D85" s="140"/>
      <c r="E85" s="140"/>
      <c r="F85" s="140"/>
    </row>
    <row r="86" spans="1:6" x14ac:dyDescent="0.2">
      <c r="A86" s="140"/>
      <c r="B86" s="140"/>
      <c r="C86" s="140"/>
      <c r="D86" s="140"/>
      <c r="E86" s="140"/>
      <c r="F86" s="140"/>
    </row>
    <row r="87" spans="1:6" x14ac:dyDescent="0.2">
      <c r="A87" s="140"/>
      <c r="B87" s="140"/>
      <c r="C87" s="140"/>
      <c r="D87" s="140"/>
      <c r="E87" s="140"/>
      <c r="F87" s="140"/>
    </row>
    <row r="88" spans="1:6" x14ac:dyDescent="0.2">
      <c r="A88" s="140"/>
      <c r="B88" s="140"/>
      <c r="C88" s="140"/>
      <c r="D88" s="140"/>
      <c r="E88" s="140"/>
      <c r="F88" s="140"/>
    </row>
    <row r="89" spans="1:6" x14ac:dyDescent="0.2">
      <c r="A89" s="140"/>
      <c r="B89" s="140"/>
      <c r="C89" s="140"/>
      <c r="D89" s="140"/>
      <c r="E89" s="140"/>
      <c r="F89" s="140"/>
    </row>
    <row r="90" spans="1:6" x14ac:dyDescent="0.2">
      <c r="A90" s="140"/>
      <c r="B90" s="140"/>
      <c r="C90" s="140"/>
      <c r="D90" s="140"/>
      <c r="E90" s="140"/>
      <c r="F90" s="140"/>
    </row>
    <row r="91" spans="1:6" x14ac:dyDescent="0.2">
      <c r="A91" s="140"/>
      <c r="B91" s="140"/>
      <c r="C91" s="140"/>
      <c r="D91" s="140"/>
      <c r="E91" s="140"/>
      <c r="F91" s="140"/>
    </row>
    <row r="92" spans="1:6" x14ac:dyDescent="0.2">
      <c r="A92" s="140"/>
      <c r="B92" s="140"/>
      <c r="C92" s="140"/>
      <c r="D92" s="140"/>
      <c r="E92" s="140"/>
      <c r="F92" s="140"/>
    </row>
    <row r="93" spans="1:6" x14ac:dyDescent="0.2">
      <c r="A93" s="140"/>
      <c r="B93" s="140"/>
      <c r="C93" s="140"/>
      <c r="D93" s="140"/>
      <c r="E93" s="140"/>
      <c r="F93" s="140"/>
    </row>
    <row r="94" spans="1:6" x14ac:dyDescent="0.2">
      <c r="A94" s="140"/>
      <c r="B94" s="140"/>
      <c r="C94" s="140"/>
      <c r="D94" s="140"/>
      <c r="E94" s="140"/>
      <c r="F94" s="140"/>
    </row>
    <row r="95" spans="1:6" x14ac:dyDescent="0.2">
      <c r="A95" s="140"/>
      <c r="B95" s="140"/>
      <c r="C95" s="140"/>
      <c r="D95" s="140"/>
      <c r="E95" s="140"/>
      <c r="F95" s="140"/>
    </row>
    <row r="96" spans="1:6" x14ac:dyDescent="0.2">
      <c r="A96" s="140"/>
      <c r="B96" s="140"/>
      <c r="C96" s="140"/>
      <c r="D96" s="140"/>
      <c r="E96" s="140"/>
      <c r="F96" s="140"/>
    </row>
    <row r="97" spans="1:6" x14ac:dyDescent="0.2">
      <c r="A97" s="140"/>
      <c r="B97" s="140"/>
      <c r="C97" s="140"/>
      <c r="D97" s="140"/>
      <c r="E97" s="140"/>
      <c r="F97" s="140"/>
    </row>
    <row r="98" spans="1:6" x14ac:dyDescent="0.2">
      <c r="A98" s="140"/>
      <c r="B98" s="140"/>
      <c r="C98" s="140"/>
      <c r="D98" s="140"/>
      <c r="E98" s="140"/>
      <c r="F98" s="140"/>
    </row>
  </sheetData>
  <pageMargins left="0.7" right="0.7" top="0.75" bottom="0.75" header="0.3" footer="0.3"/>
  <pageSetup scale="66" fitToWidth="0" orientation="landscape"/>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4"/>
  <sheetViews>
    <sheetView zoomScale="125" zoomScaleNormal="125" zoomScalePageLayoutView="125" workbookViewId="0">
      <selection activeCell="B10" sqref="B10"/>
    </sheetView>
  </sheetViews>
  <sheetFormatPr baseColWidth="10" defaultRowHeight="13" x14ac:dyDescent="0.15"/>
  <cols>
    <col min="2" max="2" width="11" bestFit="1" customWidth="1"/>
    <col min="3" max="3" width="20.5" bestFit="1" customWidth="1"/>
  </cols>
  <sheetData>
    <row r="1" spans="1:4" ht="14" x14ac:dyDescent="0.15">
      <c r="A1" s="80" t="s">
        <v>53</v>
      </c>
    </row>
    <row r="2" spans="1:4" ht="32" customHeight="1" x14ac:dyDescent="0.15">
      <c r="A2" s="79" t="s">
        <v>432</v>
      </c>
    </row>
    <row r="3" spans="1:4" x14ac:dyDescent="0.15">
      <c r="A3" s="79" t="s">
        <v>230</v>
      </c>
      <c r="B3">
        <v>2.34</v>
      </c>
    </row>
    <row r="4" spans="1:4" x14ac:dyDescent="0.15">
      <c r="A4" s="79" t="s">
        <v>232</v>
      </c>
      <c r="B4">
        <v>2.4300000000000002</v>
      </c>
    </row>
    <row r="5" spans="1:4" x14ac:dyDescent="0.15">
      <c r="A5" s="73" t="s">
        <v>1166</v>
      </c>
      <c r="B5">
        <v>40.799999999999997</v>
      </c>
      <c r="C5" t="s">
        <v>1189</v>
      </c>
    </row>
    <row r="6" spans="1:4" x14ac:dyDescent="0.15">
      <c r="A6" s="73" t="s">
        <v>129</v>
      </c>
      <c r="B6">
        <v>0.47</v>
      </c>
    </row>
    <row r="7" spans="1:4" x14ac:dyDescent="0.15">
      <c r="A7" s="73" t="s">
        <v>183</v>
      </c>
      <c r="B7">
        <v>-0.32</v>
      </c>
    </row>
    <row r="9" spans="1:4" x14ac:dyDescent="0.15">
      <c r="A9" t="s">
        <v>1165</v>
      </c>
      <c r="B9" t="s">
        <v>1214</v>
      </c>
      <c r="C9" t="s">
        <v>1167</v>
      </c>
      <c r="D9" t="s">
        <v>1215</v>
      </c>
    </row>
    <row r="10" spans="1:4" x14ac:dyDescent="0.15">
      <c r="A10">
        <v>0</v>
      </c>
      <c r="B10" s="96">
        <f t="shared" ref="B10:B25" si="0">linf*(1-EXP(-k*(A10-t0)))</f>
        <v>5.6971585070566082</v>
      </c>
      <c r="C10" s="96">
        <f t="shared" ref="C10:C25" si="1">10^(a+b*LOG10(B10))</f>
        <v>15005.472503588149</v>
      </c>
    </row>
    <row r="11" spans="1:4" x14ac:dyDescent="0.15">
      <c r="A11">
        <v>1</v>
      </c>
      <c r="B11" s="96">
        <f t="shared" si="0"/>
        <v>18.860644443742267</v>
      </c>
      <c r="C11" s="96">
        <f t="shared" si="1"/>
        <v>275170.81040670315</v>
      </c>
    </row>
    <row r="12" spans="1:4" x14ac:dyDescent="0.15">
      <c r="A12">
        <v>2</v>
      </c>
      <c r="B12" s="96">
        <f t="shared" si="0"/>
        <v>27.087853012678242</v>
      </c>
      <c r="C12" s="96">
        <f t="shared" si="1"/>
        <v>663196.52124917821</v>
      </c>
      <c r="D12" t="s">
        <v>1169</v>
      </c>
    </row>
    <row r="13" spans="1:4" x14ac:dyDescent="0.15">
      <c r="A13">
        <v>3</v>
      </c>
      <c r="B13" s="96">
        <f t="shared" si="0"/>
        <v>32.229877029898098</v>
      </c>
      <c r="C13" s="96">
        <f t="shared" si="1"/>
        <v>1011739.057281605</v>
      </c>
    </row>
    <row r="14" spans="1:4" x14ac:dyDescent="0.15">
      <c r="A14">
        <v>4</v>
      </c>
      <c r="B14" s="96">
        <f t="shared" si="0"/>
        <v>35.443653704224637</v>
      </c>
      <c r="C14" s="96">
        <f t="shared" si="1"/>
        <v>1274613.5113620306</v>
      </c>
    </row>
    <row r="15" spans="1:4" x14ac:dyDescent="0.15">
      <c r="A15">
        <v>5</v>
      </c>
      <c r="B15" s="96">
        <f t="shared" si="0"/>
        <v>37.452271415432755</v>
      </c>
      <c r="C15" s="96">
        <f t="shared" si="1"/>
        <v>1457309.9622212111</v>
      </c>
    </row>
    <row r="16" spans="1:4" x14ac:dyDescent="0.15">
      <c r="A16">
        <v>6</v>
      </c>
      <c r="B16" s="96">
        <f t="shared" si="0"/>
        <v>38.707662041050632</v>
      </c>
      <c r="C16" s="96">
        <f t="shared" si="1"/>
        <v>1578870.7005716343</v>
      </c>
    </row>
    <row r="17" spans="1:4" x14ac:dyDescent="0.15">
      <c r="A17">
        <v>7</v>
      </c>
      <c r="B17" s="96">
        <f t="shared" si="0"/>
        <v>39.492284029642647</v>
      </c>
      <c r="C17" s="96">
        <f t="shared" si="1"/>
        <v>1657771.8924876347</v>
      </c>
    </row>
    <row r="18" spans="1:4" x14ac:dyDescent="0.15">
      <c r="A18">
        <v>8</v>
      </c>
      <c r="B18" s="96">
        <f t="shared" si="0"/>
        <v>39.982674552257144</v>
      </c>
      <c r="C18" s="96">
        <f t="shared" si="1"/>
        <v>1708238.7759823506</v>
      </c>
    </row>
    <row r="19" spans="1:4" x14ac:dyDescent="0.15">
      <c r="A19">
        <v>9</v>
      </c>
      <c r="B19" s="96">
        <f t="shared" si="0"/>
        <v>40.28916974123554</v>
      </c>
      <c r="C19" s="96">
        <f t="shared" si="1"/>
        <v>1740233.8504647638</v>
      </c>
    </row>
    <row r="20" spans="1:4" x14ac:dyDescent="0.15">
      <c r="A20">
        <v>10</v>
      </c>
      <c r="B20" s="96">
        <f t="shared" si="0"/>
        <v>40.480729929564774</v>
      </c>
      <c r="C20" s="96">
        <f t="shared" si="1"/>
        <v>1760408.4876192547</v>
      </c>
    </row>
    <row r="21" spans="1:4" x14ac:dyDescent="0.15">
      <c r="A21">
        <v>11</v>
      </c>
      <c r="B21" s="96">
        <f t="shared" si="0"/>
        <v>40.6004554817832</v>
      </c>
      <c r="C21" s="96">
        <f t="shared" si="1"/>
        <v>1773087.2263838905</v>
      </c>
    </row>
    <row r="22" spans="1:4" x14ac:dyDescent="0.15">
      <c r="A22">
        <v>12</v>
      </c>
      <c r="B22" s="96">
        <f t="shared" si="0"/>
        <v>40.675284223491118</v>
      </c>
      <c r="C22" s="96">
        <f t="shared" si="1"/>
        <v>1781038.6701316698</v>
      </c>
    </row>
    <row r="23" spans="1:4" x14ac:dyDescent="0.15">
      <c r="A23">
        <v>13</v>
      </c>
      <c r="B23" s="96">
        <f t="shared" si="0"/>
        <v>40.722052356791316</v>
      </c>
      <c r="C23" s="96">
        <f t="shared" si="1"/>
        <v>1786018.9759131984</v>
      </c>
    </row>
    <row r="24" spans="1:4" x14ac:dyDescent="0.15">
      <c r="A24">
        <v>14</v>
      </c>
      <c r="B24" s="96">
        <f t="shared" si="0"/>
        <v>40.751282546187277</v>
      </c>
      <c r="C24" s="96">
        <f t="shared" si="1"/>
        <v>1789135.8350157819</v>
      </c>
    </row>
    <row r="25" spans="1:4" x14ac:dyDescent="0.15">
      <c r="A25">
        <v>15</v>
      </c>
      <c r="B25" s="96">
        <f t="shared" si="0"/>
        <v>40.769551480862091</v>
      </c>
      <c r="C25" s="96">
        <f t="shared" si="1"/>
        <v>1791085.5032832993</v>
      </c>
    </row>
    <row r="26" spans="1:4" x14ac:dyDescent="0.15">
      <c r="B26" s="96"/>
      <c r="C26" s="96">
        <f>AVERAGE(C12:C25)</f>
        <v>1555196.3549976789</v>
      </c>
      <c r="D26" t="s">
        <v>1168</v>
      </c>
    </row>
    <row r="30" spans="1:4" x14ac:dyDescent="0.15">
      <c r="A30" s="90" t="s">
        <v>55</v>
      </c>
    </row>
    <row r="31" spans="1:4" x14ac:dyDescent="0.15">
      <c r="A31" s="44" t="s">
        <v>1046</v>
      </c>
    </row>
    <row r="33" spans="1:4" x14ac:dyDescent="0.15">
      <c r="A33" t="s">
        <v>1213</v>
      </c>
      <c r="B33" s="75">
        <v>0.02</v>
      </c>
    </row>
    <row r="34" spans="1:4" x14ac:dyDescent="0.15">
      <c r="A34" t="s">
        <v>232</v>
      </c>
      <c r="B34" s="75">
        <v>9.82</v>
      </c>
    </row>
    <row r="35" spans="1:4" x14ac:dyDescent="0.15">
      <c r="A35" s="73" t="s">
        <v>1166</v>
      </c>
      <c r="B35" s="75">
        <v>105</v>
      </c>
      <c r="C35" t="s">
        <v>1189</v>
      </c>
    </row>
    <row r="36" spans="1:4" x14ac:dyDescent="0.15">
      <c r="A36" s="73" t="s">
        <v>129</v>
      </c>
      <c r="B36" s="91">
        <v>0.19</v>
      </c>
    </row>
    <row r="37" spans="1:4" x14ac:dyDescent="0.15">
      <c r="A37" s="73" t="s">
        <v>183</v>
      </c>
      <c r="B37" s="75">
        <v>-0.63</v>
      </c>
    </row>
    <row r="39" spans="1:4" x14ac:dyDescent="0.15">
      <c r="A39" s="73" t="s">
        <v>1165</v>
      </c>
      <c r="B39" t="s">
        <v>1217</v>
      </c>
      <c r="C39" t="s">
        <v>1167</v>
      </c>
      <c r="D39" t="s">
        <v>1216</v>
      </c>
    </row>
    <row r="40" spans="1:4" x14ac:dyDescent="0.15">
      <c r="A40">
        <v>0</v>
      </c>
      <c r="B40" s="95">
        <f>$B$35*(1-EXP(-$B$36*(A40-$B$37)))</f>
        <v>11.845411959823711</v>
      </c>
      <c r="C40" s="95">
        <f>10^6*($B$33*(B40*10)-$B$34)</f>
        <v>-7450917.608035258</v>
      </c>
    </row>
    <row r="41" spans="1:4" x14ac:dyDescent="0.15">
      <c r="A41">
        <v>1</v>
      </c>
      <c r="B41" s="95">
        <f t="shared" ref="B41:B71" si="2">$B$35*(1-EXP(-$B$36*(A41-$B$37)))</f>
        <v>27.964962551445115</v>
      </c>
      <c r="C41" s="95">
        <f t="shared" ref="C41:C71" si="3">10^6*($B$33*(B41*10)-$B$34)</f>
        <v>-4227007.4897109773</v>
      </c>
    </row>
    <row r="42" spans="1:4" x14ac:dyDescent="0.15">
      <c r="A42">
        <v>2</v>
      </c>
      <c r="B42" s="95">
        <f t="shared" si="2"/>
        <v>41.295172148248568</v>
      </c>
      <c r="C42" s="95">
        <f t="shared" si="3"/>
        <v>-1560965.5703502856</v>
      </c>
    </row>
    <row r="43" spans="1:4" x14ac:dyDescent="0.15">
      <c r="A43">
        <v>3</v>
      </c>
      <c r="B43" s="95">
        <f t="shared" si="2"/>
        <v>52.318710731704641</v>
      </c>
      <c r="C43" s="95">
        <f t="shared" si="3"/>
        <v>643742.14634092827</v>
      </c>
    </row>
    <row r="44" spans="1:4" x14ac:dyDescent="0.15">
      <c r="A44">
        <v>4</v>
      </c>
      <c r="B44" s="95">
        <f t="shared" si="2"/>
        <v>61.434726651670729</v>
      </c>
      <c r="C44" s="95">
        <f t="shared" si="3"/>
        <v>2466945.3303341465</v>
      </c>
      <c r="D44" t="s">
        <v>1169</v>
      </c>
    </row>
    <row r="45" spans="1:4" x14ac:dyDescent="0.15">
      <c r="A45">
        <v>5</v>
      </c>
      <c r="B45" s="95">
        <f t="shared" si="2"/>
        <v>68.973299281859781</v>
      </c>
      <c r="C45" s="95">
        <f t="shared" si="3"/>
        <v>3974659.8563719573</v>
      </c>
    </row>
    <row r="46" spans="1:4" x14ac:dyDescent="0.15">
      <c r="A46">
        <v>6</v>
      </c>
      <c r="B46" s="95">
        <f t="shared" si="2"/>
        <v>75.207390775290065</v>
      </c>
      <c r="C46" s="95">
        <f t="shared" si="3"/>
        <v>5221478.1550580123</v>
      </c>
    </row>
    <row r="47" spans="1:4" x14ac:dyDescent="0.15">
      <c r="A47">
        <v>7</v>
      </c>
      <c r="B47" s="95">
        <f t="shared" si="2"/>
        <v>80.362729677620834</v>
      </c>
      <c r="C47" s="95">
        <f t="shared" si="3"/>
        <v>6252545.9355241675</v>
      </c>
    </row>
    <row r="48" spans="1:4" x14ac:dyDescent="0.15">
      <c r="A48">
        <v>8</v>
      </c>
      <c r="B48" s="95">
        <f t="shared" si="2"/>
        <v>84.625984271476824</v>
      </c>
      <c r="C48" s="95">
        <f t="shared" si="3"/>
        <v>7105196.8542953646</v>
      </c>
    </row>
    <row r="49" spans="1:3" x14ac:dyDescent="0.15">
      <c r="A49">
        <v>9</v>
      </c>
      <c r="B49" s="95">
        <f t="shared" si="2"/>
        <v>88.151521598192033</v>
      </c>
      <c r="C49" s="95">
        <f t="shared" si="3"/>
        <v>7810304.3196384087</v>
      </c>
    </row>
    <row r="50" spans="1:3" x14ac:dyDescent="0.15">
      <c r="A50">
        <v>10</v>
      </c>
      <c r="B50" s="95">
        <f t="shared" si="2"/>
        <v>91.06699689257745</v>
      </c>
      <c r="C50" s="95">
        <f t="shared" si="3"/>
        <v>8393399.3785154894</v>
      </c>
    </row>
    <row r="51" spans="1:3" x14ac:dyDescent="0.15">
      <c r="A51">
        <v>11</v>
      </c>
      <c r="B51" s="95">
        <f t="shared" si="2"/>
        <v>93.477975817055665</v>
      </c>
      <c r="C51" s="95">
        <f t="shared" si="3"/>
        <v>8875595.1634111349</v>
      </c>
    </row>
    <row r="52" spans="1:3" x14ac:dyDescent="0.15">
      <c r="A52">
        <v>12</v>
      </c>
      <c r="B52" s="95">
        <f t="shared" si="2"/>
        <v>95.471756860397875</v>
      </c>
      <c r="C52" s="95">
        <f t="shared" si="3"/>
        <v>9274351.3720795754</v>
      </c>
    </row>
    <row r="53" spans="1:3" x14ac:dyDescent="0.15">
      <c r="A53">
        <v>13</v>
      </c>
      <c r="B53" s="95">
        <f t="shared" si="2"/>
        <v>97.120532305272832</v>
      </c>
      <c r="C53" s="95">
        <f t="shared" si="3"/>
        <v>9604106.4610545672</v>
      </c>
    </row>
    <row r="54" spans="1:3" x14ac:dyDescent="0.15">
      <c r="A54">
        <v>14</v>
      </c>
      <c r="B54" s="95">
        <f t="shared" si="2"/>
        <v>98.48400221923373</v>
      </c>
      <c r="C54" s="95">
        <f t="shared" si="3"/>
        <v>9876800.4438467473</v>
      </c>
    </row>
    <row r="55" spans="1:3" x14ac:dyDescent="0.15">
      <c r="A55">
        <v>15</v>
      </c>
      <c r="B55" s="95">
        <f t="shared" si="2"/>
        <v>99.611536118440654</v>
      </c>
      <c r="C55" s="95">
        <f t="shared" si="3"/>
        <v>10102307.223688133</v>
      </c>
    </row>
    <row r="56" spans="1:3" x14ac:dyDescent="0.15">
      <c r="A56">
        <v>16</v>
      </c>
      <c r="B56" s="95">
        <f t="shared" si="2"/>
        <v>100.54396057522059</v>
      </c>
      <c r="C56" s="95">
        <f t="shared" si="3"/>
        <v>10288792.115044117</v>
      </c>
    </row>
    <row r="57" spans="1:3" x14ac:dyDescent="0.15">
      <c r="A57">
        <v>17</v>
      </c>
      <c r="B57" s="95">
        <f t="shared" si="2"/>
        <v>101.31503749646694</v>
      </c>
      <c r="C57" s="95">
        <f t="shared" si="3"/>
        <v>10443007.499293391</v>
      </c>
    </row>
    <row r="58" spans="1:3" x14ac:dyDescent="0.15">
      <c r="A58">
        <v>18</v>
      </c>
      <c r="B58" s="95">
        <f t="shared" si="2"/>
        <v>101.95268659946453</v>
      </c>
      <c r="C58" s="95">
        <f t="shared" si="3"/>
        <v>10570537.319892908</v>
      </c>
    </row>
    <row r="59" spans="1:3" x14ac:dyDescent="0.15">
      <c r="A59">
        <v>19</v>
      </c>
      <c r="B59" s="95">
        <f t="shared" si="2"/>
        <v>102.47999634943919</v>
      </c>
      <c r="C59" s="95">
        <f t="shared" si="3"/>
        <v>10675999.269887839</v>
      </c>
    </row>
    <row r="60" spans="1:3" x14ac:dyDescent="0.15">
      <c r="A60">
        <v>20</v>
      </c>
      <c r="B60" s="95">
        <f t="shared" si="2"/>
        <v>102.91605996359813</v>
      </c>
      <c r="C60" s="95">
        <f t="shared" si="3"/>
        <v>10763211.992719626</v>
      </c>
    </row>
    <row r="61" spans="1:3" x14ac:dyDescent="0.15">
      <c r="A61">
        <v>21</v>
      </c>
      <c r="B61" s="95">
        <f t="shared" si="2"/>
        <v>103.27666675230721</v>
      </c>
      <c r="C61" s="95">
        <f t="shared" si="3"/>
        <v>10835333.350461444</v>
      </c>
    </row>
    <row r="62" spans="1:3" x14ac:dyDescent="0.15">
      <c r="A62">
        <v>22</v>
      </c>
      <c r="B62" s="95">
        <f t="shared" si="2"/>
        <v>103.57487382999217</v>
      </c>
      <c r="C62" s="95">
        <f t="shared" si="3"/>
        <v>10894974.765998438</v>
      </c>
    </row>
    <row r="63" spans="1:3" x14ac:dyDescent="0.15">
      <c r="A63">
        <v>23</v>
      </c>
      <c r="B63" s="95">
        <f t="shared" si="2"/>
        <v>103.82147889669031</v>
      </c>
      <c r="C63" s="95">
        <f t="shared" si="3"/>
        <v>10944295.779338064</v>
      </c>
    </row>
    <row r="64" spans="1:3" x14ac:dyDescent="0.15">
      <c r="A64">
        <v>24</v>
      </c>
      <c r="B64" s="95">
        <f t="shared" si="2"/>
        <v>104.02541120907304</v>
      </c>
      <c r="C64" s="95">
        <f t="shared" si="3"/>
        <v>10985082.241814606</v>
      </c>
    </row>
    <row r="65" spans="1:4" x14ac:dyDescent="0.15">
      <c r="A65">
        <v>25</v>
      </c>
      <c r="B65" s="95">
        <f t="shared" si="2"/>
        <v>104.19405489750413</v>
      </c>
      <c r="C65" s="95">
        <f t="shared" si="3"/>
        <v>11018810.979500826</v>
      </c>
    </row>
    <row r="66" spans="1:4" x14ac:dyDescent="0.15">
      <c r="A66">
        <v>26</v>
      </c>
      <c r="B66" s="95">
        <f t="shared" si="2"/>
        <v>104.33351633603412</v>
      </c>
      <c r="C66" s="95">
        <f t="shared" si="3"/>
        <v>11046703.267206827</v>
      </c>
    </row>
    <row r="67" spans="1:4" x14ac:dyDescent="0.15">
      <c r="A67">
        <v>27</v>
      </c>
      <c r="B67" s="95">
        <f t="shared" si="2"/>
        <v>104.44884524645938</v>
      </c>
      <c r="C67" s="95">
        <f t="shared" si="3"/>
        <v>11069769.049291879</v>
      </c>
    </row>
    <row r="68" spans="1:4" x14ac:dyDescent="0.15">
      <c r="A68">
        <v>28</v>
      </c>
      <c r="B68" s="95">
        <f t="shared" si="2"/>
        <v>104.54421754234328</v>
      </c>
      <c r="C68" s="95">
        <f t="shared" si="3"/>
        <v>11088843.508468652</v>
      </c>
    </row>
    <row r="69" spans="1:4" x14ac:dyDescent="0.15">
      <c r="A69">
        <v>29</v>
      </c>
      <c r="B69" s="95">
        <f t="shared" si="2"/>
        <v>104.62308653354962</v>
      </c>
      <c r="C69" s="95">
        <f t="shared" si="3"/>
        <v>11104617.306709927</v>
      </c>
    </row>
    <row r="70" spans="1:4" x14ac:dyDescent="0.15">
      <c r="A70">
        <v>30</v>
      </c>
      <c r="B70" s="95">
        <f t="shared" si="2"/>
        <v>104.68830796621261</v>
      </c>
      <c r="C70" s="95">
        <f t="shared" si="3"/>
        <v>11117661.59324252</v>
      </c>
    </row>
    <row r="71" spans="1:4" x14ac:dyDescent="0.15">
      <c r="A71">
        <v>31</v>
      </c>
      <c r="B71" s="95">
        <f t="shared" si="2"/>
        <v>104.74224342568213</v>
      </c>
      <c r="C71" s="95">
        <f t="shared" si="3"/>
        <v>11128448.685136426</v>
      </c>
    </row>
    <row r="72" spans="1:4" x14ac:dyDescent="0.15">
      <c r="C72" s="94">
        <f>AVERAGE(C44:C71)</f>
        <v>9390492.1149223279</v>
      </c>
      <c r="D72" t="s">
        <v>1221</v>
      </c>
    </row>
    <row r="74" spans="1:4" x14ac:dyDescent="0.15">
      <c r="A74" s="107" t="s">
        <v>1249</v>
      </c>
    </row>
    <row r="75" spans="1:4" x14ac:dyDescent="0.15">
      <c r="A75" s="108" t="s">
        <v>1251</v>
      </c>
    </row>
    <row r="76" spans="1:4" x14ac:dyDescent="0.15">
      <c r="A76" s="90"/>
    </row>
    <row r="77" spans="1:4" x14ac:dyDescent="0.15">
      <c r="A77" t="s">
        <v>230</v>
      </c>
      <c r="B77">
        <v>3.4</v>
      </c>
    </row>
    <row r="78" spans="1:4" x14ac:dyDescent="0.15">
      <c r="A78" t="s">
        <v>232</v>
      </c>
      <c r="B78">
        <v>2.5722999999999998</v>
      </c>
    </row>
    <row r="79" spans="1:4" x14ac:dyDescent="0.15">
      <c r="A79" s="73" t="s">
        <v>1166</v>
      </c>
      <c r="B79">
        <v>18.3</v>
      </c>
      <c r="C79" t="s">
        <v>1189</v>
      </c>
    </row>
    <row r="80" spans="1:4" x14ac:dyDescent="0.15">
      <c r="A80" s="73" t="s">
        <v>129</v>
      </c>
      <c r="B80">
        <v>0.24</v>
      </c>
    </row>
    <row r="81" spans="1:4" x14ac:dyDescent="0.15">
      <c r="A81" s="73" t="s">
        <v>183</v>
      </c>
      <c r="B81">
        <v>0.44</v>
      </c>
    </row>
    <row r="82" spans="1:4" x14ac:dyDescent="0.15">
      <c r="B82" s="34"/>
    </row>
    <row r="83" spans="1:4" x14ac:dyDescent="0.15">
      <c r="A83" s="73" t="s">
        <v>1165</v>
      </c>
      <c r="B83" t="s">
        <v>1217</v>
      </c>
      <c r="C83" t="s">
        <v>1167</v>
      </c>
      <c r="D83" t="s">
        <v>1216</v>
      </c>
    </row>
    <row r="84" spans="1:4" x14ac:dyDescent="0.15">
      <c r="A84">
        <v>0</v>
      </c>
      <c r="B84" s="93">
        <f>$B$79*(1-EXP(-$B$80*(A84-$B$81)))</f>
        <v>-2.0382034314237067</v>
      </c>
      <c r="C84" t="e">
        <f>1000*($B$78*(B84^$B$77))</f>
        <v>#NUM!</v>
      </c>
    </row>
    <row r="85" spans="1:4" x14ac:dyDescent="0.15">
      <c r="A85">
        <v>1</v>
      </c>
      <c r="B85" s="93">
        <f t="shared" ref="B85:B104" si="4">$B$79*(1-EXP(-$B$80*(A85-$B$81)))</f>
        <v>2.3014025368027311</v>
      </c>
      <c r="C85">
        <f t="shared" ref="C85:C104" si="5">1000*($B$78*(B85^$B$77))</f>
        <v>43761.924763071263</v>
      </c>
    </row>
    <row r="86" spans="1:4" x14ac:dyDescent="0.15">
      <c r="A86">
        <v>2</v>
      </c>
      <c r="B86" s="93">
        <f t="shared" si="4"/>
        <v>5.7150574974603456</v>
      </c>
      <c r="C86">
        <f t="shared" si="5"/>
        <v>964254.49381231715</v>
      </c>
      <c r="D86" t="s">
        <v>1250</v>
      </c>
    </row>
    <row r="87" spans="1:4" x14ac:dyDescent="0.15">
      <c r="A87">
        <v>3</v>
      </c>
      <c r="B87" s="93">
        <f t="shared" si="4"/>
        <v>8.4003335975816746</v>
      </c>
      <c r="C87">
        <f t="shared" si="5"/>
        <v>3572151.1813924341</v>
      </c>
    </row>
    <row r="88" spans="1:4" x14ac:dyDescent="0.15">
      <c r="A88">
        <v>4</v>
      </c>
      <c r="B88" s="93">
        <f t="shared" si="4"/>
        <v>10.512646592593249</v>
      </c>
      <c r="C88">
        <f t="shared" si="5"/>
        <v>7658480.9804215766</v>
      </c>
    </row>
    <row r="89" spans="1:4" x14ac:dyDescent="0.15">
      <c r="A89">
        <v>5</v>
      </c>
      <c r="B89" s="93">
        <f t="shared" si="4"/>
        <v>12.174250845762291</v>
      </c>
      <c r="C89">
        <f t="shared" si="5"/>
        <v>12613199.184710374</v>
      </c>
    </row>
    <row r="90" spans="1:4" x14ac:dyDescent="0.15">
      <c r="A90">
        <v>6</v>
      </c>
      <c r="B90" s="93">
        <f t="shared" si="4"/>
        <v>13.481315045371742</v>
      </c>
      <c r="C90">
        <f t="shared" si="5"/>
        <v>17840675.518250018</v>
      </c>
    </row>
    <row r="91" spans="1:4" x14ac:dyDescent="0.15">
      <c r="A91">
        <v>7</v>
      </c>
      <c r="B91" s="93">
        <f t="shared" si="4"/>
        <v>14.509488160987191</v>
      </c>
      <c r="C91">
        <f t="shared" si="5"/>
        <v>22905444.925248355</v>
      </c>
    </row>
    <row r="92" spans="1:4" x14ac:dyDescent="0.15">
      <c r="A92">
        <v>8</v>
      </c>
      <c r="B92" s="93">
        <f t="shared" si="4"/>
        <v>15.318277779729907</v>
      </c>
      <c r="C92">
        <f t="shared" si="5"/>
        <v>27544533.160367277</v>
      </c>
    </row>
    <row r="93" spans="1:4" x14ac:dyDescent="0.15">
      <c r="A93">
        <v>9</v>
      </c>
      <c r="B93" s="93">
        <f t="shared" si="4"/>
        <v>15.954494227574322</v>
      </c>
      <c r="C93">
        <f t="shared" si="5"/>
        <v>31631803.771900609</v>
      </c>
    </row>
    <row r="94" spans="1:4" x14ac:dyDescent="0.15">
      <c r="A94">
        <v>10</v>
      </c>
      <c r="B94" s="93">
        <f t="shared" si="4"/>
        <v>16.454959811117536</v>
      </c>
      <c r="C94">
        <f t="shared" si="5"/>
        <v>35134261.218315579</v>
      </c>
    </row>
    <row r="95" spans="1:4" x14ac:dyDescent="0.15">
      <c r="A95">
        <v>11</v>
      </c>
      <c r="B95" s="93">
        <f t="shared" si="4"/>
        <v>16.848639982637557</v>
      </c>
      <c r="C95">
        <f t="shared" si="5"/>
        <v>38075192.649597913</v>
      </c>
    </row>
    <row r="96" spans="1:4" x14ac:dyDescent="0.15">
      <c r="A96">
        <v>12</v>
      </c>
      <c r="B96" s="93">
        <f t="shared" si="4"/>
        <v>17.158319773904665</v>
      </c>
      <c r="C96">
        <f t="shared" si="5"/>
        <v>40507532.841798432</v>
      </c>
    </row>
    <row r="97" spans="1:4" x14ac:dyDescent="0.15">
      <c r="A97">
        <v>13</v>
      </c>
      <c r="B97" s="93">
        <f t="shared" si="4"/>
        <v>17.401922525724647</v>
      </c>
      <c r="C97">
        <f t="shared" si="5"/>
        <v>42496406.001391575</v>
      </c>
    </row>
    <row r="98" spans="1:4" x14ac:dyDescent="0.15">
      <c r="A98">
        <v>14</v>
      </c>
      <c r="B98" s="93">
        <f t="shared" si="4"/>
        <v>17.593547237338729</v>
      </c>
      <c r="C98">
        <f t="shared" si="5"/>
        <v>44108594.200383782</v>
      </c>
    </row>
    <row r="99" spans="1:4" x14ac:dyDescent="0.15">
      <c r="A99">
        <v>15</v>
      </c>
      <c r="B99" s="93">
        <f t="shared" si="4"/>
        <v>17.744284574363206</v>
      </c>
      <c r="C99">
        <f t="shared" si="5"/>
        <v>45406758.219025709</v>
      </c>
    </row>
    <row r="100" spans="1:4" x14ac:dyDescent="0.15">
      <c r="A100">
        <v>16</v>
      </c>
      <c r="B100" s="93">
        <f t="shared" si="4"/>
        <v>17.862858763369637</v>
      </c>
      <c r="C100">
        <f t="shared" si="5"/>
        <v>46446703.584703751</v>
      </c>
    </row>
    <row r="101" spans="1:4" x14ac:dyDescent="0.15">
      <c r="A101">
        <v>17</v>
      </c>
      <c r="B101" s="93">
        <f t="shared" si="4"/>
        <v>17.956132524045472</v>
      </c>
      <c r="C101">
        <f t="shared" si="5"/>
        <v>47276481.219266422</v>
      </c>
    </row>
    <row r="102" spans="1:4" x14ac:dyDescent="0.15">
      <c r="A102">
        <v>18</v>
      </c>
      <c r="B102" s="93">
        <f t="shared" si="4"/>
        <v>18.029504262899533</v>
      </c>
      <c r="C102">
        <f t="shared" si="5"/>
        <v>47936518.443354845</v>
      </c>
    </row>
    <row r="103" spans="1:4" x14ac:dyDescent="0.15">
      <c r="A103">
        <v>19</v>
      </c>
      <c r="B103" s="93">
        <f t="shared" si="4"/>
        <v>18.087220516897041</v>
      </c>
      <c r="C103">
        <f t="shared" si="5"/>
        <v>48460272.458840542</v>
      </c>
    </row>
    <row r="104" spans="1:4" x14ac:dyDescent="0.15">
      <c r="A104">
        <v>20</v>
      </c>
      <c r="B104" s="93">
        <f t="shared" si="4"/>
        <v>18.132621730327873</v>
      </c>
      <c r="C104">
        <f t="shared" si="5"/>
        <v>48875100.512004763</v>
      </c>
    </row>
    <row r="105" spans="1:4" x14ac:dyDescent="0.15">
      <c r="C105" s="109">
        <f>AVERAGE(C86:C104)</f>
        <v>32076545.503409799</v>
      </c>
      <c r="D105" t="s">
        <v>1221</v>
      </c>
    </row>
    <row r="107" spans="1:4" x14ac:dyDescent="0.15">
      <c r="C107" t="s">
        <v>1252</v>
      </c>
    </row>
    <row r="108" spans="1:4" x14ac:dyDescent="0.15">
      <c r="C108">
        <v>0</v>
      </c>
    </row>
    <row r="109" spans="1:4" x14ac:dyDescent="0.15">
      <c r="C109">
        <v>207</v>
      </c>
    </row>
    <row r="110" spans="1:4" x14ac:dyDescent="0.15">
      <c r="C110">
        <v>246</v>
      </c>
    </row>
    <row r="111" spans="1:4" x14ac:dyDescent="0.15">
      <c r="C111">
        <v>868</v>
      </c>
    </row>
    <row r="112" spans="1:4" x14ac:dyDescent="0.15">
      <c r="C112">
        <v>3702</v>
      </c>
    </row>
    <row r="113" spans="1:4" x14ac:dyDescent="0.15">
      <c r="C113">
        <v>7764</v>
      </c>
    </row>
    <row r="114" spans="1:4" x14ac:dyDescent="0.15">
      <c r="C114">
        <v>12446</v>
      </c>
    </row>
    <row r="115" spans="1:4" x14ac:dyDescent="0.15">
      <c r="C115">
        <v>13649</v>
      </c>
    </row>
    <row r="116" spans="1:4" x14ac:dyDescent="0.15">
      <c r="C116">
        <v>15999</v>
      </c>
    </row>
    <row r="117" spans="1:4" x14ac:dyDescent="0.15">
      <c r="C117">
        <v>8991</v>
      </c>
    </row>
    <row r="118" spans="1:4" x14ac:dyDescent="0.15">
      <c r="C118">
        <v>18766</v>
      </c>
    </row>
    <row r="119" spans="1:4" x14ac:dyDescent="0.15">
      <c r="C119">
        <v>4797</v>
      </c>
    </row>
    <row r="120" spans="1:4" x14ac:dyDescent="0.15">
      <c r="C120">
        <v>12407</v>
      </c>
    </row>
    <row r="121" spans="1:4" x14ac:dyDescent="0.15">
      <c r="C121">
        <v>12719</v>
      </c>
    </row>
    <row r="122" spans="1:4" x14ac:dyDescent="0.15">
      <c r="C122">
        <v>11838</v>
      </c>
    </row>
    <row r="123" spans="1:4" x14ac:dyDescent="0.15">
      <c r="C123" s="96">
        <f>AVERAGE(C108:C122)*1000</f>
        <v>8293266.666666666</v>
      </c>
      <c r="D123" t="s">
        <v>1221</v>
      </c>
    </row>
    <row r="125" spans="1:4" x14ac:dyDescent="0.15">
      <c r="A125" t="s">
        <v>1253</v>
      </c>
    </row>
    <row r="126" spans="1:4" x14ac:dyDescent="0.15">
      <c r="C126" t="s">
        <v>1254</v>
      </c>
    </row>
    <row r="127" spans="1:4" x14ac:dyDescent="0.15">
      <c r="C127">
        <v>28750</v>
      </c>
    </row>
    <row r="128" spans="1:4" x14ac:dyDescent="0.15">
      <c r="C128">
        <v>115000</v>
      </c>
    </row>
    <row r="129" spans="3:4" x14ac:dyDescent="0.15">
      <c r="C129">
        <v>120700</v>
      </c>
    </row>
    <row r="130" spans="3:4" x14ac:dyDescent="0.15">
      <c r="C130">
        <v>217950</v>
      </c>
    </row>
    <row r="131" spans="3:4" x14ac:dyDescent="0.15">
      <c r="C131">
        <v>284900</v>
      </c>
    </row>
    <row r="132" spans="3:4" x14ac:dyDescent="0.15">
      <c r="C132">
        <v>252525</v>
      </c>
    </row>
    <row r="133" spans="3:4" x14ac:dyDescent="0.15">
      <c r="C133">
        <v>595700</v>
      </c>
    </row>
    <row r="134" spans="3:4" x14ac:dyDescent="0.15">
      <c r="C134" s="96">
        <f>AVERAGE(C127:C133)</f>
        <v>230789.28571428571</v>
      </c>
      <c r="D134" t="s">
        <v>1255</v>
      </c>
    </row>
  </sheetData>
  <pageMargins left="0.75" right="0.75" top="1" bottom="1" header="0.5" footer="0.5"/>
  <pageSetup orientation="portrait" horizontalDpi="4294967292" verticalDpi="429496729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I55"/>
  <sheetViews>
    <sheetView zoomScale="125" zoomScaleNormal="125" zoomScalePageLayoutView="125" workbookViewId="0">
      <selection activeCell="D29" sqref="D29"/>
    </sheetView>
  </sheetViews>
  <sheetFormatPr baseColWidth="10" defaultColWidth="8.83203125" defaultRowHeight="15" x14ac:dyDescent="0.2"/>
  <cols>
    <col min="1" max="1" width="5.83203125" style="122" customWidth="1"/>
    <col min="2" max="2" width="14.6640625" style="122" customWidth="1"/>
    <col min="3" max="6" width="28.33203125" style="122" customWidth="1"/>
    <col min="7" max="7" width="6.83203125" style="122" bestFit="1" customWidth="1"/>
    <col min="8" max="8" width="28.33203125" style="122" customWidth="1"/>
    <col min="9" max="9" width="5.83203125" style="122" customWidth="1"/>
    <col min="10" max="16384" width="8.83203125" style="122"/>
  </cols>
  <sheetData>
    <row r="1" spans="1:9" x14ac:dyDescent="0.2">
      <c r="A1" s="122" t="s">
        <v>1604</v>
      </c>
    </row>
    <row r="2" spans="1:9" x14ac:dyDescent="0.2">
      <c r="A2" s="122" t="s">
        <v>1605</v>
      </c>
    </row>
    <row r="4" spans="1:9" x14ac:dyDescent="0.2">
      <c r="C4" s="216" t="s">
        <v>1259</v>
      </c>
      <c r="D4" s="217"/>
      <c r="E4" s="217"/>
      <c r="F4" s="217"/>
      <c r="G4" s="218" t="s">
        <v>1257</v>
      </c>
      <c r="H4" s="219"/>
      <c r="I4" s="220"/>
    </row>
    <row r="5" spans="1:9" x14ac:dyDescent="0.2">
      <c r="A5" s="141" t="s">
        <v>1112</v>
      </c>
      <c r="B5" s="141"/>
      <c r="C5" s="142" t="s">
        <v>1606</v>
      </c>
      <c r="D5" s="143" t="s">
        <v>1279</v>
      </c>
      <c r="E5" s="144" t="s">
        <v>1280</v>
      </c>
      <c r="F5" s="143" t="s">
        <v>1281</v>
      </c>
      <c r="G5" s="145" t="s">
        <v>1606</v>
      </c>
      <c r="H5" s="146" t="s">
        <v>1282</v>
      </c>
      <c r="I5" s="147" t="s">
        <v>1281</v>
      </c>
    </row>
    <row r="6" spans="1:9" s="130" customFormat="1" ht="75" x14ac:dyDescent="0.2">
      <c r="A6" s="148" t="s">
        <v>1607</v>
      </c>
      <c r="B6" s="148"/>
      <c r="C6" s="149" t="s">
        <v>1374</v>
      </c>
      <c r="D6" s="150" t="s">
        <v>1375</v>
      </c>
      <c r="E6" s="150" t="s">
        <v>1376</v>
      </c>
      <c r="F6" s="150" t="s">
        <v>1377</v>
      </c>
      <c r="G6" s="151"/>
      <c r="H6" s="150" t="s">
        <v>1378</v>
      </c>
      <c r="I6" s="152"/>
    </row>
    <row r="7" spans="1:9" x14ac:dyDescent="0.2">
      <c r="A7" s="141" t="s">
        <v>1144</v>
      </c>
      <c r="B7" s="141"/>
      <c r="C7" s="149" t="s">
        <v>1342</v>
      </c>
      <c r="D7" s="153" t="s">
        <v>1343</v>
      </c>
      <c r="E7" s="153" t="s">
        <v>1344</v>
      </c>
      <c r="F7" s="150" t="s">
        <v>1345</v>
      </c>
      <c r="G7" s="151"/>
      <c r="H7" s="153" t="s">
        <v>1344</v>
      </c>
      <c r="I7" s="152"/>
    </row>
    <row r="8" spans="1:9" s="132" customFormat="1" ht="30" x14ac:dyDescent="0.2">
      <c r="A8" s="148" t="s">
        <v>1608</v>
      </c>
      <c r="B8" s="154"/>
      <c r="C8" s="151" t="s">
        <v>1351</v>
      </c>
      <c r="D8" s="150" t="s">
        <v>1352</v>
      </c>
      <c r="E8" s="153" t="s">
        <v>1353</v>
      </c>
      <c r="F8" s="150" t="s">
        <v>1354</v>
      </c>
      <c r="G8" s="151"/>
      <c r="H8" s="153" t="s">
        <v>1353</v>
      </c>
      <c r="I8" s="152"/>
    </row>
    <row r="9" spans="1:9" x14ac:dyDescent="0.2">
      <c r="A9" s="141"/>
      <c r="B9" s="141" t="s">
        <v>1609</v>
      </c>
      <c r="C9" s="151"/>
      <c r="D9" s="153"/>
      <c r="E9" s="153"/>
      <c r="F9" s="150" t="s">
        <v>1610</v>
      </c>
      <c r="G9" s="151"/>
      <c r="H9" s="153"/>
      <c r="I9" s="152"/>
    </row>
    <row r="10" spans="1:9" ht="30" x14ac:dyDescent="0.2">
      <c r="A10" s="141" t="s">
        <v>1611</v>
      </c>
      <c r="B10" s="141"/>
      <c r="C10" s="151"/>
      <c r="D10" s="153"/>
      <c r="E10" s="153"/>
      <c r="F10" s="150" t="s">
        <v>1287</v>
      </c>
      <c r="G10" s="151"/>
      <c r="H10" s="153"/>
      <c r="I10" s="152"/>
    </row>
    <row r="11" spans="1:9" ht="30" x14ac:dyDescent="0.2">
      <c r="A11" s="141"/>
      <c r="B11" s="141" t="s">
        <v>1612</v>
      </c>
      <c r="C11" s="149" t="s">
        <v>1292</v>
      </c>
      <c r="D11" s="150" t="s">
        <v>1293</v>
      </c>
      <c r="E11" s="153" t="s">
        <v>1294</v>
      </c>
      <c r="F11" s="150" t="s">
        <v>1295</v>
      </c>
      <c r="G11" s="151"/>
      <c r="H11" s="150" t="s">
        <v>1296</v>
      </c>
      <c r="I11" s="152"/>
    </row>
    <row r="12" spans="1:9" ht="36.75" customHeight="1" x14ac:dyDescent="0.2">
      <c r="A12" s="141"/>
      <c r="B12" s="141" t="s">
        <v>129</v>
      </c>
      <c r="C12" s="151">
        <v>0.24</v>
      </c>
      <c r="D12" s="153">
        <v>0.06</v>
      </c>
      <c r="E12" s="153">
        <v>0.15</v>
      </c>
      <c r="F12" s="153"/>
      <c r="G12" s="151"/>
      <c r="H12" s="153">
        <v>0.23</v>
      </c>
      <c r="I12" s="152"/>
    </row>
    <row r="13" spans="1:9" ht="36.75" customHeight="1" x14ac:dyDescent="0.2">
      <c r="A13" s="141"/>
      <c r="B13" s="141" t="s">
        <v>183</v>
      </c>
      <c r="C13" s="151">
        <v>0.44</v>
      </c>
      <c r="D13" s="153"/>
      <c r="E13" s="153"/>
      <c r="F13" s="150"/>
      <c r="G13" s="151"/>
      <c r="H13" s="153">
        <v>0</v>
      </c>
      <c r="I13" s="152"/>
    </row>
    <row r="14" spans="1:9" ht="45" x14ac:dyDescent="0.2">
      <c r="A14" s="141" t="s">
        <v>1613</v>
      </c>
      <c r="B14" s="141"/>
      <c r="C14" s="149" t="s">
        <v>1309</v>
      </c>
      <c r="D14" s="150" t="s">
        <v>1310</v>
      </c>
      <c r="E14" s="153"/>
      <c r="F14" s="150" t="s">
        <v>1311</v>
      </c>
      <c r="G14" s="151"/>
      <c r="H14" s="150" t="s">
        <v>1312</v>
      </c>
      <c r="I14" s="152"/>
    </row>
    <row r="15" spans="1:9" ht="30" x14ac:dyDescent="0.2">
      <c r="A15" s="141"/>
      <c r="B15" s="141" t="s">
        <v>230</v>
      </c>
      <c r="C15" s="151">
        <v>4.5999999999999999E-3</v>
      </c>
      <c r="D15" s="153">
        <v>-7.1099999999999997E-2</v>
      </c>
      <c r="E15" s="153" t="s">
        <v>1314</v>
      </c>
      <c r="F15" s="153" t="s">
        <v>1315</v>
      </c>
      <c r="G15" s="151"/>
      <c r="H15" s="153">
        <v>6.0999999999999999E-5</v>
      </c>
      <c r="I15" s="152"/>
    </row>
    <row r="16" spans="1:9" ht="45" x14ac:dyDescent="0.2">
      <c r="A16" s="141"/>
      <c r="B16" s="141" t="s">
        <v>232</v>
      </c>
      <c r="C16" s="151">
        <v>2.63</v>
      </c>
      <c r="D16" s="153">
        <v>2.423</v>
      </c>
      <c r="E16" s="153">
        <v>3.05</v>
      </c>
      <c r="F16" s="150" t="s">
        <v>1317</v>
      </c>
      <c r="G16" s="151"/>
      <c r="H16" s="155">
        <v>2.75</v>
      </c>
      <c r="I16" s="152"/>
    </row>
    <row r="17" spans="1:9" ht="36.75" customHeight="1" x14ac:dyDescent="0.2">
      <c r="A17" s="141" t="s">
        <v>265</v>
      </c>
      <c r="B17" s="141"/>
      <c r="C17" s="149" t="s">
        <v>1328</v>
      </c>
      <c r="D17" s="150" t="s">
        <v>1329</v>
      </c>
      <c r="E17" s="150" t="s">
        <v>1330</v>
      </c>
      <c r="F17" s="150"/>
      <c r="G17" s="151"/>
      <c r="H17" s="150" t="s">
        <v>1331</v>
      </c>
      <c r="I17" s="152"/>
    </row>
    <row r="18" spans="1:9" ht="36.75" customHeight="1" x14ac:dyDescent="0.2">
      <c r="A18" s="141"/>
      <c r="B18" s="141"/>
      <c r="C18" s="149"/>
      <c r="D18" s="150"/>
      <c r="E18" s="150"/>
      <c r="F18" s="150"/>
      <c r="G18" s="151"/>
      <c r="H18" s="150"/>
      <c r="I18" s="152"/>
    </row>
    <row r="19" spans="1:9" ht="36.75" customHeight="1" x14ac:dyDescent="0.2">
      <c r="A19" s="141" t="s">
        <v>1614</v>
      </c>
      <c r="B19" s="141"/>
      <c r="C19" s="149">
        <v>15</v>
      </c>
      <c r="D19" s="153">
        <v>29</v>
      </c>
      <c r="E19" s="153">
        <v>29</v>
      </c>
      <c r="F19" s="150">
        <v>30</v>
      </c>
      <c r="G19" s="151"/>
      <c r="H19" s="153">
        <v>19</v>
      </c>
      <c r="I19" s="152"/>
    </row>
    <row r="20" spans="1:9" ht="36.75" customHeight="1" x14ac:dyDescent="0.2">
      <c r="A20" s="141" t="s">
        <v>1615</v>
      </c>
      <c r="B20" s="141"/>
      <c r="C20" s="151">
        <v>2</v>
      </c>
      <c r="D20" s="153"/>
      <c r="E20" s="153"/>
      <c r="F20" s="150">
        <v>2</v>
      </c>
      <c r="G20" s="151"/>
      <c r="H20" s="153"/>
      <c r="I20" s="152"/>
    </row>
    <row r="21" spans="1:9" ht="30" x14ac:dyDescent="0.2">
      <c r="A21" s="141" t="s">
        <v>1616</v>
      </c>
      <c r="B21" s="141"/>
      <c r="C21" s="149" t="s">
        <v>1617</v>
      </c>
      <c r="D21" s="150" t="s">
        <v>1598</v>
      </c>
      <c r="E21" s="150" t="s">
        <v>1599</v>
      </c>
      <c r="F21" s="150" t="s">
        <v>1618</v>
      </c>
      <c r="G21" s="151"/>
      <c r="H21" s="150">
        <v>23</v>
      </c>
      <c r="I21" s="152"/>
    </row>
    <row r="22" spans="1:9" s="132" customFormat="1" ht="45" x14ac:dyDescent="0.2">
      <c r="A22" s="148" t="s">
        <v>1619</v>
      </c>
      <c r="B22" s="154"/>
      <c r="C22" s="149" t="s">
        <v>1360</v>
      </c>
      <c r="D22" s="150" t="s">
        <v>1361</v>
      </c>
      <c r="E22" s="150" t="s">
        <v>1362</v>
      </c>
      <c r="F22" s="150" t="s">
        <v>1363</v>
      </c>
      <c r="G22" s="151"/>
      <c r="H22" s="150" t="s">
        <v>1364</v>
      </c>
      <c r="I22" s="152"/>
    </row>
    <row r="23" spans="1:9" s="132" customFormat="1" ht="45" x14ac:dyDescent="0.2">
      <c r="A23" s="154"/>
      <c r="B23" s="148" t="s">
        <v>385</v>
      </c>
      <c r="C23" s="149" t="s">
        <v>1367</v>
      </c>
      <c r="D23" s="150" t="s">
        <v>1368</v>
      </c>
      <c r="E23" s="150" t="s">
        <v>1369</v>
      </c>
      <c r="F23" s="150" t="s">
        <v>1370</v>
      </c>
      <c r="G23" s="151"/>
      <c r="H23" s="150" t="s">
        <v>1371</v>
      </c>
      <c r="I23" s="152"/>
    </row>
    <row r="24" spans="1:9" ht="66" customHeight="1" x14ac:dyDescent="0.2">
      <c r="A24" s="141" t="s">
        <v>469</v>
      </c>
      <c r="B24" s="141"/>
      <c r="C24" s="156" t="s">
        <v>1620</v>
      </c>
      <c r="D24" s="150" t="s">
        <v>1621</v>
      </c>
      <c r="E24" s="150" t="s">
        <v>1622</v>
      </c>
      <c r="F24" s="150"/>
      <c r="G24" s="151"/>
      <c r="H24" s="150"/>
      <c r="I24" s="152"/>
    </row>
    <row r="25" spans="1:9" ht="36.75" customHeight="1" x14ac:dyDescent="0.2">
      <c r="A25" s="141"/>
      <c r="B25" s="141" t="s">
        <v>1623</v>
      </c>
      <c r="C25" s="149" t="s">
        <v>1624</v>
      </c>
      <c r="D25" s="150"/>
      <c r="E25" s="150"/>
      <c r="F25" s="150"/>
      <c r="G25" s="151"/>
      <c r="H25" s="150"/>
      <c r="I25" s="152"/>
    </row>
    <row r="26" spans="1:9" ht="36.75" customHeight="1" x14ac:dyDescent="0.2">
      <c r="A26" s="141"/>
      <c r="B26" s="141" t="s">
        <v>1625</v>
      </c>
      <c r="C26" s="149" t="s">
        <v>1626</v>
      </c>
      <c r="D26" s="150"/>
      <c r="E26" s="150"/>
      <c r="F26" s="150"/>
      <c r="G26" s="151"/>
      <c r="H26" s="150"/>
      <c r="I26" s="152"/>
    </row>
    <row r="27" spans="1:9" s="132" customFormat="1" ht="45" x14ac:dyDescent="0.2">
      <c r="A27" s="148" t="s">
        <v>428</v>
      </c>
      <c r="B27" s="154"/>
      <c r="C27" s="149" t="s">
        <v>1383</v>
      </c>
      <c r="D27" s="153" t="s">
        <v>1384</v>
      </c>
      <c r="E27" s="150" t="s">
        <v>1385</v>
      </c>
      <c r="F27" s="150" t="s">
        <v>1386</v>
      </c>
      <c r="G27" s="151"/>
      <c r="H27" s="153" t="s">
        <v>1387</v>
      </c>
      <c r="I27" s="152"/>
    </row>
    <row r="28" spans="1:9" ht="36.75" customHeight="1" x14ac:dyDescent="0.2">
      <c r="A28" s="141" t="s">
        <v>1627</v>
      </c>
      <c r="B28" s="141"/>
      <c r="C28" s="149" t="s">
        <v>1628</v>
      </c>
      <c r="D28" s="153"/>
      <c r="E28" s="153"/>
      <c r="F28" s="150"/>
      <c r="G28" s="151"/>
      <c r="H28" s="153"/>
      <c r="I28" s="152"/>
    </row>
    <row r="29" spans="1:9" s="132" customFormat="1" ht="90" x14ac:dyDescent="0.2">
      <c r="A29" s="148" t="s">
        <v>460</v>
      </c>
      <c r="B29" s="154"/>
      <c r="C29" s="149" t="s">
        <v>1629</v>
      </c>
      <c r="D29" s="150" t="s">
        <v>1630</v>
      </c>
      <c r="E29" s="150" t="s">
        <v>1631</v>
      </c>
      <c r="F29" s="150" t="s">
        <v>1632</v>
      </c>
      <c r="G29" s="151"/>
      <c r="H29" s="150" t="s">
        <v>1631</v>
      </c>
      <c r="I29" s="152"/>
    </row>
    <row r="30" spans="1:9" s="132" customFormat="1" ht="60" x14ac:dyDescent="0.2">
      <c r="A30" s="154"/>
      <c r="B30" s="148" t="s">
        <v>1633</v>
      </c>
      <c r="C30" s="149" t="s">
        <v>1079</v>
      </c>
      <c r="D30" s="150" t="s">
        <v>1077</v>
      </c>
      <c r="E30" s="150" t="s">
        <v>1078</v>
      </c>
      <c r="F30" s="150" t="s">
        <v>1389</v>
      </c>
      <c r="G30" s="151"/>
      <c r="H30" s="150" t="s">
        <v>1078</v>
      </c>
      <c r="I30" s="152"/>
    </row>
    <row r="31" spans="1:9" ht="90" x14ac:dyDescent="0.2">
      <c r="A31" s="141" t="s">
        <v>1634</v>
      </c>
      <c r="B31" s="141"/>
      <c r="C31" s="151">
        <v>0.34</v>
      </c>
      <c r="D31" s="153">
        <v>0.16</v>
      </c>
      <c r="E31" s="153">
        <v>0.16</v>
      </c>
      <c r="F31" s="150" t="s">
        <v>1337</v>
      </c>
      <c r="G31" s="151"/>
      <c r="H31" s="153">
        <v>0.23</v>
      </c>
      <c r="I31" s="152"/>
    </row>
    <row r="32" spans="1:9" ht="33" customHeight="1" x14ac:dyDescent="0.2">
      <c r="A32" s="141" t="s">
        <v>1635</v>
      </c>
      <c r="B32" s="141"/>
      <c r="C32" s="151"/>
      <c r="D32" s="153">
        <f>SUM(D31,D33)</f>
        <v>0.49</v>
      </c>
      <c r="E32" s="153">
        <f>SUM(E31,E33)</f>
        <v>0.6</v>
      </c>
      <c r="F32" s="150" t="s">
        <v>1636</v>
      </c>
      <c r="G32" s="151"/>
      <c r="H32" s="153"/>
      <c r="I32" s="152"/>
    </row>
    <row r="33" spans="1:9" ht="33" customHeight="1" x14ac:dyDescent="0.2">
      <c r="A33" s="141" t="s">
        <v>1637</v>
      </c>
      <c r="B33" s="141"/>
      <c r="C33" s="157" t="s">
        <v>1638</v>
      </c>
      <c r="D33" s="158">
        <v>0.33</v>
      </c>
      <c r="E33" s="158">
        <v>0.44</v>
      </c>
      <c r="F33" s="158" t="s">
        <v>1639</v>
      </c>
      <c r="G33" s="159"/>
      <c r="H33" s="158"/>
      <c r="I33" s="160"/>
    </row>
    <row r="36" spans="1:9" x14ac:dyDescent="0.2">
      <c r="C36" s="161"/>
    </row>
    <row r="37" spans="1:9" x14ac:dyDescent="0.2">
      <c r="D37" s="161" t="s">
        <v>1640</v>
      </c>
    </row>
    <row r="50" spans="4:4" x14ac:dyDescent="0.2">
      <c r="D50" s="162"/>
    </row>
    <row r="51" spans="4:4" x14ac:dyDescent="0.2">
      <c r="D51" s="162"/>
    </row>
    <row r="52" spans="4:4" x14ac:dyDescent="0.2">
      <c r="D52" s="162"/>
    </row>
    <row r="53" spans="4:4" x14ac:dyDescent="0.2">
      <c r="D53" s="162"/>
    </row>
    <row r="54" spans="4:4" x14ac:dyDescent="0.2">
      <c r="D54" s="162"/>
    </row>
    <row r="55" spans="4:4" x14ac:dyDescent="0.2">
      <c r="D55" s="162"/>
    </row>
  </sheetData>
  <mergeCells count="2">
    <mergeCell ref="C4:F4"/>
    <mergeCell ref="G4:I4"/>
  </mergeCells>
  <pageMargins left="0.7" right="0.7" top="0.75" bottom="0.75" header="0.3" footer="0.3"/>
  <pageSetup scale="66" fitToWidth="0" orientation="landscape"/>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abSelected="1" topLeftCell="A24" zoomScale="140" zoomScaleNormal="140" zoomScalePageLayoutView="140" workbookViewId="0">
      <selection activeCell="C30" sqref="C30"/>
    </sheetView>
  </sheetViews>
  <sheetFormatPr baseColWidth="10" defaultRowHeight="13" x14ac:dyDescent="0.15"/>
  <cols>
    <col min="1" max="1" width="16.5" style="119" customWidth="1"/>
    <col min="2" max="2" width="83.83203125" style="68" customWidth="1"/>
  </cols>
  <sheetData>
    <row r="1" spans="1:3" x14ac:dyDescent="0.15">
      <c r="A1" s="118" t="s">
        <v>1112</v>
      </c>
      <c r="B1" s="72" t="s">
        <v>1484</v>
      </c>
      <c r="C1" s="116" t="s">
        <v>1485</v>
      </c>
    </row>
    <row r="2" spans="1:3" x14ac:dyDescent="0.15">
      <c r="A2" s="119" t="s">
        <v>1241</v>
      </c>
      <c r="B2" s="68" t="s">
        <v>1243</v>
      </c>
    </row>
    <row r="3" spans="1:3" x14ac:dyDescent="0.15">
      <c r="A3" s="119" t="s">
        <v>1242</v>
      </c>
      <c r="B3" s="68" t="s">
        <v>1244</v>
      </c>
    </row>
    <row r="4" spans="1:3" x14ac:dyDescent="0.15">
      <c r="A4" s="119" t="s">
        <v>1242</v>
      </c>
      <c r="B4" s="68" t="s">
        <v>1464</v>
      </c>
    </row>
    <row r="5" spans="1:3" x14ac:dyDescent="0.15">
      <c r="A5" s="119" t="s">
        <v>6</v>
      </c>
      <c r="B5" s="68" t="s">
        <v>1463</v>
      </c>
    </row>
    <row r="6" spans="1:3" x14ac:dyDescent="0.15">
      <c r="A6" s="119" t="s">
        <v>24</v>
      </c>
      <c r="B6" s="68" t="s">
        <v>1465</v>
      </c>
    </row>
    <row r="7" spans="1:3" x14ac:dyDescent="0.15">
      <c r="A7" s="119" t="s">
        <v>42</v>
      </c>
      <c r="B7" s="68" t="s">
        <v>1466</v>
      </c>
    </row>
    <row r="8" spans="1:3" x14ac:dyDescent="0.15">
      <c r="A8" s="119" t="s">
        <v>1240</v>
      </c>
      <c r="B8" s="68" t="s">
        <v>1467</v>
      </c>
    </row>
    <row r="9" spans="1:3" x14ac:dyDescent="0.15">
      <c r="A9" s="119" t="s">
        <v>129</v>
      </c>
      <c r="B9" s="68" t="s">
        <v>1468</v>
      </c>
    </row>
    <row r="10" spans="1:3" x14ac:dyDescent="0.15">
      <c r="A10" s="119" t="s">
        <v>1116</v>
      </c>
      <c r="B10" s="68" t="s">
        <v>1469</v>
      </c>
    </row>
    <row r="11" spans="1:3" x14ac:dyDescent="0.15">
      <c r="A11" s="119" t="s">
        <v>1117</v>
      </c>
      <c r="B11" s="68" t="s">
        <v>1470</v>
      </c>
    </row>
    <row r="12" spans="1:3" x14ac:dyDescent="0.15">
      <c r="A12" s="119" t="s">
        <v>599</v>
      </c>
      <c r="B12" s="68" t="s">
        <v>1471</v>
      </c>
    </row>
    <row r="13" spans="1:3" x14ac:dyDescent="0.15">
      <c r="A13" s="119" t="s">
        <v>1190</v>
      </c>
      <c r="B13" s="68" t="s">
        <v>1245</v>
      </c>
    </row>
    <row r="14" spans="1:3" ht="26" x14ac:dyDescent="0.15">
      <c r="A14" s="119" t="s">
        <v>1191</v>
      </c>
      <c r="B14" s="68" t="s">
        <v>1462</v>
      </c>
    </row>
    <row r="15" spans="1:3" x14ac:dyDescent="0.15">
      <c r="A15" s="119" t="s">
        <v>1121</v>
      </c>
      <c r="B15" s="68" t="s">
        <v>1470</v>
      </c>
    </row>
    <row r="16" spans="1:3" x14ac:dyDescent="0.15">
      <c r="A16" s="119" t="s">
        <v>183</v>
      </c>
      <c r="B16" s="68" t="s">
        <v>1472</v>
      </c>
    </row>
    <row r="17" spans="1:3" x14ac:dyDescent="0.15">
      <c r="A17" s="119" t="s">
        <v>1118</v>
      </c>
      <c r="B17" s="68" t="s">
        <v>1470</v>
      </c>
    </row>
    <row r="18" spans="1:3" x14ac:dyDescent="0.15">
      <c r="A18" s="119" t="s">
        <v>1123</v>
      </c>
      <c r="B18" s="68" t="s">
        <v>1474</v>
      </c>
    </row>
    <row r="19" spans="1:3" x14ac:dyDescent="0.15">
      <c r="A19" s="119" t="s">
        <v>1124</v>
      </c>
      <c r="B19" s="68" t="s">
        <v>1473</v>
      </c>
    </row>
    <row r="20" spans="1:3" x14ac:dyDescent="0.15">
      <c r="A20" s="119" t="s">
        <v>1198</v>
      </c>
      <c r="B20" s="68" t="s">
        <v>1245</v>
      </c>
    </row>
    <row r="21" spans="1:3" ht="26" x14ac:dyDescent="0.15">
      <c r="A21" s="119" t="s">
        <v>1199</v>
      </c>
      <c r="B21" s="68" t="s">
        <v>1462</v>
      </c>
    </row>
    <row r="22" spans="1:3" x14ac:dyDescent="0.15">
      <c r="A22" s="119" t="s">
        <v>1200</v>
      </c>
      <c r="B22" s="68" t="s">
        <v>1475</v>
      </c>
    </row>
    <row r="23" spans="1:3" x14ac:dyDescent="0.15">
      <c r="A23" s="119" t="s">
        <v>1127</v>
      </c>
      <c r="B23" s="68" t="s">
        <v>1246</v>
      </c>
    </row>
    <row r="24" spans="1:3" x14ac:dyDescent="0.15">
      <c r="A24" s="119" t="s">
        <v>1130</v>
      </c>
      <c r="B24" s="68" t="s">
        <v>1476</v>
      </c>
    </row>
    <row r="25" spans="1:3" ht="26" x14ac:dyDescent="0.15">
      <c r="A25" s="119" t="s">
        <v>1135</v>
      </c>
      <c r="B25" s="68" t="s">
        <v>1477</v>
      </c>
    </row>
    <row r="26" spans="1:3" x14ac:dyDescent="0.15">
      <c r="A26" s="119" t="s">
        <v>1205</v>
      </c>
      <c r="B26" s="68" t="s">
        <v>1245</v>
      </c>
    </row>
    <row r="27" spans="1:3" ht="26" x14ac:dyDescent="0.15">
      <c r="A27" s="119" t="s">
        <v>1204</v>
      </c>
      <c r="B27" s="68" t="s">
        <v>1462</v>
      </c>
    </row>
    <row r="28" spans="1:3" x14ac:dyDescent="0.15">
      <c r="A28" s="119" t="s">
        <v>1136</v>
      </c>
      <c r="B28" s="68" t="s">
        <v>1480</v>
      </c>
    </row>
    <row r="29" spans="1:3" x14ac:dyDescent="0.15">
      <c r="A29" s="119" t="s">
        <v>1137</v>
      </c>
      <c r="B29" s="68" t="s">
        <v>1481</v>
      </c>
    </row>
    <row r="30" spans="1:3" x14ac:dyDescent="0.15">
      <c r="A30" s="119" t="s">
        <v>1144</v>
      </c>
      <c r="B30" s="68" t="s">
        <v>1482</v>
      </c>
      <c r="C30" t="s">
        <v>1478</v>
      </c>
    </row>
    <row r="31" spans="1:3" ht="39" x14ac:dyDescent="0.15">
      <c r="A31" s="119" t="s">
        <v>1145</v>
      </c>
      <c r="B31" s="68" t="s">
        <v>1486</v>
      </c>
      <c r="C31" t="s">
        <v>1483</v>
      </c>
    </row>
    <row r="32" spans="1:3" x14ac:dyDescent="0.15">
      <c r="A32" s="119" t="s">
        <v>1146</v>
      </c>
      <c r="B32" s="68" t="s">
        <v>1479</v>
      </c>
    </row>
    <row r="33" spans="1:2" ht="52" x14ac:dyDescent="0.15">
      <c r="A33" s="119" t="s">
        <v>1151</v>
      </c>
      <c r="B33" s="68" t="s">
        <v>1488</v>
      </c>
    </row>
    <row r="34" spans="1:2" x14ac:dyDescent="0.15">
      <c r="A34" s="119" t="s">
        <v>1207</v>
      </c>
      <c r="B34" s="68" t="s">
        <v>1248</v>
      </c>
    </row>
    <row r="35" spans="1:2" x14ac:dyDescent="0.15">
      <c r="A35" s="119" t="s">
        <v>1208</v>
      </c>
      <c r="B35" s="68" t="s">
        <v>1247</v>
      </c>
    </row>
    <row r="36" spans="1:2" ht="52" x14ac:dyDescent="0.15">
      <c r="A36" s="119" t="s">
        <v>1152</v>
      </c>
      <c r="B36" s="68" t="s">
        <v>1489</v>
      </c>
    </row>
    <row r="37" spans="1:2" x14ac:dyDescent="0.15">
      <c r="A37" s="119" t="s">
        <v>1206</v>
      </c>
      <c r="B37" s="68" t="s">
        <v>1476</v>
      </c>
    </row>
    <row r="38" spans="1:2" ht="26" x14ac:dyDescent="0.15">
      <c r="A38" s="119" t="s">
        <v>1158</v>
      </c>
      <c r="B38" s="68" t="s">
        <v>1491</v>
      </c>
    </row>
    <row r="39" spans="1:2" x14ac:dyDescent="0.15">
      <c r="A39" s="119" t="s">
        <v>1159</v>
      </c>
      <c r="B39" s="68" t="s">
        <v>1490</v>
      </c>
    </row>
    <row r="40" spans="1:2" ht="26" x14ac:dyDescent="0.15">
      <c r="A40" s="119" t="s">
        <v>1230</v>
      </c>
      <c r="B40" s="68" t="s">
        <v>1492</v>
      </c>
    </row>
    <row r="41" spans="1:2" ht="39" x14ac:dyDescent="0.15">
      <c r="A41" s="119" t="s">
        <v>1228</v>
      </c>
      <c r="B41" s="68" t="s">
        <v>1493</v>
      </c>
    </row>
    <row r="42" spans="1:2" x14ac:dyDescent="0.15">
      <c r="A42" s="119" t="s">
        <v>1224</v>
      </c>
      <c r="B42" s="68" t="s">
        <v>1494</v>
      </c>
    </row>
    <row r="43" spans="1:2" ht="39" x14ac:dyDescent="0.15">
      <c r="A43" s="119" t="s">
        <v>1113</v>
      </c>
      <c r="B43" s="68" t="s">
        <v>1643</v>
      </c>
    </row>
  </sheetData>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AN66"/>
  <sheetViews>
    <sheetView topLeftCell="F1" zoomScale="150" zoomScaleNormal="150" zoomScalePageLayoutView="150" workbookViewId="0">
      <selection activeCell="N67" sqref="N67"/>
    </sheetView>
  </sheetViews>
  <sheetFormatPr baseColWidth="10" defaultRowHeight="13" x14ac:dyDescent="0.15"/>
  <cols>
    <col min="5" max="5" width="21.83203125" bestFit="1" customWidth="1"/>
  </cols>
  <sheetData>
    <row r="1" spans="1:40" s="116" customFormat="1" x14ac:dyDescent="0.15">
      <c r="A1" s="116" t="s">
        <v>1241</v>
      </c>
      <c r="B1" s="116" t="s">
        <v>1242</v>
      </c>
      <c r="C1" s="116" t="s">
        <v>1407</v>
      </c>
      <c r="D1" s="116" t="s">
        <v>24</v>
      </c>
      <c r="E1" s="116" t="s">
        <v>42</v>
      </c>
      <c r="F1" s="116" t="s">
        <v>1240</v>
      </c>
      <c r="G1" s="116" t="s">
        <v>129</v>
      </c>
      <c r="H1" s="116" t="s">
        <v>1116</v>
      </c>
      <c r="I1" s="116" t="s">
        <v>1117</v>
      </c>
      <c r="J1" s="116" t="s">
        <v>599</v>
      </c>
      <c r="K1" s="116" t="s">
        <v>1190</v>
      </c>
      <c r="L1" s="116" t="s">
        <v>1191</v>
      </c>
      <c r="M1" s="116" t="s">
        <v>1121</v>
      </c>
      <c r="N1" s="116" t="s">
        <v>183</v>
      </c>
      <c r="O1" s="116" t="s">
        <v>1118</v>
      </c>
      <c r="P1" s="116" t="s">
        <v>1123</v>
      </c>
      <c r="Q1" s="116" t="s">
        <v>1124</v>
      </c>
      <c r="R1" s="116" t="s">
        <v>1198</v>
      </c>
      <c r="S1" s="116" t="s">
        <v>1199</v>
      </c>
      <c r="T1" s="116" t="s">
        <v>1200</v>
      </c>
      <c r="U1" s="116" t="s">
        <v>1127</v>
      </c>
      <c r="V1" s="116" t="s">
        <v>1130</v>
      </c>
      <c r="W1" s="116" t="s">
        <v>1135</v>
      </c>
      <c r="X1" s="116" t="s">
        <v>1205</v>
      </c>
      <c r="Y1" s="116" t="s">
        <v>1204</v>
      </c>
      <c r="Z1" s="116" t="s">
        <v>1136</v>
      </c>
      <c r="AA1" s="116" t="s">
        <v>1137</v>
      </c>
      <c r="AB1" s="116" t="s">
        <v>1144</v>
      </c>
      <c r="AC1" s="116" t="s">
        <v>1145</v>
      </c>
      <c r="AD1" s="116" t="s">
        <v>1146</v>
      </c>
      <c r="AE1" s="116" t="s">
        <v>1151</v>
      </c>
      <c r="AF1" s="116" t="s">
        <v>1207</v>
      </c>
      <c r="AG1" s="116" t="s">
        <v>1152</v>
      </c>
      <c r="AH1" s="116" t="s">
        <v>1206</v>
      </c>
      <c r="AI1" s="116" t="s">
        <v>1158</v>
      </c>
      <c r="AJ1" s="116" t="s">
        <v>1159</v>
      </c>
      <c r="AK1" s="116" t="s">
        <v>1230</v>
      </c>
      <c r="AL1" s="116" t="s">
        <v>1228</v>
      </c>
      <c r="AM1" s="116" t="s">
        <v>1224</v>
      </c>
      <c r="AN1" s="116" t="s">
        <v>1113</v>
      </c>
    </row>
    <row r="2" spans="1:40" hidden="1" x14ac:dyDescent="0.15">
      <c r="A2" s="117" t="s">
        <v>1391</v>
      </c>
      <c r="B2" t="s">
        <v>2</v>
      </c>
      <c r="C2" t="s">
        <v>23</v>
      </c>
      <c r="D2" t="s">
        <v>25</v>
      </c>
      <c r="E2" t="s">
        <v>43</v>
      </c>
      <c r="F2" t="s">
        <v>478</v>
      </c>
      <c r="G2">
        <v>0.56999999999999995</v>
      </c>
      <c r="H2" t="s">
        <v>1114</v>
      </c>
      <c r="I2" t="s">
        <v>1119</v>
      </c>
      <c r="J2">
        <v>15.2</v>
      </c>
      <c r="K2" t="s">
        <v>1189</v>
      </c>
      <c r="L2" t="s">
        <v>1201</v>
      </c>
      <c r="M2" t="s">
        <v>1119</v>
      </c>
      <c r="N2">
        <v>0</v>
      </c>
      <c r="O2" t="s">
        <v>1119</v>
      </c>
      <c r="P2">
        <v>2.3800000000000002E-2</v>
      </c>
      <c r="Q2">
        <v>2.97</v>
      </c>
      <c r="R2" t="s">
        <v>1189</v>
      </c>
      <c r="S2" t="s">
        <v>1201</v>
      </c>
      <c r="T2" t="s">
        <v>1202</v>
      </c>
      <c r="U2">
        <v>16</v>
      </c>
      <c r="V2" t="s">
        <v>1114</v>
      </c>
      <c r="W2">
        <v>21</v>
      </c>
      <c r="X2" t="s">
        <v>1189</v>
      </c>
      <c r="Y2" t="s">
        <v>1195</v>
      </c>
      <c r="Z2">
        <v>0.18126924692201818</v>
      </c>
      <c r="AA2">
        <v>0.2</v>
      </c>
      <c r="AB2">
        <v>31</v>
      </c>
      <c r="AC2">
        <v>50.958348270198996</v>
      </c>
      <c r="AD2" t="s">
        <v>1119</v>
      </c>
      <c r="AE2">
        <v>12</v>
      </c>
      <c r="AF2" t="s">
        <v>1189</v>
      </c>
      <c r="AG2">
        <v>2.7335870492044743</v>
      </c>
      <c r="AH2" t="s">
        <v>1114</v>
      </c>
      <c r="AI2">
        <v>1</v>
      </c>
      <c r="AJ2">
        <v>3</v>
      </c>
      <c r="AK2" t="s">
        <v>1119</v>
      </c>
      <c r="AL2" t="s">
        <v>1202</v>
      </c>
      <c r="AM2">
        <v>1</v>
      </c>
      <c r="AN2">
        <v>0.7</v>
      </c>
    </row>
    <row r="3" spans="1:40" hidden="1" x14ac:dyDescent="0.15">
      <c r="A3" s="117" t="s">
        <v>1393</v>
      </c>
      <c r="B3" t="s">
        <v>2</v>
      </c>
      <c r="C3" t="s">
        <v>18</v>
      </c>
      <c r="D3" t="s">
        <v>25</v>
      </c>
      <c r="E3" t="s">
        <v>43</v>
      </c>
      <c r="F3" t="s">
        <v>478</v>
      </c>
      <c r="G3">
        <v>0.56999999999999995</v>
      </c>
      <c r="H3" t="s">
        <v>1114</v>
      </c>
      <c r="I3" t="s">
        <v>1119</v>
      </c>
      <c r="J3">
        <v>15.2</v>
      </c>
      <c r="K3" t="s">
        <v>1189</v>
      </c>
      <c r="L3" t="s">
        <v>1201</v>
      </c>
      <c r="M3" t="s">
        <v>1119</v>
      </c>
      <c r="N3">
        <v>0</v>
      </c>
      <c r="O3" t="s">
        <v>1119</v>
      </c>
      <c r="P3">
        <v>2.3800000000000002E-2</v>
      </c>
      <c r="Q3">
        <v>2.97</v>
      </c>
      <c r="R3" t="s">
        <v>1189</v>
      </c>
      <c r="S3" t="s">
        <v>1201</v>
      </c>
      <c r="T3" t="s">
        <v>1202</v>
      </c>
      <c r="U3">
        <v>16</v>
      </c>
      <c r="V3" t="s">
        <v>1114</v>
      </c>
      <c r="W3">
        <v>21</v>
      </c>
      <c r="X3" t="s">
        <v>1189</v>
      </c>
      <c r="Y3" t="s">
        <v>1195</v>
      </c>
      <c r="Z3">
        <v>0.18126924692201818</v>
      </c>
      <c r="AA3">
        <v>0.2</v>
      </c>
      <c r="AB3">
        <v>31</v>
      </c>
      <c r="AC3">
        <v>50.958348270198996</v>
      </c>
      <c r="AD3" t="s">
        <v>1119</v>
      </c>
      <c r="AE3">
        <v>12</v>
      </c>
      <c r="AF3" t="s">
        <v>1189</v>
      </c>
      <c r="AG3">
        <v>2.7335870492044743</v>
      </c>
      <c r="AH3" t="s">
        <v>1114</v>
      </c>
      <c r="AI3">
        <v>1</v>
      </c>
      <c r="AJ3">
        <v>3</v>
      </c>
      <c r="AK3" t="s">
        <v>1119</v>
      </c>
      <c r="AL3" t="s">
        <v>1202</v>
      </c>
      <c r="AM3">
        <v>1</v>
      </c>
      <c r="AN3">
        <v>0.7</v>
      </c>
    </row>
    <row r="4" spans="1:40" hidden="1" x14ac:dyDescent="0.15">
      <c r="A4" s="117" t="s">
        <v>1395</v>
      </c>
      <c r="B4" t="s">
        <v>1256</v>
      </c>
      <c r="C4" t="s">
        <v>1398</v>
      </c>
      <c r="D4" t="s">
        <v>1261</v>
      </c>
      <c r="E4" t="s">
        <v>1266</v>
      </c>
      <c r="F4" t="s">
        <v>1276</v>
      </c>
      <c r="G4">
        <v>0.66</v>
      </c>
      <c r="H4" t="s">
        <v>1114</v>
      </c>
      <c r="I4" t="s">
        <v>1119</v>
      </c>
      <c r="J4">
        <v>273</v>
      </c>
      <c r="K4" t="s">
        <v>1192</v>
      </c>
      <c r="L4" t="s">
        <v>1195</v>
      </c>
      <c r="M4" t="s">
        <v>1119</v>
      </c>
      <c r="N4">
        <v>-0.25</v>
      </c>
      <c r="O4" t="s">
        <v>1119</v>
      </c>
      <c r="P4">
        <v>2.0999999999999999E-3</v>
      </c>
      <c r="Q4">
        <v>3.589</v>
      </c>
      <c r="R4" t="s">
        <v>1189</v>
      </c>
      <c r="S4" t="s">
        <v>1195</v>
      </c>
      <c r="T4" t="s">
        <v>1202</v>
      </c>
      <c r="U4">
        <v>4.3</v>
      </c>
      <c r="V4" t="s">
        <v>1114</v>
      </c>
      <c r="W4">
        <v>260</v>
      </c>
      <c r="X4" t="s">
        <v>1192</v>
      </c>
      <c r="Y4" t="s">
        <v>1195</v>
      </c>
      <c r="Z4">
        <v>0.64654531804121984</v>
      </c>
      <c r="AA4">
        <v>1.04</v>
      </c>
      <c r="AB4">
        <v>22.5</v>
      </c>
      <c r="AC4">
        <v>84</v>
      </c>
      <c r="AD4" t="s">
        <v>1119</v>
      </c>
      <c r="AE4">
        <v>16.3</v>
      </c>
      <c r="AF4" t="s">
        <v>1189</v>
      </c>
      <c r="AG4">
        <v>1.1272597415038539</v>
      </c>
      <c r="AH4" t="s">
        <v>1114</v>
      </c>
      <c r="AI4" t="s">
        <v>1119</v>
      </c>
      <c r="AJ4" t="s">
        <v>1119</v>
      </c>
      <c r="AK4">
        <v>188964</v>
      </c>
      <c r="AL4" t="s">
        <v>1119</v>
      </c>
      <c r="AM4">
        <v>1</v>
      </c>
      <c r="AN4">
        <v>0.84</v>
      </c>
    </row>
    <row r="5" spans="1:40" hidden="1" x14ac:dyDescent="0.15">
      <c r="A5" s="117" t="s">
        <v>1396</v>
      </c>
      <c r="B5" t="s">
        <v>3</v>
      </c>
      <c r="C5" t="s">
        <v>11</v>
      </c>
      <c r="D5" t="s">
        <v>26</v>
      </c>
      <c r="E5" t="s">
        <v>44</v>
      </c>
      <c r="F5" t="s">
        <v>1178</v>
      </c>
      <c r="G5">
        <v>6.3E-2</v>
      </c>
      <c r="H5" t="s">
        <v>1114</v>
      </c>
      <c r="I5" t="s">
        <v>1119</v>
      </c>
      <c r="J5">
        <v>157.75</v>
      </c>
      <c r="K5" t="s">
        <v>1189</v>
      </c>
      <c r="L5" t="s">
        <v>1194</v>
      </c>
      <c r="M5" t="s">
        <v>1119</v>
      </c>
      <c r="N5">
        <v>-0.47</v>
      </c>
      <c r="O5" t="s">
        <v>1119</v>
      </c>
      <c r="P5">
        <v>1.3070000000000002E-2</v>
      </c>
      <c r="Q5">
        <v>3.05</v>
      </c>
      <c r="R5" t="s">
        <v>1189</v>
      </c>
      <c r="S5" t="s">
        <v>1194</v>
      </c>
      <c r="T5" t="s">
        <v>1202</v>
      </c>
      <c r="U5">
        <v>40</v>
      </c>
      <c r="V5" t="s">
        <v>1114</v>
      </c>
      <c r="W5">
        <v>130</v>
      </c>
      <c r="X5" t="s">
        <v>1189</v>
      </c>
      <c r="Y5" t="s">
        <v>1195</v>
      </c>
      <c r="Z5">
        <v>0.21</v>
      </c>
      <c r="AA5">
        <v>0.23572233352106983</v>
      </c>
      <c r="AB5">
        <v>31</v>
      </c>
      <c r="AC5">
        <v>3696.2971541466331</v>
      </c>
      <c r="AD5" t="s">
        <v>1119</v>
      </c>
      <c r="AE5">
        <v>53.5</v>
      </c>
      <c r="AF5" t="s">
        <v>1189</v>
      </c>
      <c r="AG5">
        <v>6.1049149324192324</v>
      </c>
      <c r="AH5" t="s">
        <v>1114</v>
      </c>
      <c r="AI5">
        <v>1</v>
      </c>
      <c r="AJ5">
        <v>3</v>
      </c>
      <c r="AK5" t="s">
        <v>1119</v>
      </c>
      <c r="AL5" t="s">
        <v>1202</v>
      </c>
      <c r="AM5">
        <v>1</v>
      </c>
      <c r="AN5">
        <v>0.5</v>
      </c>
    </row>
    <row r="6" spans="1:40" hidden="1" x14ac:dyDescent="0.15">
      <c r="A6" s="117" t="s">
        <v>1397</v>
      </c>
      <c r="B6" t="s">
        <v>3</v>
      </c>
      <c r="C6" t="s">
        <v>20</v>
      </c>
      <c r="D6" t="s">
        <v>26</v>
      </c>
      <c r="E6" t="s">
        <v>44</v>
      </c>
      <c r="F6" t="s">
        <v>1178</v>
      </c>
      <c r="G6">
        <v>6.3E-2</v>
      </c>
      <c r="H6" t="s">
        <v>1114</v>
      </c>
      <c r="I6" t="s">
        <v>1119</v>
      </c>
      <c r="J6">
        <v>157.75</v>
      </c>
      <c r="K6" t="s">
        <v>1189</v>
      </c>
      <c r="L6" t="s">
        <v>1194</v>
      </c>
      <c r="M6" t="s">
        <v>1119</v>
      </c>
      <c r="N6">
        <v>-0.47</v>
      </c>
      <c r="O6" t="s">
        <v>1119</v>
      </c>
      <c r="P6">
        <v>1.3070000000000002E-2</v>
      </c>
      <c r="Q6">
        <v>3.05</v>
      </c>
      <c r="R6" t="s">
        <v>1189</v>
      </c>
      <c r="S6" t="s">
        <v>1194</v>
      </c>
      <c r="T6" t="s">
        <v>1202</v>
      </c>
      <c r="U6">
        <v>40</v>
      </c>
      <c r="V6" t="s">
        <v>1114</v>
      </c>
      <c r="W6">
        <v>130</v>
      </c>
      <c r="X6" t="s">
        <v>1189</v>
      </c>
      <c r="Y6" t="s">
        <v>1195</v>
      </c>
      <c r="Z6">
        <v>0.21</v>
      </c>
      <c r="AA6">
        <v>0.23572233352106983</v>
      </c>
      <c r="AB6">
        <v>31</v>
      </c>
      <c r="AC6">
        <v>3696.2971541466331</v>
      </c>
      <c r="AD6" t="s">
        <v>1119</v>
      </c>
      <c r="AE6">
        <v>53.5</v>
      </c>
      <c r="AF6" t="s">
        <v>1189</v>
      </c>
      <c r="AG6">
        <v>6.1049149324192324</v>
      </c>
      <c r="AH6" t="s">
        <v>1114</v>
      </c>
      <c r="AI6">
        <v>1</v>
      </c>
      <c r="AJ6">
        <v>3</v>
      </c>
      <c r="AK6" t="s">
        <v>1119</v>
      </c>
      <c r="AL6" t="s">
        <v>1202</v>
      </c>
      <c r="AM6">
        <v>1</v>
      </c>
      <c r="AN6">
        <v>0.5</v>
      </c>
    </row>
    <row r="7" spans="1:40" hidden="1" x14ac:dyDescent="0.15">
      <c r="A7" s="117" t="s">
        <v>1399</v>
      </c>
      <c r="B7" t="s">
        <v>3</v>
      </c>
      <c r="C7" t="s">
        <v>20</v>
      </c>
      <c r="D7" t="s">
        <v>485</v>
      </c>
      <c r="E7" t="s">
        <v>470</v>
      </c>
      <c r="F7" t="s">
        <v>471</v>
      </c>
      <c r="G7">
        <v>0.32</v>
      </c>
      <c r="H7" t="s">
        <v>1114</v>
      </c>
      <c r="I7" t="s">
        <v>1119</v>
      </c>
      <c r="J7">
        <v>62.2</v>
      </c>
      <c r="K7" t="s">
        <v>1189</v>
      </c>
      <c r="L7" t="s">
        <v>1195</v>
      </c>
      <c r="M7" t="s">
        <v>1119</v>
      </c>
      <c r="N7">
        <v>-0.42</v>
      </c>
      <c r="O7" t="s">
        <v>1119</v>
      </c>
      <c r="P7">
        <v>1.374E-2</v>
      </c>
      <c r="Q7">
        <v>3</v>
      </c>
      <c r="R7" t="s">
        <v>1189</v>
      </c>
      <c r="S7" t="s">
        <v>1195</v>
      </c>
      <c r="T7" t="s">
        <v>1202</v>
      </c>
      <c r="U7">
        <v>9</v>
      </c>
      <c r="V7" t="s">
        <v>1114</v>
      </c>
      <c r="W7">
        <v>60</v>
      </c>
      <c r="X7" t="s">
        <v>1189</v>
      </c>
      <c r="Y7" t="s">
        <v>1195</v>
      </c>
      <c r="Z7">
        <v>0.59</v>
      </c>
      <c r="AA7">
        <v>0.89159811928378352</v>
      </c>
      <c r="AB7">
        <v>35</v>
      </c>
      <c r="AC7">
        <v>601</v>
      </c>
      <c r="AD7" t="s">
        <v>1119</v>
      </c>
      <c r="AE7">
        <v>34.1</v>
      </c>
      <c r="AF7" t="s">
        <v>1189</v>
      </c>
      <c r="AG7">
        <v>2.0630794481419805</v>
      </c>
      <c r="AH7" t="s">
        <v>1114</v>
      </c>
      <c r="AI7">
        <v>1</v>
      </c>
      <c r="AJ7">
        <v>3</v>
      </c>
      <c r="AK7" t="s">
        <v>1119</v>
      </c>
      <c r="AL7" t="s">
        <v>1202</v>
      </c>
      <c r="AM7">
        <v>1</v>
      </c>
      <c r="AN7">
        <v>0.7</v>
      </c>
    </row>
    <row r="8" spans="1:40" hidden="1" x14ac:dyDescent="0.15">
      <c r="A8" s="117" t="s">
        <v>1400</v>
      </c>
      <c r="B8" t="s">
        <v>2</v>
      </c>
      <c r="C8" t="s">
        <v>23</v>
      </c>
      <c r="D8" t="s">
        <v>485</v>
      </c>
      <c r="E8" t="s">
        <v>470</v>
      </c>
      <c r="F8" t="s">
        <v>471</v>
      </c>
      <c r="G8">
        <v>0.32</v>
      </c>
      <c r="H8" t="s">
        <v>1114</v>
      </c>
      <c r="I8" t="s">
        <v>1119</v>
      </c>
      <c r="J8">
        <v>62.2</v>
      </c>
      <c r="K8" t="s">
        <v>1189</v>
      </c>
      <c r="L8" t="s">
        <v>1195</v>
      </c>
      <c r="M8" t="s">
        <v>1119</v>
      </c>
      <c r="N8">
        <v>-0.42</v>
      </c>
      <c r="O8" t="s">
        <v>1119</v>
      </c>
      <c r="P8">
        <v>1.374E-2</v>
      </c>
      <c r="Q8">
        <v>3</v>
      </c>
      <c r="R8" t="s">
        <v>1189</v>
      </c>
      <c r="S8" t="s">
        <v>1195</v>
      </c>
      <c r="T8" t="s">
        <v>1202</v>
      </c>
      <c r="U8">
        <v>9</v>
      </c>
      <c r="V8" t="s">
        <v>1114</v>
      </c>
      <c r="W8">
        <v>60</v>
      </c>
      <c r="X8" t="s">
        <v>1189</v>
      </c>
      <c r="Y8" t="s">
        <v>1195</v>
      </c>
      <c r="Z8">
        <v>0.59</v>
      </c>
      <c r="AA8">
        <v>0.89159811928378352</v>
      </c>
      <c r="AB8">
        <v>35</v>
      </c>
      <c r="AC8">
        <v>601</v>
      </c>
      <c r="AD8" t="s">
        <v>1119</v>
      </c>
      <c r="AE8">
        <v>34.1</v>
      </c>
      <c r="AF8" t="s">
        <v>1189</v>
      </c>
      <c r="AG8">
        <v>2.0630794481419805</v>
      </c>
      <c r="AH8" t="s">
        <v>1114</v>
      </c>
      <c r="AI8">
        <v>1</v>
      </c>
      <c r="AJ8">
        <v>3</v>
      </c>
      <c r="AK8" t="s">
        <v>1119</v>
      </c>
      <c r="AL8" t="s">
        <v>1202</v>
      </c>
      <c r="AM8">
        <v>1</v>
      </c>
      <c r="AN8">
        <v>0.7</v>
      </c>
    </row>
    <row r="9" spans="1:40" hidden="1" x14ac:dyDescent="0.15">
      <c r="A9" s="117" t="s">
        <v>1401</v>
      </c>
      <c r="B9" t="s">
        <v>2</v>
      </c>
      <c r="C9" t="s">
        <v>13</v>
      </c>
      <c r="D9" t="s">
        <v>485</v>
      </c>
      <c r="E9" t="s">
        <v>470</v>
      </c>
      <c r="F9" t="s">
        <v>471</v>
      </c>
      <c r="G9">
        <v>0.32</v>
      </c>
      <c r="H9" t="s">
        <v>1114</v>
      </c>
      <c r="I9" t="s">
        <v>1119</v>
      </c>
      <c r="J9">
        <v>62.2</v>
      </c>
      <c r="K9" t="s">
        <v>1189</v>
      </c>
      <c r="L9" t="s">
        <v>1195</v>
      </c>
      <c r="M9" t="s">
        <v>1119</v>
      </c>
      <c r="N9">
        <v>-0.42</v>
      </c>
      <c r="O9" t="s">
        <v>1119</v>
      </c>
      <c r="P9">
        <v>1.374E-2</v>
      </c>
      <c r="Q9">
        <v>3</v>
      </c>
      <c r="R9" t="s">
        <v>1189</v>
      </c>
      <c r="S9" t="s">
        <v>1195</v>
      </c>
      <c r="T9" t="s">
        <v>1202</v>
      </c>
      <c r="U9">
        <v>9</v>
      </c>
      <c r="V9" t="s">
        <v>1114</v>
      </c>
      <c r="W9">
        <v>60</v>
      </c>
      <c r="X9" t="s">
        <v>1189</v>
      </c>
      <c r="Y9" t="s">
        <v>1195</v>
      </c>
      <c r="Z9">
        <v>0.59</v>
      </c>
      <c r="AA9">
        <v>0.89159811928378352</v>
      </c>
      <c r="AB9">
        <v>35</v>
      </c>
      <c r="AC9">
        <v>601</v>
      </c>
      <c r="AD9" t="s">
        <v>1119</v>
      </c>
      <c r="AE9">
        <v>34.1</v>
      </c>
      <c r="AF9" t="s">
        <v>1189</v>
      </c>
      <c r="AG9">
        <v>2.0630794481419805</v>
      </c>
      <c r="AH9" t="s">
        <v>1114</v>
      </c>
      <c r="AI9">
        <v>1</v>
      </c>
      <c r="AJ9">
        <v>3</v>
      </c>
      <c r="AK9" t="s">
        <v>1119</v>
      </c>
      <c r="AL9" t="s">
        <v>1202</v>
      </c>
      <c r="AM9">
        <v>1</v>
      </c>
      <c r="AN9">
        <v>0.7</v>
      </c>
    </row>
    <row r="10" spans="1:40" hidden="1" x14ac:dyDescent="0.15">
      <c r="A10" s="117" t="s">
        <v>1402</v>
      </c>
      <c r="B10" t="s">
        <v>1256</v>
      </c>
      <c r="C10" t="s">
        <v>1398</v>
      </c>
      <c r="D10" t="s">
        <v>27</v>
      </c>
      <c r="E10" t="s">
        <v>1267</v>
      </c>
      <c r="F10" t="s">
        <v>1277</v>
      </c>
      <c r="G10">
        <v>0.17</v>
      </c>
      <c r="H10" t="s">
        <v>1114</v>
      </c>
      <c r="I10" t="s">
        <v>1119</v>
      </c>
      <c r="J10">
        <v>127</v>
      </c>
      <c r="K10" t="s">
        <v>1189</v>
      </c>
      <c r="L10" t="s">
        <v>1195</v>
      </c>
      <c r="M10" t="s">
        <v>1119</v>
      </c>
      <c r="N10">
        <v>-0.67</v>
      </c>
      <c r="O10" t="s">
        <v>1119</v>
      </c>
      <c r="P10">
        <v>4.0399999999999998E-2</v>
      </c>
      <c r="Q10">
        <v>2.91</v>
      </c>
      <c r="R10" t="s">
        <v>1189</v>
      </c>
      <c r="S10" t="s">
        <v>1193</v>
      </c>
      <c r="T10" t="s">
        <v>1202</v>
      </c>
      <c r="U10">
        <v>17</v>
      </c>
      <c r="V10" t="s">
        <v>1114</v>
      </c>
      <c r="W10">
        <v>124</v>
      </c>
      <c r="X10" t="s">
        <v>1192</v>
      </c>
      <c r="Y10" t="s">
        <v>1195</v>
      </c>
      <c r="Z10">
        <v>0.28107626656807383</v>
      </c>
      <c r="AA10">
        <v>0.33</v>
      </c>
      <c r="AB10">
        <v>53.8</v>
      </c>
      <c r="AC10">
        <v>4596</v>
      </c>
      <c r="AD10">
        <v>963</v>
      </c>
      <c r="AE10">
        <v>64.8</v>
      </c>
      <c r="AF10" t="s">
        <v>1189</v>
      </c>
      <c r="AG10">
        <v>3.5290122747850434</v>
      </c>
      <c r="AH10" t="s">
        <v>1114</v>
      </c>
      <c r="AI10">
        <v>2.2860000000000002E-9</v>
      </c>
      <c r="AJ10">
        <v>5.359</v>
      </c>
      <c r="AK10" t="s">
        <v>1119</v>
      </c>
      <c r="AL10" t="s">
        <v>1192</v>
      </c>
      <c r="AM10">
        <v>1</v>
      </c>
      <c r="AN10">
        <v>0.7</v>
      </c>
    </row>
    <row r="11" spans="1:40" hidden="1" x14ac:dyDescent="0.15">
      <c r="A11" s="117" t="s">
        <v>1404</v>
      </c>
      <c r="B11" t="s">
        <v>3</v>
      </c>
      <c r="C11" t="s">
        <v>11</v>
      </c>
      <c r="D11" t="s">
        <v>27</v>
      </c>
      <c r="E11" t="s">
        <v>46</v>
      </c>
      <c r="F11" t="s">
        <v>77</v>
      </c>
      <c r="G11">
        <v>0.69</v>
      </c>
      <c r="H11" t="s">
        <v>1114</v>
      </c>
      <c r="I11" t="s">
        <v>1119</v>
      </c>
      <c r="J11">
        <v>184</v>
      </c>
      <c r="K11" t="s">
        <v>1189</v>
      </c>
      <c r="L11" t="s">
        <v>1194</v>
      </c>
      <c r="M11" t="s">
        <v>1119</v>
      </c>
      <c r="N11">
        <v>-2.4199999999999999E-2</v>
      </c>
      <c r="O11" t="s">
        <v>1119</v>
      </c>
      <c r="P11">
        <v>2.0200000000000003E-2</v>
      </c>
      <c r="Q11">
        <v>3</v>
      </c>
      <c r="R11" t="s">
        <v>1189</v>
      </c>
      <c r="S11" t="s">
        <v>1201</v>
      </c>
      <c r="T11" t="s">
        <v>1202</v>
      </c>
      <c r="U11">
        <v>26.3</v>
      </c>
      <c r="V11" t="s">
        <v>1114</v>
      </c>
      <c r="W11">
        <v>170</v>
      </c>
      <c r="X11" t="s">
        <v>1189</v>
      </c>
      <c r="Y11" t="s">
        <v>1195</v>
      </c>
      <c r="Z11">
        <v>0.2</v>
      </c>
      <c r="AA11">
        <v>0.22314355131420971</v>
      </c>
      <c r="AB11">
        <v>53.8</v>
      </c>
      <c r="AC11">
        <v>970</v>
      </c>
      <c r="AD11" t="s">
        <v>1119</v>
      </c>
      <c r="AE11">
        <v>60</v>
      </c>
      <c r="AF11" t="s">
        <v>1189</v>
      </c>
      <c r="AG11">
        <v>0.54776259710717223</v>
      </c>
      <c r="AH11" t="s">
        <v>1114</v>
      </c>
      <c r="AI11">
        <v>1</v>
      </c>
      <c r="AJ11">
        <v>3</v>
      </c>
      <c r="AK11" t="s">
        <v>1119</v>
      </c>
      <c r="AL11" t="s">
        <v>1202</v>
      </c>
      <c r="AM11">
        <v>1</v>
      </c>
      <c r="AN11">
        <v>0.5</v>
      </c>
    </row>
    <row r="12" spans="1:40" hidden="1" x14ac:dyDescent="0.15">
      <c r="A12" s="117" t="s">
        <v>1405</v>
      </c>
      <c r="B12" t="s">
        <v>3</v>
      </c>
      <c r="C12" t="s">
        <v>1416</v>
      </c>
      <c r="D12" t="s">
        <v>27</v>
      </c>
      <c r="E12" t="s">
        <v>46</v>
      </c>
      <c r="F12" t="s">
        <v>77</v>
      </c>
      <c r="G12">
        <v>0.69</v>
      </c>
      <c r="H12" t="s">
        <v>1114</v>
      </c>
      <c r="I12" t="s">
        <v>1119</v>
      </c>
      <c r="J12">
        <v>184</v>
      </c>
      <c r="K12" t="s">
        <v>1189</v>
      </c>
      <c r="L12" t="s">
        <v>1194</v>
      </c>
      <c r="M12" t="s">
        <v>1119</v>
      </c>
      <c r="N12">
        <v>-2.4199999999999999E-2</v>
      </c>
      <c r="O12" t="s">
        <v>1119</v>
      </c>
      <c r="P12">
        <v>2.0200000000000003E-2</v>
      </c>
      <c r="Q12">
        <v>3</v>
      </c>
      <c r="R12" t="s">
        <v>1189</v>
      </c>
      <c r="S12" t="s">
        <v>1201</v>
      </c>
      <c r="T12" t="s">
        <v>1202</v>
      </c>
      <c r="U12">
        <v>26.3</v>
      </c>
      <c r="V12" t="s">
        <v>1114</v>
      </c>
      <c r="W12">
        <v>170</v>
      </c>
      <c r="X12" t="s">
        <v>1189</v>
      </c>
      <c r="Y12" t="s">
        <v>1195</v>
      </c>
      <c r="Z12">
        <v>0.2</v>
      </c>
      <c r="AA12">
        <v>0.22314355131420971</v>
      </c>
      <c r="AB12">
        <v>53.8</v>
      </c>
      <c r="AC12">
        <v>970</v>
      </c>
      <c r="AD12" t="s">
        <v>1119</v>
      </c>
      <c r="AE12">
        <v>60</v>
      </c>
      <c r="AF12" t="s">
        <v>1189</v>
      </c>
      <c r="AG12">
        <v>0.54776259710717223</v>
      </c>
      <c r="AH12" t="s">
        <v>1114</v>
      </c>
      <c r="AI12">
        <v>1</v>
      </c>
      <c r="AJ12">
        <v>3</v>
      </c>
      <c r="AK12" t="s">
        <v>1119</v>
      </c>
      <c r="AL12" t="s">
        <v>1202</v>
      </c>
      <c r="AM12">
        <v>1</v>
      </c>
      <c r="AN12">
        <v>0.5</v>
      </c>
    </row>
    <row r="13" spans="1:40" hidden="1" x14ac:dyDescent="0.15">
      <c r="A13" s="117" t="s">
        <v>1406</v>
      </c>
      <c r="B13" t="s">
        <v>3</v>
      </c>
      <c r="C13" t="s">
        <v>20</v>
      </c>
      <c r="D13" t="s">
        <v>27</v>
      </c>
      <c r="E13" t="s">
        <v>46</v>
      </c>
      <c r="F13" t="s">
        <v>77</v>
      </c>
      <c r="G13">
        <v>0.69</v>
      </c>
      <c r="H13" t="s">
        <v>1114</v>
      </c>
      <c r="I13" t="s">
        <v>1119</v>
      </c>
      <c r="J13">
        <v>184</v>
      </c>
      <c r="K13" t="s">
        <v>1189</v>
      </c>
      <c r="L13" t="s">
        <v>1194</v>
      </c>
      <c r="M13" t="s">
        <v>1119</v>
      </c>
      <c r="N13">
        <v>-2.4199999999999999E-2</v>
      </c>
      <c r="O13" t="s">
        <v>1119</v>
      </c>
      <c r="P13">
        <v>2.0200000000000003E-2</v>
      </c>
      <c r="Q13">
        <v>3</v>
      </c>
      <c r="R13" t="s">
        <v>1189</v>
      </c>
      <c r="S13" t="s">
        <v>1201</v>
      </c>
      <c r="T13" t="s">
        <v>1202</v>
      </c>
      <c r="U13">
        <v>26.3</v>
      </c>
      <c r="V13" t="s">
        <v>1114</v>
      </c>
      <c r="W13">
        <v>170</v>
      </c>
      <c r="X13" t="s">
        <v>1189</v>
      </c>
      <c r="Y13" t="s">
        <v>1195</v>
      </c>
      <c r="Z13">
        <v>0.2</v>
      </c>
      <c r="AA13">
        <v>0.22314355131420971</v>
      </c>
      <c r="AB13">
        <v>53.8</v>
      </c>
      <c r="AC13">
        <v>970</v>
      </c>
      <c r="AD13" t="s">
        <v>1119</v>
      </c>
      <c r="AE13">
        <v>60</v>
      </c>
      <c r="AF13" t="s">
        <v>1189</v>
      </c>
      <c r="AG13">
        <v>0.54776259710717223</v>
      </c>
      <c r="AH13" t="s">
        <v>1114</v>
      </c>
      <c r="AI13">
        <v>1</v>
      </c>
      <c r="AJ13">
        <v>3</v>
      </c>
      <c r="AK13" t="s">
        <v>1119</v>
      </c>
      <c r="AL13" t="s">
        <v>1202</v>
      </c>
      <c r="AM13">
        <v>1</v>
      </c>
      <c r="AN13">
        <v>0.5</v>
      </c>
    </row>
    <row r="14" spans="1:40" hidden="1" x14ac:dyDescent="0.15">
      <c r="A14" s="117" t="s">
        <v>1439</v>
      </c>
      <c r="B14" t="s">
        <v>3</v>
      </c>
      <c r="C14" t="s">
        <v>22</v>
      </c>
      <c r="D14" t="s">
        <v>27</v>
      </c>
      <c r="E14" t="s">
        <v>46</v>
      </c>
      <c r="F14" t="s">
        <v>77</v>
      </c>
      <c r="G14">
        <v>0.69</v>
      </c>
      <c r="H14" t="s">
        <v>1114</v>
      </c>
      <c r="I14" t="s">
        <v>1119</v>
      </c>
      <c r="J14">
        <v>184</v>
      </c>
      <c r="K14" t="s">
        <v>1189</v>
      </c>
      <c r="L14" t="s">
        <v>1194</v>
      </c>
      <c r="M14" t="s">
        <v>1119</v>
      </c>
      <c r="N14">
        <v>-2.4199999999999999E-2</v>
      </c>
      <c r="O14" t="s">
        <v>1119</v>
      </c>
      <c r="P14">
        <v>2.0200000000000003E-2</v>
      </c>
      <c r="Q14">
        <v>3</v>
      </c>
      <c r="R14" t="s">
        <v>1189</v>
      </c>
      <c r="S14" t="s">
        <v>1201</v>
      </c>
      <c r="T14" t="s">
        <v>1202</v>
      </c>
      <c r="U14">
        <v>26.3</v>
      </c>
      <c r="V14" t="s">
        <v>1114</v>
      </c>
      <c r="W14">
        <v>170</v>
      </c>
      <c r="X14" t="s">
        <v>1189</v>
      </c>
      <c r="Y14" t="s">
        <v>1195</v>
      </c>
      <c r="Z14">
        <v>0.2</v>
      </c>
      <c r="AA14">
        <v>0.22314355131420971</v>
      </c>
      <c r="AB14">
        <v>53.8</v>
      </c>
      <c r="AC14">
        <v>970</v>
      </c>
      <c r="AD14" t="s">
        <v>1119</v>
      </c>
      <c r="AE14">
        <v>60</v>
      </c>
      <c r="AF14" t="s">
        <v>1189</v>
      </c>
      <c r="AG14">
        <v>0.54776259710717223</v>
      </c>
      <c r="AH14" t="s">
        <v>1114</v>
      </c>
      <c r="AI14">
        <v>1</v>
      </c>
      <c r="AJ14">
        <v>3</v>
      </c>
      <c r="AK14" t="s">
        <v>1119</v>
      </c>
      <c r="AL14" t="s">
        <v>1202</v>
      </c>
      <c r="AM14">
        <v>1</v>
      </c>
      <c r="AN14">
        <v>0.5</v>
      </c>
    </row>
    <row r="15" spans="1:40" hidden="1" x14ac:dyDescent="0.15">
      <c r="A15" s="117" t="s">
        <v>1421</v>
      </c>
      <c r="B15" t="s">
        <v>2</v>
      </c>
      <c r="C15" t="s">
        <v>15</v>
      </c>
      <c r="D15" t="s">
        <v>27</v>
      </c>
      <c r="E15" t="s">
        <v>46</v>
      </c>
      <c r="F15" t="s">
        <v>77</v>
      </c>
      <c r="G15">
        <v>0.69</v>
      </c>
      <c r="H15" t="s">
        <v>1114</v>
      </c>
      <c r="I15" t="s">
        <v>1119</v>
      </c>
      <c r="J15">
        <v>184</v>
      </c>
      <c r="K15" t="s">
        <v>1189</v>
      </c>
      <c r="L15" t="s">
        <v>1194</v>
      </c>
      <c r="M15" t="s">
        <v>1119</v>
      </c>
      <c r="N15">
        <v>-2.4199999999999999E-2</v>
      </c>
      <c r="O15" t="s">
        <v>1119</v>
      </c>
      <c r="P15">
        <v>2.0200000000000003E-2</v>
      </c>
      <c r="Q15">
        <v>3</v>
      </c>
      <c r="R15" t="s">
        <v>1189</v>
      </c>
      <c r="S15" t="s">
        <v>1201</v>
      </c>
      <c r="T15" t="s">
        <v>1202</v>
      </c>
      <c r="U15">
        <v>26.3</v>
      </c>
      <c r="V15" t="s">
        <v>1114</v>
      </c>
      <c r="W15">
        <v>170</v>
      </c>
      <c r="X15" t="s">
        <v>1189</v>
      </c>
      <c r="Y15" t="s">
        <v>1195</v>
      </c>
      <c r="Z15">
        <v>0.2</v>
      </c>
      <c r="AA15">
        <v>0.22314355131420971</v>
      </c>
      <c r="AB15">
        <v>53.8</v>
      </c>
      <c r="AC15">
        <v>970</v>
      </c>
      <c r="AD15" t="s">
        <v>1119</v>
      </c>
      <c r="AE15">
        <v>60</v>
      </c>
      <c r="AF15" t="s">
        <v>1189</v>
      </c>
      <c r="AG15">
        <v>0.54776259710717223</v>
      </c>
      <c r="AH15" t="s">
        <v>1114</v>
      </c>
      <c r="AI15">
        <v>1</v>
      </c>
      <c r="AJ15">
        <v>3</v>
      </c>
      <c r="AK15" t="s">
        <v>1119</v>
      </c>
      <c r="AL15" t="s">
        <v>1202</v>
      </c>
      <c r="AM15">
        <v>1</v>
      </c>
      <c r="AN15">
        <v>0.5</v>
      </c>
    </row>
    <row r="16" spans="1:40" hidden="1" x14ac:dyDescent="0.15">
      <c r="A16" s="117" t="s">
        <v>1408</v>
      </c>
      <c r="B16" t="s">
        <v>3</v>
      </c>
      <c r="C16" t="s">
        <v>20</v>
      </c>
      <c r="D16" t="s">
        <v>27</v>
      </c>
      <c r="E16" t="s">
        <v>45</v>
      </c>
      <c r="F16" t="s">
        <v>76</v>
      </c>
      <c r="G16">
        <v>0.19400000000000001</v>
      </c>
      <c r="H16" t="s">
        <v>1114</v>
      </c>
      <c r="I16" t="s">
        <v>1119</v>
      </c>
      <c r="J16">
        <v>97.3</v>
      </c>
      <c r="K16" t="s">
        <v>1189</v>
      </c>
      <c r="L16" t="s">
        <v>1194</v>
      </c>
      <c r="M16" t="s">
        <v>1119</v>
      </c>
      <c r="N16">
        <v>-0.19600000000000001</v>
      </c>
      <c r="O16" t="s">
        <v>1119</v>
      </c>
      <c r="P16">
        <v>1.9130000000000001E-2</v>
      </c>
      <c r="Q16">
        <v>2.94</v>
      </c>
      <c r="R16" t="s">
        <v>1189</v>
      </c>
      <c r="S16" t="s">
        <v>1194</v>
      </c>
      <c r="T16" t="s">
        <v>1202</v>
      </c>
      <c r="U16">
        <v>12.5</v>
      </c>
      <c r="V16" t="s">
        <v>1114</v>
      </c>
      <c r="W16">
        <v>117</v>
      </c>
      <c r="X16" t="s">
        <v>1189</v>
      </c>
      <c r="Y16" t="s">
        <v>1201</v>
      </c>
      <c r="Z16">
        <v>0.42</v>
      </c>
      <c r="AA16">
        <v>0.54472717544167193</v>
      </c>
      <c r="AB16">
        <v>57.6</v>
      </c>
      <c r="AC16">
        <v>4596</v>
      </c>
      <c r="AD16">
        <v>963</v>
      </c>
      <c r="AE16">
        <v>35</v>
      </c>
      <c r="AF16" t="s">
        <v>1189</v>
      </c>
      <c r="AG16">
        <v>2.1021317700956281</v>
      </c>
      <c r="AH16" t="s">
        <v>1114</v>
      </c>
      <c r="AI16">
        <v>2.2860000000000002E-9</v>
      </c>
      <c r="AJ16">
        <v>5.359</v>
      </c>
      <c r="AK16" t="s">
        <v>1119</v>
      </c>
      <c r="AL16" t="s">
        <v>1192</v>
      </c>
      <c r="AM16">
        <v>1</v>
      </c>
      <c r="AN16">
        <v>0.75</v>
      </c>
    </row>
    <row r="17" spans="1:40" hidden="1" x14ac:dyDescent="0.15">
      <c r="A17" s="117" t="s">
        <v>1430</v>
      </c>
      <c r="B17" t="s">
        <v>2</v>
      </c>
      <c r="C17" t="s">
        <v>13</v>
      </c>
      <c r="D17" t="s">
        <v>27</v>
      </c>
      <c r="E17" t="s">
        <v>45</v>
      </c>
      <c r="F17" t="s">
        <v>76</v>
      </c>
      <c r="G17">
        <v>0.19400000000000001</v>
      </c>
      <c r="H17" t="s">
        <v>1114</v>
      </c>
      <c r="I17" t="s">
        <v>1119</v>
      </c>
      <c r="J17">
        <v>97.3</v>
      </c>
      <c r="K17" t="s">
        <v>1189</v>
      </c>
      <c r="L17" t="s">
        <v>1194</v>
      </c>
      <c r="M17" t="s">
        <v>1119</v>
      </c>
      <c r="N17">
        <v>-0.19600000000000001</v>
      </c>
      <c r="O17" t="s">
        <v>1119</v>
      </c>
      <c r="P17">
        <v>1.9130000000000001E-2</v>
      </c>
      <c r="Q17">
        <v>2.94</v>
      </c>
      <c r="R17" t="s">
        <v>1189</v>
      </c>
      <c r="S17" t="s">
        <v>1194</v>
      </c>
      <c r="T17" t="s">
        <v>1202</v>
      </c>
      <c r="U17">
        <v>12.5</v>
      </c>
      <c r="V17" t="s">
        <v>1114</v>
      </c>
      <c r="W17">
        <v>117</v>
      </c>
      <c r="X17" t="s">
        <v>1189</v>
      </c>
      <c r="Y17" t="s">
        <v>1201</v>
      </c>
      <c r="Z17">
        <v>0.42</v>
      </c>
      <c r="AA17">
        <v>0.54472717544167193</v>
      </c>
      <c r="AB17">
        <v>57.6</v>
      </c>
      <c r="AC17">
        <v>4596</v>
      </c>
      <c r="AD17">
        <v>963</v>
      </c>
      <c r="AE17">
        <v>35</v>
      </c>
      <c r="AF17" t="s">
        <v>1189</v>
      </c>
      <c r="AG17">
        <v>2.1021317700956281</v>
      </c>
      <c r="AH17" t="s">
        <v>1114</v>
      </c>
      <c r="AI17">
        <v>2.2860000000000002E-9</v>
      </c>
      <c r="AJ17">
        <v>5.359</v>
      </c>
      <c r="AK17" t="s">
        <v>1119</v>
      </c>
      <c r="AL17" t="s">
        <v>1192</v>
      </c>
      <c r="AM17">
        <v>1</v>
      </c>
      <c r="AN17">
        <v>0.75</v>
      </c>
    </row>
    <row r="18" spans="1:40" hidden="1" x14ac:dyDescent="0.15">
      <c r="A18" s="117" t="s">
        <v>1433</v>
      </c>
      <c r="B18" t="s">
        <v>1256</v>
      </c>
      <c r="C18" t="s">
        <v>1398</v>
      </c>
      <c r="D18" t="s">
        <v>1262</v>
      </c>
      <c r="E18" t="s">
        <v>1268</v>
      </c>
      <c r="F18" t="s">
        <v>1278</v>
      </c>
      <c r="G18">
        <v>0.20499999999999999</v>
      </c>
      <c r="H18" t="s">
        <v>1114</v>
      </c>
      <c r="I18">
        <v>1.155E-2</v>
      </c>
      <c r="J18">
        <v>968.3</v>
      </c>
      <c r="K18" t="s">
        <v>1192</v>
      </c>
      <c r="L18" t="s">
        <v>1201</v>
      </c>
      <c r="M18">
        <v>21.895</v>
      </c>
      <c r="N18">
        <v>-0.7248</v>
      </c>
      <c r="O18">
        <v>0.107935</v>
      </c>
      <c r="P18">
        <v>4.4013999999999999E-6</v>
      </c>
      <c r="Q18">
        <v>3.1116999999999999</v>
      </c>
      <c r="R18" t="s">
        <v>1192</v>
      </c>
      <c r="S18" t="s">
        <v>1201</v>
      </c>
      <c r="T18" t="s">
        <v>1202</v>
      </c>
      <c r="U18">
        <v>21</v>
      </c>
      <c r="V18" t="s">
        <v>1114</v>
      </c>
      <c r="W18">
        <v>1145</v>
      </c>
      <c r="X18" t="s">
        <v>1192</v>
      </c>
      <c r="Y18" t="s">
        <v>1195</v>
      </c>
      <c r="Z18">
        <v>0.22119921692859512</v>
      </c>
      <c r="AA18">
        <v>0.25</v>
      </c>
      <c r="AB18">
        <v>17.5</v>
      </c>
      <c r="AC18">
        <v>2743</v>
      </c>
      <c r="AD18" t="s">
        <v>1119</v>
      </c>
      <c r="AE18">
        <v>353.5</v>
      </c>
      <c r="AF18" t="s">
        <v>1192</v>
      </c>
      <c r="AG18">
        <v>1.4910289997709492</v>
      </c>
      <c r="AH18" t="s">
        <v>1114</v>
      </c>
      <c r="AI18" t="s">
        <v>1119</v>
      </c>
      <c r="AJ18" t="s">
        <v>1119</v>
      </c>
      <c r="AK18">
        <v>2371935</v>
      </c>
      <c r="AL18" t="s">
        <v>1119</v>
      </c>
      <c r="AM18">
        <v>1</v>
      </c>
      <c r="AN18">
        <v>0.7</v>
      </c>
    </row>
    <row r="19" spans="1:40" hidden="1" x14ac:dyDescent="0.15">
      <c r="A19" s="117" t="s">
        <v>1445</v>
      </c>
      <c r="B19" t="s">
        <v>3</v>
      </c>
      <c r="C19" t="s">
        <v>11</v>
      </c>
      <c r="D19" t="s">
        <v>26</v>
      </c>
      <c r="E19" t="s">
        <v>47</v>
      </c>
      <c r="F19" t="s">
        <v>78</v>
      </c>
      <c r="G19">
        <v>0.1</v>
      </c>
      <c r="H19" t="s">
        <v>1114</v>
      </c>
      <c r="I19" t="s">
        <v>1119</v>
      </c>
      <c r="J19">
        <v>138</v>
      </c>
      <c r="K19" t="s">
        <v>1189</v>
      </c>
      <c r="L19" t="s">
        <v>1195</v>
      </c>
      <c r="M19" t="s">
        <v>1119</v>
      </c>
      <c r="N19">
        <v>-1.1399999999999999</v>
      </c>
      <c r="O19" t="s">
        <v>1119</v>
      </c>
      <c r="P19">
        <v>2.3178000000000004E-5</v>
      </c>
      <c r="Q19">
        <v>2.9588999999999999</v>
      </c>
      <c r="R19" t="s">
        <v>1192</v>
      </c>
      <c r="S19" t="s">
        <v>1195</v>
      </c>
      <c r="T19" t="s">
        <v>1202</v>
      </c>
      <c r="U19">
        <v>27.5</v>
      </c>
      <c r="V19" t="s">
        <v>1114</v>
      </c>
      <c r="W19">
        <v>229</v>
      </c>
      <c r="X19" t="s">
        <v>1189</v>
      </c>
      <c r="Y19" t="s">
        <v>1193</v>
      </c>
      <c r="Z19">
        <v>0.14000000000000001</v>
      </c>
      <c r="AA19">
        <v>0.15082288973458366</v>
      </c>
      <c r="AB19">
        <v>34.299999999999997</v>
      </c>
      <c r="AC19">
        <v>13983.419400085788</v>
      </c>
      <c r="AD19" t="s">
        <v>1119</v>
      </c>
      <c r="AE19">
        <v>42.5</v>
      </c>
      <c r="AF19" t="s">
        <v>1189</v>
      </c>
      <c r="AG19">
        <v>2.5412743767052008</v>
      </c>
      <c r="AH19" t="s">
        <v>1114</v>
      </c>
      <c r="AI19">
        <v>1</v>
      </c>
      <c r="AJ19">
        <v>3</v>
      </c>
      <c r="AK19" t="s">
        <v>1119</v>
      </c>
      <c r="AL19" t="s">
        <v>1202</v>
      </c>
      <c r="AM19">
        <v>1</v>
      </c>
      <c r="AN19">
        <v>0.5</v>
      </c>
    </row>
    <row r="20" spans="1:40" hidden="1" x14ac:dyDescent="0.15">
      <c r="A20" s="117" t="s">
        <v>1409</v>
      </c>
      <c r="B20" t="s">
        <v>2</v>
      </c>
      <c r="C20" t="s">
        <v>23</v>
      </c>
      <c r="D20" t="s">
        <v>28</v>
      </c>
      <c r="E20" t="s">
        <v>48</v>
      </c>
      <c r="F20" t="s">
        <v>79</v>
      </c>
      <c r="G20">
        <v>1.125</v>
      </c>
      <c r="H20" t="s">
        <v>1114</v>
      </c>
      <c r="I20">
        <v>0.41000000000000003</v>
      </c>
      <c r="J20">
        <v>175.41000000000003</v>
      </c>
      <c r="K20" t="s">
        <v>1192</v>
      </c>
      <c r="L20" t="s">
        <v>1194</v>
      </c>
      <c r="M20">
        <v>4.1449999999999996</v>
      </c>
      <c r="N20">
        <v>0</v>
      </c>
      <c r="O20" t="s">
        <v>1119</v>
      </c>
      <c r="P20">
        <v>1.82E-3</v>
      </c>
      <c r="Q20">
        <v>3.15</v>
      </c>
      <c r="R20" t="s">
        <v>1192</v>
      </c>
      <c r="S20" t="s">
        <v>1201</v>
      </c>
      <c r="T20" t="s">
        <v>1202</v>
      </c>
      <c r="U20">
        <v>9</v>
      </c>
      <c r="V20" t="s">
        <v>1114</v>
      </c>
      <c r="W20">
        <v>40</v>
      </c>
      <c r="X20" t="s">
        <v>1189</v>
      </c>
      <c r="Y20" t="s">
        <v>1195</v>
      </c>
      <c r="Z20">
        <v>0.29531191028128656</v>
      </c>
      <c r="AA20">
        <v>0.35</v>
      </c>
      <c r="AB20">
        <v>30</v>
      </c>
      <c r="AC20">
        <v>231.65462728124115</v>
      </c>
      <c r="AD20" t="s">
        <v>1119</v>
      </c>
      <c r="AE20">
        <v>142.96241264225978</v>
      </c>
      <c r="AF20" t="s">
        <v>1192</v>
      </c>
      <c r="AG20">
        <v>1.5</v>
      </c>
      <c r="AH20" t="s">
        <v>1114</v>
      </c>
      <c r="AI20">
        <v>1</v>
      </c>
      <c r="AJ20">
        <v>3</v>
      </c>
      <c r="AK20" t="s">
        <v>1119</v>
      </c>
      <c r="AL20" t="s">
        <v>1202</v>
      </c>
      <c r="AM20">
        <v>1</v>
      </c>
      <c r="AN20">
        <v>0.7</v>
      </c>
    </row>
    <row r="21" spans="1:40" hidden="1" x14ac:dyDescent="0.15">
      <c r="A21" s="117" t="s">
        <v>1410</v>
      </c>
      <c r="B21" t="s">
        <v>2</v>
      </c>
      <c r="C21" t="s">
        <v>15</v>
      </c>
      <c r="D21" t="s">
        <v>28</v>
      </c>
      <c r="E21" t="s">
        <v>48</v>
      </c>
      <c r="F21" t="s">
        <v>79</v>
      </c>
      <c r="G21">
        <v>1.125</v>
      </c>
      <c r="H21" t="s">
        <v>1114</v>
      </c>
      <c r="I21">
        <v>0.41000000000000003</v>
      </c>
      <c r="J21">
        <v>175.41000000000003</v>
      </c>
      <c r="K21" t="s">
        <v>1192</v>
      </c>
      <c r="L21" t="s">
        <v>1194</v>
      </c>
      <c r="M21">
        <v>4.1449999999999996</v>
      </c>
      <c r="N21">
        <v>0</v>
      </c>
      <c r="O21" t="s">
        <v>1119</v>
      </c>
      <c r="P21">
        <v>1.82E-3</v>
      </c>
      <c r="Q21">
        <v>3.15</v>
      </c>
      <c r="R21" t="s">
        <v>1192</v>
      </c>
      <c r="S21" t="s">
        <v>1201</v>
      </c>
      <c r="T21" t="s">
        <v>1202</v>
      </c>
      <c r="U21">
        <v>9</v>
      </c>
      <c r="V21" t="s">
        <v>1114</v>
      </c>
      <c r="W21">
        <v>40</v>
      </c>
      <c r="X21" t="s">
        <v>1189</v>
      </c>
      <c r="Y21" t="s">
        <v>1195</v>
      </c>
      <c r="Z21">
        <v>0.29531191028128656</v>
      </c>
      <c r="AA21">
        <v>0.35</v>
      </c>
      <c r="AB21">
        <v>30</v>
      </c>
      <c r="AC21">
        <v>231.65462728124115</v>
      </c>
      <c r="AD21" t="s">
        <v>1119</v>
      </c>
      <c r="AE21">
        <v>142.96241264225978</v>
      </c>
      <c r="AF21" t="s">
        <v>1192</v>
      </c>
      <c r="AG21">
        <v>1.5</v>
      </c>
      <c r="AH21" t="s">
        <v>1114</v>
      </c>
      <c r="AI21">
        <v>1</v>
      </c>
      <c r="AJ21">
        <v>3</v>
      </c>
      <c r="AK21" t="s">
        <v>1119</v>
      </c>
      <c r="AL21" t="s">
        <v>1202</v>
      </c>
      <c r="AM21">
        <v>1</v>
      </c>
      <c r="AN21">
        <v>0.7</v>
      </c>
    </row>
    <row r="22" spans="1:40" hidden="1" x14ac:dyDescent="0.15">
      <c r="A22" s="117" t="s">
        <v>1422</v>
      </c>
      <c r="B22" t="s">
        <v>2</v>
      </c>
      <c r="C22" t="s">
        <v>18</v>
      </c>
      <c r="D22" t="s">
        <v>28</v>
      </c>
      <c r="E22" t="s">
        <v>48</v>
      </c>
      <c r="F22" t="s">
        <v>79</v>
      </c>
      <c r="G22">
        <v>1.125</v>
      </c>
      <c r="H22" t="s">
        <v>1114</v>
      </c>
      <c r="I22">
        <v>0.41000000000000003</v>
      </c>
      <c r="J22">
        <v>175.41000000000003</v>
      </c>
      <c r="K22" t="s">
        <v>1192</v>
      </c>
      <c r="L22" t="s">
        <v>1194</v>
      </c>
      <c r="M22">
        <v>4.1449999999999996</v>
      </c>
      <c r="N22">
        <v>0</v>
      </c>
      <c r="O22" t="s">
        <v>1119</v>
      </c>
      <c r="P22">
        <v>1.82E-3</v>
      </c>
      <c r="Q22">
        <v>3.15</v>
      </c>
      <c r="R22" t="s">
        <v>1192</v>
      </c>
      <c r="S22" t="s">
        <v>1201</v>
      </c>
      <c r="T22" t="s">
        <v>1202</v>
      </c>
      <c r="U22">
        <v>9</v>
      </c>
      <c r="V22" t="s">
        <v>1114</v>
      </c>
      <c r="W22">
        <v>40</v>
      </c>
      <c r="X22" t="s">
        <v>1189</v>
      </c>
      <c r="Y22" t="s">
        <v>1195</v>
      </c>
      <c r="Z22">
        <v>0.29531191028128656</v>
      </c>
      <c r="AA22">
        <v>0.35</v>
      </c>
      <c r="AB22">
        <v>30</v>
      </c>
      <c r="AC22">
        <v>231.65462728124115</v>
      </c>
      <c r="AD22" t="s">
        <v>1119</v>
      </c>
      <c r="AE22">
        <v>142.96241264225978</v>
      </c>
      <c r="AF22" t="s">
        <v>1192</v>
      </c>
      <c r="AG22">
        <v>1.5</v>
      </c>
      <c r="AH22" t="s">
        <v>1114</v>
      </c>
      <c r="AI22">
        <v>1</v>
      </c>
      <c r="AJ22">
        <v>3</v>
      </c>
      <c r="AK22" t="s">
        <v>1119</v>
      </c>
      <c r="AL22" t="s">
        <v>1202</v>
      </c>
      <c r="AM22">
        <v>1</v>
      </c>
      <c r="AN22">
        <v>0.7</v>
      </c>
    </row>
    <row r="23" spans="1:40" hidden="1" x14ac:dyDescent="0.15">
      <c r="A23" s="117" t="s">
        <v>1440</v>
      </c>
      <c r="B23" t="s">
        <v>3</v>
      </c>
      <c r="C23" t="s">
        <v>11</v>
      </c>
      <c r="D23" t="s">
        <v>29</v>
      </c>
      <c r="E23" t="s">
        <v>49</v>
      </c>
      <c r="F23" t="s">
        <v>80</v>
      </c>
      <c r="G23">
        <v>0.1875</v>
      </c>
      <c r="H23" t="s">
        <v>1114</v>
      </c>
      <c r="I23" t="s">
        <v>1119</v>
      </c>
      <c r="J23">
        <v>55.8</v>
      </c>
      <c r="K23" t="s">
        <v>1189</v>
      </c>
      <c r="L23" t="s">
        <v>1194</v>
      </c>
      <c r="M23" t="s">
        <v>1119</v>
      </c>
      <c r="N23">
        <v>-0.245</v>
      </c>
      <c r="O23" t="s">
        <v>1119</v>
      </c>
      <c r="P23">
        <v>1.24E-2</v>
      </c>
      <c r="Q23">
        <v>3.0569999999999999</v>
      </c>
      <c r="R23" t="s">
        <v>1189</v>
      </c>
      <c r="S23" t="s">
        <v>1195</v>
      </c>
      <c r="T23" t="s">
        <v>1202</v>
      </c>
      <c r="U23">
        <v>31</v>
      </c>
      <c r="V23" t="s">
        <v>1114</v>
      </c>
      <c r="W23">
        <v>76</v>
      </c>
      <c r="X23" t="s">
        <v>1189</v>
      </c>
      <c r="Y23" t="s">
        <v>1193</v>
      </c>
      <c r="Z23">
        <v>0.1219045690794387</v>
      </c>
      <c r="AA23">
        <v>0.13</v>
      </c>
      <c r="AB23">
        <v>27.7</v>
      </c>
      <c r="AC23">
        <v>1046.9162523649693</v>
      </c>
      <c r="AD23" t="s">
        <v>1119</v>
      </c>
      <c r="AE23">
        <v>40.274999999999999</v>
      </c>
      <c r="AF23" t="s">
        <v>1189</v>
      </c>
      <c r="AG23">
        <v>6.5780519550278544</v>
      </c>
      <c r="AH23" t="s">
        <v>1114</v>
      </c>
      <c r="AI23">
        <v>1</v>
      </c>
      <c r="AJ23">
        <v>3</v>
      </c>
      <c r="AK23" t="s">
        <v>1119</v>
      </c>
      <c r="AL23" t="s">
        <v>1202</v>
      </c>
      <c r="AM23">
        <v>1</v>
      </c>
      <c r="AN23">
        <v>0.5</v>
      </c>
    </row>
    <row r="24" spans="1:40" hidden="1" x14ac:dyDescent="0.15">
      <c r="A24" s="117" t="s">
        <v>1411</v>
      </c>
      <c r="B24" t="s">
        <v>1256</v>
      </c>
      <c r="C24" t="s">
        <v>1392</v>
      </c>
      <c r="D24" t="s">
        <v>29</v>
      </c>
      <c r="E24" t="s">
        <v>1270</v>
      </c>
      <c r="F24" t="s">
        <v>1279</v>
      </c>
      <c r="G24">
        <v>0.06</v>
      </c>
      <c r="H24" t="s">
        <v>1114</v>
      </c>
      <c r="I24" t="s">
        <v>1119</v>
      </c>
      <c r="J24">
        <v>94</v>
      </c>
      <c r="K24" t="s">
        <v>1189</v>
      </c>
      <c r="L24" t="s">
        <v>1194</v>
      </c>
      <c r="M24" t="s">
        <v>1119</v>
      </c>
      <c r="N24">
        <v>0</v>
      </c>
      <c r="O24" t="s">
        <v>1119</v>
      </c>
      <c r="P24">
        <v>-7.1099999999999997E-2</v>
      </c>
      <c r="Q24">
        <v>2.423</v>
      </c>
      <c r="R24" t="s">
        <v>1189</v>
      </c>
      <c r="S24" t="s">
        <v>1195</v>
      </c>
      <c r="T24" t="s">
        <v>1202</v>
      </c>
      <c r="U24">
        <v>29</v>
      </c>
      <c r="V24" t="s">
        <v>1114</v>
      </c>
      <c r="W24">
        <v>120</v>
      </c>
      <c r="X24" t="s">
        <v>1189</v>
      </c>
      <c r="Y24" t="s">
        <v>1194</v>
      </c>
      <c r="Z24">
        <v>0.14785621103378865</v>
      </c>
      <c r="AA24">
        <v>0.16</v>
      </c>
      <c r="AB24">
        <v>37.5</v>
      </c>
      <c r="AC24">
        <v>14832</v>
      </c>
      <c r="AD24" t="s">
        <v>1119</v>
      </c>
      <c r="AE24">
        <v>48</v>
      </c>
      <c r="AF24" t="s">
        <v>1189</v>
      </c>
      <c r="AG24">
        <v>11.910889763015151</v>
      </c>
      <c r="AH24" t="s">
        <v>1114</v>
      </c>
      <c r="AI24" t="s">
        <v>1119</v>
      </c>
      <c r="AJ24" t="s">
        <v>1119</v>
      </c>
      <c r="AK24">
        <v>3425000</v>
      </c>
      <c r="AL24" t="s">
        <v>1119</v>
      </c>
      <c r="AM24">
        <v>1</v>
      </c>
      <c r="AN24">
        <v>0.81499999999999995</v>
      </c>
    </row>
    <row r="25" spans="1:40" hidden="1" x14ac:dyDescent="0.15">
      <c r="A25" s="117" t="s">
        <v>1417</v>
      </c>
      <c r="B25" t="s">
        <v>3</v>
      </c>
      <c r="C25" t="s">
        <v>11</v>
      </c>
      <c r="D25" t="s">
        <v>30</v>
      </c>
      <c r="E25" t="s">
        <v>50</v>
      </c>
      <c r="F25" t="s">
        <v>1179</v>
      </c>
      <c r="G25">
        <v>0.56000000000000005</v>
      </c>
      <c r="H25" t="s">
        <v>1114</v>
      </c>
      <c r="I25" t="s">
        <v>1119</v>
      </c>
      <c r="J25">
        <v>81.92</v>
      </c>
      <c r="K25" t="s">
        <v>1189</v>
      </c>
      <c r="L25" t="s">
        <v>1194</v>
      </c>
      <c r="M25" t="s">
        <v>1119</v>
      </c>
      <c r="N25">
        <v>-3.1699999999999999E-2</v>
      </c>
      <c r="O25" t="s">
        <v>1119</v>
      </c>
      <c r="P25">
        <v>1.064E-2</v>
      </c>
      <c r="Q25">
        <v>3.06</v>
      </c>
      <c r="R25" t="s">
        <v>1189</v>
      </c>
      <c r="S25" t="s">
        <v>1194</v>
      </c>
      <c r="T25" t="s">
        <v>1202</v>
      </c>
      <c r="U25">
        <v>8</v>
      </c>
      <c r="V25" t="s">
        <v>1114</v>
      </c>
      <c r="W25" t="s">
        <v>1119</v>
      </c>
      <c r="X25" t="s">
        <v>1189</v>
      </c>
      <c r="Y25" t="s">
        <v>1201</v>
      </c>
      <c r="Z25">
        <v>0.82795513617694949</v>
      </c>
      <c r="AA25">
        <v>1.76</v>
      </c>
      <c r="AB25">
        <v>1.65</v>
      </c>
      <c r="AC25">
        <v>1995</v>
      </c>
      <c r="AD25" t="s">
        <v>1119</v>
      </c>
      <c r="AE25">
        <v>45.066666666666663</v>
      </c>
      <c r="AF25" t="s">
        <v>1189</v>
      </c>
      <c r="AG25">
        <v>1.3947233748927632</v>
      </c>
      <c r="AH25" t="s">
        <v>1114</v>
      </c>
      <c r="AI25" t="s">
        <v>1119</v>
      </c>
      <c r="AJ25" t="s">
        <v>1119</v>
      </c>
      <c r="AK25">
        <v>445000</v>
      </c>
      <c r="AL25" t="s">
        <v>1119</v>
      </c>
      <c r="AM25">
        <v>1</v>
      </c>
      <c r="AN25">
        <v>0.7</v>
      </c>
    </row>
    <row r="26" spans="1:40" hidden="1" x14ac:dyDescent="0.15">
      <c r="A26" s="117" t="s">
        <v>1425</v>
      </c>
      <c r="B26" t="s">
        <v>3</v>
      </c>
      <c r="C26" t="s">
        <v>20</v>
      </c>
      <c r="D26" t="s">
        <v>30</v>
      </c>
      <c r="E26" t="s">
        <v>50</v>
      </c>
      <c r="F26" t="s">
        <v>1179</v>
      </c>
      <c r="G26">
        <v>0.56000000000000005</v>
      </c>
      <c r="H26" t="s">
        <v>1114</v>
      </c>
      <c r="I26" t="s">
        <v>1119</v>
      </c>
      <c r="J26">
        <v>81.92</v>
      </c>
      <c r="K26" t="s">
        <v>1189</v>
      </c>
      <c r="L26" t="s">
        <v>1194</v>
      </c>
      <c r="M26" t="s">
        <v>1119</v>
      </c>
      <c r="N26">
        <v>-3.1699999999999999E-2</v>
      </c>
      <c r="O26" t="s">
        <v>1119</v>
      </c>
      <c r="P26">
        <v>1.064E-2</v>
      </c>
      <c r="Q26">
        <v>3.06</v>
      </c>
      <c r="R26" t="s">
        <v>1189</v>
      </c>
      <c r="S26" t="s">
        <v>1194</v>
      </c>
      <c r="T26" t="s">
        <v>1202</v>
      </c>
      <c r="U26">
        <v>8</v>
      </c>
      <c r="V26" t="s">
        <v>1114</v>
      </c>
      <c r="W26" t="s">
        <v>1119</v>
      </c>
      <c r="X26" t="s">
        <v>1189</v>
      </c>
      <c r="Y26" t="s">
        <v>1201</v>
      </c>
      <c r="Z26">
        <v>0.82795513617694949</v>
      </c>
      <c r="AA26">
        <v>1.76</v>
      </c>
      <c r="AB26">
        <v>1.65</v>
      </c>
      <c r="AC26">
        <v>1995</v>
      </c>
      <c r="AD26" t="s">
        <v>1119</v>
      </c>
      <c r="AE26">
        <v>45.066666666666663</v>
      </c>
      <c r="AF26" t="s">
        <v>1189</v>
      </c>
      <c r="AG26">
        <v>1.3947233748927632</v>
      </c>
      <c r="AH26" t="s">
        <v>1114</v>
      </c>
      <c r="AI26" t="s">
        <v>1119</v>
      </c>
      <c r="AJ26" t="s">
        <v>1119</v>
      </c>
      <c r="AK26">
        <v>445000</v>
      </c>
      <c r="AL26" t="s">
        <v>1119</v>
      </c>
      <c r="AM26">
        <v>1</v>
      </c>
      <c r="AN26">
        <v>0.7</v>
      </c>
    </row>
    <row r="27" spans="1:40" hidden="1" x14ac:dyDescent="0.15">
      <c r="A27" s="117" t="s">
        <v>1434</v>
      </c>
      <c r="B27" t="s">
        <v>1256</v>
      </c>
      <c r="C27" t="s">
        <v>1398</v>
      </c>
      <c r="D27" t="s">
        <v>1260</v>
      </c>
      <c r="E27" t="s">
        <v>1264</v>
      </c>
      <c r="F27" t="s">
        <v>1274</v>
      </c>
      <c r="G27">
        <v>0.48</v>
      </c>
      <c r="H27" t="s">
        <v>1114</v>
      </c>
      <c r="I27">
        <v>0.08</v>
      </c>
      <c r="J27">
        <v>312.2</v>
      </c>
      <c r="K27" t="s">
        <v>1192</v>
      </c>
      <c r="L27" t="s">
        <v>1195</v>
      </c>
      <c r="M27">
        <v>1.79</v>
      </c>
      <c r="N27">
        <v>-0.32</v>
      </c>
      <c r="O27">
        <v>0.75</v>
      </c>
      <c r="P27">
        <v>3.3500000000000002E-2</v>
      </c>
      <c r="Q27">
        <v>2.7719999999999998</v>
      </c>
      <c r="R27" t="s">
        <v>1189</v>
      </c>
      <c r="S27" t="s">
        <v>1195</v>
      </c>
      <c r="T27" t="s">
        <v>1202</v>
      </c>
      <c r="U27">
        <v>14</v>
      </c>
      <c r="V27" t="s">
        <v>1114</v>
      </c>
      <c r="W27">
        <v>378</v>
      </c>
      <c r="X27" t="s">
        <v>1192</v>
      </c>
      <c r="Y27" t="s">
        <v>1201</v>
      </c>
      <c r="Z27">
        <v>0.13929202357494219</v>
      </c>
      <c r="AA27">
        <v>0.15</v>
      </c>
      <c r="AB27">
        <v>22.6</v>
      </c>
      <c r="AC27">
        <v>201</v>
      </c>
      <c r="AD27" t="s">
        <v>1119</v>
      </c>
      <c r="AE27">
        <v>16</v>
      </c>
      <c r="AF27" t="s">
        <v>1189</v>
      </c>
      <c r="AG27">
        <v>1.1767678388619716</v>
      </c>
      <c r="AH27" t="s">
        <v>1114</v>
      </c>
      <c r="AI27" t="s">
        <v>1119</v>
      </c>
      <c r="AJ27" t="s">
        <v>1119</v>
      </c>
      <c r="AK27">
        <v>141308</v>
      </c>
      <c r="AL27" t="s">
        <v>1119</v>
      </c>
      <c r="AM27">
        <v>1</v>
      </c>
      <c r="AN27">
        <v>0.7</v>
      </c>
    </row>
    <row r="28" spans="1:40" hidden="1" x14ac:dyDescent="0.15">
      <c r="A28" s="117" t="s">
        <v>1441</v>
      </c>
      <c r="B28" t="s">
        <v>2</v>
      </c>
      <c r="C28" t="s">
        <v>13</v>
      </c>
      <c r="D28" t="s">
        <v>31</v>
      </c>
      <c r="E28" t="s">
        <v>51</v>
      </c>
      <c r="F28" t="s">
        <v>82</v>
      </c>
      <c r="G28">
        <v>0.53</v>
      </c>
      <c r="H28" t="s">
        <v>1114</v>
      </c>
      <c r="I28" t="s">
        <v>1119</v>
      </c>
      <c r="J28">
        <v>39.700000000000003</v>
      </c>
      <c r="K28" t="s">
        <v>1189</v>
      </c>
      <c r="L28" t="s">
        <v>1195</v>
      </c>
      <c r="M28" t="s">
        <v>1119</v>
      </c>
      <c r="N28">
        <v>-0.28000000000000003</v>
      </c>
      <c r="O28" t="s">
        <v>1119</v>
      </c>
      <c r="P28">
        <v>6.9999999999999999E-4</v>
      </c>
      <c r="Q28">
        <v>3.5750000000000002</v>
      </c>
      <c r="R28" t="s">
        <v>1189</v>
      </c>
      <c r="S28" t="s">
        <v>1194</v>
      </c>
      <c r="T28" t="s">
        <v>1202</v>
      </c>
      <c r="U28">
        <v>5.75</v>
      </c>
      <c r="V28" t="s">
        <v>1114</v>
      </c>
      <c r="W28">
        <v>38</v>
      </c>
      <c r="X28" t="s">
        <v>1189</v>
      </c>
      <c r="Y28" t="s">
        <v>1193</v>
      </c>
      <c r="Z28">
        <v>0.38121660819385916</v>
      </c>
      <c r="AA28">
        <v>0.48</v>
      </c>
      <c r="AB28">
        <v>29</v>
      </c>
      <c r="AC28">
        <v>205.34846085880417</v>
      </c>
      <c r="AD28" t="s">
        <v>1119</v>
      </c>
      <c r="AE28">
        <v>12.63</v>
      </c>
      <c r="AF28" t="s">
        <v>1189</v>
      </c>
      <c r="AG28">
        <v>0.44250015861685843</v>
      </c>
      <c r="AH28" t="s">
        <v>1114</v>
      </c>
      <c r="AI28" t="s">
        <v>1119</v>
      </c>
      <c r="AJ28" t="s">
        <v>1119</v>
      </c>
      <c r="AK28">
        <v>1622.5</v>
      </c>
      <c r="AL28" t="s">
        <v>1119</v>
      </c>
      <c r="AM28">
        <v>1</v>
      </c>
      <c r="AN28">
        <v>0.84</v>
      </c>
    </row>
    <row r="29" spans="1:40" hidden="1" x14ac:dyDescent="0.15">
      <c r="A29" s="117" t="s">
        <v>1435</v>
      </c>
      <c r="B29" t="s">
        <v>3</v>
      </c>
      <c r="C29" t="s">
        <v>11</v>
      </c>
      <c r="D29" t="s">
        <v>30</v>
      </c>
      <c r="E29" t="s">
        <v>52</v>
      </c>
      <c r="F29" t="s">
        <v>83</v>
      </c>
      <c r="G29">
        <v>0.55000000000000004</v>
      </c>
      <c r="H29" t="s">
        <v>1114</v>
      </c>
      <c r="I29" t="s">
        <v>1119</v>
      </c>
      <c r="J29">
        <v>102</v>
      </c>
      <c r="K29" t="s">
        <v>1189</v>
      </c>
      <c r="L29" t="s">
        <v>1194</v>
      </c>
      <c r="M29" t="s">
        <v>1119</v>
      </c>
      <c r="N29">
        <v>-0.02</v>
      </c>
      <c r="O29" t="s">
        <v>1119</v>
      </c>
      <c r="P29">
        <v>7.6475099999999999E-6</v>
      </c>
      <c r="Q29">
        <v>3.24281</v>
      </c>
      <c r="R29" t="s">
        <v>1189</v>
      </c>
      <c r="S29" t="s">
        <v>1201</v>
      </c>
      <c r="T29" t="s">
        <v>1203</v>
      </c>
      <c r="U29">
        <v>12</v>
      </c>
      <c r="V29" t="s">
        <v>1114</v>
      </c>
      <c r="W29" t="s">
        <v>1119</v>
      </c>
      <c r="X29" t="s">
        <v>1189</v>
      </c>
      <c r="Y29" t="s">
        <v>1201</v>
      </c>
      <c r="Z29">
        <v>0.54615520471764412</v>
      </c>
      <c r="AA29">
        <v>0.79</v>
      </c>
      <c r="AB29">
        <v>1</v>
      </c>
      <c r="AC29">
        <v>65000</v>
      </c>
      <c r="AD29" t="s">
        <v>1119</v>
      </c>
      <c r="AE29">
        <v>43</v>
      </c>
      <c r="AF29" t="s">
        <v>1189</v>
      </c>
      <c r="AG29">
        <v>0.97533703523373017</v>
      </c>
      <c r="AH29" t="s">
        <v>1114</v>
      </c>
      <c r="AI29" t="s">
        <v>1119</v>
      </c>
      <c r="AJ29" t="s">
        <v>1119</v>
      </c>
      <c r="AK29">
        <v>629000</v>
      </c>
      <c r="AL29" t="s">
        <v>1119</v>
      </c>
      <c r="AM29">
        <v>4</v>
      </c>
      <c r="AN29">
        <v>0.91</v>
      </c>
    </row>
    <row r="30" spans="1:40" hidden="1" x14ac:dyDescent="0.15">
      <c r="A30" s="117" t="s">
        <v>1436</v>
      </c>
      <c r="B30" t="s">
        <v>3</v>
      </c>
      <c r="C30" t="s">
        <v>1416</v>
      </c>
      <c r="D30" t="s">
        <v>30</v>
      </c>
      <c r="E30" t="s">
        <v>52</v>
      </c>
      <c r="F30" t="s">
        <v>83</v>
      </c>
      <c r="G30">
        <v>0.55000000000000004</v>
      </c>
      <c r="H30" t="s">
        <v>1114</v>
      </c>
      <c r="I30" t="s">
        <v>1119</v>
      </c>
      <c r="J30">
        <v>102</v>
      </c>
      <c r="K30" t="s">
        <v>1189</v>
      </c>
      <c r="L30" t="s">
        <v>1194</v>
      </c>
      <c r="M30" t="s">
        <v>1119</v>
      </c>
      <c r="N30">
        <v>-0.02</v>
      </c>
      <c r="O30" t="s">
        <v>1119</v>
      </c>
      <c r="P30">
        <v>7.6475099999999999E-6</v>
      </c>
      <c r="Q30">
        <v>3.24281</v>
      </c>
      <c r="R30" t="s">
        <v>1189</v>
      </c>
      <c r="S30" t="s">
        <v>1201</v>
      </c>
      <c r="T30" t="s">
        <v>1203</v>
      </c>
      <c r="U30">
        <v>12</v>
      </c>
      <c r="V30" t="s">
        <v>1114</v>
      </c>
      <c r="W30" t="s">
        <v>1119</v>
      </c>
      <c r="X30" t="s">
        <v>1189</v>
      </c>
      <c r="Y30" t="s">
        <v>1201</v>
      </c>
      <c r="Z30">
        <v>0.54615520471764412</v>
      </c>
      <c r="AA30">
        <v>0.79</v>
      </c>
      <c r="AB30">
        <v>1</v>
      </c>
      <c r="AC30">
        <v>65000</v>
      </c>
      <c r="AD30" t="s">
        <v>1119</v>
      </c>
      <c r="AE30">
        <v>43</v>
      </c>
      <c r="AF30" t="s">
        <v>1189</v>
      </c>
      <c r="AG30">
        <v>0.97533703523373017</v>
      </c>
      <c r="AH30" t="s">
        <v>1114</v>
      </c>
      <c r="AI30" t="s">
        <v>1119</v>
      </c>
      <c r="AJ30" t="s">
        <v>1119</v>
      </c>
      <c r="AK30">
        <v>629000</v>
      </c>
      <c r="AL30" t="s">
        <v>1119</v>
      </c>
      <c r="AM30">
        <v>4</v>
      </c>
      <c r="AN30">
        <v>0.91</v>
      </c>
    </row>
    <row r="31" spans="1:40" hidden="1" x14ac:dyDescent="0.15">
      <c r="A31" s="117" t="s">
        <v>1418</v>
      </c>
      <c r="B31" t="s">
        <v>3</v>
      </c>
      <c r="C31" t="s">
        <v>22</v>
      </c>
      <c r="D31" t="s">
        <v>30</v>
      </c>
      <c r="E31" t="s">
        <v>52</v>
      </c>
      <c r="F31" t="s">
        <v>83</v>
      </c>
      <c r="G31">
        <v>0.55000000000000004</v>
      </c>
      <c r="H31" t="s">
        <v>1114</v>
      </c>
      <c r="I31" t="s">
        <v>1119</v>
      </c>
      <c r="J31">
        <v>102</v>
      </c>
      <c r="K31" t="s">
        <v>1189</v>
      </c>
      <c r="L31" t="s">
        <v>1194</v>
      </c>
      <c r="M31" t="s">
        <v>1119</v>
      </c>
      <c r="N31">
        <v>-0.02</v>
      </c>
      <c r="O31" t="s">
        <v>1119</v>
      </c>
      <c r="P31">
        <v>7.6475099999999999E-6</v>
      </c>
      <c r="Q31">
        <v>3.24281</v>
      </c>
      <c r="R31" t="s">
        <v>1189</v>
      </c>
      <c r="S31" t="s">
        <v>1201</v>
      </c>
      <c r="T31" t="s">
        <v>1203</v>
      </c>
      <c r="U31">
        <v>12</v>
      </c>
      <c r="V31" t="s">
        <v>1114</v>
      </c>
      <c r="W31" t="s">
        <v>1119</v>
      </c>
      <c r="X31" t="s">
        <v>1189</v>
      </c>
      <c r="Y31" t="s">
        <v>1201</v>
      </c>
      <c r="Z31">
        <v>0.54615520471764412</v>
      </c>
      <c r="AA31">
        <v>0.79</v>
      </c>
      <c r="AB31">
        <v>1</v>
      </c>
      <c r="AC31">
        <v>65000</v>
      </c>
      <c r="AD31" t="s">
        <v>1119</v>
      </c>
      <c r="AE31">
        <v>43</v>
      </c>
      <c r="AF31" t="s">
        <v>1189</v>
      </c>
      <c r="AG31">
        <v>0.97533703523373017</v>
      </c>
      <c r="AH31" t="s">
        <v>1114</v>
      </c>
      <c r="AI31" t="s">
        <v>1119</v>
      </c>
      <c r="AJ31" t="s">
        <v>1119</v>
      </c>
      <c r="AK31">
        <v>629000</v>
      </c>
      <c r="AL31" t="s">
        <v>1119</v>
      </c>
      <c r="AM31">
        <v>4</v>
      </c>
      <c r="AN31">
        <v>0.91</v>
      </c>
    </row>
    <row r="32" spans="1:40" hidden="1" x14ac:dyDescent="0.15">
      <c r="A32" s="117" t="s">
        <v>1426</v>
      </c>
      <c r="B32" t="s">
        <v>2</v>
      </c>
      <c r="C32" t="s">
        <v>15</v>
      </c>
      <c r="D32" t="s">
        <v>32</v>
      </c>
      <c r="E32" t="s">
        <v>53</v>
      </c>
      <c r="F32" t="s">
        <v>482</v>
      </c>
      <c r="G32">
        <v>0.47</v>
      </c>
      <c r="H32" t="s">
        <v>1114</v>
      </c>
      <c r="I32" t="s">
        <v>1122</v>
      </c>
      <c r="J32">
        <v>40.799999999999997</v>
      </c>
      <c r="K32" t="s">
        <v>1189</v>
      </c>
      <c r="L32" t="s">
        <v>1195</v>
      </c>
      <c r="M32" t="s">
        <v>1119</v>
      </c>
      <c r="N32">
        <v>-0.32</v>
      </c>
      <c r="O32" t="s">
        <v>1119</v>
      </c>
      <c r="P32">
        <v>1.7000000000000001E-2</v>
      </c>
      <c r="Q32">
        <v>3.0422600000000002</v>
      </c>
      <c r="R32" t="s">
        <v>1189</v>
      </c>
      <c r="S32" t="s">
        <v>1201</v>
      </c>
      <c r="T32" t="s">
        <v>1202</v>
      </c>
      <c r="U32">
        <v>15</v>
      </c>
      <c r="V32" t="s">
        <v>1114</v>
      </c>
      <c r="W32">
        <v>50</v>
      </c>
      <c r="X32" t="s">
        <v>1189</v>
      </c>
      <c r="Y32" t="s">
        <v>1195</v>
      </c>
      <c r="Z32">
        <v>0.54159398869477648</v>
      </c>
      <c r="AA32">
        <v>0.78</v>
      </c>
      <c r="AB32">
        <v>28</v>
      </c>
      <c r="AC32">
        <v>234</v>
      </c>
      <c r="AD32" t="s">
        <v>1119</v>
      </c>
      <c r="AE32">
        <v>20</v>
      </c>
      <c r="AF32" t="s">
        <v>1189</v>
      </c>
      <c r="AG32">
        <v>1.1134661589422208</v>
      </c>
      <c r="AH32" t="s">
        <v>1114</v>
      </c>
      <c r="AI32" t="s">
        <v>1119</v>
      </c>
      <c r="AJ32" t="s">
        <v>1119</v>
      </c>
      <c r="AK32">
        <v>1555196.3549976789</v>
      </c>
      <c r="AL32" t="s">
        <v>1119</v>
      </c>
      <c r="AM32">
        <v>1</v>
      </c>
      <c r="AN32">
        <v>0.7</v>
      </c>
    </row>
    <row r="33" spans="1:40" hidden="1" x14ac:dyDescent="0.15">
      <c r="A33" s="117" t="s">
        <v>1412</v>
      </c>
      <c r="B33" t="s">
        <v>2</v>
      </c>
      <c r="C33" t="s">
        <v>13</v>
      </c>
      <c r="D33" t="s">
        <v>32</v>
      </c>
      <c r="E33" t="s">
        <v>53</v>
      </c>
      <c r="F33" t="s">
        <v>482</v>
      </c>
      <c r="G33">
        <v>0.47</v>
      </c>
      <c r="H33" t="s">
        <v>1114</v>
      </c>
      <c r="I33" t="s">
        <v>1122</v>
      </c>
      <c r="J33">
        <v>40.799999999999997</v>
      </c>
      <c r="K33" t="s">
        <v>1189</v>
      </c>
      <c r="L33" t="s">
        <v>1195</v>
      </c>
      <c r="M33" t="s">
        <v>1119</v>
      </c>
      <c r="N33">
        <v>-0.32</v>
      </c>
      <c r="O33" t="s">
        <v>1119</v>
      </c>
      <c r="P33">
        <v>1.7000000000000001E-2</v>
      </c>
      <c r="Q33">
        <v>3.0422600000000002</v>
      </c>
      <c r="R33" t="s">
        <v>1189</v>
      </c>
      <c r="S33" t="s">
        <v>1201</v>
      </c>
      <c r="T33" t="s">
        <v>1202</v>
      </c>
      <c r="U33">
        <v>15</v>
      </c>
      <c r="V33" t="s">
        <v>1114</v>
      </c>
      <c r="W33">
        <v>50</v>
      </c>
      <c r="X33" t="s">
        <v>1189</v>
      </c>
      <c r="Y33" t="s">
        <v>1195</v>
      </c>
      <c r="Z33">
        <v>0.54159398869477648</v>
      </c>
      <c r="AA33">
        <v>0.78</v>
      </c>
      <c r="AB33">
        <v>28</v>
      </c>
      <c r="AC33">
        <v>234</v>
      </c>
      <c r="AD33" t="s">
        <v>1119</v>
      </c>
      <c r="AE33">
        <v>20</v>
      </c>
      <c r="AF33" t="s">
        <v>1189</v>
      </c>
      <c r="AG33">
        <v>1.1134661589422208</v>
      </c>
      <c r="AH33" t="s">
        <v>1114</v>
      </c>
      <c r="AI33" t="s">
        <v>1119</v>
      </c>
      <c r="AJ33" t="s">
        <v>1119</v>
      </c>
      <c r="AK33">
        <v>1555196.3549976789</v>
      </c>
      <c r="AL33" t="s">
        <v>1119</v>
      </c>
      <c r="AM33">
        <v>1</v>
      </c>
      <c r="AN33">
        <v>0.7</v>
      </c>
    </row>
    <row r="34" spans="1:40" hidden="1" x14ac:dyDescent="0.15">
      <c r="A34" s="117" t="s">
        <v>1419</v>
      </c>
      <c r="B34" t="s">
        <v>2</v>
      </c>
      <c r="C34" t="s">
        <v>15</v>
      </c>
      <c r="D34" t="s">
        <v>32</v>
      </c>
      <c r="E34" t="s">
        <v>54</v>
      </c>
      <c r="F34" t="s">
        <v>1177</v>
      </c>
      <c r="G34">
        <v>0.38</v>
      </c>
      <c r="H34" t="s">
        <v>1114</v>
      </c>
      <c r="I34" t="s">
        <v>1119</v>
      </c>
      <c r="J34">
        <v>35.5</v>
      </c>
      <c r="K34" t="s">
        <v>1189</v>
      </c>
      <c r="L34" t="s">
        <v>1195</v>
      </c>
      <c r="M34" t="s">
        <v>1119</v>
      </c>
      <c r="N34">
        <v>-0.41</v>
      </c>
      <c r="O34" t="s">
        <v>1119</v>
      </c>
      <c r="P34">
        <v>1.7299999999999999E-2</v>
      </c>
      <c r="Q34">
        <v>3.02583</v>
      </c>
      <c r="R34" t="s">
        <v>1189</v>
      </c>
      <c r="S34" t="s">
        <v>1201</v>
      </c>
      <c r="T34" t="s">
        <v>1202</v>
      </c>
      <c r="U34">
        <v>14</v>
      </c>
      <c r="V34" t="s">
        <v>1114</v>
      </c>
      <c r="W34">
        <v>60</v>
      </c>
      <c r="X34" t="s">
        <v>1189</v>
      </c>
      <c r="Y34" t="s">
        <v>1195</v>
      </c>
      <c r="Z34">
        <v>0.54159398869477648</v>
      </c>
      <c r="AA34">
        <v>0.78</v>
      </c>
      <c r="AB34">
        <v>25</v>
      </c>
      <c r="AC34">
        <v>234</v>
      </c>
      <c r="AD34" t="s">
        <v>1119</v>
      </c>
      <c r="AE34">
        <v>23.751416307912873</v>
      </c>
      <c r="AF34" t="s">
        <v>1189</v>
      </c>
      <c r="AG34">
        <v>2.5</v>
      </c>
      <c r="AH34" t="s">
        <v>1114</v>
      </c>
      <c r="AI34">
        <v>1</v>
      </c>
      <c r="AJ34">
        <v>3</v>
      </c>
      <c r="AK34" t="s">
        <v>1119</v>
      </c>
      <c r="AL34" t="s">
        <v>1202</v>
      </c>
      <c r="AM34">
        <v>1</v>
      </c>
      <c r="AN34">
        <v>0.5</v>
      </c>
    </row>
    <row r="35" spans="1:40" hidden="1" x14ac:dyDescent="0.15">
      <c r="A35" s="117" t="s">
        <v>1427</v>
      </c>
      <c r="B35" t="s">
        <v>1256</v>
      </c>
      <c r="C35" t="s">
        <v>1392</v>
      </c>
      <c r="D35" t="s">
        <v>33</v>
      </c>
      <c r="E35" t="s">
        <v>1394</v>
      </c>
      <c r="F35" t="s">
        <v>1280</v>
      </c>
      <c r="G35">
        <v>0.15</v>
      </c>
      <c r="H35" t="s">
        <v>1114</v>
      </c>
      <c r="I35" t="s">
        <v>1119</v>
      </c>
      <c r="J35">
        <v>88</v>
      </c>
      <c r="K35" t="s">
        <v>1189</v>
      </c>
      <c r="L35" t="s">
        <v>1194</v>
      </c>
      <c r="M35" t="s">
        <v>1119</v>
      </c>
      <c r="N35">
        <v>0</v>
      </c>
      <c r="O35" t="s">
        <v>1119</v>
      </c>
      <c r="P35">
        <v>1.0099999999999999E-8</v>
      </c>
      <c r="Q35">
        <v>3.05</v>
      </c>
      <c r="R35" t="s">
        <v>1189</v>
      </c>
      <c r="S35" t="s">
        <v>1195</v>
      </c>
      <c r="T35" t="s">
        <v>1203</v>
      </c>
      <c r="U35">
        <v>29</v>
      </c>
      <c r="V35" t="s">
        <v>1114</v>
      </c>
      <c r="W35">
        <v>84.9</v>
      </c>
      <c r="X35" t="s">
        <v>1189</v>
      </c>
      <c r="Y35" t="s">
        <v>1194</v>
      </c>
      <c r="Z35">
        <v>0.14785621103378865</v>
      </c>
      <c r="AA35">
        <v>0.16</v>
      </c>
      <c r="AB35">
        <v>30</v>
      </c>
      <c r="AC35">
        <v>61</v>
      </c>
      <c r="AD35" t="s">
        <v>1119</v>
      </c>
      <c r="AE35">
        <v>37</v>
      </c>
      <c r="AF35" t="s">
        <v>1189</v>
      </c>
      <c r="AG35">
        <v>3.6367412116925388</v>
      </c>
      <c r="AH35" t="s">
        <v>1114</v>
      </c>
      <c r="AI35" t="s">
        <v>1119</v>
      </c>
      <c r="AJ35" t="s">
        <v>1119</v>
      </c>
      <c r="AK35">
        <v>876000</v>
      </c>
      <c r="AL35" t="s">
        <v>1119</v>
      </c>
      <c r="AM35">
        <v>1</v>
      </c>
      <c r="AN35">
        <v>0.75333333333333341</v>
      </c>
    </row>
    <row r="36" spans="1:40" hidden="1" x14ac:dyDescent="0.15">
      <c r="A36" s="117" t="s">
        <v>1446</v>
      </c>
      <c r="B36" t="s">
        <v>2</v>
      </c>
      <c r="C36" t="s">
        <v>15</v>
      </c>
      <c r="D36" t="s">
        <v>33</v>
      </c>
      <c r="E36" t="s">
        <v>55</v>
      </c>
      <c r="F36" t="s">
        <v>481</v>
      </c>
      <c r="G36">
        <v>0.19</v>
      </c>
      <c r="H36" t="s">
        <v>1114</v>
      </c>
      <c r="I36" t="s">
        <v>1119</v>
      </c>
      <c r="J36">
        <v>105</v>
      </c>
      <c r="K36" t="s">
        <v>1189</v>
      </c>
      <c r="L36" t="s">
        <v>1195</v>
      </c>
      <c r="M36" t="s">
        <v>1119</v>
      </c>
      <c r="N36">
        <v>-0.63</v>
      </c>
      <c r="O36" t="s">
        <v>1119</v>
      </c>
      <c r="P36">
        <v>2.8000000000000001E-2</v>
      </c>
      <c r="Q36">
        <v>2.8442600000000002</v>
      </c>
      <c r="R36" t="s">
        <v>1189</v>
      </c>
      <c r="S36" t="s">
        <v>1201</v>
      </c>
      <c r="T36" t="s">
        <v>1202</v>
      </c>
      <c r="U36">
        <v>31</v>
      </c>
      <c r="V36" t="s">
        <v>1114</v>
      </c>
      <c r="W36">
        <v>110.6</v>
      </c>
      <c r="X36" t="s">
        <v>1189</v>
      </c>
      <c r="Y36" t="s">
        <v>1194</v>
      </c>
      <c r="Z36">
        <v>0.30926566936264532</v>
      </c>
      <c r="AA36">
        <v>0.37</v>
      </c>
      <c r="AB36">
        <v>25</v>
      </c>
      <c r="AC36">
        <v>158000</v>
      </c>
      <c r="AD36" t="s">
        <v>1119</v>
      </c>
      <c r="AE36">
        <v>53.3</v>
      </c>
      <c r="AF36" t="s">
        <v>1189</v>
      </c>
      <c r="AG36">
        <v>3.0989608875954735</v>
      </c>
      <c r="AH36" t="s">
        <v>1114</v>
      </c>
      <c r="AI36" t="s">
        <v>1119</v>
      </c>
      <c r="AJ36" t="s">
        <v>1119</v>
      </c>
      <c r="AK36">
        <v>9390492.1149223279</v>
      </c>
      <c r="AL36" t="s">
        <v>1119</v>
      </c>
      <c r="AM36">
        <v>1</v>
      </c>
      <c r="AN36">
        <v>0.75333333333333341</v>
      </c>
    </row>
    <row r="37" spans="1:40" hidden="1" x14ac:dyDescent="0.15">
      <c r="A37" s="117" t="s">
        <v>1442</v>
      </c>
      <c r="B37" t="s">
        <v>3</v>
      </c>
      <c r="C37" t="s">
        <v>1416</v>
      </c>
      <c r="D37" t="s">
        <v>33</v>
      </c>
      <c r="E37" t="s">
        <v>56</v>
      </c>
      <c r="F37" t="s">
        <v>87</v>
      </c>
      <c r="G37">
        <v>0.18049999999999999</v>
      </c>
      <c r="H37" t="s">
        <v>1114</v>
      </c>
      <c r="I37" t="s">
        <v>1119</v>
      </c>
      <c r="J37">
        <v>72.38</v>
      </c>
      <c r="K37" t="s">
        <v>1189</v>
      </c>
      <c r="L37" t="s">
        <v>1194</v>
      </c>
      <c r="M37" t="s">
        <v>1119</v>
      </c>
      <c r="N37">
        <v>-1.9685000000000001</v>
      </c>
      <c r="O37" t="s">
        <v>1119</v>
      </c>
      <c r="P37">
        <v>1.6199999999999999E-2</v>
      </c>
      <c r="Q37">
        <v>3.01</v>
      </c>
      <c r="R37" t="s">
        <v>1189</v>
      </c>
      <c r="S37" t="s">
        <v>1201</v>
      </c>
      <c r="T37" t="s">
        <v>1202</v>
      </c>
      <c r="U37">
        <v>55</v>
      </c>
      <c r="V37" t="s">
        <v>1114</v>
      </c>
      <c r="W37">
        <v>90</v>
      </c>
      <c r="X37" t="s">
        <v>1189</v>
      </c>
      <c r="Y37" t="s">
        <v>1195</v>
      </c>
      <c r="Z37">
        <v>0.42879093615118513</v>
      </c>
      <c r="AA37">
        <v>0.56000000000000005</v>
      </c>
      <c r="AB37">
        <v>31.4</v>
      </c>
      <c r="AC37">
        <v>40</v>
      </c>
      <c r="AD37" t="s">
        <v>1119</v>
      </c>
      <c r="AE37">
        <v>53.323594950455579</v>
      </c>
      <c r="AF37" t="s">
        <v>1189</v>
      </c>
      <c r="AG37">
        <v>5.4250000000000007</v>
      </c>
      <c r="AH37" t="s">
        <v>1114</v>
      </c>
      <c r="AI37">
        <v>5.4000000000000003E-3</v>
      </c>
      <c r="AJ37">
        <v>5.28</v>
      </c>
      <c r="AK37" t="s">
        <v>1119</v>
      </c>
      <c r="AL37" t="s">
        <v>1189</v>
      </c>
      <c r="AM37">
        <v>1</v>
      </c>
      <c r="AN37">
        <v>0.75333333333333341</v>
      </c>
    </row>
    <row r="38" spans="1:40" hidden="1" x14ac:dyDescent="0.15">
      <c r="A38" s="117" t="s">
        <v>1431</v>
      </c>
      <c r="B38" t="s">
        <v>3</v>
      </c>
      <c r="C38" t="s">
        <v>22</v>
      </c>
      <c r="D38" t="s">
        <v>33</v>
      </c>
      <c r="E38" t="s">
        <v>56</v>
      </c>
      <c r="F38" t="s">
        <v>87</v>
      </c>
      <c r="G38">
        <v>0.18049999999999999</v>
      </c>
      <c r="H38" t="s">
        <v>1114</v>
      </c>
      <c r="I38" t="s">
        <v>1119</v>
      </c>
      <c r="J38">
        <v>72.38</v>
      </c>
      <c r="K38" t="s">
        <v>1189</v>
      </c>
      <c r="L38" t="s">
        <v>1194</v>
      </c>
      <c r="M38" t="s">
        <v>1119</v>
      </c>
      <c r="N38">
        <v>-1.9685000000000001</v>
      </c>
      <c r="O38" t="s">
        <v>1119</v>
      </c>
      <c r="P38">
        <v>1.6199999999999999E-2</v>
      </c>
      <c r="Q38">
        <v>3.01</v>
      </c>
      <c r="R38" t="s">
        <v>1189</v>
      </c>
      <c r="S38" t="s">
        <v>1201</v>
      </c>
      <c r="T38" t="s">
        <v>1202</v>
      </c>
      <c r="U38">
        <v>55</v>
      </c>
      <c r="V38" t="s">
        <v>1114</v>
      </c>
      <c r="W38">
        <v>90</v>
      </c>
      <c r="X38" t="s">
        <v>1189</v>
      </c>
      <c r="Y38" t="s">
        <v>1195</v>
      </c>
      <c r="Z38">
        <v>0.42879093615118513</v>
      </c>
      <c r="AA38">
        <v>0.56000000000000005</v>
      </c>
      <c r="AB38">
        <v>31.4</v>
      </c>
      <c r="AC38">
        <v>40</v>
      </c>
      <c r="AD38" t="s">
        <v>1119</v>
      </c>
      <c r="AE38">
        <v>53.323594950455579</v>
      </c>
      <c r="AF38" t="s">
        <v>1189</v>
      </c>
      <c r="AG38">
        <v>5.4250000000000007</v>
      </c>
      <c r="AH38" t="s">
        <v>1114</v>
      </c>
      <c r="AI38">
        <v>5.4000000000000003E-3</v>
      </c>
      <c r="AJ38">
        <v>5.28</v>
      </c>
      <c r="AK38" t="s">
        <v>1119</v>
      </c>
      <c r="AL38" t="s">
        <v>1189</v>
      </c>
      <c r="AM38">
        <v>1</v>
      </c>
      <c r="AN38">
        <v>0.75333333333333341</v>
      </c>
    </row>
    <row r="39" spans="1:40" hidden="1" x14ac:dyDescent="0.15">
      <c r="A39" s="117" t="s">
        <v>1437</v>
      </c>
      <c r="B39" t="s">
        <v>3</v>
      </c>
      <c r="C39" t="s">
        <v>11</v>
      </c>
      <c r="D39" t="s">
        <v>33</v>
      </c>
      <c r="E39" t="s">
        <v>57</v>
      </c>
      <c r="F39" t="s">
        <v>88</v>
      </c>
      <c r="G39">
        <v>0.31</v>
      </c>
      <c r="H39" t="s">
        <v>1114</v>
      </c>
      <c r="I39" t="s">
        <v>1119</v>
      </c>
      <c r="J39">
        <v>44.2</v>
      </c>
      <c r="K39" t="s">
        <v>1189</v>
      </c>
      <c r="L39" t="s">
        <v>1201</v>
      </c>
      <c r="M39" t="s">
        <v>1119</v>
      </c>
      <c r="N39">
        <v>0</v>
      </c>
      <c r="O39" t="s">
        <v>1119</v>
      </c>
      <c r="P39">
        <v>2.1000000000000001E-2</v>
      </c>
      <c r="Q39">
        <v>2.996</v>
      </c>
      <c r="R39" t="s">
        <v>1189</v>
      </c>
      <c r="S39" t="s">
        <v>1201</v>
      </c>
      <c r="T39" t="s">
        <v>1202</v>
      </c>
      <c r="U39">
        <v>21</v>
      </c>
      <c r="V39" t="s">
        <v>1114</v>
      </c>
      <c r="W39">
        <v>72</v>
      </c>
      <c r="X39" t="s">
        <v>1189</v>
      </c>
      <c r="Y39" t="s">
        <v>1195</v>
      </c>
      <c r="Z39">
        <v>0.5595683454940007</v>
      </c>
      <c r="AA39">
        <v>0.82</v>
      </c>
      <c r="AB39">
        <v>54</v>
      </c>
      <c r="AC39">
        <v>922.00094591668028</v>
      </c>
      <c r="AD39" t="s">
        <v>1119</v>
      </c>
      <c r="AE39">
        <v>14.074999999999999</v>
      </c>
      <c r="AF39" t="s">
        <v>1189</v>
      </c>
      <c r="AG39">
        <v>1.2366754750736559</v>
      </c>
      <c r="AH39" t="s">
        <v>1114</v>
      </c>
      <c r="AI39" t="s">
        <v>1119</v>
      </c>
      <c r="AJ39" t="s">
        <v>1119</v>
      </c>
      <c r="AK39">
        <v>88736</v>
      </c>
      <c r="AL39" t="s">
        <v>1119</v>
      </c>
      <c r="AM39">
        <v>1</v>
      </c>
      <c r="AN39">
        <v>0.7</v>
      </c>
    </row>
    <row r="40" spans="1:40" hidden="1" x14ac:dyDescent="0.15">
      <c r="A40" s="117" t="s">
        <v>1447</v>
      </c>
      <c r="B40" t="s">
        <v>3</v>
      </c>
      <c r="C40" t="s">
        <v>1416</v>
      </c>
      <c r="D40" t="s">
        <v>33</v>
      </c>
      <c r="E40" t="s">
        <v>57</v>
      </c>
      <c r="F40" t="s">
        <v>88</v>
      </c>
      <c r="G40">
        <v>0.31</v>
      </c>
      <c r="H40" t="s">
        <v>1114</v>
      </c>
      <c r="I40" t="s">
        <v>1119</v>
      </c>
      <c r="J40">
        <v>44.2</v>
      </c>
      <c r="K40" t="s">
        <v>1189</v>
      </c>
      <c r="L40" t="s">
        <v>1201</v>
      </c>
      <c r="M40" t="s">
        <v>1119</v>
      </c>
      <c r="N40">
        <v>0</v>
      </c>
      <c r="O40" t="s">
        <v>1119</v>
      </c>
      <c r="P40">
        <v>2.1000000000000001E-2</v>
      </c>
      <c r="Q40">
        <v>2.996</v>
      </c>
      <c r="R40" t="s">
        <v>1189</v>
      </c>
      <c r="S40" t="s">
        <v>1201</v>
      </c>
      <c r="T40" t="s">
        <v>1202</v>
      </c>
      <c r="U40">
        <v>21</v>
      </c>
      <c r="V40" t="s">
        <v>1114</v>
      </c>
      <c r="W40">
        <v>72</v>
      </c>
      <c r="X40" t="s">
        <v>1189</v>
      </c>
      <c r="Y40" t="s">
        <v>1195</v>
      </c>
      <c r="Z40">
        <v>0.5595683454940007</v>
      </c>
      <c r="AA40">
        <v>0.82</v>
      </c>
      <c r="AB40">
        <v>54</v>
      </c>
      <c r="AC40">
        <v>922.00094591668028</v>
      </c>
      <c r="AD40" t="s">
        <v>1119</v>
      </c>
      <c r="AE40">
        <v>14.074999999999999</v>
      </c>
      <c r="AF40" t="s">
        <v>1189</v>
      </c>
      <c r="AG40">
        <v>1.2366754750736559</v>
      </c>
      <c r="AH40" t="s">
        <v>1114</v>
      </c>
      <c r="AI40" t="s">
        <v>1119</v>
      </c>
      <c r="AJ40" t="s">
        <v>1119</v>
      </c>
      <c r="AK40">
        <v>88736</v>
      </c>
      <c r="AL40" t="s">
        <v>1119</v>
      </c>
      <c r="AM40">
        <v>1</v>
      </c>
      <c r="AN40">
        <v>0.7</v>
      </c>
    </row>
    <row r="41" spans="1:40" hidden="1" x14ac:dyDescent="0.15">
      <c r="A41" s="117" t="s">
        <v>1423</v>
      </c>
      <c r="B41" t="s">
        <v>3</v>
      </c>
      <c r="C41" t="s">
        <v>22</v>
      </c>
      <c r="D41" t="s">
        <v>33</v>
      </c>
      <c r="E41" t="s">
        <v>57</v>
      </c>
      <c r="F41" t="s">
        <v>88</v>
      </c>
      <c r="G41">
        <v>0.31</v>
      </c>
      <c r="H41" t="s">
        <v>1114</v>
      </c>
      <c r="I41" t="s">
        <v>1119</v>
      </c>
      <c r="J41">
        <v>44.2</v>
      </c>
      <c r="K41" t="s">
        <v>1189</v>
      </c>
      <c r="L41" t="s">
        <v>1201</v>
      </c>
      <c r="M41" t="s">
        <v>1119</v>
      </c>
      <c r="N41">
        <v>0</v>
      </c>
      <c r="O41" t="s">
        <v>1119</v>
      </c>
      <c r="P41">
        <v>2.1000000000000001E-2</v>
      </c>
      <c r="Q41">
        <v>2.996</v>
      </c>
      <c r="R41" t="s">
        <v>1189</v>
      </c>
      <c r="S41" t="s">
        <v>1201</v>
      </c>
      <c r="T41" t="s">
        <v>1202</v>
      </c>
      <c r="U41">
        <v>21</v>
      </c>
      <c r="V41" t="s">
        <v>1114</v>
      </c>
      <c r="W41">
        <v>72</v>
      </c>
      <c r="X41" t="s">
        <v>1189</v>
      </c>
      <c r="Y41" t="s">
        <v>1195</v>
      </c>
      <c r="Z41">
        <v>0.5595683454940007</v>
      </c>
      <c r="AA41">
        <v>0.82</v>
      </c>
      <c r="AB41">
        <v>54</v>
      </c>
      <c r="AC41">
        <v>922.00094591668028</v>
      </c>
      <c r="AD41" t="s">
        <v>1119</v>
      </c>
      <c r="AE41">
        <v>14.074999999999999</v>
      </c>
      <c r="AF41" t="s">
        <v>1189</v>
      </c>
      <c r="AG41">
        <v>1.2366754750736559</v>
      </c>
      <c r="AH41" t="s">
        <v>1114</v>
      </c>
      <c r="AI41" t="s">
        <v>1119</v>
      </c>
      <c r="AJ41" t="s">
        <v>1119</v>
      </c>
      <c r="AK41">
        <v>88736</v>
      </c>
      <c r="AL41" t="s">
        <v>1119</v>
      </c>
      <c r="AM41">
        <v>1</v>
      </c>
      <c r="AN41">
        <v>0.7</v>
      </c>
    </row>
    <row r="42" spans="1:40" hidden="1" x14ac:dyDescent="0.15">
      <c r="A42" s="117" t="s">
        <v>1413</v>
      </c>
      <c r="B42" t="s">
        <v>1256</v>
      </c>
      <c r="C42" t="s">
        <v>1398</v>
      </c>
      <c r="D42" t="s">
        <v>33</v>
      </c>
      <c r="E42" t="s">
        <v>1403</v>
      </c>
      <c r="F42" t="s">
        <v>1282</v>
      </c>
      <c r="G42">
        <v>0.23</v>
      </c>
      <c r="H42" t="s">
        <v>1114</v>
      </c>
      <c r="I42" t="s">
        <v>1119</v>
      </c>
      <c r="J42">
        <v>45</v>
      </c>
      <c r="K42" t="s">
        <v>1189</v>
      </c>
      <c r="L42" t="s">
        <v>1194</v>
      </c>
      <c r="M42" t="s">
        <v>1119</v>
      </c>
      <c r="N42">
        <v>0</v>
      </c>
      <c r="O42" t="s">
        <v>1119</v>
      </c>
      <c r="P42">
        <v>6.0999999999999999E-5</v>
      </c>
      <c r="Q42">
        <v>2.75</v>
      </c>
      <c r="R42" t="s">
        <v>1192</v>
      </c>
      <c r="S42" t="s">
        <v>1201</v>
      </c>
      <c r="T42" t="s">
        <v>1202</v>
      </c>
      <c r="U42">
        <v>19</v>
      </c>
      <c r="V42" t="s">
        <v>1114</v>
      </c>
      <c r="W42">
        <v>180</v>
      </c>
      <c r="X42" t="s">
        <v>1189</v>
      </c>
      <c r="Y42" t="s">
        <v>1194</v>
      </c>
      <c r="Z42">
        <v>0.20546639749666595</v>
      </c>
      <c r="AA42">
        <v>0.23</v>
      </c>
      <c r="AB42">
        <v>30</v>
      </c>
      <c r="AC42">
        <v>61</v>
      </c>
      <c r="AD42" t="s">
        <v>1119</v>
      </c>
      <c r="AE42">
        <v>20</v>
      </c>
      <c r="AF42" t="s">
        <v>1189</v>
      </c>
      <c r="AG42">
        <v>2.5555941952266044</v>
      </c>
      <c r="AH42" t="s">
        <v>1114</v>
      </c>
      <c r="AI42" t="s">
        <v>1119</v>
      </c>
      <c r="AJ42" t="s">
        <v>1119</v>
      </c>
      <c r="AK42">
        <v>230800</v>
      </c>
      <c r="AL42" t="s">
        <v>1189</v>
      </c>
      <c r="AM42">
        <v>1</v>
      </c>
      <c r="AN42">
        <v>0.75333333333333341</v>
      </c>
    </row>
    <row r="43" spans="1:40" hidden="1" x14ac:dyDescent="0.15">
      <c r="A43" s="117" t="s">
        <v>1420</v>
      </c>
      <c r="B43" t="s">
        <v>2</v>
      </c>
      <c r="C43" t="s">
        <v>18</v>
      </c>
      <c r="D43" t="s">
        <v>25</v>
      </c>
      <c r="E43" t="s">
        <v>58</v>
      </c>
      <c r="F43" t="s">
        <v>1180</v>
      </c>
      <c r="G43">
        <v>0.14000000000000001</v>
      </c>
      <c r="H43" t="s">
        <v>1114</v>
      </c>
      <c r="I43" t="s">
        <v>1119</v>
      </c>
      <c r="J43">
        <v>66.3</v>
      </c>
      <c r="K43" t="s">
        <v>1189</v>
      </c>
      <c r="L43" t="s">
        <v>1195</v>
      </c>
      <c r="M43" t="s">
        <v>1119</v>
      </c>
      <c r="N43">
        <v>-0.98</v>
      </c>
      <c r="O43" t="s">
        <v>1119</v>
      </c>
      <c r="P43">
        <v>2.2800000000000001E-2</v>
      </c>
      <c r="Q43">
        <v>2.9220000000000002</v>
      </c>
      <c r="R43" t="s">
        <v>1189</v>
      </c>
      <c r="S43" t="s">
        <v>1195</v>
      </c>
      <c r="T43" t="s">
        <v>1202</v>
      </c>
      <c r="U43">
        <v>44</v>
      </c>
      <c r="V43" t="s">
        <v>1114</v>
      </c>
      <c r="W43">
        <v>70</v>
      </c>
      <c r="X43" t="s">
        <v>1189</v>
      </c>
      <c r="Y43" t="s">
        <v>1201</v>
      </c>
      <c r="Z43">
        <v>0.34</v>
      </c>
      <c r="AA43">
        <v>0.41551544396166595</v>
      </c>
      <c r="AB43">
        <v>73.900000000000006</v>
      </c>
      <c r="AC43">
        <v>316</v>
      </c>
      <c r="AD43" t="s">
        <v>1119</v>
      </c>
      <c r="AE43">
        <v>31.95</v>
      </c>
      <c r="AF43" t="s">
        <v>1189</v>
      </c>
      <c r="AG43">
        <v>3.7170562751675607</v>
      </c>
      <c r="AH43" t="s">
        <v>1114</v>
      </c>
      <c r="AI43">
        <v>1</v>
      </c>
      <c r="AJ43">
        <v>3</v>
      </c>
      <c r="AK43" t="s">
        <v>1119</v>
      </c>
      <c r="AL43" t="s">
        <v>1202</v>
      </c>
      <c r="AM43">
        <v>1</v>
      </c>
      <c r="AN43">
        <v>0.5</v>
      </c>
    </row>
    <row r="44" spans="1:40" hidden="1" x14ac:dyDescent="0.15">
      <c r="A44" s="117" t="s">
        <v>1428</v>
      </c>
      <c r="B44" t="s">
        <v>2</v>
      </c>
      <c r="C44" t="s">
        <v>13</v>
      </c>
      <c r="D44" t="s">
        <v>34</v>
      </c>
      <c r="E44" t="s">
        <v>59</v>
      </c>
      <c r="F44" t="s">
        <v>90</v>
      </c>
      <c r="G44">
        <v>0.25</v>
      </c>
      <c r="H44" t="s">
        <v>1114</v>
      </c>
      <c r="I44">
        <v>0.05</v>
      </c>
      <c r="J44">
        <v>41.9</v>
      </c>
      <c r="K44" t="s">
        <v>1189</v>
      </c>
      <c r="L44" t="s">
        <v>1194</v>
      </c>
      <c r="M44">
        <v>3.6</v>
      </c>
      <c r="N44">
        <v>-7.3999999999999996E-2</v>
      </c>
      <c r="O44">
        <v>0.14000000000000001</v>
      </c>
      <c r="P44">
        <v>7.9000000000000001E-4</v>
      </c>
      <c r="Q44">
        <v>3.2509999999999999</v>
      </c>
      <c r="R44" t="s">
        <v>1189</v>
      </c>
      <c r="S44" t="s">
        <v>1201</v>
      </c>
      <c r="T44" t="s">
        <v>1202</v>
      </c>
      <c r="U44">
        <v>7.5</v>
      </c>
      <c r="V44" t="s">
        <v>1114</v>
      </c>
      <c r="W44">
        <v>26.5</v>
      </c>
      <c r="X44" t="s">
        <v>1189</v>
      </c>
      <c r="Y44" t="s">
        <v>1201</v>
      </c>
      <c r="Z44">
        <v>0.84276283368637239</v>
      </c>
      <c r="AA44">
        <v>1.85</v>
      </c>
      <c r="AB44">
        <v>22</v>
      </c>
      <c r="AC44">
        <v>88.029412566074129</v>
      </c>
      <c r="AD44" t="s">
        <v>1119</v>
      </c>
      <c r="AE44">
        <v>15</v>
      </c>
      <c r="AF44" t="s">
        <v>1189</v>
      </c>
      <c r="AG44">
        <v>1.6986381612811945</v>
      </c>
      <c r="AH44" t="s">
        <v>1114</v>
      </c>
      <c r="AI44">
        <v>5.0000000000000002E-5</v>
      </c>
      <c r="AJ44">
        <v>3.7469999999999999</v>
      </c>
      <c r="AK44" t="s">
        <v>1119</v>
      </c>
      <c r="AL44" t="s">
        <v>1192</v>
      </c>
      <c r="AM44">
        <v>1</v>
      </c>
      <c r="AN44">
        <v>0.84</v>
      </c>
    </row>
    <row r="45" spans="1:40" hidden="1" x14ac:dyDescent="0.15">
      <c r="A45" s="117" t="s">
        <v>1448</v>
      </c>
      <c r="B45" t="s">
        <v>2</v>
      </c>
      <c r="C45" t="s">
        <v>23</v>
      </c>
      <c r="D45" t="s">
        <v>35</v>
      </c>
      <c r="E45" t="s">
        <v>60</v>
      </c>
      <c r="F45" t="s">
        <v>91</v>
      </c>
      <c r="G45" t="s">
        <v>1119</v>
      </c>
      <c r="H45" t="s">
        <v>1119</v>
      </c>
      <c r="I45" t="s">
        <v>1119</v>
      </c>
      <c r="J45" t="s">
        <v>1119</v>
      </c>
      <c r="K45" t="s">
        <v>1119</v>
      </c>
      <c r="L45" t="s">
        <v>1119</v>
      </c>
      <c r="M45" t="s">
        <v>1119</v>
      </c>
      <c r="N45" t="s">
        <v>1119</v>
      </c>
      <c r="O45" t="s">
        <v>1119</v>
      </c>
      <c r="P45" t="s">
        <v>1119</v>
      </c>
      <c r="Q45" t="s">
        <v>1119</v>
      </c>
      <c r="R45" t="s">
        <v>1119</v>
      </c>
      <c r="S45" t="s">
        <v>1119</v>
      </c>
      <c r="T45" t="s">
        <v>1119</v>
      </c>
      <c r="U45">
        <v>15</v>
      </c>
      <c r="V45" t="s">
        <v>1115</v>
      </c>
      <c r="W45" t="s">
        <v>1119</v>
      </c>
      <c r="X45" t="s">
        <v>1119</v>
      </c>
      <c r="Y45" t="s">
        <v>1119</v>
      </c>
      <c r="Z45" t="s">
        <v>1119</v>
      </c>
      <c r="AA45" t="s">
        <v>1119</v>
      </c>
      <c r="AB45">
        <v>30</v>
      </c>
      <c r="AC45">
        <v>48.75</v>
      </c>
      <c r="AD45" t="s">
        <v>1119</v>
      </c>
      <c r="AE45" t="s">
        <v>1119</v>
      </c>
      <c r="AF45" t="s">
        <v>1119</v>
      </c>
      <c r="AG45">
        <v>1.19</v>
      </c>
      <c r="AH45" t="s">
        <v>1114</v>
      </c>
      <c r="AI45" t="s">
        <v>1119</v>
      </c>
      <c r="AJ45" t="s">
        <v>1119</v>
      </c>
      <c r="AK45">
        <v>900</v>
      </c>
      <c r="AL45" t="s">
        <v>1119</v>
      </c>
      <c r="AM45">
        <v>1</v>
      </c>
      <c r="AN45">
        <v>0.7</v>
      </c>
    </row>
    <row r="46" spans="1:40" hidden="1" x14ac:dyDescent="0.15">
      <c r="A46" s="117" t="s">
        <v>1443</v>
      </c>
      <c r="B46" t="s">
        <v>2</v>
      </c>
      <c r="C46" t="s">
        <v>15</v>
      </c>
      <c r="D46" t="s">
        <v>35</v>
      </c>
      <c r="E46" t="s">
        <v>60</v>
      </c>
      <c r="F46" t="s">
        <v>91</v>
      </c>
      <c r="G46" t="s">
        <v>1119</v>
      </c>
      <c r="H46" t="s">
        <v>1119</v>
      </c>
      <c r="I46" t="s">
        <v>1119</v>
      </c>
      <c r="J46" t="s">
        <v>1119</v>
      </c>
      <c r="K46" t="s">
        <v>1119</v>
      </c>
      <c r="L46" t="s">
        <v>1119</v>
      </c>
      <c r="M46" t="s">
        <v>1119</v>
      </c>
      <c r="N46" t="s">
        <v>1119</v>
      </c>
      <c r="O46" t="s">
        <v>1119</v>
      </c>
      <c r="P46" t="s">
        <v>1119</v>
      </c>
      <c r="Q46" t="s">
        <v>1119</v>
      </c>
      <c r="R46" t="s">
        <v>1119</v>
      </c>
      <c r="S46" t="s">
        <v>1119</v>
      </c>
      <c r="T46" t="s">
        <v>1119</v>
      </c>
      <c r="U46">
        <v>15</v>
      </c>
      <c r="V46" t="s">
        <v>1115</v>
      </c>
      <c r="W46" t="s">
        <v>1119</v>
      </c>
      <c r="X46" t="s">
        <v>1119</v>
      </c>
      <c r="Y46" t="s">
        <v>1119</v>
      </c>
      <c r="Z46" t="s">
        <v>1119</v>
      </c>
      <c r="AA46" t="s">
        <v>1119</v>
      </c>
      <c r="AB46">
        <v>30</v>
      </c>
      <c r="AC46">
        <v>48.75</v>
      </c>
      <c r="AD46" t="s">
        <v>1119</v>
      </c>
      <c r="AE46" t="s">
        <v>1119</v>
      </c>
      <c r="AF46" t="s">
        <v>1119</v>
      </c>
      <c r="AG46">
        <v>1.19</v>
      </c>
      <c r="AH46" t="s">
        <v>1114</v>
      </c>
      <c r="AI46" t="s">
        <v>1119</v>
      </c>
      <c r="AJ46" t="s">
        <v>1119</v>
      </c>
      <c r="AK46">
        <v>900</v>
      </c>
      <c r="AL46" t="s">
        <v>1119</v>
      </c>
      <c r="AM46">
        <v>1</v>
      </c>
      <c r="AN46">
        <v>0.7</v>
      </c>
    </row>
    <row r="47" spans="1:40" hidden="1" x14ac:dyDescent="0.15">
      <c r="A47" s="117" t="s">
        <v>1429</v>
      </c>
      <c r="B47" t="s">
        <v>1256</v>
      </c>
      <c r="C47" t="s">
        <v>1398</v>
      </c>
      <c r="D47" t="s">
        <v>33</v>
      </c>
      <c r="E47" t="s">
        <v>1265</v>
      </c>
      <c r="F47" t="s">
        <v>1275</v>
      </c>
      <c r="G47">
        <v>0.17</v>
      </c>
      <c r="H47" t="s">
        <v>1114</v>
      </c>
      <c r="I47" t="s">
        <v>1119</v>
      </c>
      <c r="J47">
        <v>607.70000000000005</v>
      </c>
      <c r="K47" t="s">
        <v>1192</v>
      </c>
      <c r="L47" t="s">
        <v>1195</v>
      </c>
      <c r="M47" t="s">
        <v>1119</v>
      </c>
      <c r="N47">
        <v>-1.88</v>
      </c>
      <c r="O47" t="s">
        <v>1119</v>
      </c>
      <c r="P47">
        <v>3.6399999999999997E-5</v>
      </c>
      <c r="Q47">
        <v>2.76</v>
      </c>
      <c r="R47" t="s">
        <v>1192</v>
      </c>
      <c r="S47" t="s">
        <v>1195</v>
      </c>
      <c r="T47" t="s">
        <v>1202</v>
      </c>
      <c r="U47">
        <v>13</v>
      </c>
      <c r="V47" t="s">
        <v>1114</v>
      </c>
      <c r="W47">
        <v>700</v>
      </c>
      <c r="X47" t="s">
        <v>1192</v>
      </c>
      <c r="Y47" t="s">
        <v>1195</v>
      </c>
      <c r="Z47">
        <v>0.47270757595695145</v>
      </c>
      <c r="AA47">
        <v>0.64</v>
      </c>
      <c r="AB47">
        <v>30.9</v>
      </c>
      <c r="AC47">
        <v>863</v>
      </c>
      <c r="AD47" t="s">
        <v>1119</v>
      </c>
      <c r="AE47">
        <v>28</v>
      </c>
      <c r="AF47" t="s">
        <v>1189</v>
      </c>
      <c r="AG47">
        <v>1.7528399025678856</v>
      </c>
      <c r="AH47" t="s">
        <v>1114</v>
      </c>
      <c r="AI47">
        <v>0.13703843885005895</v>
      </c>
      <c r="AJ47">
        <v>1</v>
      </c>
      <c r="AK47">
        <f>AVERAGE(14102,164756)</f>
        <v>89429</v>
      </c>
      <c r="AL47" t="s">
        <v>1119</v>
      </c>
      <c r="AM47">
        <v>26</v>
      </c>
      <c r="AN47">
        <v>0.75333333333333341</v>
      </c>
    </row>
    <row r="48" spans="1:40" hidden="1" x14ac:dyDescent="0.15">
      <c r="A48" s="117" t="s">
        <v>1424</v>
      </c>
      <c r="B48" t="s">
        <v>1256</v>
      </c>
      <c r="C48" t="s">
        <v>1392</v>
      </c>
      <c r="D48" t="s">
        <v>35</v>
      </c>
      <c r="E48" t="s">
        <v>1249</v>
      </c>
      <c r="F48" t="s">
        <v>504</v>
      </c>
      <c r="G48">
        <v>0.24</v>
      </c>
      <c r="H48" t="s">
        <v>1114</v>
      </c>
      <c r="I48" t="s">
        <v>1119</v>
      </c>
      <c r="J48">
        <v>18.3</v>
      </c>
      <c r="K48" t="s">
        <v>1189</v>
      </c>
      <c r="L48" t="s">
        <v>1196</v>
      </c>
      <c r="M48" t="s">
        <v>1119</v>
      </c>
      <c r="N48">
        <v>0.44</v>
      </c>
      <c r="O48" t="s">
        <v>1119</v>
      </c>
      <c r="P48">
        <v>4.5999999999999999E-3</v>
      </c>
      <c r="Q48">
        <v>2.63</v>
      </c>
      <c r="R48" t="s">
        <v>1192</v>
      </c>
      <c r="S48" t="s">
        <v>1196</v>
      </c>
      <c r="T48" t="s">
        <v>1202</v>
      </c>
      <c r="U48">
        <v>15</v>
      </c>
      <c r="V48" t="s">
        <v>1114</v>
      </c>
      <c r="W48">
        <v>260</v>
      </c>
      <c r="X48" t="s">
        <v>1192</v>
      </c>
      <c r="Y48" t="s">
        <v>1196</v>
      </c>
      <c r="Z48">
        <v>0.28822967723739035</v>
      </c>
      <c r="AA48">
        <v>0.34</v>
      </c>
      <c r="AB48">
        <v>180</v>
      </c>
      <c r="AC48">
        <v>1044</v>
      </c>
      <c r="AD48" t="s">
        <v>1119</v>
      </c>
      <c r="AE48">
        <v>7.5</v>
      </c>
      <c r="AF48" t="s">
        <v>1189</v>
      </c>
      <c r="AG48">
        <v>2.6373121904883385</v>
      </c>
      <c r="AH48" t="s">
        <v>1114</v>
      </c>
      <c r="AI48" t="s">
        <v>1119</v>
      </c>
      <c r="AJ48" t="s">
        <v>1119</v>
      </c>
      <c r="AK48">
        <v>8300000</v>
      </c>
      <c r="AL48" t="s">
        <v>1192</v>
      </c>
      <c r="AM48">
        <v>1</v>
      </c>
      <c r="AN48">
        <v>0.97</v>
      </c>
    </row>
    <row r="49" spans="1:40" hidden="1" x14ac:dyDescent="0.15">
      <c r="A49" s="117" t="s">
        <v>1414</v>
      </c>
      <c r="B49" t="s">
        <v>1256</v>
      </c>
      <c r="C49" t="s">
        <v>1398</v>
      </c>
      <c r="D49" t="s">
        <v>35</v>
      </c>
      <c r="E49" t="s">
        <v>1249</v>
      </c>
      <c r="F49" t="s">
        <v>504</v>
      </c>
      <c r="G49">
        <v>0.24</v>
      </c>
      <c r="H49" t="s">
        <v>1114</v>
      </c>
      <c r="I49" t="s">
        <v>1119</v>
      </c>
      <c r="J49">
        <v>18.3</v>
      </c>
      <c r="K49" t="s">
        <v>1189</v>
      </c>
      <c r="L49" t="s">
        <v>1196</v>
      </c>
      <c r="M49" t="s">
        <v>1119</v>
      </c>
      <c r="N49">
        <v>0.44</v>
      </c>
      <c r="O49" t="s">
        <v>1119</v>
      </c>
      <c r="P49">
        <v>4.5999999999999999E-3</v>
      </c>
      <c r="Q49">
        <v>2.63</v>
      </c>
      <c r="R49" t="s">
        <v>1192</v>
      </c>
      <c r="S49" t="s">
        <v>1196</v>
      </c>
      <c r="T49" t="s">
        <v>1202</v>
      </c>
      <c r="U49">
        <v>15</v>
      </c>
      <c r="V49" t="s">
        <v>1114</v>
      </c>
      <c r="W49">
        <v>260</v>
      </c>
      <c r="X49" t="s">
        <v>1192</v>
      </c>
      <c r="Y49" t="s">
        <v>1196</v>
      </c>
      <c r="Z49">
        <v>0.28822967723739035</v>
      </c>
      <c r="AA49">
        <v>0.34</v>
      </c>
      <c r="AB49">
        <v>180</v>
      </c>
      <c r="AC49">
        <v>1044</v>
      </c>
      <c r="AD49" t="s">
        <v>1119</v>
      </c>
      <c r="AE49">
        <v>7.5</v>
      </c>
      <c r="AF49" t="s">
        <v>1189</v>
      </c>
      <c r="AG49">
        <v>2.6373121904883385</v>
      </c>
      <c r="AH49" t="s">
        <v>1114</v>
      </c>
      <c r="AI49" t="s">
        <v>1119</v>
      </c>
      <c r="AJ49" t="s">
        <v>1119</v>
      </c>
      <c r="AK49">
        <v>8300000</v>
      </c>
      <c r="AL49" t="s">
        <v>1192</v>
      </c>
      <c r="AM49">
        <v>1</v>
      </c>
      <c r="AN49">
        <v>0.97</v>
      </c>
    </row>
    <row r="50" spans="1:40" hidden="1" x14ac:dyDescent="0.15">
      <c r="A50" s="117" t="s">
        <v>1432</v>
      </c>
      <c r="B50" t="s">
        <v>2</v>
      </c>
      <c r="C50" t="s">
        <v>18</v>
      </c>
      <c r="D50" t="s">
        <v>35</v>
      </c>
      <c r="E50" t="s">
        <v>40</v>
      </c>
      <c r="F50" t="s">
        <v>92</v>
      </c>
      <c r="G50">
        <v>0.27</v>
      </c>
      <c r="H50" t="s">
        <v>1114</v>
      </c>
      <c r="I50" t="s">
        <v>1119</v>
      </c>
      <c r="J50">
        <v>144.69999999999999</v>
      </c>
      <c r="K50" t="s">
        <v>1192</v>
      </c>
      <c r="L50" t="s">
        <v>1196</v>
      </c>
      <c r="M50" t="s">
        <v>1119</v>
      </c>
      <c r="N50">
        <v>-0.18</v>
      </c>
      <c r="O50" t="s">
        <v>1119</v>
      </c>
      <c r="P50">
        <v>1E-3</v>
      </c>
      <c r="Q50">
        <v>2.98</v>
      </c>
      <c r="R50" t="s">
        <v>1189</v>
      </c>
      <c r="S50" t="s">
        <v>1196</v>
      </c>
      <c r="T50" t="s">
        <v>1202</v>
      </c>
      <c r="U50">
        <v>14</v>
      </c>
      <c r="V50" t="s">
        <v>1114</v>
      </c>
      <c r="W50">
        <v>40</v>
      </c>
      <c r="X50" t="s">
        <v>1189</v>
      </c>
      <c r="Y50" t="s">
        <v>1196</v>
      </c>
      <c r="Z50">
        <v>0.26500000000000001</v>
      </c>
      <c r="AA50">
        <v>0.3078847797693004</v>
      </c>
      <c r="AB50">
        <v>180</v>
      </c>
      <c r="AC50">
        <v>250</v>
      </c>
      <c r="AD50" t="s">
        <v>1119</v>
      </c>
      <c r="AE50">
        <v>66</v>
      </c>
      <c r="AF50" t="s">
        <v>1192</v>
      </c>
      <c r="AG50">
        <v>2.0756276970891876</v>
      </c>
      <c r="AH50" t="s">
        <v>1114</v>
      </c>
      <c r="AI50" t="s">
        <v>1119</v>
      </c>
      <c r="AJ50" t="s">
        <v>1119</v>
      </c>
      <c r="AK50">
        <v>1500000</v>
      </c>
      <c r="AL50" t="s">
        <v>1119</v>
      </c>
      <c r="AM50">
        <v>1</v>
      </c>
      <c r="AN50">
        <v>0.84149999999999991</v>
      </c>
    </row>
    <row r="51" spans="1:40" x14ac:dyDescent="0.15">
      <c r="A51" s="117" t="s">
        <v>1438</v>
      </c>
      <c r="B51" t="s">
        <v>3</v>
      </c>
      <c r="C51" t="s">
        <v>20</v>
      </c>
      <c r="D51" t="s">
        <v>29</v>
      </c>
      <c r="E51" t="s">
        <v>61</v>
      </c>
      <c r="F51" t="s">
        <v>93</v>
      </c>
      <c r="G51">
        <v>0.63500000000000001</v>
      </c>
      <c r="H51" t="s">
        <v>1114</v>
      </c>
      <c r="I51" t="s">
        <v>1119</v>
      </c>
      <c r="J51">
        <v>45.48</v>
      </c>
      <c r="K51" t="s">
        <v>1189</v>
      </c>
      <c r="L51" t="s">
        <v>1194</v>
      </c>
      <c r="M51" t="s">
        <v>1119</v>
      </c>
      <c r="N51">
        <v>-0.309</v>
      </c>
      <c r="O51" t="s">
        <v>1119</v>
      </c>
      <c r="P51">
        <v>2.9138E-6</v>
      </c>
      <c r="Q51">
        <v>3.2696999999999998</v>
      </c>
      <c r="R51" t="s">
        <v>1192</v>
      </c>
      <c r="S51" t="s">
        <v>1201</v>
      </c>
      <c r="T51" t="s">
        <v>1202</v>
      </c>
      <c r="U51">
        <v>12</v>
      </c>
      <c r="V51" t="s">
        <v>1114</v>
      </c>
      <c r="W51">
        <v>80</v>
      </c>
      <c r="X51" t="s">
        <v>1189</v>
      </c>
      <c r="Y51" t="s">
        <v>1195</v>
      </c>
      <c r="Z51">
        <v>0.45</v>
      </c>
      <c r="AA51">
        <v>0.59783700075562041</v>
      </c>
      <c r="AB51">
        <v>32.200000000000003</v>
      </c>
      <c r="AC51">
        <v>89</v>
      </c>
      <c r="AD51" t="s">
        <v>1119</v>
      </c>
      <c r="AE51">
        <v>35.799999999999997</v>
      </c>
      <c r="AF51" t="s">
        <v>1189</v>
      </c>
      <c r="AG51">
        <v>2.7455523899115746</v>
      </c>
      <c r="AH51" t="s">
        <v>1114</v>
      </c>
      <c r="AI51">
        <v>1</v>
      </c>
      <c r="AJ51">
        <v>3</v>
      </c>
      <c r="AK51" t="s">
        <v>1119</v>
      </c>
      <c r="AL51" t="s">
        <v>1202</v>
      </c>
      <c r="AM51">
        <v>1</v>
      </c>
      <c r="AN51">
        <v>0.5</v>
      </c>
    </row>
    <row r="52" spans="1:40" hidden="1" x14ac:dyDescent="0.15">
      <c r="A52" s="117" t="s">
        <v>1444</v>
      </c>
      <c r="B52" t="s">
        <v>3</v>
      </c>
      <c r="C52" t="s">
        <v>11</v>
      </c>
      <c r="D52" t="s">
        <v>36</v>
      </c>
      <c r="E52" t="s">
        <v>62</v>
      </c>
      <c r="F52" t="s">
        <v>94</v>
      </c>
      <c r="G52">
        <v>8.7999999999999995E-2</v>
      </c>
      <c r="H52" t="s">
        <v>1114</v>
      </c>
      <c r="I52" t="s">
        <v>1119</v>
      </c>
      <c r="J52">
        <v>63.012999999999998</v>
      </c>
      <c r="K52" t="s">
        <v>1189</v>
      </c>
      <c r="L52" t="s">
        <v>1194</v>
      </c>
      <c r="M52" t="s">
        <v>1119</v>
      </c>
      <c r="N52">
        <v>-4.4114000000000004</v>
      </c>
      <c r="O52" t="s">
        <v>1119</v>
      </c>
      <c r="P52">
        <v>9.0000000000000002E-6</v>
      </c>
      <c r="Q52">
        <v>3.2063999999999999</v>
      </c>
      <c r="R52" t="s">
        <v>1192</v>
      </c>
      <c r="S52" t="s">
        <v>1201</v>
      </c>
      <c r="T52" t="s">
        <v>1202</v>
      </c>
      <c r="U52">
        <v>14</v>
      </c>
      <c r="V52" t="s">
        <v>1114</v>
      </c>
      <c r="W52">
        <v>120</v>
      </c>
      <c r="X52" t="s">
        <v>1189</v>
      </c>
      <c r="Y52" t="s">
        <v>1193</v>
      </c>
      <c r="Z52">
        <v>0.247</v>
      </c>
      <c r="AA52">
        <v>0.2836900511822435</v>
      </c>
      <c r="AB52">
        <v>25.2</v>
      </c>
      <c r="AC52">
        <v>171</v>
      </c>
      <c r="AD52" t="s">
        <v>1119</v>
      </c>
      <c r="AE52">
        <v>34</v>
      </c>
      <c r="AF52" t="s">
        <v>1189</v>
      </c>
      <c r="AG52">
        <v>4.4022028284986021</v>
      </c>
      <c r="AH52" t="s">
        <v>1114</v>
      </c>
      <c r="AI52" t="s">
        <v>1119</v>
      </c>
      <c r="AJ52" t="s">
        <v>1119</v>
      </c>
      <c r="AK52">
        <v>410000</v>
      </c>
      <c r="AL52" t="s">
        <v>1119</v>
      </c>
      <c r="AM52">
        <v>1</v>
      </c>
      <c r="AN52">
        <v>0.5</v>
      </c>
    </row>
    <row r="53" spans="1:40" hidden="1" x14ac:dyDescent="0.15">
      <c r="A53" s="117" t="s">
        <v>1415</v>
      </c>
      <c r="B53" t="s">
        <v>3</v>
      </c>
      <c r="C53" t="s">
        <v>1416</v>
      </c>
      <c r="D53" t="s">
        <v>36</v>
      </c>
      <c r="E53" t="s">
        <v>62</v>
      </c>
      <c r="F53" t="s">
        <v>94</v>
      </c>
      <c r="G53">
        <v>8.7999999999999995E-2</v>
      </c>
      <c r="H53" t="s">
        <v>1114</v>
      </c>
      <c r="I53" t="s">
        <v>1119</v>
      </c>
      <c r="J53">
        <v>63.012999999999998</v>
      </c>
      <c r="K53" t="s">
        <v>1189</v>
      </c>
      <c r="L53" t="s">
        <v>1194</v>
      </c>
      <c r="M53" t="s">
        <v>1119</v>
      </c>
      <c r="N53">
        <v>-4.4114000000000004</v>
      </c>
      <c r="O53" t="s">
        <v>1119</v>
      </c>
      <c r="P53">
        <v>9.0000000000000002E-6</v>
      </c>
      <c r="Q53">
        <v>3.2063999999999999</v>
      </c>
      <c r="R53" t="s">
        <v>1192</v>
      </c>
      <c r="S53" t="s">
        <v>1201</v>
      </c>
      <c r="T53" t="s">
        <v>1202</v>
      </c>
      <c r="U53">
        <v>14</v>
      </c>
      <c r="V53" t="s">
        <v>1114</v>
      </c>
      <c r="W53">
        <v>120</v>
      </c>
      <c r="X53" t="s">
        <v>1189</v>
      </c>
      <c r="Y53" t="s">
        <v>1193</v>
      </c>
      <c r="Z53">
        <v>0.247</v>
      </c>
      <c r="AA53">
        <v>0.2836900511822435</v>
      </c>
      <c r="AB53">
        <v>25.2</v>
      </c>
      <c r="AC53">
        <v>171</v>
      </c>
      <c r="AD53" t="s">
        <v>1119</v>
      </c>
      <c r="AE53">
        <v>34</v>
      </c>
      <c r="AF53" t="s">
        <v>1189</v>
      </c>
      <c r="AG53">
        <v>4.4022028284986021</v>
      </c>
      <c r="AH53" t="s">
        <v>1114</v>
      </c>
      <c r="AI53" t="s">
        <v>1119</v>
      </c>
      <c r="AJ53" t="s">
        <v>1119</v>
      </c>
      <c r="AK53">
        <v>410000</v>
      </c>
      <c r="AL53" t="s">
        <v>1119</v>
      </c>
      <c r="AM53">
        <v>1</v>
      </c>
      <c r="AN53">
        <v>0.5</v>
      </c>
    </row>
    <row r="54" spans="1:40" hidden="1" x14ac:dyDescent="0.15">
      <c r="A54" s="117" t="s">
        <v>1449</v>
      </c>
      <c r="B54" t="s">
        <v>3</v>
      </c>
      <c r="C54" t="s">
        <v>22</v>
      </c>
      <c r="D54" t="s">
        <v>36</v>
      </c>
      <c r="E54" t="s">
        <v>62</v>
      </c>
      <c r="F54" t="s">
        <v>94</v>
      </c>
      <c r="G54">
        <v>8.7999999999999995E-2</v>
      </c>
      <c r="H54" t="s">
        <v>1114</v>
      </c>
      <c r="I54" t="s">
        <v>1119</v>
      </c>
      <c r="J54">
        <v>63.012999999999998</v>
      </c>
      <c r="K54" t="s">
        <v>1189</v>
      </c>
      <c r="L54" t="s">
        <v>1194</v>
      </c>
      <c r="M54" t="s">
        <v>1119</v>
      </c>
      <c r="N54">
        <v>-4.4114000000000004</v>
      </c>
      <c r="O54" t="s">
        <v>1119</v>
      </c>
      <c r="P54">
        <v>9.0000000000000002E-6</v>
      </c>
      <c r="Q54">
        <v>3.2063999999999999</v>
      </c>
      <c r="R54" t="s">
        <v>1192</v>
      </c>
      <c r="S54" t="s">
        <v>1201</v>
      </c>
      <c r="T54" t="s">
        <v>1202</v>
      </c>
      <c r="U54">
        <v>14</v>
      </c>
      <c r="V54" t="s">
        <v>1114</v>
      </c>
      <c r="W54">
        <v>120</v>
      </c>
      <c r="X54" t="s">
        <v>1189</v>
      </c>
      <c r="Y54" t="s">
        <v>1193</v>
      </c>
      <c r="Z54">
        <v>0.247</v>
      </c>
      <c r="AA54">
        <v>0.2836900511822435</v>
      </c>
      <c r="AB54">
        <v>25.2</v>
      </c>
      <c r="AC54">
        <v>171</v>
      </c>
      <c r="AD54" t="s">
        <v>1119</v>
      </c>
      <c r="AE54">
        <v>34</v>
      </c>
      <c r="AF54" t="s">
        <v>1189</v>
      </c>
      <c r="AG54">
        <v>4.4022028284986021</v>
      </c>
      <c r="AH54" t="s">
        <v>1114</v>
      </c>
      <c r="AI54" t="s">
        <v>1119</v>
      </c>
      <c r="AJ54" t="s">
        <v>1119</v>
      </c>
      <c r="AK54">
        <v>410000</v>
      </c>
      <c r="AL54" t="s">
        <v>1119</v>
      </c>
      <c r="AM54">
        <v>1</v>
      </c>
      <c r="AN54">
        <v>0.5</v>
      </c>
    </row>
    <row r="55" spans="1:40" hidden="1" x14ac:dyDescent="0.15">
      <c r="A55" s="117" t="s">
        <v>1450</v>
      </c>
      <c r="B55" t="s">
        <v>2</v>
      </c>
      <c r="C55" t="s">
        <v>18</v>
      </c>
      <c r="D55" t="s">
        <v>36</v>
      </c>
      <c r="E55" t="s">
        <v>62</v>
      </c>
      <c r="F55" t="s">
        <v>94</v>
      </c>
      <c r="G55">
        <v>8.7999999999999995E-2</v>
      </c>
      <c r="H55" t="s">
        <v>1114</v>
      </c>
      <c r="I55" t="s">
        <v>1119</v>
      </c>
      <c r="J55">
        <v>63.012999999999998</v>
      </c>
      <c r="K55" t="s">
        <v>1189</v>
      </c>
      <c r="L55" t="s">
        <v>1194</v>
      </c>
      <c r="M55" t="s">
        <v>1119</v>
      </c>
      <c r="N55">
        <v>-4.4114000000000004</v>
      </c>
      <c r="O55" t="s">
        <v>1119</v>
      </c>
      <c r="P55">
        <v>9.0000000000000002E-6</v>
      </c>
      <c r="Q55">
        <v>3.2063999999999999</v>
      </c>
      <c r="R55" t="s">
        <v>1192</v>
      </c>
      <c r="S55" t="s">
        <v>1201</v>
      </c>
      <c r="T55" t="s">
        <v>1202</v>
      </c>
      <c r="U55">
        <v>14</v>
      </c>
      <c r="V55" t="s">
        <v>1114</v>
      </c>
      <c r="W55">
        <v>120</v>
      </c>
      <c r="X55" t="s">
        <v>1189</v>
      </c>
      <c r="Y55" t="s">
        <v>1193</v>
      </c>
      <c r="Z55">
        <v>0.247</v>
      </c>
      <c r="AA55">
        <v>0.2836900511822435</v>
      </c>
      <c r="AB55">
        <v>25.2</v>
      </c>
      <c r="AC55">
        <v>171</v>
      </c>
      <c r="AD55" t="s">
        <v>1119</v>
      </c>
      <c r="AE55">
        <v>34</v>
      </c>
      <c r="AF55" t="s">
        <v>1189</v>
      </c>
      <c r="AG55">
        <v>4.4022028284986021</v>
      </c>
      <c r="AH55" t="s">
        <v>1114</v>
      </c>
      <c r="AI55" t="s">
        <v>1119</v>
      </c>
      <c r="AJ55" t="s">
        <v>1119</v>
      </c>
      <c r="AK55">
        <v>410000</v>
      </c>
      <c r="AL55" t="s">
        <v>1119</v>
      </c>
      <c r="AM55">
        <v>1</v>
      </c>
      <c r="AN55">
        <v>0.5</v>
      </c>
    </row>
    <row r="56" spans="1:40" hidden="1" x14ac:dyDescent="0.15">
      <c r="A56" s="117" t="s">
        <v>1451</v>
      </c>
      <c r="B56" t="s">
        <v>2</v>
      </c>
      <c r="C56" t="s">
        <v>13</v>
      </c>
      <c r="D56" t="s">
        <v>35</v>
      </c>
      <c r="E56" t="s">
        <v>63</v>
      </c>
      <c r="F56" t="s">
        <v>95</v>
      </c>
      <c r="G56">
        <v>1.0549999999999999</v>
      </c>
      <c r="H56" t="s">
        <v>1114</v>
      </c>
      <c r="I56" t="s">
        <v>1119</v>
      </c>
      <c r="J56">
        <v>207.5</v>
      </c>
      <c r="K56" t="s">
        <v>1192</v>
      </c>
      <c r="L56" t="s">
        <v>1197</v>
      </c>
      <c r="M56" t="s">
        <v>1119</v>
      </c>
      <c r="N56">
        <v>-4.4249999999999998E-2</v>
      </c>
      <c r="O56" t="s">
        <v>1119</v>
      </c>
      <c r="P56">
        <v>7.6639999999999998E-6</v>
      </c>
      <c r="Q56">
        <v>3.4380000000000002</v>
      </c>
      <c r="R56" t="s">
        <v>1192</v>
      </c>
      <c r="S56" t="s">
        <v>1197</v>
      </c>
      <c r="T56" t="s">
        <v>1202</v>
      </c>
      <c r="U56">
        <v>3</v>
      </c>
      <c r="V56" t="s">
        <v>1114</v>
      </c>
      <c r="W56">
        <v>178</v>
      </c>
      <c r="X56" t="s">
        <v>1192</v>
      </c>
      <c r="Y56" t="s">
        <v>1197</v>
      </c>
      <c r="Z56">
        <v>0.82182694822710156</v>
      </c>
      <c r="AA56">
        <v>1.7250000000000001</v>
      </c>
      <c r="AB56">
        <v>35.5</v>
      </c>
      <c r="AC56">
        <v>2000</v>
      </c>
      <c r="AD56" t="s">
        <v>1119</v>
      </c>
      <c r="AE56">
        <v>101.1</v>
      </c>
      <c r="AF56" t="s">
        <v>1192</v>
      </c>
      <c r="AG56">
        <v>0.58885498840114592</v>
      </c>
      <c r="AH56" t="s">
        <v>1114</v>
      </c>
      <c r="AI56" t="s">
        <v>1119</v>
      </c>
      <c r="AJ56" t="s">
        <v>1119</v>
      </c>
      <c r="AK56">
        <v>196445</v>
      </c>
      <c r="AL56" t="s">
        <v>1119</v>
      </c>
      <c r="AM56">
        <v>1</v>
      </c>
      <c r="AN56">
        <v>0.7</v>
      </c>
    </row>
    <row r="57" spans="1:40" hidden="1" x14ac:dyDescent="0.15">
      <c r="A57" s="117" t="s">
        <v>1452</v>
      </c>
      <c r="B57" t="s">
        <v>3</v>
      </c>
      <c r="C57" t="s">
        <v>22</v>
      </c>
      <c r="D57" t="s">
        <v>30</v>
      </c>
      <c r="E57" t="s">
        <v>64</v>
      </c>
      <c r="F57" t="s">
        <v>1102</v>
      </c>
      <c r="G57">
        <v>0.72</v>
      </c>
      <c r="H57" t="s">
        <v>1114</v>
      </c>
      <c r="I57" t="s">
        <v>1119</v>
      </c>
      <c r="J57">
        <v>34.85</v>
      </c>
      <c r="K57" t="s">
        <v>1189</v>
      </c>
      <c r="L57" t="s">
        <v>1194</v>
      </c>
      <c r="M57" t="s">
        <v>1119</v>
      </c>
      <c r="N57">
        <v>0</v>
      </c>
      <c r="O57" t="s">
        <v>1119</v>
      </c>
      <c r="P57">
        <v>1.78E-2</v>
      </c>
      <c r="Q57">
        <v>2.7967499999999998</v>
      </c>
      <c r="R57" t="s">
        <v>1189</v>
      </c>
      <c r="S57" t="s">
        <v>1194</v>
      </c>
      <c r="T57" t="s">
        <v>1202</v>
      </c>
      <c r="U57">
        <v>5.97</v>
      </c>
      <c r="V57" t="s">
        <v>1114</v>
      </c>
      <c r="W57">
        <v>32</v>
      </c>
      <c r="X57" t="s">
        <v>1189</v>
      </c>
      <c r="Y57" t="s">
        <v>1194</v>
      </c>
      <c r="Z57">
        <v>0.18</v>
      </c>
      <c r="AA57">
        <v>0.19845093872383818</v>
      </c>
      <c r="AB57">
        <v>1.2</v>
      </c>
      <c r="AC57">
        <v>50000</v>
      </c>
      <c r="AD57" t="s">
        <v>1119</v>
      </c>
      <c r="AE57">
        <v>23.015095931273873</v>
      </c>
      <c r="AF57" t="s">
        <v>1189</v>
      </c>
      <c r="AG57">
        <v>1.5</v>
      </c>
      <c r="AH57" t="s">
        <v>1114</v>
      </c>
      <c r="AI57" t="s">
        <v>1119</v>
      </c>
      <c r="AJ57" t="s">
        <v>1119</v>
      </c>
      <c r="AK57">
        <v>94000</v>
      </c>
      <c r="AL57" t="s">
        <v>1119</v>
      </c>
      <c r="AM57">
        <v>1</v>
      </c>
      <c r="AN57">
        <v>0.84</v>
      </c>
    </row>
    <row r="58" spans="1:40" hidden="1" x14ac:dyDescent="0.15">
      <c r="A58" s="117" t="s">
        <v>1453</v>
      </c>
      <c r="B58" t="s">
        <v>3</v>
      </c>
      <c r="C58" t="s">
        <v>20</v>
      </c>
      <c r="D58" t="s">
        <v>28</v>
      </c>
      <c r="E58" t="s">
        <v>65</v>
      </c>
      <c r="F58" t="s">
        <v>472</v>
      </c>
      <c r="G58">
        <v>0.65</v>
      </c>
      <c r="H58" t="s">
        <v>1114</v>
      </c>
      <c r="I58" t="s">
        <v>1119</v>
      </c>
      <c r="J58">
        <v>428.7</v>
      </c>
      <c r="K58" t="s">
        <v>1192</v>
      </c>
      <c r="L58" t="s">
        <v>1194</v>
      </c>
      <c r="M58" t="s">
        <v>1119</v>
      </c>
      <c r="N58">
        <v>-7.0000000000000007E-2</v>
      </c>
      <c r="O58" t="s">
        <v>1119</v>
      </c>
      <c r="P58">
        <v>2.3300000000000001E-2</v>
      </c>
      <c r="Q58">
        <v>2.919</v>
      </c>
      <c r="R58" t="s">
        <v>1189</v>
      </c>
      <c r="S58" t="s">
        <v>1195</v>
      </c>
      <c r="T58" t="s">
        <v>1202</v>
      </c>
      <c r="U58">
        <v>13</v>
      </c>
      <c r="V58" t="s">
        <v>1114</v>
      </c>
      <c r="W58">
        <v>55.647999999999996</v>
      </c>
      <c r="X58" t="s">
        <v>1189</v>
      </c>
      <c r="Y58" t="s">
        <v>1194</v>
      </c>
      <c r="Z58">
        <v>0.56000000000000005</v>
      </c>
      <c r="AA58">
        <v>0.82098055206983034</v>
      </c>
      <c r="AB58">
        <v>29.7</v>
      </c>
      <c r="AC58">
        <v>316</v>
      </c>
      <c r="AD58" t="s">
        <v>1119</v>
      </c>
      <c r="AE58">
        <v>400</v>
      </c>
      <c r="AF58" t="s">
        <v>1192</v>
      </c>
      <c r="AG58">
        <v>4.089785001289779</v>
      </c>
      <c r="AH58" t="s">
        <v>1114</v>
      </c>
      <c r="AI58">
        <v>1</v>
      </c>
      <c r="AJ58">
        <v>3</v>
      </c>
      <c r="AK58" t="s">
        <v>1119</v>
      </c>
      <c r="AL58" t="s">
        <v>1202</v>
      </c>
      <c r="AM58">
        <v>1</v>
      </c>
      <c r="AN58">
        <v>0.7</v>
      </c>
    </row>
    <row r="59" spans="1:40" hidden="1" x14ac:dyDescent="0.15">
      <c r="A59" s="117" t="s">
        <v>1454</v>
      </c>
      <c r="B59" t="s">
        <v>3</v>
      </c>
      <c r="C59" t="s">
        <v>11</v>
      </c>
      <c r="D59" t="s">
        <v>27</v>
      </c>
      <c r="E59" t="s">
        <v>67</v>
      </c>
      <c r="F59" t="s">
        <v>98</v>
      </c>
      <c r="G59">
        <v>1.1200000000000001</v>
      </c>
      <c r="H59" t="s">
        <v>1114</v>
      </c>
      <c r="I59" t="s">
        <v>1119</v>
      </c>
      <c r="J59">
        <v>20</v>
      </c>
      <c r="K59" t="s">
        <v>1189</v>
      </c>
      <c r="L59" t="s">
        <v>1195</v>
      </c>
      <c r="M59" t="s">
        <v>1119</v>
      </c>
      <c r="N59">
        <v>-0.16</v>
      </c>
      <c r="O59" t="s">
        <v>1119</v>
      </c>
      <c r="P59">
        <v>3.1400000000000004E-2</v>
      </c>
      <c r="Q59" t="s">
        <v>234</v>
      </c>
      <c r="R59" t="s">
        <v>1189</v>
      </c>
      <c r="S59" t="s">
        <v>1193</v>
      </c>
      <c r="T59" t="s">
        <v>1202</v>
      </c>
      <c r="U59">
        <v>2.5</v>
      </c>
      <c r="V59" t="s">
        <v>1114</v>
      </c>
      <c r="W59">
        <v>22</v>
      </c>
      <c r="X59" t="s">
        <v>1189</v>
      </c>
      <c r="Y59" t="s">
        <v>1195</v>
      </c>
      <c r="Z59">
        <v>0.84276283368637239</v>
      </c>
      <c r="AA59">
        <v>1.85</v>
      </c>
      <c r="AB59">
        <v>53.8</v>
      </c>
      <c r="AC59">
        <v>56.845134701169194</v>
      </c>
      <c r="AD59" t="s">
        <v>1119</v>
      </c>
      <c r="AE59">
        <v>9.875</v>
      </c>
      <c r="AF59" t="s">
        <v>1189</v>
      </c>
      <c r="AG59">
        <v>0.44778987550123939</v>
      </c>
      <c r="AH59" t="s">
        <v>1114</v>
      </c>
      <c r="AI59">
        <v>1</v>
      </c>
      <c r="AJ59">
        <v>3</v>
      </c>
      <c r="AK59" t="s">
        <v>1119</v>
      </c>
      <c r="AL59" t="s">
        <v>1202</v>
      </c>
      <c r="AM59">
        <v>1</v>
      </c>
      <c r="AN59">
        <v>0.84</v>
      </c>
    </row>
    <row r="60" spans="1:40" hidden="1" x14ac:dyDescent="0.15">
      <c r="A60" s="117" t="s">
        <v>1455</v>
      </c>
      <c r="B60" t="s">
        <v>2</v>
      </c>
      <c r="C60" t="s">
        <v>23</v>
      </c>
      <c r="D60" t="s">
        <v>37</v>
      </c>
      <c r="E60" t="s">
        <v>68</v>
      </c>
      <c r="F60" t="s">
        <v>99</v>
      </c>
      <c r="G60">
        <v>0.75</v>
      </c>
      <c r="H60" t="s">
        <v>1114</v>
      </c>
      <c r="I60" t="s">
        <v>1119</v>
      </c>
      <c r="J60">
        <v>34.799999999999997</v>
      </c>
      <c r="K60" t="s">
        <v>1189</v>
      </c>
      <c r="L60" t="s">
        <v>1195</v>
      </c>
      <c r="M60" t="s">
        <v>1119</v>
      </c>
      <c r="N60">
        <v>-0.21</v>
      </c>
      <c r="O60" t="s">
        <v>1119</v>
      </c>
      <c r="P60">
        <v>1.3100000000000001E-2</v>
      </c>
      <c r="Q60">
        <v>3.0880000000000001</v>
      </c>
      <c r="R60" t="s">
        <v>1189</v>
      </c>
      <c r="S60" t="s">
        <v>1201</v>
      </c>
      <c r="T60" t="s">
        <v>1202</v>
      </c>
      <c r="U60">
        <v>2</v>
      </c>
      <c r="V60" t="s">
        <v>1114</v>
      </c>
      <c r="W60">
        <v>40</v>
      </c>
      <c r="X60" t="s">
        <v>1189</v>
      </c>
      <c r="Y60" t="s">
        <v>1195</v>
      </c>
      <c r="Z60">
        <v>0.77909002204062183</v>
      </c>
      <c r="AA60">
        <v>1.51</v>
      </c>
      <c r="AB60">
        <v>24.5</v>
      </c>
      <c r="AC60">
        <v>232</v>
      </c>
      <c r="AD60" t="s">
        <v>1119</v>
      </c>
      <c r="AE60">
        <v>23.6</v>
      </c>
      <c r="AF60" t="s">
        <v>1189</v>
      </c>
      <c r="AG60">
        <v>1.30160481130584</v>
      </c>
      <c r="AH60" t="s">
        <v>1114</v>
      </c>
      <c r="AI60">
        <v>5.3685400000000001E-2</v>
      </c>
      <c r="AJ60">
        <v>5.0729199999999999</v>
      </c>
      <c r="AK60" t="s">
        <v>1119</v>
      </c>
      <c r="AL60" t="s">
        <v>1189</v>
      </c>
      <c r="AM60">
        <v>1</v>
      </c>
      <c r="AN60">
        <v>0.84</v>
      </c>
    </row>
    <row r="61" spans="1:40" hidden="1" x14ac:dyDescent="0.15">
      <c r="A61" s="117" t="s">
        <v>1456</v>
      </c>
      <c r="B61" t="s">
        <v>2</v>
      </c>
      <c r="C61" t="s">
        <v>15</v>
      </c>
      <c r="D61" t="s">
        <v>37</v>
      </c>
      <c r="E61" t="s">
        <v>69</v>
      </c>
      <c r="F61" t="s">
        <v>480</v>
      </c>
      <c r="G61">
        <v>1.89</v>
      </c>
      <c r="H61" t="s">
        <v>1114</v>
      </c>
      <c r="I61" t="s">
        <v>1119</v>
      </c>
      <c r="J61">
        <v>25.2</v>
      </c>
      <c r="K61" t="s">
        <v>1189</v>
      </c>
      <c r="L61" t="s">
        <v>1195</v>
      </c>
      <c r="M61" t="s">
        <v>1119</v>
      </c>
      <c r="N61">
        <v>-0.09</v>
      </c>
      <c r="O61" t="s">
        <v>1119</v>
      </c>
      <c r="P61">
        <v>1.2E-2</v>
      </c>
      <c r="Q61">
        <v>3.0110000000000001</v>
      </c>
      <c r="R61" t="s">
        <v>1189</v>
      </c>
      <c r="S61" t="s">
        <v>1195</v>
      </c>
      <c r="T61" t="s">
        <v>1202</v>
      </c>
      <c r="U61">
        <v>7.8</v>
      </c>
      <c r="V61" t="s">
        <v>1114</v>
      </c>
      <c r="W61">
        <v>30</v>
      </c>
      <c r="X61" t="s">
        <v>1189</v>
      </c>
      <c r="Y61" t="s">
        <v>1195</v>
      </c>
      <c r="Z61">
        <v>0.72472921691024772</v>
      </c>
      <c r="AA61">
        <v>1.29</v>
      </c>
      <c r="AB61">
        <v>27.5</v>
      </c>
      <c r="AC61">
        <v>118</v>
      </c>
      <c r="AD61" t="s">
        <v>1119</v>
      </c>
      <c r="AE61">
        <v>18</v>
      </c>
      <c r="AF61" t="s">
        <v>1189</v>
      </c>
      <c r="AG61">
        <v>0.57283754946844889</v>
      </c>
      <c r="AH61" t="s">
        <v>1114</v>
      </c>
      <c r="AI61">
        <v>5.3685400000000001E-2</v>
      </c>
      <c r="AJ61">
        <v>5.0729199999999999</v>
      </c>
      <c r="AK61" t="s">
        <v>1119</v>
      </c>
      <c r="AL61" t="s">
        <v>1189</v>
      </c>
      <c r="AM61">
        <v>1</v>
      </c>
      <c r="AN61">
        <v>0.84</v>
      </c>
    </row>
    <row r="62" spans="1:40" hidden="1" x14ac:dyDescent="0.15">
      <c r="A62" s="117" t="s">
        <v>1457</v>
      </c>
      <c r="B62" t="s">
        <v>2</v>
      </c>
      <c r="C62" t="s">
        <v>13</v>
      </c>
      <c r="D62" t="s">
        <v>38</v>
      </c>
      <c r="E62" t="s">
        <v>70</v>
      </c>
      <c r="F62" t="s">
        <v>101</v>
      </c>
      <c r="G62">
        <v>0.3</v>
      </c>
      <c r="H62" t="s">
        <v>1114</v>
      </c>
      <c r="I62" t="s">
        <v>1119</v>
      </c>
      <c r="J62">
        <v>44.6</v>
      </c>
      <c r="K62" t="s">
        <v>1189</v>
      </c>
      <c r="L62" t="s">
        <v>1195</v>
      </c>
      <c r="M62" t="s">
        <v>1119</v>
      </c>
      <c r="N62">
        <v>-0.82</v>
      </c>
      <c r="O62" t="s">
        <v>1119</v>
      </c>
      <c r="P62">
        <v>4.4000000000000003E-3</v>
      </c>
      <c r="Q62">
        <v>3.0830000000000002</v>
      </c>
      <c r="R62" t="s">
        <v>1189</v>
      </c>
      <c r="S62" t="s">
        <v>1201</v>
      </c>
      <c r="T62" t="s">
        <v>1202</v>
      </c>
      <c r="U62">
        <v>5</v>
      </c>
      <c r="V62" t="s">
        <v>1114</v>
      </c>
      <c r="W62">
        <v>60</v>
      </c>
      <c r="X62" t="s">
        <v>1189</v>
      </c>
      <c r="Y62" t="s">
        <v>1195</v>
      </c>
      <c r="Z62">
        <v>0.55067103588277844</v>
      </c>
      <c r="AA62">
        <v>0.8</v>
      </c>
      <c r="AB62">
        <v>1.2</v>
      </c>
      <c r="AC62">
        <v>600.69696597657867</v>
      </c>
      <c r="AD62" t="s">
        <v>1119</v>
      </c>
      <c r="AE62">
        <v>27.108170975149676</v>
      </c>
      <c r="AF62" t="s">
        <v>1189</v>
      </c>
      <c r="AG62">
        <v>2.2999999999999998</v>
      </c>
      <c r="AH62" t="s">
        <v>1114</v>
      </c>
      <c r="AI62">
        <v>1</v>
      </c>
      <c r="AJ62">
        <v>3</v>
      </c>
      <c r="AK62" t="s">
        <v>1119</v>
      </c>
      <c r="AL62" t="s">
        <v>1202</v>
      </c>
      <c r="AM62">
        <v>1</v>
      </c>
      <c r="AN62">
        <v>0.7</v>
      </c>
    </row>
    <row r="63" spans="1:40" hidden="1" x14ac:dyDescent="0.15">
      <c r="A63" s="117" t="s">
        <v>1458</v>
      </c>
      <c r="B63" t="s">
        <v>1256</v>
      </c>
      <c r="C63" t="s">
        <v>1392</v>
      </c>
      <c r="D63" t="s">
        <v>35</v>
      </c>
      <c r="E63" t="s">
        <v>1272</v>
      </c>
      <c r="F63" t="s">
        <v>1281</v>
      </c>
      <c r="G63" t="s">
        <v>1119</v>
      </c>
      <c r="H63" t="s">
        <v>1119</v>
      </c>
      <c r="I63" t="s">
        <v>1119</v>
      </c>
      <c r="J63" t="s">
        <v>1119</v>
      </c>
      <c r="K63" t="s">
        <v>1119</v>
      </c>
      <c r="L63" t="s">
        <v>1119</v>
      </c>
      <c r="M63" t="s">
        <v>1119</v>
      </c>
      <c r="N63" t="s">
        <v>1119</v>
      </c>
      <c r="O63" t="s">
        <v>1119</v>
      </c>
      <c r="P63" t="s">
        <v>1119</v>
      </c>
      <c r="Q63" t="s">
        <v>1119</v>
      </c>
      <c r="R63" t="s">
        <v>1119</v>
      </c>
      <c r="S63" t="s">
        <v>1119</v>
      </c>
      <c r="T63" t="s">
        <v>1119</v>
      </c>
      <c r="U63">
        <v>30</v>
      </c>
      <c r="V63" t="s">
        <v>1114</v>
      </c>
      <c r="W63" t="s">
        <v>1119</v>
      </c>
      <c r="X63" t="s">
        <v>1119</v>
      </c>
      <c r="Y63" t="s">
        <v>1119</v>
      </c>
      <c r="Z63" t="s">
        <v>1119</v>
      </c>
      <c r="AA63">
        <v>0.52</v>
      </c>
      <c r="AB63">
        <v>42</v>
      </c>
      <c r="AC63">
        <v>346</v>
      </c>
      <c r="AD63" t="s">
        <v>1119</v>
      </c>
      <c r="AE63" t="s">
        <v>1119</v>
      </c>
      <c r="AF63" t="s">
        <v>1119</v>
      </c>
      <c r="AG63" t="s">
        <v>1119</v>
      </c>
      <c r="AH63" t="s">
        <v>1119</v>
      </c>
      <c r="AI63" t="s">
        <v>1119</v>
      </c>
      <c r="AJ63" t="s">
        <v>1119</v>
      </c>
      <c r="AK63" t="s">
        <v>1119</v>
      </c>
      <c r="AL63" t="s">
        <v>1119</v>
      </c>
      <c r="AM63">
        <v>3</v>
      </c>
      <c r="AN63">
        <v>0.7</v>
      </c>
    </row>
    <row r="64" spans="1:40" hidden="1" x14ac:dyDescent="0.15">
      <c r="A64" s="117" t="s">
        <v>1459</v>
      </c>
      <c r="B64" t="s">
        <v>1256</v>
      </c>
      <c r="C64" t="s">
        <v>1398</v>
      </c>
      <c r="D64" t="s">
        <v>35</v>
      </c>
      <c r="E64" t="s">
        <v>1272</v>
      </c>
      <c r="F64" t="s">
        <v>1281</v>
      </c>
      <c r="G64" t="s">
        <v>1119</v>
      </c>
      <c r="H64" t="s">
        <v>1119</v>
      </c>
      <c r="I64" t="s">
        <v>1119</v>
      </c>
      <c r="J64" t="s">
        <v>1119</v>
      </c>
      <c r="K64" t="s">
        <v>1119</v>
      </c>
      <c r="L64" t="s">
        <v>1119</v>
      </c>
      <c r="M64" t="s">
        <v>1119</v>
      </c>
      <c r="N64" t="s">
        <v>1119</v>
      </c>
      <c r="O64" t="s">
        <v>1119</v>
      </c>
      <c r="P64" t="s">
        <v>1119</v>
      </c>
      <c r="Q64" t="s">
        <v>1119</v>
      </c>
      <c r="R64" t="s">
        <v>1119</v>
      </c>
      <c r="S64" t="s">
        <v>1119</v>
      </c>
      <c r="T64" t="s">
        <v>1119</v>
      </c>
      <c r="U64">
        <v>30</v>
      </c>
      <c r="V64" t="s">
        <v>1114</v>
      </c>
      <c r="W64" t="s">
        <v>1119</v>
      </c>
      <c r="X64" t="s">
        <v>1119</v>
      </c>
      <c r="Y64" t="s">
        <v>1119</v>
      </c>
      <c r="Z64" t="s">
        <v>1119</v>
      </c>
      <c r="AA64">
        <v>0.52</v>
      </c>
      <c r="AB64">
        <v>42</v>
      </c>
      <c r="AC64">
        <v>346</v>
      </c>
      <c r="AD64" t="s">
        <v>1119</v>
      </c>
      <c r="AE64" t="s">
        <v>1119</v>
      </c>
      <c r="AF64" t="s">
        <v>1119</v>
      </c>
      <c r="AG64" t="s">
        <v>1119</v>
      </c>
      <c r="AH64" t="s">
        <v>1119</v>
      </c>
      <c r="AI64" t="s">
        <v>1119</v>
      </c>
      <c r="AJ64" t="s">
        <v>1119</v>
      </c>
      <c r="AK64" t="s">
        <v>1119</v>
      </c>
      <c r="AL64" t="s">
        <v>1119</v>
      </c>
      <c r="AM64">
        <v>3</v>
      </c>
      <c r="AN64">
        <v>0.7</v>
      </c>
    </row>
    <row r="65" spans="1:40" hidden="1" x14ac:dyDescent="0.15">
      <c r="A65" s="117" t="s">
        <v>1460</v>
      </c>
      <c r="B65" t="s">
        <v>3</v>
      </c>
      <c r="C65" t="s">
        <v>11</v>
      </c>
      <c r="D65" t="s">
        <v>30</v>
      </c>
      <c r="E65" t="s">
        <v>71</v>
      </c>
      <c r="F65" t="s">
        <v>102</v>
      </c>
      <c r="G65">
        <v>0.2011</v>
      </c>
      <c r="H65" t="s">
        <v>1114</v>
      </c>
      <c r="I65" t="s">
        <v>1119</v>
      </c>
      <c r="J65">
        <v>208.7</v>
      </c>
      <c r="K65" t="s">
        <v>1189</v>
      </c>
      <c r="L65" t="s">
        <v>1194</v>
      </c>
      <c r="M65" t="s">
        <v>1119</v>
      </c>
      <c r="N65">
        <v>-0.99060000000000004</v>
      </c>
      <c r="O65" t="s">
        <v>1119</v>
      </c>
      <c r="P65">
        <v>3.0000000000000004E-5</v>
      </c>
      <c r="Q65">
        <v>2.9278</v>
      </c>
      <c r="R65" t="s">
        <v>1189</v>
      </c>
      <c r="S65" t="s">
        <v>1201</v>
      </c>
      <c r="T65" t="s">
        <v>1203</v>
      </c>
      <c r="U65">
        <v>9</v>
      </c>
      <c r="V65" t="s">
        <v>1114</v>
      </c>
      <c r="W65" t="s">
        <v>1119</v>
      </c>
      <c r="X65" t="s">
        <v>1189</v>
      </c>
      <c r="Y65" t="s">
        <v>1201</v>
      </c>
      <c r="Z65">
        <v>0.34</v>
      </c>
      <c r="AA65">
        <v>0.41551544396166595</v>
      </c>
      <c r="AB65">
        <v>1.2</v>
      </c>
      <c r="AC65">
        <v>4399</v>
      </c>
      <c r="AD65" t="s">
        <v>1119</v>
      </c>
      <c r="AE65">
        <v>90</v>
      </c>
      <c r="AF65" t="s">
        <v>1189</v>
      </c>
      <c r="AG65">
        <v>1.8154592365367113</v>
      </c>
      <c r="AH65" t="s">
        <v>1114</v>
      </c>
      <c r="AI65" t="s">
        <v>1119</v>
      </c>
      <c r="AJ65" t="s">
        <v>1119</v>
      </c>
      <c r="AK65">
        <v>2500000</v>
      </c>
      <c r="AL65" t="s">
        <v>1119</v>
      </c>
      <c r="AM65">
        <v>2</v>
      </c>
      <c r="AN65">
        <v>0.7</v>
      </c>
    </row>
    <row r="66" spans="1:40" hidden="1" x14ac:dyDescent="0.15">
      <c r="A66" s="117" t="s">
        <v>1461</v>
      </c>
      <c r="B66" t="s">
        <v>2</v>
      </c>
      <c r="C66" t="s">
        <v>18</v>
      </c>
      <c r="D66" t="s">
        <v>39</v>
      </c>
      <c r="E66" t="s">
        <v>72</v>
      </c>
      <c r="F66" t="s">
        <v>103</v>
      </c>
      <c r="G66">
        <v>0.34</v>
      </c>
      <c r="H66" t="s">
        <v>1114</v>
      </c>
      <c r="I66" t="s">
        <v>1119</v>
      </c>
      <c r="J66">
        <v>131</v>
      </c>
      <c r="K66" t="s">
        <v>1189</v>
      </c>
      <c r="L66" t="s">
        <v>1195</v>
      </c>
      <c r="M66" t="s">
        <v>1119</v>
      </c>
      <c r="N66">
        <v>-0.32</v>
      </c>
      <c r="O66" t="s">
        <v>1119</v>
      </c>
      <c r="P66">
        <v>2.0000000000000001E-4</v>
      </c>
      <c r="Q66">
        <v>3.26</v>
      </c>
      <c r="R66" t="s">
        <v>1189</v>
      </c>
      <c r="S66" t="s">
        <v>1195</v>
      </c>
      <c r="T66" t="s">
        <v>1202</v>
      </c>
      <c r="U66">
        <v>15</v>
      </c>
      <c r="V66" t="s">
        <v>1114</v>
      </c>
      <c r="W66">
        <v>234</v>
      </c>
      <c r="X66" t="s">
        <v>1189</v>
      </c>
      <c r="Y66" t="s">
        <v>1195</v>
      </c>
      <c r="Z66">
        <v>0.48</v>
      </c>
      <c r="AA66">
        <v>0.65392646740666394</v>
      </c>
      <c r="AB66">
        <v>4.5</v>
      </c>
      <c r="AC66">
        <v>14711.510460677469</v>
      </c>
      <c r="AD66" t="s">
        <v>1119</v>
      </c>
      <c r="AE66">
        <v>60.5</v>
      </c>
      <c r="AF66" t="s">
        <v>1189</v>
      </c>
      <c r="AG66">
        <v>1.5023076864203779</v>
      </c>
      <c r="AH66" t="s">
        <v>1114</v>
      </c>
      <c r="AI66" t="s">
        <v>1119</v>
      </c>
      <c r="AJ66" t="s">
        <v>1119</v>
      </c>
      <c r="AK66">
        <v>130000</v>
      </c>
      <c r="AL66" t="s">
        <v>1119</v>
      </c>
      <c r="AM66">
        <v>1</v>
      </c>
      <c r="AN66">
        <v>0.7</v>
      </c>
    </row>
  </sheetData>
  <autoFilter ref="A1:AN66">
    <filterColumn colId="4">
      <filters>
        <filter val="Plectropomus areolatus"/>
      </filters>
    </filterColumn>
  </autoFilter>
  <sortState ref="A2:AN67">
    <sortCondition ref="E2:E67"/>
  </sortState>
  <pageMargins left="0.75" right="0.75" top="1" bottom="1" header="0.5" footer="0.5"/>
  <pageSetup orientation="portrait" horizontalDpi="4294967292" verticalDpi="4294967292"/>
  <ignoredErrors>
    <ignoredError sqref="A1:A66"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4"/>
  <sheetViews>
    <sheetView zoomScale="150" zoomScaleNormal="150" zoomScalePageLayoutView="150" workbookViewId="0">
      <selection activeCell="AL55" sqref="AL55"/>
    </sheetView>
  </sheetViews>
  <sheetFormatPr baseColWidth="10" defaultRowHeight="13" x14ac:dyDescent="0.15"/>
  <cols>
    <col min="5" max="5" width="21.83203125" bestFit="1" customWidth="1"/>
  </cols>
  <sheetData>
    <row r="1" spans="1:40" s="116" customFormat="1" x14ac:dyDescent="0.15">
      <c r="A1" s="116" t="s">
        <v>1241</v>
      </c>
      <c r="B1" s="116" t="s">
        <v>1242</v>
      </c>
      <c r="C1" s="116" t="s">
        <v>1407</v>
      </c>
      <c r="D1" s="116" t="s">
        <v>24</v>
      </c>
      <c r="E1" s="116" t="s">
        <v>42</v>
      </c>
      <c r="F1" s="116" t="s">
        <v>1240</v>
      </c>
      <c r="G1" s="116" t="s">
        <v>129</v>
      </c>
      <c r="H1" s="116" t="s">
        <v>1116</v>
      </c>
      <c r="I1" s="116" t="s">
        <v>1117</v>
      </c>
      <c r="J1" s="116" t="s">
        <v>599</v>
      </c>
      <c r="K1" s="116" t="s">
        <v>1190</v>
      </c>
      <c r="L1" s="116" t="s">
        <v>1191</v>
      </c>
      <c r="M1" s="116" t="s">
        <v>1121</v>
      </c>
      <c r="N1" s="116" t="s">
        <v>183</v>
      </c>
      <c r="O1" s="116" t="s">
        <v>1118</v>
      </c>
      <c r="P1" s="116" t="s">
        <v>1123</v>
      </c>
      <c r="Q1" s="116" t="s">
        <v>1124</v>
      </c>
      <c r="R1" s="116" t="s">
        <v>1198</v>
      </c>
      <c r="S1" s="116" t="s">
        <v>1199</v>
      </c>
      <c r="T1" s="116" t="s">
        <v>1200</v>
      </c>
      <c r="U1" s="116" t="s">
        <v>1127</v>
      </c>
      <c r="V1" s="116" t="s">
        <v>1130</v>
      </c>
      <c r="W1" s="116" t="s">
        <v>1135</v>
      </c>
      <c r="X1" s="116" t="s">
        <v>1205</v>
      </c>
      <c r="Y1" s="116" t="s">
        <v>1204</v>
      </c>
      <c r="Z1" s="116" t="s">
        <v>1136</v>
      </c>
      <c r="AA1" s="116" t="s">
        <v>1137</v>
      </c>
      <c r="AB1" s="116" t="s">
        <v>1144</v>
      </c>
      <c r="AC1" s="116" t="s">
        <v>1145</v>
      </c>
      <c r="AD1" s="116" t="s">
        <v>1146</v>
      </c>
      <c r="AE1" s="116" t="s">
        <v>1151</v>
      </c>
      <c r="AF1" s="116" t="s">
        <v>1207</v>
      </c>
      <c r="AG1" s="116" t="s">
        <v>1152</v>
      </c>
      <c r="AH1" s="116" t="s">
        <v>1206</v>
      </c>
      <c r="AI1" s="116" t="s">
        <v>1158</v>
      </c>
      <c r="AJ1" s="116" t="s">
        <v>1159</v>
      </c>
      <c r="AK1" s="116" t="s">
        <v>1230</v>
      </c>
      <c r="AL1" s="116" t="s">
        <v>1228</v>
      </c>
      <c r="AM1" s="116" t="s">
        <v>1224</v>
      </c>
      <c r="AN1" s="116" t="s">
        <v>1113</v>
      </c>
    </row>
    <row r="2" spans="1:40" x14ac:dyDescent="0.15">
      <c r="A2" s="117" t="s">
        <v>1395</v>
      </c>
      <c r="B2" t="s">
        <v>3</v>
      </c>
      <c r="C2" t="s">
        <v>11</v>
      </c>
      <c r="D2" t="s">
        <v>26</v>
      </c>
      <c r="E2" t="s">
        <v>44</v>
      </c>
      <c r="F2" t="s">
        <v>1178</v>
      </c>
      <c r="G2">
        <v>6.3E-2</v>
      </c>
      <c r="H2" t="s">
        <v>1114</v>
      </c>
      <c r="I2" t="s">
        <v>1119</v>
      </c>
      <c r="J2">
        <v>157.75</v>
      </c>
      <c r="K2" t="s">
        <v>1189</v>
      </c>
      <c r="L2" t="s">
        <v>1194</v>
      </c>
      <c r="M2" t="s">
        <v>1119</v>
      </c>
      <c r="N2">
        <v>-0.47</v>
      </c>
      <c r="O2" t="s">
        <v>1119</v>
      </c>
      <c r="P2">
        <v>1.3070000000000002E-2</v>
      </c>
      <c r="Q2">
        <v>3.05</v>
      </c>
      <c r="R2" t="s">
        <v>1189</v>
      </c>
      <c r="S2" t="s">
        <v>1194</v>
      </c>
      <c r="T2" t="s">
        <v>1202</v>
      </c>
      <c r="U2">
        <v>40</v>
      </c>
      <c r="V2" t="s">
        <v>1114</v>
      </c>
      <c r="W2">
        <v>130</v>
      </c>
      <c r="X2" t="s">
        <v>1189</v>
      </c>
      <c r="Y2" t="s">
        <v>1195</v>
      </c>
      <c r="Z2">
        <v>0.21</v>
      </c>
      <c r="AA2">
        <v>0.23572233352106983</v>
      </c>
      <c r="AB2">
        <v>31</v>
      </c>
      <c r="AC2">
        <v>3696.2971541466331</v>
      </c>
      <c r="AD2" t="s">
        <v>1119</v>
      </c>
      <c r="AE2">
        <v>53.5</v>
      </c>
      <c r="AF2" t="s">
        <v>1189</v>
      </c>
      <c r="AG2">
        <v>6.1049149324192324</v>
      </c>
      <c r="AH2" t="s">
        <v>1114</v>
      </c>
      <c r="AI2">
        <v>1</v>
      </c>
      <c r="AJ2">
        <v>3</v>
      </c>
      <c r="AK2" t="s">
        <v>1119</v>
      </c>
      <c r="AL2" t="s">
        <v>1202</v>
      </c>
      <c r="AM2">
        <v>1</v>
      </c>
      <c r="AN2">
        <v>0.5</v>
      </c>
    </row>
    <row r="3" spans="1:40" x14ac:dyDescent="0.15">
      <c r="A3" s="117" t="s">
        <v>1401</v>
      </c>
      <c r="B3" t="s">
        <v>3</v>
      </c>
      <c r="C3" t="s">
        <v>11</v>
      </c>
      <c r="D3" t="s">
        <v>27</v>
      </c>
      <c r="E3" t="s">
        <v>46</v>
      </c>
      <c r="F3" t="s">
        <v>77</v>
      </c>
      <c r="G3">
        <v>0.69</v>
      </c>
      <c r="H3" t="s">
        <v>1114</v>
      </c>
      <c r="I3" t="s">
        <v>1119</v>
      </c>
      <c r="J3">
        <v>184</v>
      </c>
      <c r="K3" t="s">
        <v>1189</v>
      </c>
      <c r="L3" t="s">
        <v>1194</v>
      </c>
      <c r="M3" t="s">
        <v>1119</v>
      </c>
      <c r="N3">
        <v>-2.4199999999999999E-2</v>
      </c>
      <c r="O3" t="s">
        <v>1119</v>
      </c>
      <c r="P3">
        <v>2.0200000000000003E-2</v>
      </c>
      <c r="Q3">
        <v>3</v>
      </c>
      <c r="R3" t="s">
        <v>1189</v>
      </c>
      <c r="S3" t="s">
        <v>1201</v>
      </c>
      <c r="T3" t="s">
        <v>1202</v>
      </c>
      <c r="U3">
        <v>26.3</v>
      </c>
      <c r="V3" t="s">
        <v>1114</v>
      </c>
      <c r="W3">
        <v>170</v>
      </c>
      <c r="X3" t="s">
        <v>1189</v>
      </c>
      <c r="Y3" t="s">
        <v>1195</v>
      </c>
      <c r="Z3">
        <v>0.2</v>
      </c>
      <c r="AA3">
        <v>0.22314355131420971</v>
      </c>
      <c r="AB3">
        <v>53.8</v>
      </c>
      <c r="AC3">
        <v>970</v>
      </c>
      <c r="AD3" t="s">
        <v>1119</v>
      </c>
      <c r="AE3">
        <v>60</v>
      </c>
      <c r="AF3" t="s">
        <v>1189</v>
      </c>
      <c r="AG3">
        <v>0.54776259710717223</v>
      </c>
      <c r="AH3" t="s">
        <v>1114</v>
      </c>
      <c r="AI3">
        <v>1</v>
      </c>
      <c r="AJ3">
        <v>3</v>
      </c>
      <c r="AK3" t="s">
        <v>1119</v>
      </c>
      <c r="AL3" t="s">
        <v>1202</v>
      </c>
      <c r="AM3">
        <v>1</v>
      </c>
      <c r="AN3">
        <v>0.5</v>
      </c>
    </row>
    <row r="4" spans="1:40" x14ac:dyDescent="0.15">
      <c r="A4" s="117" t="s">
        <v>1408</v>
      </c>
      <c r="B4" t="s">
        <v>3</v>
      </c>
      <c r="C4" t="s">
        <v>11</v>
      </c>
      <c r="D4" t="s">
        <v>26</v>
      </c>
      <c r="E4" t="s">
        <v>47</v>
      </c>
      <c r="F4" t="s">
        <v>78</v>
      </c>
      <c r="G4">
        <v>0.1</v>
      </c>
      <c r="H4" t="s">
        <v>1114</v>
      </c>
      <c r="I4" t="s">
        <v>1119</v>
      </c>
      <c r="J4">
        <v>138</v>
      </c>
      <c r="K4" t="s">
        <v>1189</v>
      </c>
      <c r="L4" t="s">
        <v>1195</v>
      </c>
      <c r="M4" t="s">
        <v>1119</v>
      </c>
      <c r="N4">
        <v>-1.1399999999999999</v>
      </c>
      <c r="O4" t="s">
        <v>1119</v>
      </c>
      <c r="P4">
        <v>2.3178000000000004E-5</v>
      </c>
      <c r="Q4">
        <v>2.9588999999999999</v>
      </c>
      <c r="R4" t="s">
        <v>1192</v>
      </c>
      <c r="S4" t="s">
        <v>1195</v>
      </c>
      <c r="T4" t="s">
        <v>1202</v>
      </c>
      <c r="U4">
        <v>27.5</v>
      </c>
      <c r="V4" t="s">
        <v>1114</v>
      </c>
      <c r="W4">
        <v>229</v>
      </c>
      <c r="X4" t="s">
        <v>1189</v>
      </c>
      <c r="Y4" t="s">
        <v>1193</v>
      </c>
      <c r="Z4">
        <v>0.14000000000000001</v>
      </c>
      <c r="AA4">
        <v>0.15082288973458366</v>
      </c>
      <c r="AB4">
        <v>34.299999999999997</v>
      </c>
      <c r="AC4">
        <v>13983.419400085788</v>
      </c>
      <c r="AD4" t="s">
        <v>1119</v>
      </c>
      <c r="AE4">
        <v>42.5</v>
      </c>
      <c r="AF4" t="s">
        <v>1189</v>
      </c>
      <c r="AG4">
        <v>2.5412743767052008</v>
      </c>
      <c r="AH4" t="s">
        <v>1114</v>
      </c>
      <c r="AI4">
        <v>1</v>
      </c>
      <c r="AJ4">
        <v>3</v>
      </c>
      <c r="AK4" t="s">
        <v>1119</v>
      </c>
      <c r="AL4" t="s">
        <v>1202</v>
      </c>
      <c r="AM4">
        <v>1</v>
      </c>
      <c r="AN4">
        <v>0.5</v>
      </c>
    </row>
    <row r="5" spans="1:40" x14ac:dyDescent="0.15">
      <c r="A5" s="117" t="s">
        <v>1409</v>
      </c>
      <c r="B5" t="s">
        <v>3</v>
      </c>
      <c r="C5" t="s">
        <v>11</v>
      </c>
      <c r="D5" t="s">
        <v>29</v>
      </c>
      <c r="E5" t="s">
        <v>49</v>
      </c>
      <c r="F5" t="s">
        <v>80</v>
      </c>
      <c r="G5">
        <v>0.1875</v>
      </c>
      <c r="H5" t="s">
        <v>1114</v>
      </c>
      <c r="I5" t="s">
        <v>1119</v>
      </c>
      <c r="J5">
        <v>55.8</v>
      </c>
      <c r="K5" t="s">
        <v>1189</v>
      </c>
      <c r="L5" t="s">
        <v>1194</v>
      </c>
      <c r="M5" t="s">
        <v>1119</v>
      </c>
      <c r="N5">
        <v>-0.245</v>
      </c>
      <c r="O5" t="s">
        <v>1119</v>
      </c>
      <c r="P5">
        <v>1.24E-2</v>
      </c>
      <c r="Q5">
        <v>3.0569999999999999</v>
      </c>
      <c r="R5" t="s">
        <v>1189</v>
      </c>
      <c r="S5" t="s">
        <v>1195</v>
      </c>
      <c r="T5" t="s">
        <v>1202</v>
      </c>
      <c r="U5">
        <v>31</v>
      </c>
      <c r="V5" t="s">
        <v>1114</v>
      </c>
      <c r="W5">
        <v>76</v>
      </c>
      <c r="X5" t="s">
        <v>1189</v>
      </c>
      <c r="Y5" t="s">
        <v>1193</v>
      </c>
      <c r="Z5">
        <v>0.1219045690794387</v>
      </c>
      <c r="AA5">
        <v>0.13</v>
      </c>
      <c r="AB5">
        <v>27.7</v>
      </c>
      <c r="AC5">
        <v>1046.9162523649693</v>
      </c>
      <c r="AD5" t="s">
        <v>1119</v>
      </c>
      <c r="AE5">
        <v>40.274999999999999</v>
      </c>
      <c r="AF5" t="s">
        <v>1189</v>
      </c>
      <c r="AG5">
        <v>6.5780519550278544</v>
      </c>
      <c r="AH5" t="s">
        <v>1114</v>
      </c>
      <c r="AI5">
        <v>1</v>
      </c>
      <c r="AJ5">
        <v>3</v>
      </c>
      <c r="AK5" t="s">
        <v>1119</v>
      </c>
      <c r="AL5" t="s">
        <v>1202</v>
      </c>
      <c r="AM5">
        <v>1</v>
      </c>
      <c r="AN5">
        <v>0.5</v>
      </c>
    </row>
    <row r="6" spans="1:40" x14ac:dyDescent="0.15">
      <c r="A6" s="117" t="s">
        <v>1410</v>
      </c>
      <c r="B6" t="s">
        <v>3</v>
      </c>
      <c r="C6" t="s">
        <v>11</v>
      </c>
      <c r="D6" t="s">
        <v>30</v>
      </c>
      <c r="E6" t="s">
        <v>50</v>
      </c>
      <c r="F6" t="s">
        <v>1179</v>
      </c>
      <c r="G6">
        <v>0.56000000000000005</v>
      </c>
      <c r="H6" t="s">
        <v>1114</v>
      </c>
      <c r="I6" t="s">
        <v>1119</v>
      </c>
      <c r="J6">
        <v>81.92</v>
      </c>
      <c r="K6" t="s">
        <v>1189</v>
      </c>
      <c r="L6" t="s">
        <v>1194</v>
      </c>
      <c r="M6" t="s">
        <v>1119</v>
      </c>
      <c r="N6">
        <v>-3.1699999999999999E-2</v>
      </c>
      <c r="O6" t="s">
        <v>1119</v>
      </c>
      <c r="P6">
        <v>1.064E-2</v>
      </c>
      <c r="Q6">
        <v>3.06</v>
      </c>
      <c r="R6" t="s">
        <v>1189</v>
      </c>
      <c r="S6" t="s">
        <v>1194</v>
      </c>
      <c r="T6" t="s">
        <v>1202</v>
      </c>
      <c r="U6">
        <v>8</v>
      </c>
      <c r="V6" t="s">
        <v>1114</v>
      </c>
      <c r="W6" t="s">
        <v>1119</v>
      </c>
      <c r="X6" t="s">
        <v>1189</v>
      </c>
      <c r="Y6" t="s">
        <v>1201</v>
      </c>
      <c r="Z6">
        <v>0.82795513617694949</v>
      </c>
      <c r="AA6">
        <v>1.76</v>
      </c>
      <c r="AB6">
        <v>1.65</v>
      </c>
      <c r="AC6">
        <v>1995</v>
      </c>
      <c r="AD6" t="s">
        <v>1119</v>
      </c>
      <c r="AE6">
        <v>45.066666666666663</v>
      </c>
      <c r="AF6" t="s">
        <v>1189</v>
      </c>
      <c r="AG6">
        <v>1.3947233748927632</v>
      </c>
      <c r="AH6" t="s">
        <v>1114</v>
      </c>
      <c r="AI6" t="s">
        <v>1119</v>
      </c>
      <c r="AJ6" t="s">
        <v>1119</v>
      </c>
      <c r="AK6">
        <v>445000</v>
      </c>
      <c r="AL6" t="s">
        <v>1119</v>
      </c>
      <c r="AM6">
        <v>1</v>
      </c>
      <c r="AN6">
        <v>0.7</v>
      </c>
    </row>
    <row r="7" spans="1:40" x14ac:dyDescent="0.15">
      <c r="A7" s="117" t="s">
        <v>1411</v>
      </c>
      <c r="B7" t="s">
        <v>3</v>
      </c>
      <c r="C7" t="s">
        <v>11</v>
      </c>
      <c r="D7" t="s">
        <v>30</v>
      </c>
      <c r="E7" t="s">
        <v>52</v>
      </c>
      <c r="F7" t="s">
        <v>83</v>
      </c>
      <c r="G7">
        <v>0.55000000000000004</v>
      </c>
      <c r="H7" t="s">
        <v>1114</v>
      </c>
      <c r="I7" t="s">
        <v>1119</v>
      </c>
      <c r="J7">
        <v>102</v>
      </c>
      <c r="K7" t="s">
        <v>1189</v>
      </c>
      <c r="L7" t="s">
        <v>1194</v>
      </c>
      <c r="M7" t="s">
        <v>1119</v>
      </c>
      <c r="N7">
        <v>-0.02</v>
      </c>
      <c r="O7" t="s">
        <v>1119</v>
      </c>
      <c r="P7">
        <v>7.6475099999999999E-6</v>
      </c>
      <c r="Q7">
        <v>3.24281</v>
      </c>
      <c r="R7" t="s">
        <v>1189</v>
      </c>
      <c r="S7" t="s">
        <v>1201</v>
      </c>
      <c r="T7" t="s">
        <v>1203</v>
      </c>
      <c r="U7">
        <v>12</v>
      </c>
      <c r="V7" t="s">
        <v>1114</v>
      </c>
      <c r="W7" t="s">
        <v>1119</v>
      </c>
      <c r="X7" t="s">
        <v>1189</v>
      </c>
      <c r="Y7" t="s">
        <v>1201</v>
      </c>
      <c r="Z7">
        <v>0.54615520471764412</v>
      </c>
      <c r="AA7">
        <v>0.79</v>
      </c>
      <c r="AB7">
        <v>1</v>
      </c>
      <c r="AC7">
        <v>65000</v>
      </c>
      <c r="AD7" t="s">
        <v>1119</v>
      </c>
      <c r="AE7">
        <v>43</v>
      </c>
      <c r="AF7" t="s">
        <v>1189</v>
      </c>
      <c r="AG7">
        <v>0.97533703523373017</v>
      </c>
      <c r="AH7" t="s">
        <v>1114</v>
      </c>
      <c r="AI7" t="s">
        <v>1119</v>
      </c>
      <c r="AJ7" t="s">
        <v>1119</v>
      </c>
      <c r="AK7">
        <v>629000</v>
      </c>
      <c r="AL7" t="s">
        <v>1119</v>
      </c>
      <c r="AM7">
        <v>4</v>
      </c>
      <c r="AN7">
        <v>0.91</v>
      </c>
    </row>
    <row r="8" spans="1:40" x14ac:dyDescent="0.15">
      <c r="A8" s="117" t="s">
        <v>1412</v>
      </c>
      <c r="B8" t="s">
        <v>3</v>
      </c>
      <c r="C8" t="s">
        <v>11</v>
      </c>
      <c r="D8" t="s">
        <v>33</v>
      </c>
      <c r="E8" t="s">
        <v>57</v>
      </c>
      <c r="F8" t="s">
        <v>88</v>
      </c>
      <c r="G8">
        <v>0.31</v>
      </c>
      <c r="H8" t="s">
        <v>1114</v>
      </c>
      <c r="I8" t="s">
        <v>1119</v>
      </c>
      <c r="J8">
        <v>44.2</v>
      </c>
      <c r="K8" t="s">
        <v>1189</v>
      </c>
      <c r="L8" t="s">
        <v>1201</v>
      </c>
      <c r="M8" t="s">
        <v>1119</v>
      </c>
      <c r="N8">
        <v>0</v>
      </c>
      <c r="O8" t="s">
        <v>1119</v>
      </c>
      <c r="P8">
        <v>2.1000000000000001E-2</v>
      </c>
      <c r="Q8">
        <v>2.996</v>
      </c>
      <c r="R8" t="s">
        <v>1189</v>
      </c>
      <c r="S8" t="s">
        <v>1201</v>
      </c>
      <c r="T8" t="s">
        <v>1202</v>
      </c>
      <c r="U8">
        <v>21</v>
      </c>
      <c r="V8" t="s">
        <v>1114</v>
      </c>
      <c r="W8">
        <v>72</v>
      </c>
      <c r="X8" t="s">
        <v>1189</v>
      </c>
      <c r="Y8" t="s">
        <v>1195</v>
      </c>
      <c r="Z8">
        <v>0.5595683454940007</v>
      </c>
      <c r="AA8">
        <v>0.82</v>
      </c>
      <c r="AB8">
        <v>54</v>
      </c>
      <c r="AC8">
        <v>922.00094591668028</v>
      </c>
      <c r="AD8" t="s">
        <v>1119</v>
      </c>
      <c r="AE8">
        <v>14.074999999999999</v>
      </c>
      <c r="AF8" t="s">
        <v>1189</v>
      </c>
      <c r="AG8">
        <v>1.2366754750736559</v>
      </c>
      <c r="AH8" t="s">
        <v>1114</v>
      </c>
      <c r="AI8" t="s">
        <v>1119</v>
      </c>
      <c r="AJ8" t="s">
        <v>1119</v>
      </c>
      <c r="AK8">
        <v>88736</v>
      </c>
      <c r="AL8" t="s">
        <v>1119</v>
      </c>
      <c r="AM8">
        <v>1</v>
      </c>
      <c r="AN8">
        <v>0.7</v>
      </c>
    </row>
    <row r="9" spans="1:40" x14ac:dyDescent="0.15">
      <c r="A9" s="117" t="s">
        <v>1413</v>
      </c>
      <c r="B9" t="s">
        <v>3</v>
      </c>
      <c r="C9" t="s">
        <v>11</v>
      </c>
      <c r="D9" t="s">
        <v>36</v>
      </c>
      <c r="E9" t="s">
        <v>62</v>
      </c>
      <c r="F9" t="s">
        <v>94</v>
      </c>
      <c r="G9">
        <v>8.7999999999999995E-2</v>
      </c>
      <c r="H9" t="s">
        <v>1114</v>
      </c>
      <c r="I9" t="s">
        <v>1119</v>
      </c>
      <c r="J9">
        <v>63.012999999999998</v>
      </c>
      <c r="K9" t="s">
        <v>1189</v>
      </c>
      <c r="L9" t="s">
        <v>1194</v>
      </c>
      <c r="M9" t="s">
        <v>1119</v>
      </c>
      <c r="N9">
        <v>-4.4114000000000004</v>
      </c>
      <c r="O9" t="s">
        <v>1119</v>
      </c>
      <c r="P9">
        <v>9.0000000000000002E-6</v>
      </c>
      <c r="Q9">
        <v>3.2063999999999999</v>
      </c>
      <c r="R9" t="s">
        <v>1192</v>
      </c>
      <c r="S9" t="s">
        <v>1201</v>
      </c>
      <c r="T9" t="s">
        <v>1202</v>
      </c>
      <c r="U9">
        <v>14</v>
      </c>
      <c r="V9" t="s">
        <v>1114</v>
      </c>
      <c r="W9">
        <v>120</v>
      </c>
      <c r="X9" t="s">
        <v>1189</v>
      </c>
      <c r="Y9" t="s">
        <v>1193</v>
      </c>
      <c r="Z9">
        <v>0.247</v>
      </c>
      <c r="AA9">
        <v>0.2836900511822435</v>
      </c>
      <c r="AB9">
        <v>25.2</v>
      </c>
      <c r="AC9">
        <v>171</v>
      </c>
      <c r="AD9" t="s">
        <v>1119</v>
      </c>
      <c r="AE9">
        <v>34</v>
      </c>
      <c r="AF9" t="s">
        <v>1189</v>
      </c>
      <c r="AG9">
        <v>4.4022028284986021</v>
      </c>
      <c r="AH9" t="s">
        <v>1114</v>
      </c>
      <c r="AI9" t="s">
        <v>1119</v>
      </c>
      <c r="AJ9" t="s">
        <v>1119</v>
      </c>
      <c r="AK9">
        <v>410000</v>
      </c>
      <c r="AL9" t="s">
        <v>1119</v>
      </c>
      <c r="AM9">
        <v>1</v>
      </c>
      <c r="AN9">
        <v>0.5</v>
      </c>
    </row>
    <row r="10" spans="1:40" x14ac:dyDescent="0.15">
      <c r="A10" s="117" t="s">
        <v>1414</v>
      </c>
      <c r="B10" t="s">
        <v>3</v>
      </c>
      <c r="C10" t="s">
        <v>11</v>
      </c>
      <c r="D10" t="s">
        <v>27</v>
      </c>
      <c r="E10" t="s">
        <v>67</v>
      </c>
      <c r="F10" t="s">
        <v>98</v>
      </c>
      <c r="G10">
        <v>1.1200000000000001</v>
      </c>
      <c r="H10" t="s">
        <v>1114</v>
      </c>
      <c r="I10" t="s">
        <v>1119</v>
      </c>
      <c r="J10">
        <v>20</v>
      </c>
      <c r="K10" t="s">
        <v>1189</v>
      </c>
      <c r="L10" t="s">
        <v>1195</v>
      </c>
      <c r="M10" t="s">
        <v>1119</v>
      </c>
      <c r="N10">
        <v>-0.16</v>
      </c>
      <c r="O10" t="s">
        <v>1119</v>
      </c>
      <c r="P10">
        <v>3.1400000000000004E-2</v>
      </c>
      <c r="Q10" t="s">
        <v>234</v>
      </c>
      <c r="R10" t="s">
        <v>1189</v>
      </c>
      <c r="S10" t="s">
        <v>1193</v>
      </c>
      <c r="T10" t="s">
        <v>1202</v>
      </c>
      <c r="U10">
        <v>2.5</v>
      </c>
      <c r="V10" t="s">
        <v>1114</v>
      </c>
      <c r="W10">
        <v>22</v>
      </c>
      <c r="X10" t="s">
        <v>1189</v>
      </c>
      <c r="Y10" t="s">
        <v>1195</v>
      </c>
      <c r="Z10">
        <v>0.84276283368637239</v>
      </c>
      <c r="AA10">
        <v>1.85</v>
      </c>
      <c r="AB10">
        <v>53.8</v>
      </c>
      <c r="AC10">
        <v>56.845134701169194</v>
      </c>
      <c r="AD10" t="s">
        <v>1119</v>
      </c>
      <c r="AE10">
        <v>9.875</v>
      </c>
      <c r="AF10" t="s">
        <v>1189</v>
      </c>
      <c r="AG10">
        <v>0.44778987550123939</v>
      </c>
      <c r="AH10" t="s">
        <v>1114</v>
      </c>
      <c r="AI10">
        <v>1</v>
      </c>
      <c r="AJ10">
        <v>3</v>
      </c>
      <c r="AK10" t="s">
        <v>1119</v>
      </c>
      <c r="AL10" t="s">
        <v>1202</v>
      </c>
      <c r="AM10">
        <v>1</v>
      </c>
      <c r="AN10">
        <v>0.84</v>
      </c>
    </row>
    <row r="11" spans="1:40" x14ac:dyDescent="0.15">
      <c r="A11" s="117" t="s">
        <v>1415</v>
      </c>
      <c r="B11" t="s">
        <v>3</v>
      </c>
      <c r="C11" t="s">
        <v>11</v>
      </c>
      <c r="D11" t="s">
        <v>30</v>
      </c>
      <c r="E11" t="s">
        <v>71</v>
      </c>
      <c r="F11" t="s">
        <v>102</v>
      </c>
      <c r="G11">
        <v>0.2011</v>
      </c>
      <c r="H11" t="s">
        <v>1114</v>
      </c>
      <c r="I11" t="s">
        <v>1119</v>
      </c>
      <c r="J11">
        <v>208.7</v>
      </c>
      <c r="K11" t="s">
        <v>1189</v>
      </c>
      <c r="L11" t="s">
        <v>1194</v>
      </c>
      <c r="M11" t="s">
        <v>1119</v>
      </c>
      <c r="N11">
        <v>-0.99060000000000004</v>
      </c>
      <c r="O11" t="s">
        <v>1119</v>
      </c>
      <c r="P11">
        <v>3.0000000000000004E-5</v>
      </c>
      <c r="Q11">
        <v>2.9278</v>
      </c>
      <c r="R11" t="s">
        <v>1189</v>
      </c>
      <c r="S11" t="s">
        <v>1201</v>
      </c>
      <c r="T11" t="s">
        <v>1203</v>
      </c>
      <c r="U11">
        <v>9</v>
      </c>
      <c r="V11" t="s">
        <v>1114</v>
      </c>
      <c r="W11" t="s">
        <v>1119</v>
      </c>
      <c r="X11" t="s">
        <v>1189</v>
      </c>
      <c r="Y11" t="s">
        <v>1201</v>
      </c>
      <c r="Z11">
        <v>0.34</v>
      </c>
      <c r="AA11">
        <v>0.41551544396166595</v>
      </c>
      <c r="AB11">
        <v>1.2</v>
      </c>
      <c r="AC11">
        <v>4399</v>
      </c>
      <c r="AD11" t="s">
        <v>1119</v>
      </c>
      <c r="AE11">
        <v>90</v>
      </c>
      <c r="AF11" t="s">
        <v>1189</v>
      </c>
      <c r="AG11">
        <v>1.8154592365367113</v>
      </c>
      <c r="AH11" t="s">
        <v>1114</v>
      </c>
      <c r="AI11" t="s">
        <v>1119</v>
      </c>
      <c r="AJ11" t="s">
        <v>1119</v>
      </c>
      <c r="AK11">
        <v>2500000</v>
      </c>
      <c r="AL11" t="s">
        <v>1119</v>
      </c>
      <c r="AM11">
        <v>2</v>
      </c>
      <c r="AN11">
        <v>0.7</v>
      </c>
    </row>
    <row r="12" spans="1:40" x14ac:dyDescent="0.15">
      <c r="A12" s="117" t="s">
        <v>1404</v>
      </c>
      <c r="B12" t="s">
        <v>3</v>
      </c>
      <c r="C12" t="s">
        <v>1416</v>
      </c>
      <c r="D12" t="s">
        <v>27</v>
      </c>
      <c r="E12" t="s">
        <v>46</v>
      </c>
      <c r="F12" t="s">
        <v>77</v>
      </c>
      <c r="G12">
        <v>0.69</v>
      </c>
      <c r="H12" t="s">
        <v>1114</v>
      </c>
      <c r="I12" t="s">
        <v>1119</v>
      </c>
      <c r="J12">
        <v>184</v>
      </c>
      <c r="K12" t="s">
        <v>1189</v>
      </c>
      <c r="L12" t="s">
        <v>1194</v>
      </c>
      <c r="M12" t="s">
        <v>1119</v>
      </c>
      <c r="N12">
        <v>-2.4199999999999999E-2</v>
      </c>
      <c r="O12" t="s">
        <v>1119</v>
      </c>
      <c r="P12">
        <v>2.0200000000000003E-2</v>
      </c>
      <c r="Q12">
        <v>3</v>
      </c>
      <c r="R12" t="s">
        <v>1189</v>
      </c>
      <c r="S12" t="s">
        <v>1201</v>
      </c>
      <c r="T12" t="s">
        <v>1202</v>
      </c>
      <c r="U12">
        <v>26.3</v>
      </c>
      <c r="V12" t="s">
        <v>1114</v>
      </c>
      <c r="W12">
        <v>170</v>
      </c>
      <c r="X12" t="s">
        <v>1189</v>
      </c>
      <c r="Y12" t="s">
        <v>1195</v>
      </c>
      <c r="Z12">
        <v>0.2</v>
      </c>
      <c r="AA12">
        <v>0.22314355131420971</v>
      </c>
      <c r="AB12">
        <v>53.8</v>
      </c>
      <c r="AC12">
        <v>970</v>
      </c>
      <c r="AD12" t="s">
        <v>1119</v>
      </c>
      <c r="AE12">
        <v>60</v>
      </c>
      <c r="AF12" t="s">
        <v>1189</v>
      </c>
      <c r="AG12">
        <v>0.54776259710717223</v>
      </c>
      <c r="AH12" t="s">
        <v>1114</v>
      </c>
      <c r="AI12">
        <v>1</v>
      </c>
      <c r="AJ12">
        <v>3</v>
      </c>
      <c r="AK12" t="s">
        <v>1119</v>
      </c>
      <c r="AL12" t="s">
        <v>1202</v>
      </c>
      <c r="AM12">
        <v>1</v>
      </c>
      <c r="AN12">
        <v>0.5</v>
      </c>
    </row>
    <row r="13" spans="1:40" x14ac:dyDescent="0.15">
      <c r="A13" s="117" t="s">
        <v>1417</v>
      </c>
      <c r="B13" t="s">
        <v>3</v>
      </c>
      <c r="C13" t="s">
        <v>1416</v>
      </c>
      <c r="D13" t="s">
        <v>30</v>
      </c>
      <c r="E13" t="s">
        <v>52</v>
      </c>
      <c r="F13" t="s">
        <v>83</v>
      </c>
      <c r="G13">
        <v>0.55000000000000004</v>
      </c>
      <c r="H13" t="s">
        <v>1114</v>
      </c>
      <c r="I13" t="s">
        <v>1119</v>
      </c>
      <c r="J13">
        <v>102</v>
      </c>
      <c r="K13" t="s">
        <v>1189</v>
      </c>
      <c r="L13" t="s">
        <v>1194</v>
      </c>
      <c r="M13" t="s">
        <v>1119</v>
      </c>
      <c r="N13">
        <v>-0.02</v>
      </c>
      <c r="O13" t="s">
        <v>1119</v>
      </c>
      <c r="P13">
        <v>7.6475099999999999E-6</v>
      </c>
      <c r="Q13">
        <v>3.24281</v>
      </c>
      <c r="R13" t="s">
        <v>1189</v>
      </c>
      <c r="S13" t="s">
        <v>1201</v>
      </c>
      <c r="T13" t="s">
        <v>1203</v>
      </c>
      <c r="U13">
        <v>12</v>
      </c>
      <c r="V13" t="s">
        <v>1114</v>
      </c>
      <c r="W13" t="s">
        <v>1119</v>
      </c>
      <c r="X13" t="s">
        <v>1189</v>
      </c>
      <c r="Y13" t="s">
        <v>1201</v>
      </c>
      <c r="Z13">
        <v>0.54615520471764412</v>
      </c>
      <c r="AA13">
        <v>0.79</v>
      </c>
      <c r="AB13">
        <v>1</v>
      </c>
      <c r="AC13">
        <v>65000</v>
      </c>
      <c r="AD13" t="s">
        <v>1119</v>
      </c>
      <c r="AE13">
        <v>43</v>
      </c>
      <c r="AF13" t="s">
        <v>1189</v>
      </c>
      <c r="AG13">
        <v>0.97533703523373017</v>
      </c>
      <c r="AH13" t="s">
        <v>1114</v>
      </c>
      <c r="AI13" t="s">
        <v>1119</v>
      </c>
      <c r="AJ13" t="s">
        <v>1119</v>
      </c>
      <c r="AK13">
        <v>629000</v>
      </c>
      <c r="AL13" t="s">
        <v>1119</v>
      </c>
      <c r="AM13">
        <v>4</v>
      </c>
      <c r="AN13">
        <v>0.91</v>
      </c>
    </row>
    <row r="14" spans="1:40" x14ac:dyDescent="0.15">
      <c r="A14" s="117" t="s">
        <v>1418</v>
      </c>
      <c r="B14" t="s">
        <v>3</v>
      </c>
      <c r="C14" t="s">
        <v>1416</v>
      </c>
      <c r="D14" t="s">
        <v>33</v>
      </c>
      <c r="E14" t="s">
        <v>56</v>
      </c>
      <c r="F14" t="s">
        <v>87</v>
      </c>
      <c r="G14">
        <v>0.18049999999999999</v>
      </c>
      <c r="H14" t="s">
        <v>1114</v>
      </c>
      <c r="I14" t="s">
        <v>1119</v>
      </c>
      <c r="J14">
        <v>72.38</v>
      </c>
      <c r="K14" t="s">
        <v>1189</v>
      </c>
      <c r="L14" t="s">
        <v>1194</v>
      </c>
      <c r="M14" t="s">
        <v>1119</v>
      </c>
      <c r="N14">
        <v>-1.9685000000000001</v>
      </c>
      <c r="O14" t="s">
        <v>1119</v>
      </c>
      <c r="P14">
        <v>1.6199999999999999E-2</v>
      </c>
      <c r="Q14">
        <v>3.01</v>
      </c>
      <c r="R14" t="s">
        <v>1189</v>
      </c>
      <c r="S14" t="s">
        <v>1201</v>
      </c>
      <c r="T14" t="s">
        <v>1202</v>
      </c>
      <c r="U14">
        <v>55</v>
      </c>
      <c r="V14" t="s">
        <v>1114</v>
      </c>
      <c r="W14">
        <v>90</v>
      </c>
      <c r="X14" t="s">
        <v>1189</v>
      </c>
      <c r="Y14" t="s">
        <v>1195</v>
      </c>
      <c r="Z14">
        <v>0.42879093615118513</v>
      </c>
      <c r="AA14">
        <v>0.56000000000000005</v>
      </c>
      <c r="AB14">
        <v>31.4</v>
      </c>
      <c r="AC14">
        <v>40</v>
      </c>
      <c r="AD14" t="s">
        <v>1119</v>
      </c>
      <c r="AE14">
        <v>53.323594950455579</v>
      </c>
      <c r="AF14" t="s">
        <v>1189</v>
      </c>
      <c r="AG14">
        <v>5.4250000000000007</v>
      </c>
      <c r="AH14" t="s">
        <v>1114</v>
      </c>
      <c r="AI14">
        <v>5.4000000000000003E-3</v>
      </c>
      <c r="AJ14">
        <v>5.28</v>
      </c>
      <c r="AK14" t="s">
        <v>1119</v>
      </c>
      <c r="AL14" t="s">
        <v>1189</v>
      </c>
      <c r="AM14">
        <v>1</v>
      </c>
      <c r="AN14">
        <v>0.75333333333333341</v>
      </c>
    </row>
    <row r="15" spans="1:40" x14ac:dyDescent="0.15">
      <c r="A15" s="117" t="s">
        <v>1419</v>
      </c>
      <c r="B15" t="s">
        <v>3</v>
      </c>
      <c r="C15" t="s">
        <v>1416</v>
      </c>
      <c r="D15" t="s">
        <v>33</v>
      </c>
      <c r="E15" t="s">
        <v>57</v>
      </c>
      <c r="F15" t="s">
        <v>88</v>
      </c>
      <c r="G15">
        <v>0.31</v>
      </c>
      <c r="H15" t="s">
        <v>1114</v>
      </c>
      <c r="I15" t="s">
        <v>1119</v>
      </c>
      <c r="J15">
        <v>44.2</v>
      </c>
      <c r="K15" t="s">
        <v>1189</v>
      </c>
      <c r="L15" t="s">
        <v>1201</v>
      </c>
      <c r="M15" t="s">
        <v>1119</v>
      </c>
      <c r="N15">
        <v>0</v>
      </c>
      <c r="O15" t="s">
        <v>1119</v>
      </c>
      <c r="P15">
        <v>2.1000000000000001E-2</v>
      </c>
      <c r="Q15">
        <v>2.996</v>
      </c>
      <c r="R15" t="s">
        <v>1189</v>
      </c>
      <c r="S15" t="s">
        <v>1201</v>
      </c>
      <c r="T15" t="s">
        <v>1202</v>
      </c>
      <c r="U15">
        <v>21</v>
      </c>
      <c r="V15" t="s">
        <v>1114</v>
      </c>
      <c r="W15">
        <v>72</v>
      </c>
      <c r="X15" t="s">
        <v>1189</v>
      </c>
      <c r="Y15" t="s">
        <v>1195</v>
      </c>
      <c r="Z15">
        <v>0.5595683454940007</v>
      </c>
      <c r="AA15">
        <v>0.82</v>
      </c>
      <c r="AB15">
        <v>54</v>
      </c>
      <c r="AC15">
        <v>922.00094591668028</v>
      </c>
      <c r="AD15" t="s">
        <v>1119</v>
      </c>
      <c r="AE15">
        <v>14.074999999999999</v>
      </c>
      <c r="AF15" t="s">
        <v>1189</v>
      </c>
      <c r="AG15">
        <v>1.2366754750736559</v>
      </c>
      <c r="AH15" t="s">
        <v>1114</v>
      </c>
      <c r="AI15" t="s">
        <v>1119</v>
      </c>
      <c r="AJ15" t="s">
        <v>1119</v>
      </c>
      <c r="AK15">
        <v>88736</v>
      </c>
      <c r="AL15" t="s">
        <v>1119</v>
      </c>
      <c r="AM15">
        <v>1</v>
      </c>
      <c r="AN15">
        <v>0.7</v>
      </c>
    </row>
    <row r="16" spans="1:40" x14ac:dyDescent="0.15">
      <c r="A16" s="117" t="s">
        <v>1420</v>
      </c>
      <c r="B16" t="s">
        <v>3</v>
      </c>
      <c r="C16" t="s">
        <v>1416</v>
      </c>
      <c r="D16" t="s">
        <v>36</v>
      </c>
      <c r="E16" t="s">
        <v>62</v>
      </c>
      <c r="F16" t="s">
        <v>94</v>
      </c>
      <c r="G16">
        <v>8.7999999999999995E-2</v>
      </c>
      <c r="H16" t="s">
        <v>1114</v>
      </c>
      <c r="I16" t="s">
        <v>1119</v>
      </c>
      <c r="J16">
        <v>63.012999999999998</v>
      </c>
      <c r="K16" t="s">
        <v>1189</v>
      </c>
      <c r="L16" t="s">
        <v>1194</v>
      </c>
      <c r="M16" t="s">
        <v>1119</v>
      </c>
      <c r="N16">
        <v>-4.4114000000000004</v>
      </c>
      <c r="O16" t="s">
        <v>1119</v>
      </c>
      <c r="P16">
        <v>9.0000000000000002E-6</v>
      </c>
      <c r="Q16">
        <v>3.2063999999999999</v>
      </c>
      <c r="R16" t="s">
        <v>1192</v>
      </c>
      <c r="S16" t="s">
        <v>1201</v>
      </c>
      <c r="T16" t="s">
        <v>1202</v>
      </c>
      <c r="U16">
        <v>14</v>
      </c>
      <c r="V16" t="s">
        <v>1114</v>
      </c>
      <c r="W16">
        <v>120</v>
      </c>
      <c r="X16" t="s">
        <v>1189</v>
      </c>
      <c r="Y16" t="s">
        <v>1193</v>
      </c>
      <c r="Z16">
        <v>0.247</v>
      </c>
      <c r="AA16">
        <v>0.2836900511822435</v>
      </c>
      <c r="AB16">
        <v>25.2</v>
      </c>
      <c r="AC16">
        <v>171</v>
      </c>
      <c r="AD16" t="s">
        <v>1119</v>
      </c>
      <c r="AE16">
        <v>34</v>
      </c>
      <c r="AF16" t="s">
        <v>1189</v>
      </c>
      <c r="AG16">
        <v>4.4022028284986021</v>
      </c>
      <c r="AH16" t="s">
        <v>1114</v>
      </c>
      <c r="AI16" t="s">
        <v>1119</v>
      </c>
      <c r="AJ16" t="s">
        <v>1119</v>
      </c>
      <c r="AK16">
        <v>410000</v>
      </c>
      <c r="AL16" t="s">
        <v>1119</v>
      </c>
      <c r="AM16">
        <v>1</v>
      </c>
      <c r="AN16">
        <v>0.5</v>
      </c>
    </row>
    <row r="17" spans="1:40" x14ac:dyDescent="0.15">
      <c r="A17" s="117" t="s">
        <v>1396</v>
      </c>
      <c r="B17" t="s">
        <v>3</v>
      </c>
      <c r="C17" t="s">
        <v>20</v>
      </c>
      <c r="D17" t="s">
        <v>26</v>
      </c>
      <c r="E17" t="s">
        <v>44</v>
      </c>
      <c r="F17" t="s">
        <v>1178</v>
      </c>
      <c r="G17">
        <v>6.3E-2</v>
      </c>
      <c r="H17" t="s">
        <v>1114</v>
      </c>
      <c r="I17" t="s">
        <v>1119</v>
      </c>
      <c r="J17">
        <v>157.75</v>
      </c>
      <c r="K17" t="s">
        <v>1189</v>
      </c>
      <c r="L17" t="s">
        <v>1194</v>
      </c>
      <c r="M17" t="s">
        <v>1119</v>
      </c>
      <c r="N17">
        <v>-0.47</v>
      </c>
      <c r="O17" t="s">
        <v>1119</v>
      </c>
      <c r="P17">
        <v>1.3070000000000002E-2</v>
      </c>
      <c r="Q17">
        <v>3.05</v>
      </c>
      <c r="R17" t="s">
        <v>1189</v>
      </c>
      <c r="S17" t="s">
        <v>1194</v>
      </c>
      <c r="T17" t="s">
        <v>1202</v>
      </c>
      <c r="U17">
        <v>40</v>
      </c>
      <c r="V17" t="s">
        <v>1114</v>
      </c>
      <c r="W17">
        <v>130</v>
      </c>
      <c r="X17" t="s">
        <v>1189</v>
      </c>
      <c r="Y17" t="s">
        <v>1195</v>
      </c>
      <c r="Z17">
        <v>0.21</v>
      </c>
      <c r="AA17">
        <v>0.23572233352106983</v>
      </c>
      <c r="AB17">
        <v>31</v>
      </c>
      <c r="AC17">
        <v>3696.2971541466331</v>
      </c>
      <c r="AD17" t="s">
        <v>1119</v>
      </c>
      <c r="AE17">
        <v>53.5</v>
      </c>
      <c r="AF17" t="s">
        <v>1189</v>
      </c>
      <c r="AG17">
        <v>6.1049149324192324</v>
      </c>
      <c r="AH17" t="s">
        <v>1114</v>
      </c>
      <c r="AI17">
        <v>1</v>
      </c>
      <c r="AJ17">
        <v>3</v>
      </c>
      <c r="AK17" t="s">
        <v>1119</v>
      </c>
      <c r="AL17" t="s">
        <v>1202</v>
      </c>
      <c r="AM17">
        <v>1</v>
      </c>
      <c r="AN17">
        <v>0.5</v>
      </c>
    </row>
    <row r="18" spans="1:40" x14ac:dyDescent="0.15">
      <c r="A18" s="117" t="s">
        <v>1400</v>
      </c>
      <c r="B18" t="s">
        <v>3</v>
      </c>
      <c r="C18" t="s">
        <v>20</v>
      </c>
      <c r="D18" t="s">
        <v>485</v>
      </c>
      <c r="E18" t="s">
        <v>470</v>
      </c>
      <c r="F18" t="s">
        <v>471</v>
      </c>
      <c r="G18">
        <v>0.32</v>
      </c>
      <c r="H18" t="s">
        <v>1114</v>
      </c>
      <c r="I18" t="s">
        <v>1119</v>
      </c>
      <c r="J18">
        <v>62.2</v>
      </c>
      <c r="K18" t="s">
        <v>1189</v>
      </c>
      <c r="L18" t="s">
        <v>1195</v>
      </c>
      <c r="M18" t="s">
        <v>1119</v>
      </c>
      <c r="N18">
        <v>-0.42</v>
      </c>
      <c r="O18" t="s">
        <v>1119</v>
      </c>
      <c r="P18">
        <v>1.374E-2</v>
      </c>
      <c r="Q18">
        <v>3</v>
      </c>
      <c r="R18" t="s">
        <v>1189</v>
      </c>
      <c r="S18" t="s">
        <v>1195</v>
      </c>
      <c r="T18" t="s">
        <v>1202</v>
      </c>
      <c r="U18">
        <v>9</v>
      </c>
      <c r="V18" t="s">
        <v>1114</v>
      </c>
      <c r="W18">
        <v>60</v>
      </c>
      <c r="X18" t="s">
        <v>1189</v>
      </c>
      <c r="Y18" t="s">
        <v>1195</v>
      </c>
      <c r="Z18">
        <v>0.59</v>
      </c>
      <c r="AA18">
        <v>0.89159811928378352</v>
      </c>
      <c r="AB18">
        <v>35</v>
      </c>
      <c r="AC18">
        <v>601</v>
      </c>
      <c r="AD18" t="s">
        <v>1119</v>
      </c>
      <c r="AE18">
        <v>34.1</v>
      </c>
      <c r="AF18" t="s">
        <v>1189</v>
      </c>
      <c r="AG18">
        <v>2.0630794481419805</v>
      </c>
      <c r="AH18" t="s">
        <v>1114</v>
      </c>
      <c r="AI18">
        <v>1</v>
      </c>
      <c r="AJ18">
        <v>3</v>
      </c>
      <c r="AK18" t="s">
        <v>1119</v>
      </c>
      <c r="AL18" t="s">
        <v>1202</v>
      </c>
      <c r="AM18">
        <v>1</v>
      </c>
      <c r="AN18">
        <v>0.7</v>
      </c>
    </row>
    <row r="19" spans="1:40" x14ac:dyDescent="0.15">
      <c r="A19" s="117" t="s">
        <v>1405</v>
      </c>
      <c r="B19" t="s">
        <v>3</v>
      </c>
      <c r="C19" t="s">
        <v>20</v>
      </c>
      <c r="D19" t="s">
        <v>27</v>
      </c>
      <c r="E19" t="s">
        <v>46</v>
      </c>
      <c r="F19" t="s">
        <v>77</v>
      </c>
      <c r="G19">
        <v>0.69</v>
      </c>
      <c r="H19" t="s">
        <v>1114</v>
      </c>
      <c r="I19" t="s">
        <v>1119</v>
      </c>
      <c r="J19">
        <v>184</v>
      </c>
      <c r="K19" t="s">
        <v>1189</v>
      </c>
      <c r="L19" t="s">
        <v>1194</v>
      </c>
      <c r="M19" t="s">
        <v>1119</v>
      </c>
      <c r="N19">
        <v>-2.4199999999999999E-2</v>
      </c>
      <c r="O19" t="s">
        <v>1119</v>
      </c>
      <c r="P19">
        <v>2.0200000000000003E-2</v>
      </c>
      <c r="Q19">
        <v>3</v>
      </c>
      <c r="R19" t="s">
        <v>1189</v>
      </c>
      <c r="S19" t="s">
        <v>1201</v>
      </c>
      <c r="T19" t="s">
        <v>1202</v>
      </c>
      <c r="U19">
        <v>26.3</v>
      </c>
      <c r="V19" t="s">
        <v>1114</v>
      </c>
      <c r="W19">
        <v>170</v>
      </c>
      <c r="X19" t="s">
        <v>1189</v>
      </c>
      <c r="Y19" t="s">
        <v>1195</v>
      </c>
      <c r="Z19">
        <v>0.2</v>
      </c>
      <c r="AA19">
        <v>0.22314355131420971</v>
      </c>
      <c r="AB19">
        <v>53.8</v>
      </c>
      <c r="AC19">
        <v>970</v>
      </c>
      <c r="AD19" t="s">
        <v>1119</v>
      </c>
      <c r="AE19">
        <v>60</v>
      </c>
      <c r="AF19" t="s">
        <v>1189</v>
      </c>
      <c r="AG19">
        <v>0.54776259710717223</v>
      </c>
      <c r="AH19" t="s">
        <v>1114</v>
      </c>
      <c r="AI19">
        <v>1</v>
      </c>
      <c r="AJ19">
        <v>3</v>
      </c>
      <c r="AK19" t="s">
        <v>1119</v>
      </c>
      <c r="AL19" t="s">
        <v>1202</v>
      </c>
      <c r="AM19">
        <v>1</v>
      </c>
      <c r="AN19">
        <v>0.5</v>
      </c>
    </row>
    <row r="20" spans="1:40" x14ac:dyDescent="0.15">
      <c r="A20" s="117" t="s">
        <v>1421</v>
      </c>
      <c r="B20" t="s">
        <v>3</v>
      </c>
      <c r="C20" t="s">
        <v>20</v>
      </c>
      <c r="D20" t="s">
        <v>27</v>
      </c>
      <c r="E20" t="s">
        <v>45</v>
      </c>
      <c r="F20" t="s">
        <v>76</v>
      </c>
      <c r="G20">
        <v>0.19400000000000001</v>
      </c>
      <c r="H20" t="s">
        <v>1114</v>
      </c>
      <c r="I20" t="s">
        <v>1119</v>
      </c>
      <c r="J20">
        <v>97.3</v>
      </c>
      <c r="K20" t="s">
        <v>1189</v>
      </c>
      <c r="L20" t="s">
        <v>1194</v>
      </c>
      <c r="M20" t="s">
        <v>1119</v>
      </c>
      <c r="N20">
        <v>-0.19600000000000001</v>
      </c>
      <c r="O20" t="s">
        <v>1119</v>
      </c>
      <c r="P20">
        <v>1.9130000000000001E-2</v>
      </c>
      <c r="Q20">
        <v>2.94</v>
      </c>
      <c r="R20" t="s">
        <v>1189</v>
      </c>
      <c r="S20" t="s">
        <v>1194</v>
      </c>
      <c r="T20" t="s">
        <v>1202</v>
      </c>
      <c r="U20">
        <v>12.5</v>
      </c>
      <c r="V20" t="s">
        <v>1114</v>
      </c>
      <c r="W20">
        <v>117</v>
      </c>
      <c r="X20" t="s">
        <v>1189</v>
      </c>
      <c r="Y20" t="s">
        <v>1201</v>
      </c>
      <c r="Z20">
        <v>0.42</v>
      </c>
      <c r="AA20">
        <v>0.54472717544167193</v>
      </c>
      <c r="AB20">
        <v>57.6</v>
      </c>
      <c r="AC20">
        <v>4596</v>
      </c>
      <c r="AD20">
        <v>963</v>
      </c>
      <c r="AE20">
        <v>35</v>
      </c>
      <c r="AF20" t="s">
        <v>1189</v>
      </c>
      <c r="AG20">
        <v>2.1021317700956281</v>
      </c>
      <c r="AH20" t="s">
        <v>1114</v>
      </c>
      <c r="AI20">
        <v>2.2860000000000002E-9</v>
      </c>
      <c r="AJ20">
        <v>5.359</v>
      </c>
      <c r="AK20" t="s">
        <v>1119</v>
      </c>
      <c r="AL20" t="s">
        <v>1192</v>
      </c>
      <c r="AM20">
        <v>1</v>
      </c>
      <c r="AN20">
        <v>0.75</v>
      </c>
    </row>
    <row r="21" spans="1:40" x14ac:dyDescent="0.15">
      <c r="A21" s="117" t="s">
        <v>1422</v>
      </c>
      <c r="B21" t="s">
        <v>3</v>
      </c>
      <c r="C21" t="s">
        <v>20</v>
      </c>
      <c r="D21" t="s">
        <v>30</v>
      </c>
      <c r="E21" t="s">
        <v>50</v>
      </c>
      <c r="F21" t="s">
        <v>1179</v>
      </c>
      <c r="G21">
        <v>0.56000000000000005</v>
      </c>
      <c r="H21" t="s">
        <v>1114</v>
      </c>
      <c r="I21" t="s">
        <v>1119</v>
      </c>
      <c r="J21">
        <v>81.92</v>
      </c>
      <c r="K21" t="s">
        <v>1189</v>
      </c>
      <c r="L21" t="s">
        <v>1194</v>
      </c>
      <c r="M21" t="s">
        <v>1119</v>
      </c>
      <c r="N21">
        <v>-3.1699999999999999E-2</v>
      </c>
      <c r="O21" t="s">
        <v>1119</v>
      </c>
      <c r="P21">
        <v>1.064E-2</v>
      </c>
      <c r="Q21">
        <v>3.06</v>
      </c>
      <c r="R21" t="s">
        <v>1189</v>
      </c>
      <c r="S21" t="s">
        <v>1194</v>
      </c>
      <c r="T21" t="s">
        <v>1202</v>
      </c>
      <c r="U21">
        <v>8</v>
      </c>
      <c r="V21" t="s">
        <v>1114</v>
      </c>
      <c r="W21" t="s">
        <v>1119</v>
      </c>
      <c r="X21" t="s">
        <v>1189</v>
      </c>
      <c r="Y21" t="s">
        <v>1201</v>
      </c>
      <c r="Z21">
        <v>0.82795513617694949</v>
      </c>
      <c r="AA21">
        <v>1.76</v>
      </c>
      <c r="AB21">
        <v>1.65</v>
      </c>
      <c r="AC21">
        <v>1995</v>
      </c>
      <c r="AD21" t="s">
        <v>1119</v>
      </c>
      <c r="AE21">
        <v>45.066666666666663</v>
      </c>
      <c r="AF21" t="s">
        <v>1189</v>
      </c>
      <c r="AG21">
        <v>1.3947233748927632</v>
      </c>
      <c r="AH21" t="s">
        <v>1114</v>
      </c>
      <c r="AI21" t="s">
        <v>1119</v>
      </c>
      <c r="AJ21" t="s">
        <v>1119</v>
      </c>
      <c r="AK21">
        <v>445000</v>
      </c>
      <c r="AL21" t="s">
        <v>1119</v>
      </c>
      <c r="AM21">
        <v>1</v>
      </c>
      <c r="AN21">
        <v>0.7</v>
      </c>
    </row>
    <row r="22" spans="1:40" x14ac:dyDescent="0.15">
      <c r="A22" s="117" t="s">
        <v>1423</v>
      </c>
      <c r="B22" t="s">
        <v>3</v>
      </c>
      <c r="C22" t="s">
        <v>20</v>
      </c>
      <c r="D22" t="s">
        <v>29</v>
      </c>
      <c r="E22" t="s">
        <v>61</v>
      </c>
      <c r="F22" t="s">
        <v>93</v>
      </c>
      <c r="G22">
        <v>0.63500000000000001</v>
      </c>
      <c r="H22" t="s">
        <v>1114</v>
      </c>
      <c r="I22" t="s">
        <v>1119</v>
      </c>
      <c r="J22">
        <v>45.48</v>
      </c>
      <c r="K22" t="s">
        <v>1189</v>
      </c>
      <c r="L22" t="s">
        <v>1194</v>
      </c>
      <c r="M22" t="s">
        <v>1119</v>
      </c>
      <c r="N22">
        <v>0.309</v>
      </c>
      <c r="O22" t="s">
        <v>1119</v>
      </c>
      <c r="P22">
        <v>2.9138E-6</v>
      </c>
      <c r="Q22">
        <v>3.2696999999999998</v>
      </c>
      <c r="R22" t="s">
        <v>1192</v>
      </c>
      <c r="S22" t="s">
        <v>1201</v>
      </c>
      <c r="T22" t="s">
        <v>1202</v>
      </c>
      <c r="U22">
        <v>12</v>
      </c>
      <c r="V22" t="s">
        <v>1114</v>
      </c>
      <c r="W22">
        <v>80</v>
      </c>
      <c r="X22" t="s">
        <v>1189</v>
      </c>
      <c r="Y22" t="s">
        <v>1195</v>
      </c>
      <c r="Z22">
        <v>0.45</v>
      </c>
      <c r="AA22">
        <v>0.59783700075562041</v>
      </c>
      <c r="AB22">
        <v>32.200000000000003</v>
      </c>
      <c r="AC22">
        <v>89</v>
      </c>
      <c r="AD22" t="s">
        <v>1119</v>
      </c>
      <c r="AE22">
        <v>35.799999999999997</v>
      </c>
      <c r="AF22" t="s">
        <v>1189</v>
      </c>
      <c r="AG22">
        <v>2.7455523899115746</v>
      </c>
      <c r="AH22" t="s">
        <v>1114</v>
      </c>
      <c r="AI22">
        <v>1</v>
      </c>
      <c r="AJ22">
        <v>3</v>
      </c>
      <c r="AK22" t="s">
        <v>1119</v>
      </c>
      <c r="AL22" t="s">
        <v>1202</v>
      </c>
      <c r="AM22">
        <v>1</v>
      </c>
      <c r="AN22">
        <v>0.5</v>
      </c>
    </row>
    <row r="23" spans="1:40" x14ac:dyDescent="0.15">
      <c r="A23" s="117" t="s">
        <v>1424</v>
      </c>
      <c r="B23" t="s">
        <v>3</v>
      </c>
      <c r="C23" t="s">
        <v>20</v>
      </c>
      <c r="D23" t="s">
        <v>28</v>
      </c>
      <c r="E23" t="s">
        <v>65</v>
      </c>
      <c r="F23" t="s">
        <v>472</v>
      </c>
      <c r="G23">
        <v>0.65</v>
      </c>
      <c r="H23" t="s">
        <v>1114</v>
      </c>
      <c r="I23" t="s">
        <v>1119</v>
      </c>
      <c r="J23">
        <v>428.7</v>
      </c>
      <c r="K23" t="s">
        <v>1192</v>
      </c>
      <c r="L23" t="s">
        <v>1194</v>
      </c>
      <c r="M23" t="s">
        <v>1119</v>
      </c>
      <c r="N23">
        <v>-7.0000000000000007E-2</v>
      </c>
      <c r="O23" t="s">
        <v>1119</v>
      </c>
      <c r="P23">
        <v>2.3300000000000001E-2</v>
      </c>
      <c r="Q23">
        <v>2.919</v>
      </c>
      <c r="R23" t="s">
        <v>1189</v>
      </c>
      <c r="S23" t="s">
        <v>1195</v>
      </c>
      <c r="T23" t="s">
        <v>1202</v>
      </c>
      <c r="U23">
        <v>13</v>
      </c>
      <c r="V23" t="s">
        <v>1114</v>
      </c>
      <c r="W23">
        <v>55.647999999999996</v>
      </c>
      <c r="X23" t="s">
        <v>1189</v>
      </c>
      <c r="Y23" t="s">
        <v>1194</v>
      </c>
      <c r="Z23">
        <v>0.56000000000000005</v>
      </c>
      <c r="AA23">
        <v>0.82098055206983034</v>
      </c>
      <c r="AB23">
        <v>29.7</v>
      </c>
      <c r="AC23">
        <v>316</v>
      </c>
      <c r="AD23" t="s">
        <v>1119</v>
      </c>
      <c r="AE23">
        <v>400</v>
      </c>
      <c r="AF23" t="s">
        <v>1192</v>
      </c>
      <c r="AG23">
        <v>4.089785001289779</v>
      </c>
      <c r="AH23" t="s">
        <v>1114</v>
      </c>
      <c r="AI23">
        <v>1</v>
      </c>
      <c r="AJ23">
        <v>3</v>
      </c>
      <c r="AK23" t="s">
        <v>1119</v>
      </c>
      <c r="AL23" t="s">
        <v>1202</v>
      </c>
      <c r="AM23">
        <v>1</v>
      </c>
      <c r="AN23">
        <v>0.7</v>
      </c>
    </row>
    <row r="24" spans="1:40" x14ac:dyDescent="0.15">
      <c r="A24" s="117" t="s">
        <v>1406</v>
      </c>
      <c r="B24" t="s">
        <v>3</v>
      </c>
      <c r="C24" t="s">
        <v>22</v>
      </c>
      <c r="D24" t="s">
        <v>27</v>
      </c>
      <c r="E24" t="s">
        <v>46</v>
      </c>
      <c r="F24" t="s">
        <v>77</v>
      </c>
      <c r="G24">
        <v>0.69</v>
      </c>
      <c r="H24" t="s">
        <v>1114</v>
      </c>
      <c r="I24" t="s">
        <v>1119</v>
      </c>
      <c r="J24">
        <v>184</v>
      </c>
      <c r="K24" t="s">
        <v>1189</v>
      </c>
      <c r="L24" t="s">
        <v>1194</v>
      </c>
      <c r="M24" t="s">
        <v>1119</v>
      </c>
      <c r="N24">
        <v>-2.4199999999999999E-2</v>
      </c>
      <c r="O24" t="s">
        <v>1119</v>
      </c>
      <c r="P24">
        <v>2.0200000000000003E-2</v>
      </c>
      <c r="Q24">
        <v>3</v>
      </c>
      <c r="R24" t="s">
        <v>1189</v>
      </c>
      <c r="S24" t="s">
        <v>1201</v>
      </c>
      <c r="T24" t="s">
        <v>1202</v>
      </c>
      <c r="U24">
        <v>26.3</v>
      </c>
      <c r="V24" t="s">
        <v>1114</v>
      </c>
      <c r="W24">
        <v>170</v>
      </c>
      <c r="X24" t="s">
        <v>1189</v>
      </c>
      <c r="Y24" t="s">
        <v>1195</v>
      </c>
      <c r="Z24">
        <v>0.2</v>
      </c>
      <c r="AA24">
        <v>0.22314355131420971</v>
      </c>
      <c r="AB24">
        <v>53.8</v>
      </c>
      <c r="AC24">
        <v>970</v>
      </c>
      <c r="AD24" t="s">
        <v>1119</v>
      </c>
      <c r="AE24">
        <v>60</v>
      </c>
      <c r="AF24" t="s">
        <v>1189</v>
      </c>
      <c r="AG24">
        <v>0.54776259710717223</v>
      </c>
      <c r="AH24" t="s">
        <v>1114</v>
      </c>
      <c r="AI24">
        <v>1</v>
      </c>
      <c r="AJ24">
        <v>3</v>
      </c>
      <c r="AK24" t="s">
        <v>1119</v>
      </c>
      <c r="AL24" t="s">
        <v>1202</v>
      </c>
      <c r="AM24">
        <v>1</v>
      </c>
      <c r="AN24">
        <v>0.5</v>
      </c>
    </row>
    <row r="25" spans="1:40" x14ac:dyDescent="0.15">
      <c r="A25" s="117" t="s">
        <v>1425</v>
      </c>
      <c r="B25" t="s">
        <v>3</v>
      </c>
      <c r="C25" t="s">
        <v>22</v>
      </c>
      <c r="D25" t="s">
        <v>30</v>
      </c>
      <c r="E25" t="s">
        <v>52</v>
      </c>
      <c r="F25" t="s">
        <v>83</v>
      </c>
      <c r="G25">
        <v>0.55000000000000004</v>
      </c>
      <c r="H25" t="s">
        <v>1114</v>
      </c>
      <c r="I25" t="s">
        <v>1119</v>
      </c>
      <c r="J25">
        <v>102</v>
      </c>
      <c r="K25" t="s">
        <v>1189</v>
      </c>
      <c r="L25" t="s">
        <v>1194</v>
      </c>
      <c r="M25" t="s">
        <v>1119</v>
      </c>
      <c r="N25">
        <v>-0.02</v>
      </c>
      <c r="O25" t="s">
        <v>1119</v>
      </c>
      <c r="P25">
        <v>7.6475099999999999E-6</v>
      </c>
      <c r="Q25">
        <v>3.24281</v>
      </c>
      <c r="R25" t="s">
        <v>1189</v>
      </c>
      <c r="S25" t="s">
        <v>1201</v>
      </c>
      <c r="T25" t="s">
        <v>1203</v>
      </c>
      <c r="U25">
        <v>12</v>
      </c>
      <c r="V25" t="s">
        <v>1114</v>
      </c>
      <c r="W25" t="s">
        <v>1119</v>
      </c>
      <c r="X25" t="s">
        <v>1189</v>
      </c>
      <c r="Y25" t="s">
        <v>1201</v>
      </c>
      <c r="Z25">
        <v>0.54615520471764412</v>
      </c>
      <c r="AA25">
        <v>0.79</v>
      </c>
      <c r="AB25">
        <v>1</v>
      </c>
      <c r="AC25">
        <v>65000</v>
      </c>
      <c r="AD25" t="s">
        <v>1119</v>
      </c>
      <c r="AE25">
        <v>43</v>
      </c>
      <c r="AF25" t="s">
        <v>1189</v>
      </c>
      <c r="AG25">
        <v>0.97533703523373017</v>
      </c>
      <c r="AH25" t="s">
        <v>1114</v>
      </c>
      <c r="AI25" t="s">
        <v>1119</v>
      </c>
      <c r="AJ25" t="s">
        <v>1119</v>
      </c>
      <c r="AK25">
        <v>629000</v>
      </c>
      <c r="AL25" t="s">
        <v>1119</v>
      </c>
      <c r="AM25">
        <v>4</v>
      </c>
      <c r="AN25">
        <v>0.91</v>
      </c>
    </row>
    <row r="26" spans="1:40" x14ac:dyDescent="0.15">
      <c r="A26" s="117" t="s">
        <v>1426</v>
      </c>
      <c r="B26" t="s">
        <v>3</v>
      </c>
      <c r="C26" t="s">
        <v>22</v>
      </c>
      <c r="D26" t="s">
        <v>33</v>
      </c>
      <c r="E26" t="s">
        <v>56</v>
      </c>
      <c r="F26" t="s">
        <v>87</v>
      </c>
      <c r="G26">
        <v>0.18049999999999999</v>
      </c>
      <c r="H26" t="s">
        <v>1114</v>
      </c>
      <c r="I26" t="s">
        <v>1119</v>
      </c>
      <c r="J26">
        <v>72.38</v>
      </c>
      <c r="K26" t="s">
        <v>1189</v>
      </c>
      <c r="L26" t="s">
        <v>1194</v>
      </c>
      <c r="M26" t="s">
        <v>1119</v>
      </c>
      <c r="N26">
        <v>-1.9685000000000001</v>
      </c>
      <c r="O26" t="s">
        <v>1119</v>
      </c>
      <c r="P26">
        <v>1.6199999999999999E-2</v>
      </c>
      <c r="Q26">
        <v>3.01</v>
      </c>
      <c r="R26" t="s">
        <v>1189</v>
      </c>
      <c r="S26" t="s">
        <v>1201</v>
      </c>
      <c r="T26" t="s">
        <v>1202</v>
      </c>
      <c r="U26">
        <v>55</v>
      </c>
      <c r="V26" t="s">
        <v>1114</v>
      </c>
      <c r="W26">
        <v>90</v>
      </c>
      <c r="X26" t="s">
        <v>1189</v>
      </c>
      <c r="Y26" t="s">
        <v>1195</v>
      </c>
      <c r="Z26">
        <v>0.42879093615118513</v>
      </c>
      <c r="AA26">
        <v>0.56000000000000005</v>
      </c>
      <c r="AB26">
        <v>31.4</v>
      </c>
      <c r="AC26">
        <v>40</v>
      </c>
      <c r="AD26" t="s">
        <v>1119</v>
      </c>
      <c r="AE26">
        <v>53.323594950455579</v>
      </c>
      <c r="AF26" t="s">
        <v>1189</v>
      </c>
      <c r="AG26">
        <v>5.4250000000000007</v>
      </c>
      <c r="AH26" t="s">
        <v>1114</v>
      </c>
      <c r="AI26">
        <v>5.4000000000000003E-3</v>
      </c>
      <c r="AJ26">
        <v>5.28</v>
      </c>
      <c r="AK26" t="s">
        <v>1119</v>
      </c>
      <c r="AL26" t="s">
        <v>1189</v>
      </c>
      <c r="AM26">
        <v>1</v>
      </c>
      <c r="AN26">
        <v>0.75333333333333341</v>
      </c>
    </row>
    <row r="27" spans="1:40" x14ac:dyDescent="0.15">
      <c r="A27" s="117" t="s">
        <v>1427</v>
      </c>
      <c r="B27" t="s">
        <v>3</v>
      </c>
      <c r="C27" t="s">
        <v>22</v>
      </c>
      <c r="D27" t="s">
        <v>33</v>
      </c>
      <c r="E27" t="s">
        <v>57</v>
      </c>
      <c r="F27" t="s">
        <v>88</v>
      </c>
      <c r="G27">
        <v>0.31</v>
      </c>
      <c r="H27" t="s">
        <v>1114</v>
      </c>
      <c r="I27" t="s">
        <v>1119</v>
      </c>
      <c r="J27">
        <v>44.2</v>
      </c>
      <c r="K27" t="s">
        <v>1189</v>
      </c>
      <c r="L27" t="s">
        <v>1201</v>
      </c>
      <c r="M27" t="s">
        <v>1119</v>
      </c>
      <c r="N27">
        <v>0</v>
      </c>
      <c r="O27" t="s">
        <v>1119</v>
      </c>
      <c r="P27">
        <v>2.1000000000000001E-2</v>
      </c>
      <c r="Q27">
        <v>2.996</v>
      </c>
      <c r="R27" t="s">
        <v>1189</v>
      </c>
      <c r="S27" t="s">
        <v>1201</v>
      </c>
      <c r="T27" t="s">
        <v>1202</v>
      </c>
      <c r="U27">
        <v>21</v>
      </c>
      <c r="V27" t="s">
        <v>1114</v>
      </c>
      <c r="W27">
        <v>72</v>
      </c>
      <c r="X27" t="s">
        <v>1189</v>
      </c>
      <c r="Y27" t="s">
        <v>1195</v>
      </c>
      <c r="Z27">
        <v>0.5595683454940007</v>
      </c>
      <c r="AA27">
        <v>0.82</v>
      </c>
      <c r="AB27">
        <v>54</v>
      </c>
      <c r="AC27">
        <v>922.00094591668028</v>
      </c>
      <c r="AD27" t="s">
        <v>1119</v>
      </c>
      <c r="AE27">
        <v>14.074999999999999</v>
      </c>
      <c r="AF27" t="s">
        <v>1189</v>
      </c>
      <c r="AG27">
        <v>1.2366754750736559</v>
      </c>
      <c r="AH27" t="s">
        <v>1114</v>
      </c>
      <c r="AI27" t="s">
        <v>1119</v>
      </c>
      <c r="AJ27" t="s">
        <v>1119</v>
      </c>
      <c r="AK27">
        <v>88736</v>
      </c>
      <c r="AL27" t="s">
        <v>1119</v>
      </c>
      <c r="AM27">
        <v>1</v>
      </c>
      <c r="AN27">
        <v>0.7</v>
      </c>
    </row>
    <row r="28" spans="1:40" x14ac:dyDescent="0.15">
      <c r="A28" s="117" t="s">
        <v>1428</v>
      </c>
      <c r="B28" t="s">
        <v>3</v>
      </c>
      <c r="C28" t="s">
        <v>22</v>
      </c>
      <c r="D28" t="s">
        <v>36</v>
      </c>
      <c r="E28" t="s">
        <v>62</v>
      </c>
      <c r="F28" t="s">
        <v>94</v>
      </c>
      <c r="G28">
        <v>8.7999999999999995E-2</v>
      </c>
      <c r="H28" t="s">
        <v>1114</v>
      </c>
      <c r="I28" t="s">
        <v>1119</v>
      </c>
      <c r="J28">
        <v>63.012999999999998</v>
      </c>
      <c r="K28" t="s">
        <v>1189</v>
      </c>
      <c r="L28" t="s">
        <v>1194</v>
      </c>
      <c r="M28" t="s">
        <v>1119</v>
      </c>
      <c r="N28">
        <v>-4.4114000000000004</v>
      </c>
      <c r="O28" t="s">
        <v>1119</v>
      </c>
      <c r="P28">
        <v>9.0000000000000002E-6</v>
      </c>
      <c r="Q28">
        <v>3.2063999999999999</v>
      </c>
      <c r="R28" t="s">
        <v>1192</v>
      </c>
      <c r="S28" t="s">
        <v>1201</v>
      </c>
      <c r="T28" t="s">
        <v>1202</v>
      </c>
      <c r="U28">
        <v>14</v>
      </c>
      <c r="V28" t="s">
        <v>1114</v>
      </c>
      <c r="W28">
        <v>120</v>
      </c>
      <c r="X28" t="s">
        <v>1189</v>
      </c>
      <c r="Y28" t="s">
        <v>1193</v>
      </c>
      <c r="Z28">
        <v>0.247</v>
      </c>
      <c r="AA28">
        <v>0.2836900511822435</v>
      </c>
      <c r="AB28">
        <v>25.2</v>
      </c>
      <c r="AC28">
        <v>171</v>
      </c>
      <c r="AD28" t="s">
        <v>1119</v>
      </c>
      <c r="AE28">
        <v>34</v>
      </c>
      <c r="AF28" t="s">
        <v>1189</v>
      </c>
      <c r="AG28">
        <v>4.4022028284986021</v>
      </c>
      <c r="AH28" t="s">
        <v>1114</v>
      </c>
      <c r="AI28" t="s">
        <v>1119</v>
      </c>
      <c r="AJ28" t="s">
        <v>1119</v>
      </c>
      <c r="AK28">
        <v>410000</v>
      </c>
      <c r="AL28" t="s">
        <v>1119</v>
      </c>
      <c r="AM28">
        <v>1</v>
      </c>
      <c r="AN28">
        <v>0.5</v>
      </c>
    </row>
    <row r="29" spans="1:40" x14ac:dyDescent="0.15">
      <c r="A29" s="117" t="s">
        <v>1429</v>
      </c>
      <c r="B29" t="s">
        <v>3</v>
      </c>
      <c r="C29" t="s">
        <v>22</v>
      </c>
      <c r="D29" t="s">
        <v>30</v>
      </c>
      <c r="E29" t="s">
        <v>64</v>
      </c>
      <c r="F29" t="s">
        <v>1102</v>
      </c>
      <c r="G29">
        <v>0.72</v>
      </c>
      <c r="H29" t="s">
        <v>1114</v>
      </c>
      <c r="I29" t="s">
        <v>1119</v>
      </c>
      <c r="J29">
        <v>34.85</v>
      </c>
      <c r="K29" t="s">
        <v>1189</v>
      </c>
      <c r="L29" t="s">
        <v>1194</v>
      </c>
      <c r="M29" t="s">
        <v>1119</v>
      </c>
      <c r="N29">
        <v>0</v>
      </c>
      <c r="O29" t="s">
        <v>1119</v>
      </c>
      <c r="P29">
        <v>1.78E-2</v>
      </c>
      <c r="Q29">
        <v>2.7967499999999998</v>
      </c>
      <c r="R29" t="s">
        <v>1189</v>
      </c>
      <c r="S29" t="s">
        <v>1194</v>
      </c>
      <c r="T29" t="s">
        <v>1202</v>
      </c>
      <c r="U29">
        <v>5.97</v>
      </c>
      <c r="V29" t="s">
        <v>1114</v>
      </c>
      <c r="W29">
        <v>32</v>
      </c>
      <c r="X29" t="s">
        <v>1189</v>
      </c>
      <c r="Y29" t="s">
        <v>1194</v>
      </c>
      <c r="Z29">
        <v>0.18</v>
      </c>
      <c r="AA29">
        <v>0.19845093872383818</v>
      </c>
      <c r="AB29">
        <v>1.2</v>
      </c>
      <c r="AC29">
        <v>50000</v>
      </c>
      <c r="AD29" t="s">
        <v>1119</v>
      </c>
      <c r="AE29">
        <v>23.015095931273873</v>
      </c>
      <c r="AF29" t="s">
        <v>1189</v>
      </c>
      <c r="AG29">
        <v>1.5</v>
      </c>
      <c r="AH29" t="s">
        <v>1114</v>
      </c>
      <c r="AI29" t="s">
        <v>1119</v>
      </c>
      <c r="AJ29" t="s">
        <v>1119</v>
      </c>
      <c r="AK29">
        <v>94000</v>
      </c>
      <c r="AL29" t="s">
        <v>1119</v>
      </c>
      <c r="AM29">
        <v>1</v>
      </c>
      <c r="AN29">
        <v>0.84</v>
      </c>
    </row>
    <row r="30" spans="1:40" x14ac:dyDescent="0.15">
      <c r="A30" s="117" t="s">
        <v>1391</v>
      </c>
      <c r="B30" t="s">
        <v>2</v>
      </c>
      <c r="C30" t="s">
        <v>23</v>
      </c>
      <c r="D30" t="s">
        <v>25</v>
      </c>
      <c r="E30" t="s">
        <v>43</v>
      </c>
      <c r="F30" t="s">
        <v>478</v>
      </c>
      <c r="G30">
        <v>0.56999999999999995</v>
      </c>
      <c r="H30" t="s">
        <v>1114</v>
      </c>
      <c r="I30" t="s">
        <v>1119</v>
      </c>
      <c r="J30">
        <v>15.2</v>
      </c>
      <c r="K30" t="s">
        <v>1189</v>
      </c>
      <c r="L30" t="s">
        <v>1201</v>
      </c>
      <c r="M30" t="s">
        <v>1119</v>
      </c>
      <c r="N30">
        <v>0</v>
      </c>
      <c r="O30" t="s">
        <v>1119</v>
      </c>
      <c r="P30">
        <v>2.3800000000000002E-2</v>
      </c>
      <c r="Q30">
        <v>2.97</v>
      </c>
      <c r="R30" t="s">
        <v>1189</v>
      </c>
      <c r="S30" t="s">
        <v>1201</v>
      </c>
      <c r="T30" t="s">
        <v>1202</v>
      </c>
      <c r="U30">
        <v>16</v>
      </c>
      <c r="V30" t="s">
        <v>1114</v>
      </c>
      <c r="W30">
        <v>21</v>
      </c>
      <c r="X30" t="s">
        <v>1189</v>
      </c>
      <c r="Y30" t="s">
        <v>1195</v>
      </c>
      <c r="Z30">
        <v>0.18126924692201818</v>
      </c>
      <c r="AA30">
        <v>0.2</v>
      </c>
      <c r="AB30">
        <v>31</v>
      </c>
      <c r="AC30">
        <v>50.958348270198996</v>
      </c>
      <c r="AD30" t="s">
        <v>1119</v>
      </c>
      <c r="AE30">
        <v>12</v>
      </c>
      <c r="AF30" t="s">
        <v>1189</v>
      </c>
      <c r="AG30">
        <v>2.7335870492044743</v>
      </c>
      <c r="AH30" t="s">
        <v>1114</v>
      </c>
      <c r="AI30">
        <v>1</v>
      </c>
      <c r="AJ30">
        <v>3</v>
      </c>
      <c r="AK30" t="s">
        <v>1119</v>
      </c>
      <c r="AL30" t="s">
        <v>1202</v>
      </c>
      <c r="AM30">
        <v>1</v>
      </c>
      <c r="AN30">
        <v>0.7</v>
      </c>
    </row>
    <row r="31" spans="1:40" x14ac:dyDescent="0.15">
      <c r="A31" s="117" t="s">
        <v>1397</v>
      </c>
      <c r="B31" t="s">
        <v>2</v>
      </c>
      <c r="C31" t="s">
        <v>23</v>
      </c>
      <c r="D31" t="s">
        <v>485</v>
      </c>
      <c r="E31" t="s">
        <v>470</v>
      </c>
      <c r="F31" t="s">
        <v>471</v>
      </c>
      <c r="G31">
        <v>0.32</v>
      </c>
      <c r="H31" t="s">
        <v>1114</v>
      </c>
      <c r="I31" t="s">
        <v>1119</v>
      </c>
      <c r="J31">
        <v>62.2</v>
      </c>
      <c r="K31" t="s">
        <v>1189</v>
      </c>
      <c r="L31" t="s">
        <v>1195</v>
      </c>
      <c r="M31" t="s">
        <v>1119</v>
      </c>
      <c r="N31">
        <v>-0.42</v>
      </c>
      <c r="O31" t="s">
        <v>1119</v>
      </c>
      <c r="P31">
        <v>1.374E-2</v>
      </c>
      <c r="Q31">
        <v>3</v>
      </c>
      <c r="R31" t="s">
        <v>1189</v>
      </c>
      <c r="S31" t="s">
        <v>1195</v>
      </c>
      <c r="T31" t="s">
        <v>1202</v>
      </c>
      <c r="U31">
        <v>9</v>
      </c>
      <c r="V31" t="s">
        <v>1114</v>
      </c>
      <c r="W31">
        <v>60</v>
      </c>
      <c r="X31" t="s">
        <v>1189</v>
      </c>
      <c r="Y31" t="s">
        <v>1195</v>
      </c>
      <c r="Z31">
        <v>0.59</v>
      </c>
      <c r="AA31">
        <v>0.89159811928378352</v>
      </c>
      <c r="AB31">
        <v>35</v>
      </c>
      <c r="AC31">
        <v>601</v>
      </c>
      <c r="AD31" t="s">
        <v>1119</v>
      </c>
      <c r="AE31">
        <v>34.1</v>
      </c>
      <c r="AF31" t="s">
        <v>1189</v>
      </c>
      <c r="AG31">
        <v>2.0630794481419805</v>
      </c>
      <c r="AH31" t="s">
        <v>1114</v>
      </c>
      <c r="AI31">
        <v>1</v>
      </c>
      <c r="AJ31">
        <v>3</v>
      </c>
      <c r="AK31" t="s">
        <v>1119</v>
      </c>
      <c r="AL31" t="s">
        <v>1202</v>
      </c>
      <c r="AM31">
        <v>1</v>
      </c>
      <c r="AN31">
        <v>0.7</v>
      </c>
    </row>
    <row r="32" spans="1:40" x14ac:dyDescent="0.15">
      <c r="A32" s="117" t="s">
        <v>1430</v>
      </c>
      <c r="B32" t="s">
        <v>2</v>
      </c>
      <c r="C32" t="s">
        <v>23</v>
      </c>
      <c r="D32" t="s">
        <v>28</v>
      </c>
      <c r="E32" t="s">
        <v>48</v>
      </c>
      <c r="F32" t="s">
        <v>79</v>
      </c>
      <c r="G32">
        <v>1.125</v>
      </c>
      <c r="H32" t="s">
        <v>1114</v>
      </c>
      <c r="I32">
        <v>0.41000000000000003</v>
      </c>
      <c r="J32">
        <v>175.41000000000003</v>
      </c>
      <c r="K32" t="s">
        <v>1192</v>
      </c>
      <c r="L32" t="s">
        <v>1194</v>
      </c>
      <c r="M32">
        <v>4.1449999999999996</v>
      </c>
      <c r="N32">
        <v>0</v>
      </c>
      <c r="O32" t="s">
        <v>1119</v>
      </c>
      <c r="P32">
        <v>1.82E-3</v>
      </c>
      <c r="Q32">
        <v>3.15</v>
      </c>
      <c r="R32" t="s">
        <v>1192</v>
      </c>
      <c r="S32" t="s">
        <v>1201</v>
      </c>
      <c r="T32" t="s">
        <v>1202</v>
      </c>
      <c r="U32">
        <v>9</v>
      </c>
      <c r="V32" t="s">
        <v>1114</v>
      </c>
      <c r="W32">
        <v>40</v>
      </c>
      <c r="X32" t="s">
        <v>1189</v>
      </c>
      <c r="Y32" t="s">
        <v>1195</v>
      </c>
      <c r="Z32">
        <v>0.29531191028128656</v>
      </c>
      <c r="AA32">
        <v>0.35</v>
      </c>
      <c r="AB32">
        <v>30</v>
      </c>
      <c r="AC32">
        <v>231.65462728124115</v>
      </c>
      <c r="AD32" t="s">
        <v>1119</v>
      </c>
      <c r="AE32">
        <v>142.96241264225978</v>
      </c>
      <c r="AF32" t="s">
        <v>1192</v>
      </c>
      <c r="AG32">
        <v>1.5</v>
      </c>
      <c r="AH32" t="s">
        <v>1114</v>
      </c>
      <c r="AI32">
        <v>1</v>
      </c>
      <c r="AJ32">
        <v>3</v>
      </c>
      <c r="AK32" t="s">
        <v>1119</v>
      </c>
      <c r="AL32" t="s">
        <v>1202</v>
      </c>
      <c r="AM32">
        <v>1</v>
      </c>
      <c r="AN32">
        <v>0.7</v>
      </c>
    </row>
    <row r="33" spans="1:40" x14ac:dyDescent="0.15">
      <c r="A33" s="117" t="s">
        <v>1431</v>
      </c>
      <c r="B33" t="s">
        <v>2</v>
      </c>
      <c r="C33" t="s">
        <v>23</v>
      </c>
      <c r="D33" t="s">
        <v>35</v>
      </c>
      <c r="E33" t="s">
        <v>60</v>
      </c>
      <c r="F33" t="s">
        <v>91</v>
      </c>
      <c r="G33" t="s">
        <v>1119</v>
      </c>
      <c r="H33" t="s">
        <v>1119</v>
      </c>
      <c r="I33" t="s">
        <v>1119</v>
      </c>
      <c r="J33" t="s">
        <v>1119</v>
      </c>
      <c r="K33" t="s">
        <v>1119</v>
      </c>
      <c r="L33" t="s">
        <v>1119</v>
      </c>
      <c r="M33" t="s">
        <v>1119</v>
      </c>
      <c r="N33" t="s">
        <v>1119</v>
      </c>
      <c r="O33" t="s">
        <v>1119</v>
      </c>
      <c r="P33" t="s">
        <v>1119</v>
      </c>
      <c r="Q33" t="s">
        <v>1119</v>
      </c>
      <c r="R33" t="s">
        <v>1119</v>
      </c>
      <c r="S33" t="s">
        <v>1119</v>
      </c>
      <c r="T33" t="s">
        <v>1119</v>
      </c>
      <c r="U33">
        <v>15</v>
      </c>
      <c r="V33" t="s">
        <v>1115</v>
      </c>
      <c r="W33" t="s">
        <v>1119</v>
      </c>
      <c r="X33" t="s">
        <v>1119</v>
      </c>
      <c r="Y33" t="s">
        <v>1119</v>
      </c>
      <c r="Z33" t="s">
        <v>1119</v>
      </c>
      <c r="AA33" t="s">
        <v>1119</v>
      </c>
      <c r="AB33">
        <v>30</v>
      </c>
      <c r="AC33">
        <v>48.75</v>
      </c>
      <c r="AD33" t="s">
        <v>1119</v>
      </c>
      <c r="AE33" t="s">
        <v>1119</v>
      </c>
      <c r="AF33" t="s">
        <v>1119</v>
      </c>
      <c r="AG33">
        <v>1.19</v>
      </c>
      <c r="AH33" t="s">
        <v>1114</v>
      </c>
      <c r="AI33" t="s">
        <v>1119</v>
      </c>
      <c r="AJ33" t="s">
        <v>1119</v>
      </c>
      <c r="AK33">
        <v>900</v>
      </c>
      <c r="AL33" t="s">
        <v>1119</v>
      </c>
      <c r="AM33">
        <v>1</v>
      </c>
      <c r="AN33">
        <v>0.7</v>
      </c>
    </row>
    <row r="34" spans="1:40" x14ac:dyDescent="0.15">
      <c r="A34" s="117" t="s">
        <v>1432</v>
      </c>
      <c r="B34" t="s">
        <v>2</v>
      </c>
      <c r="C34" t="s">
        <v>23</v>
      </c>
      <c r="D34" t="s">
        <v>37</v>
      </c>
      <c r="E34" t="s">
        <v>68</v>
      </c>
      <c r="F34" t="s">
        <v>99</v>
      </c>
      <c r="G34">
        <v>0.75</v>
      </c>
      <c r="H34" t="s">
        <v>1114</v>
      </c>
      <c r="I34" t="s">
        <v>1119</v>
      </c>
      <c r="J34">
        <v>34.799999999999997</v>
      </c>
      <c r="K34" t="s">
        <v>1189</v>
      </c>
      <c r="L34" t="s">
        <v>1195</v>
      </c>
      <c r="M34" t="s">
        <v>1119</v>
      </c>
      <c r="N34">
        <v>-0.21</v>
      </c>
      <c r="O34" t="s">
        <v>1119</v>
      </c>
      <c r="P34">
        <v>1.3100000000000001E-2</v>
      </c>
      <c r="Q34">
        <v>3.0880000000000001</v>
      </c>
      <c r="R34" t="s">
        <v>1189</v>
      </c>
      <c r="S34" t="s">
        <v>1201</v>
      </c>
      <c r="T34" t="s">
        <v>1202</v>
      </c>
      <c r="U34">
        <v>2</v>
      </c>
      <c r="V34" t="s">
        <v>1114</v>
      </c>
      <c r="W34">
        <v>40</v>
      </c>
      <c r="X34" t="s">
        <v>1189</v>
      </c>
      <c r="Y34" t="s">
        <v>1195</v>
      </c>
      <c r="Z34">
        <v>0.77909002204062183</v>
      </c>
      <c r="AA34">
        <v>1.51</v>
      </c>
      <c r="AB34">
        <v>24.5</v>
      </c>
      <c r="AC34">
        <v>232</v>
      </c>
      <c r="AD34" t="s">
        <v>1119</v>
      </c>
      <c r="AE34">
        <v>23.6</v>
      </c>
      <c r="AF34" t="s">
        <v>1189</v>
      </c>
      <c r="AG34">
        <v>1.30160481130584</v>
      </c>
      <c r="AH34" t="s">
        <v>1114</v>
      </c>
      <c r="AI34">
        <v>5.3685400000000001E-2</v>
      </c>
      <c r="AJ34">
        <v>5.0729199999999999</v>
      </c>
      <c r="AK34" t="s">
        <v>1119</v>
      </c>
      <c r="AL34" t="s">
        <v>1189</v>
      </c>
      <c r="AM34">
        <v>1</v>
      </c>
      <c r="AN34">
        <v>0.84</v>
      </c>
    </row>
    <row r="35" spans="1:40" x14ac:dyDescent="0.15">
      <c r="A35" s="117" t="s">
        <v>1402</v>
      </c>
      <c r="B35" t="s">
        <v>2</v>
      </c>
      <c r="C35" t="s">
        <v>15</v>
      </c>
      <c r="D35" t="s">
        <v>27</v>
      </c>
      <c r="E35" t="s">
        <v>46</v>
      </c>
      <c r="F35" t="s">
        <v>77</v>
      </c>
      <c r="G35">
        <v>0.69</v>
      </c>
      <c r="H35" t="s">
        <v>1114</v>
      </c>
      <c r="I35" t="s">
        <v>1119</v>
      </c>
      <c r="J35">
        <v>184</v>
      </c>
      <c r="K35" t="s">
        <v>1189</v>
      </c>
      <c r="L35" t="s">
        <v>1194</v>
      </c>
      <c r="M35" t="s">
        <v>1119</v>
      </c>
      <c r="N35">
        <v>-2.4199999999999999E-2</v>
      </c>
      <c r="O35" t="s">
        <v>1119</v>
      </c>
      <c r="P35">
        <v>2.0200000000000003E-2</v>
      </c>
      <c r="Q35">
        <v>3</v>
      </c>
      <c r="R35" t="s">
        <v>1189</v>
      </c>
      <c r="S35" t="s">
        <v>1201</v>
      </c>
      <c r="T35" t="s">
        <v>1202</v>
      </c>
      <c r="U35">
        <v>26.3</v>
      </c>
      <c r="V35" t="s">
        <v>1114</v>
      </c>
      <c r="W35">
        <v>170</v>
      </c>
      <c r="X35" t="s">
        <v>1189</v>
      </c>
      <c r="Y35" t="s">
        <v>1195</v>
      </c>
      <c r="Z35">
        <v>0.2</v>
      </c>
      <c r="AA35">
        <v>0.22314355131420971</v>
      </c>
      <c r="AB35">
        <v>53.8</v>
      </c>
      <c r="AC35">
        <v>970</v>
      </c>
      <c r="AD35" t="s">
        <v>1119</v>
      </c>
      <c r="AE35">
        <v>60</v>
      </c>
      <c r="AF35" t="s">
        <v>1189</v>
      </c>
      <c r="AG35">
        <v>0.54776259710717223</v>
      </c>
      <c r="AH35" t="s">
        <v>1114</v>
      </c>
      <c r="AI35">
        <v>1</v>
      </c>
      <c r="AJ35">
        <v>3</v>
      </c>
      <c r="AK35" t="s">
        <v>1119</v>
      </c>
      <c r="AL35" t="s">
        <v>1202</v>
      </c>
      <c r="AM35">
        <v>1</v>
      </c>
      <c r="AN35">
        <v>0.5</v>
      </c>
    </row>
    <row r="36" spans="1:40" x14ac:dyDescent="0.15">
      <c r="A36" s="117" t="s">
        <v>1433</v>
      </c>
      <c r="B36" t="s">
        <v>2</v>
      </c>
      <c r="C36" t="s">
        <v>15</v>
      </c>
      <c r="D36" t="s">
        <v>28</v>
      </c>
      <c r="E36" t="s">
        <v>48</v>
      </c>
      <c r="F36" t="s">
        <v>79</v>
      </c>
      <c r="G36">
        <v>1.125</v>
      </c>
      <c r="H36" t="s">
        <v>1114</v>
      </c>
      <c r="I36">
        <v>0.41000000000000003</v>
      </c>
      <c r="J36">
        <v>175.41000000000003</v>
      </c>
      <c r="K36" t="s">
        <v>1192</v>
      </c>
      <c r="L36" t="s">
        <v>1194</v>
      </c>
      <c r="M36">
        <v>4.1449999999999996</v>
      </c>
      <c r="N36">
        <v>0</v>
      </c>
      <c r="O36" t="s">
        <v>1119</v>
      </c>
      <c r="P36">
        <v>1.82E-3</v>
      </c>
      <c r="Q36">
        <v>3.15</v>
      </c>
      <c r="R36" t="s">
        <v>1192</v>
      </c>
      <c r="S36" t="s">
        <v>1201</v>
      </c>
      <c r="T36" t="s">
        <v>1202</v>
      </c>
      <c r="U36">
        <v>9</v>
      </c>
      <c r="V36" t="s">
        <v>1114</v>
      </c>
      <c r="W36">
        <v>40</v>
      </c>
      <c r="X36" t="s">
        <v>1189</v>
      </c>
      <c r="Y36" t="s">
        <v>1195</v>
      </c>
      <c r="Z36">
        <v>0.29531191028128656</v>
      </c>
      <c r="AA36">
        <v>0.35</v>
      </c>
      <c r="AB36">
        <v>30</v>
      </c>
      <c r="AC36">
        <v>231.65462728124115</v>
      </c>
      <c r="AD36" t="s">
        <v>1119</v>
      </c>
      <c r="AE36">
        <v>142.96241264225978</v>
      </c>
      <c r="AF36" t="s">
        <v>1192</v>
      </c>
      <c r="AG36">
        <v>1.5</v>
      </c>
      <c r="AH36" t="s">
        <v>1114</v>
      </c>
      <c r="AI36">
        <v>1</v>
      </c>
      <c r="AJ36">
        <v>3</v>
      </c>
      <c r="AK36" t="s">
        <v>1119</v>
      </c>
      <c r="AL36" t="s">
        <v>1202</v>
      </c>
      <c r="AM36">
        <v>1</v>
      </c>
      <c r="AN36">
        <v>0.7</v>
      </c>
    </row>
    <row r="37" spans="1:40" x14ac:dyDescent="0.15">
      <c r="A37" s="117" t="s">
        <v>1434</v>
      </c>
      <c r="B37" t="s">
        <v>2</v>
      </c>
      <c r="C37" t="s">
        <v>15</v>
      </c>
      <c r="D37" t="s">
        <v>32</v>
      </c>
      <c r="E37" t="s">
        <v>53</v>
      </c>
      <c r="F37" t="s">
        <v>482</v>
      </c>
      <c r="G37">
        <v>0.47</v>
      </c>
      <c r="H37" t="s">
        <v>1114</v>
      </c>
      <c r="I37" t="s">
        <v>1122</v>
      </c>
      <c r="J37">
        <v>40.799999999999997</v>
      </c>
      <c r="K37" t="s">
        <v>1189</v>
      </c>
      <c r="L37" t="s">
        <v>1195</v>
      </c>
      <c r="M37" t="s">
        <v>1119</v>
      </c>
      <c r="N37">
        <v>-0.32</v>
      </c>
      <c r="O37" t="s">
        <v>1119</v>
      </c>
      <c r="P37">
        <v>1.7000000000000001E-2</v>
      </c>
      <c r="Q37">
        <v>3.0422600000000002</v>
      </c>
      <c r="R37" t="s">
        <v>1189</v>
      </c>
      <c r="S37" t="s">
        <v>1201</v>
      </c>
      <c r="T37" t="s">
        <v>1202</v>
      </c>
      <c r="U37">
        <v>15</v>
      </c>
      <c r="V37" t="s">
        <v>1114</v>
      </c>
      <c r="W37">
        <v>50</v>
      </c>
      <c r="X37" t="s">
        <v>1189</v>
      </c>
      <c r="Y37" t="s">
        <v>1195</v>
      </c>
      <c r="Z37">
        <v>0.54159398869477648</v>
      </c>
      <c r="AA37">
        <v>0.78</v>
      </c>
      <c r="AB37">
        <v>28</v>
      </c>
      <c r="AC37">
        <v>234</v>
      </c>
      <c r="AD37" t="s">
        <v>1119</v>
      </c>
      <c r="AE37">
        <v>20</v>
      </c>
      <c r="AF37" t="s">
        <v>1189</v>
      </c>
      <c r="AG37">
        <v>1.1134661589422208</v>
      </c>
      <c r="AH37" t="s">
        <v>1114</v>
      </c>
      <c r="AI37" t="s">
        <v>1119</v>
      </c>
      <c r="AJ37" t="s">
        <v>1119</v>
      </c>
      <c r="AK37">
        <v>1555196.3549976789</v>
      </c>
      <c r="AL37" t="s">
        <v>1119</v>
      </c>
      <c r="AM37">
        <v>1</v>
      </c>
      <c r="AN37">
        <v>0.7</v>
      </c>
    </row>
    <row r="38" spans="1:40" x14ac:dyDescent="0.15">
      <c r="A38" s="117" t="s">
        <v>1435</v>
      </c>
      <c r="B38" t="s">
        <v>2</v>
      </c>
      <c r="C38" t="s">
        <v>15</v>
      </c>
      <c r="D38" t="s">
        <v>32</v>
      </c>
      <c r="E38" t="s">
        <v>54</v>
      </c>
      <c r="F38" t="s">
        <v>1177</v>
      </c>
      <c r="G38">
        <v>0.38</v>
      </c>
      <c r="H38" t="s">
        <v>1114</v>
      </c>
      <c r="I38" t="s">
        <v>1119</v>
      </c>
      <c r="J38">
        <v>35.5</v>
      </c>
      <c r="K38" t="s">
        <v>1189</v>
      </c>
      <c r="L38" t="s">
        <v>1195</v>
      </c>
      <c r="M38" t="s">
        <v>1119</v>
      </c>
      <c r="N38">
        <v>-0.41</v>
      </c>
      <c r="O38" t="s">
        <v>1119</v>
      </c>
      <c r="P38">
        <v>1.7299999999999999E-2</v>
      </c>
      <c r="Q38">
        <v>3.02583</v>
      </c>
      <c r="R38" t="s">
        <v>1189</v>
      </c>
      <c r="S38" t="s">
        <v>1201</v>
      </c>
      <c r="T38" t="s">
        <v>1202</v>
      </c>
      <c r="U38">
        <v>14</v>
      </c>
      <c r="V38" t="s">
        <v>1114</v>
      </c>
      <c r="W38">
        <v>60</v>
      </c>
      <c r="X38" t="s">
        <v>1189</v>
      </c>
      <c r="Y38" t="s">
        <v>1195</v>
      </c>
      <c r="Z38">
        <v>0.54159398869477648</v>
      </c>
      <c r="AA38">
        <v>0.78</v>
      </c>
      <c r="AB38">
        <v>25</v>
      </c>
      <c r="AC38">
        <v>234</v>
      </c>
      <c r="AD38" t="s">
        <v>1119</v>
      </c>
      <c r="AE38">
        <v>23.751416307912873</v>
      </c>
      <c r="AF38" t="s">
        <v>1189</v>
      </c>
      <c r="AG38">
        <v>2.5</v>
      </c>
      <c r="AH38" t="s">
        <v>1114</v>
      </c>
      <c r="AI38">
        <v>1</v>
      </c>
      <c r="AJ38">
        <v>3</v>
      </c>
      <c r="AK38" t="s">
        <v>1119</v>
      </c>
      <c r="AL38" t="s">
        <v>1202</v>
      </c>
      <c r="AM38">
        <v>1</v>
      </c>
      <c r="AN38">
        <v>0.5</v>
      </c>
    </row>
    <row r="39" spans="1:40" x14ac:dyDescent="0.15">
      <c r="A39" s="117" t="s">
        <v>1436</v>
      </c>
      <c r="B39" t="s">
        <v>2</v>
      </c>
      <c r="C39" t="s">
        <v>15</v>
      </c>
      <c r="D39" t="s">
        <v>33</v>
      </c>
      <c r="E39" t="s">
        <v>55</v>
      </c>
      <c r="F39" t="s">
        <v>481</v>
      </c>
      <c r="G39">
        <v>0.19</v>
      </c>
      <c r="H39" t="s">
        <v>1114</v>
      </c>
      <c r="I39" t="s">
        <v>1119</v>
      </c>
      <c r="J39">
        <v>105</v>
      </c>
      <c r="K39" t="s">
        <v>1189</v>
      </c>
      <c r="L39" t="s">
        <v>1195</v>
      </c>
      <c r="M39" t="s">
        <v>1119</v>
      </c>
      <c r="N39">
        <v>-0.63</v>
      </c>
      <c r="O39" t="s">
        <v>1119</v>
      </c>
      <c r="P39">
        <v>2.8000000000000001E-2</v>
      </c>
      <c r="Q39">
        <v>2.8442600000000002</v>
      </c>
      <c r="R39" t="s">
        <v>1189</v>
      </c>
      <c r="S39" t="s">
        <v>1201</v>
      </c>
      <c r="T39" t="s">
        <v>1202</v>
      </c>
      <c r="U39">
        <v>31</v>
      </c>
      <c r="V39" t="s">
        <v>1114</v>
      </c>
      <c r="W39">
        <v>110.6</v>
      </c>
      <c r="X39" t="s">
        <v>1189</v>
      </c>
      <c r="Y39" t="s">
        <v>1194</v>
      </c>
      <c r="Z39">
        <v>0.30926566936264532</v>
      </c>
      <c r="AA39">
        <v>0.37</v>
      </c>
      <c r="AB39">
        <v>25</v>
      </c>
      <c r="AC39">
        <v>158000</v>
      </c>
      <c r="AD39" t="s">
        <v>1119</v>
      </c>
      <c r="AE39">
        <v>53.3</v>
      </c>
      <c r="AF39" t="s">
        <v>1189</v>
      </c>
      <c r="AG39">
        <v>3.0989608875954735</v>
      </c>
      <c r="AH39" t="s">
        <v>1114</v>
      </c>
      <c r="AI39" t="s">
        <v>1119</v>
      </c>
      <c r="AJ39" t="s">
        <v>1119</v>
      </c>
      <c r="AK39">
        <v>9390492.1149223279</v>
      </c>
      <c r="AL39" t="s">
        <v>1119</v>
      </c>
      <c r="AM39">
        <v>1</v>
      </c>
      <c r="AN39">
        <v>0.75333333333333341</v>
      </c>
    </row>
    <row r="40" spans="1:40" x14ac:dyDescent="0.15">
      <c r="A40" s="117" t="s">
        <v>1437</v>
      </c>
      <c r="B40" t="s">
        <v>2</v>
      </c>
      <c r="C40" t="s">
        <v>15</v>
      </c>
      <c r="D40" t="s">
        <v>35</v>
      </c>
      <c r="E40" t="s">
        <v>60</v>
      </c>
      <c r="F40" t="s">
        <v>91</v>
      </c>
      <c r="G40" t="s">
        <v>1119</v>
      </c>
      <c r="H40" t="s">
        <v>1119</v>
      </c>
      <c r="I40" t="s">
        <v>1119</v>
      </c>
      <c r="J40" t="s">
        <v>1119</v>
      </c>
      <c r="K40" t="s">
        <v>1119</v>
      </c>
      <c r="L40" t="s">
        <v>1119</v>
      </c>
      <c r="M40" t="s">
        <v>1119</v>
      </c>
      <c r="N40" t="s">
        <v>1119</v>
      </c>
      <c r="O40" t="s">
        <v>1119</v>
      </c>
      <c r="P40" t="s">
        <v>1119</v>
      </c>
      <c r="Q40" t="s">
        <v>1119</v>
      </c>
      <c r="R40" t="s">
        <v>1119</v>
      </c>
      <c r="S40" t="s">
        <v>1119</v>
      </c>
      <c r="T40" t="s">
        <v>1119</v>
      </c>
      <c r="U40">
        <v>15</v>
      </c>
      <c r="V40" t="s">
        <v>1115</v>
      </c>
      <c r="W40" t="s">
        <v>1119</v>
      </c>
      <c r="X40" t="s">
        <v>1119</v>
      </c>
      <c r="Y40" t="s">
        <v>1119</v>
      </c>
      <c r="Z40" t="s">
        <v>1119</v>
      </c>
      <c r="AA40" t="s">
        <v>1119</v>
      </c>
      <c r="AB40">
        <v>30</v>
      </c>
      <c r="AC40">
        <v>48.75</v>
      </c>
      <c r="AD40" t="s">
        <v>1119</v>
      </c>
      <c r="AE40" t="s">
        <v>1119</v>
      </c>
      <c r="AF40" t="s">
        <v>1119</v>
      </c>
      <c r="AG40">
        <v>1.19</v>
      </c>
      <c r="AH40" t="s">
        <v>1114</v>
      </c>
      <c r="AI40" t="s">
        <v>1119</v>
      </c>
      <c r="AJ40" t="s">
        <v>1119</v>
      </c>
      <c r="AK40">
        <v>900</v>
      </c>
      <c r="AL40" t="s">
        <v>1119</v>
      </c>
      <c r="AM40">
        <v>1</v>
      </c>
      <c r="AN40">
        <v>0.7</v>
      </c>
    </row>
    <row r="41" spans="1:40" x14ac:dyDescent="0.15">
      <c r="A41" s="117" t="s">
        <v>1438</v>
      </c>
      <c r="B41" t="s">
        <v>2</v>
      </c>
      <c r="C41" t="s">
        <v>15</v>
      </c>
      <c r="D41" t="s">
        <v>37</v>
      </c>
      <c r="E41" t="s">
        <v>69</v>
      </c>
      <c r="F41" t="s">
        <v>480</v>
      </c>
      <c r="G41">
        <v>1.89</v>
      </c>
      <c r="H41" t="s">
        <v>1114</v>
      </c>
      <c r="I41" t="s">
        <v>1119</v>
      </c>
      <c r="J41">
        <v>25.2</v>
      </c>
      <c r="K41" t="s">
        <v>1189</v>
      </c>
      <c r="L41" t="s">
        <v>1195</v>
      </c>
      <c r="M41" t="s">
        <v>1119</v>
      </c>
      <c r="N41">
        <v>-0.09</v>
      </c>
      <c r="O41" t="s">
        <v>1119</v>
      </c>
      <c r="P41">
        <v>1.2E-2</v>
      </c>
      <c r="Q41">
        <v>3.0110000000000001</v>
      </c>
      <c r="R41" t="s">
        <v>1189</v>
      </c>
      <c r="S41" t="s">
        <v>1195</v>
      </c>
      <c r="T41" t="s">
        <v>1202</v>
      </c>
      <c r="U41">
        <v>7.8</v>
      </c>
      <c r="V41" t="s">
        <v>1114</v>
      </c>
      <c r="W41">
        <v>30</v>
      </c>
      <c r="X41" t="s">
        <v>1189</v>
      </c>
      <c r="Y41" t="s">
        <v>1195</v>
      </c>
      <c r="Z41">
        <v>0.72472921691024772</v>
      </c>
      <c r="AA41">
        <v>1.29</v>
      </c>
      <c r="AB41">
        <v>27.5</v>
      </c>
      <c r="AC41">
        <v>118</v>
      </c>
      <c r="AD41" t="s">
        <v>1119</v>
      </c>
      <c r="AE41">
        <v>18</v>
      </c>
      <c r="AF41" t="s">
        <v>1189</v>
      </c>
      <c r="AG41">
        <v>0.57283754946844889</v>
      </c>
      <c r="AH41" t="s">
        <v>1114</v>
      </c>
      <c r="AI41">
        <v>5.3685400000000001E-2</v>
      </c>
      <c r="AJ41">
        <v>5.0729199999999999</v>
      </c>
      <c r="AK41" t="s">
        <v>1119</v>
      </c>
      <c r="AL41" t="s">
        <v>1189</v>
      </c>
      <c r="AM41">
        <v>1</v>
      </c>
      <c r="AN41">
        <v>0.84</v>
      </c>
    </row>
    <row r="42" spans="1:40" x14ac:dyDescent="0.15">
      <c r="A42" s="117" t="s">
        <v>1399</v>
      </c>
      <c r="B42" t="s">
        <v>2</v>
      </c>
      <c r="C42" t="s">
        <v>13</v>
      </c>
      <c r="D42" t="s">
        <v>485</v>
      </c>
      <c r="E42" t="s">
        <v>470</v>
      </c>
      <c r="F42" t="s">
        <v>471</v>
      </c>
      <c r="G42">
        <v>0.32</v>
      </c>
      <c r="H42" t="s">
        <v>1114</v>
      </c>
      <c r="I42" t="s">
        <v>1119</v>
      </c>
      <c r="J42">
        <v>62.2</v>
      </c>
      <c r="K42" t="s">
        <v>1189</v>
      </c>
      <c r="L42" t="s">
        <v>1195</v>
      </c>
      <c r="M42" t="s">
        <v>1119</v>
      </c>
      <c r="N42">
        <v>-0.42</v>
      </c>
      <c r="O42" t="s">
        <v>1119</v>
      </c>
      <c r="P42">
        <v>1.374E-2</v>
      </c>
      <c r="Q42">
        <v>3</v>
      </c>
      <c r="R42" t="s">
        <v>1189</v>
      </c>
      <c r="S42" t="s">
        <v>1195</v>
      </c>
      <c r="T42" t="s">
        <v>1202</v>
      </c>
      <c r="U42">
        <v>9</v>
      </c>
      <c r="V42" t="s">
        <v>1114</v>
      </c>
      <c r="W42">
        <v>60</v>
      </c>
      <c r="X42" t="s">
        <v>1189</v>
      </c>
      <c r="Y42" t="s">
        <v>1195</v>
      </c>
      <c r="Z42">
        <v>0.59</v>
      </c>
      <c r="AA42">
        <v>0.89159811928378352</v>
      </c>
      <c r="AB42">
        <v>35</v>
      </c>
      <c r="AC42">
        <v>601</v>
      </c>
      <c r="AD42" t="s">
        <v>1119</v>
      </c>
      <c r="AE42">
        <v>34.1</v>
      </c>
      <c r="AF42" t="s">
        <v>1189</v>
      </c>
      <c r="AG42">
        <v>2.0630794481419805</v>
      </c>
      <c r="AH42" t="s">
        <v>1114</v>
      </c>
      <c r="AI42">
        <v>1</v>
      </c>
      <c r="AJ42">
        <v>3</v>
      </c>
      <c r="AK42" t="s">
        <v>1119</v>
      </c>
      <c r="AL42" t="s">
        <v>1202</v>
      </c>
      <c r="AM42">
        <v>1</v>
      </c>
      <c r="AN42">
        <v>0.7</v>
      </c>
    </row>
    <row r="43" spans="1:40" x14ac:dyDescent="0.15">
      <c r="A43" s="117" t="s">
        <v>1439</v>
      </c>
      <c r="B43" t="s">
        <v>2</v>
      </c>
      <c r="C43" t="s">
        <v>13</v>
      </c>
      <c r="D43" t="s">
        <v>27</v>
      </c>
      <c r="E43" t="s">
        <v>45</v>
      </c>
      <c r="F43" t="s">
        <v>76</v>
      </c>
      <c r="G43">
        <v>0.19400000000000001</v>
      </c>
      <c r="H43" t="s">
        <v>1114</v>
      </c>
      <c r="I43" t="s">
        <v>1119</v>
      </c>
      <c r="J43">
        <v>97.3</v>
      </c>
      <c r="K43" t="s">
        <v>1189</v>
      </c>
      <c r="L43" t="s">
        <v>1194</v>
      </c>
      <c r="M43" t="s">
        <v>1119</v>
      </c>
      <c r="N43">
        <v>-0.19600000000000001</v>
      </c>
      <c r="O43" t="s">
        <v>1119</v>
      </c>
      <c r="P43">
        <v>1.9130000000000001E-2</v>
      </c>
      <c r="Q43">
        <v>2.94</v>
      </c>
      <c r="R43" t="s">
        <v>1189</v>
      </c>
      <c r="S43" t="s">
        <v>1194</v>
      </c>
      <c r="T43" t="s">
        <v>1202</v>
      </c>
      <c r="U43">
        <v>12.5</v>
      </c>
      <c r="V43" t="s">
        <v>1114</v>
      </c>
      <c r="W43">
        <v>117</v>
      </c>
      <c r="X43" t="s">
        <v>1189</v>
      </c>
      <c r="Y43" t="s">
        <v>1201</v>
      </c>
      <c r="Z43">
        <v>0.42</v>
      </c>
      <c r="AA43">
        <v>0.54472717544167193</v>
      </c>
      <c r="AB43">
        <v>57.6</v>
      </c>
      <c r="AC43">
        <v>4596</v>
      </c>
      <c r="AD43">
        <v>963</v>
      </c>
      <c r="AE43">
        <v>35</v>
      </c>
      <c r="AF43" t="s">
        <v>1189</v>
      </c>
      <c r="AG43">
        <v>2.1021317700956281</v>
      </c>
      <c r="AH43" t="s">
        <v>1114</v>
      </c>
      <c r="AI43">
        <v>2.2860000000000002E-9</v>
      </c>
      <c r="AJ43">
        <v>5.359</v>
      </c>
      <c r="AK43" t="s">
        <v>1119</v>
      </c>
      <c r="AL43" t="s">
        <v>1192</v>
      </c>
      <c r="AM43">
        <v>1</v>
      </c>
      <c r="AN43">
        <v>0.75</v>
      </c>
    </row>
    <row r="44" spans="1:40" x14ac:dyDescent="0.15">
      <c r="A44" s="117" t="s">
        <v>1440</v>
      </c>
      <c r="B44" t="s">
        <v>2</v>
      </c>
      <c r="C44" t="s">
        <v>13</v>
      </c>
      <c r="D44" t="s">
        <v>31</v>
      </c>
      <c r="E44" t="s">
        <v>51</v>
      </c>
      <c r="F44" t="s">
        <v>82</v>
      </c>
      <c r="G44">
        <v>0.53</v>
      </c>
      <c r="H44" t="s">
        <v>1114</v>
      </c>
      <c r="I44" t="s">
        <v>1119</v>
      </c>
      <c r="J44">
        <v>39.700000000000003</v>
      </c>
      <c r="K44" t="s">
        <v>1189</v>
      </c>
      <c r="L44" t="s">
        <v>1195</v>
      </c>
      <c r="M44" t="s">
        <v>1119</v>
      </c>
      <c r="N44">
        <v>-0.28000000000000003</v>
      </c>
      <c r="O44" t="s">
        <v>1119</v>
      </c>
      <c r="P44">
        <v>6.9999999999999999E-4</v>
      </c>
      <c r="Q44">
        <v>3.5750000000000002</v>
      </c>
      <c r="R44" t="s">
        <v>1189</v>
      </c>
      <c r="S44" t="s">
        <v>1194</v>
      </c>
      <c r="T44" t="s">
        <v>1202</v>
      </c>
      <c r="U44">
        <v>5.75</v>
      </c>
      <c r="V44" t="s">
        <v>1114</v>
      </c>
      <c r="W44">
        <v>38</v>
      </c>
      <c r="X44" t="s">
        <v>1189</v>
      </c>
      <c r="Y44" t="s">
        <v>1193</v>
      </c>
      <c r="Z44">
        <v>0.38121660819385916</v>
      </c>
      <c r="AA44">
        <v>0.48</v>
      </c>
      <c r="AB44">
        <v>29</v>
      </c>
      <c r="AC44">
        <v>205.34846085880417</v>
      </c>
      <c r="AD44" t="s">
        <v>1119</v>
      </c>
      <c r="AE44">
        <v>12.63</v>
      </c>
      <c r="AF44" t="s">
        <v>1189</v>
      </c>
      <c r="AG44">
        <v>0.44250015861685843</v>
      </c>
      <c r="AH44" t="s">
        <v>1114</v>
      </c>
      <c r="AI44" t="s">
        <v>1119</v>
      </c>
      <c r="AJ44" t="s">
        <v>1119</v>
      </c>
      <c r="AK44">
        <v>1622.5</v>
      </c>
      <c r="AL44" t="s">
        <v>1119</v>
      </c>
      <c r="AM44">
        <v>1</v>
      </c>
      <c r="AN44">
        <v>0.84</v>
      </c>
    </row>
    <row r="45" spans="1:40" x14ac:dyDescent="0.15">
      <c r="A45" s="117" t="s">
        <v>1441</v>
      </c>
      <c r="B45" t="s">
        <v>2</v>
      </c>
      <c r="C45" t="s">
        <v>13</v>
      </c>
      <c r="D45" t="s">
        <v>32</v>
      </c>
      <c r="E45" t="s">
        <v>53</v>
      </c>
      <c r="F45" t="s">
        <v>482</v>
      </c>
      <c r="G45">
        <v>0.47</v>
      </c>
      <c r="H45" t="s">
        <v>1114</v>
      </c>
      <c r="I45" t="s">
        <v>1122</v>
      </c>
      <c r="J45">
        <v>40.799999999999997</v>
      </c>
      <c r="K45" t="s">
        <v>1189</v>
      </c>
      <c r="L45" t="s">
        <v>1195</v>
      </c>
      <c r="M45" t="s">
        <v>1119</v>
      </c>
      <c r="N45">
        <v>-0.32</v>
      </c>
      <c r="O45" t="s">
        <v>1119</v>
      </c>
      <c r="P45">
        <v>1.7000000000000001E-2</v>
      </c>
      <c r="Q45">
        <v>3.0422600000000002</v>
      </c>
      <c r="R45" t="s">
        <v>1189</v>
      </c>
      <c r="S45" t="s">
        <v>1201</v>
      </c>
      <c r="T45" t="s">
        <v>1202</v>
      </c>
      <c r="U45">
        <v>15</v>
      </c>
      <c r="V45" t="s">
        <v>1114</v>
      </c>
      <c r="W45">
        <v>50</v>
      </c>
      <c r="X45" t="s">
        <v>1189</v>
      </c>
      <c r="Y45" t="s">
        <v>1195</v>
      </c>
      <c r="Z45">
        <v>0.54159398869477648</v>
      </c>
      <c r="AA45">
        <v>0.78</v>
      </c>
      <c r="AB45">
        <v>28</v>
      </c>
      <c r="AC45">
        <v>234</v>
      </c>
      <c r="AD45" t="s">
        <v>1119</v>
      </c>
      <c r="AE45">
        <v>20</v>
      </c>
      <c r="AF45" t="s">
        <v>1189</v>
      </c>
      <c r="AG45">
        <v>1.1134661589422208</v>
      </c>
      <c r="AH45" t="s">
        <v>1114</v>
      </c>
      <c r="AI45" t="s">
        <v>1119</v>
      </c>
      <c r="AJ45" t="s">
        <v>1119</v>
      </c>
      <c r="AK45">
        <v>1555196.3549976789</v>
      </c>
      <c r="AL45" t="s">
        <v>1119</v>
      </c>
      <c r="AM45">
        <v>1</v>
      </c>
      <c r="AN45">
        <v>0.7</v>
      </c>
    </row>
    <row r="46" spans="1:40" x14ac:dyDescent="0.15">
      <c r="A46" s="117" t="s">
        <v>1442</v>
      </c>
      <c r="B46" t="s">
        <v>2</v>
      </c>
      <c r="C46" t="s">
        <v>13</v>
      </c>
      <c r="D46" t="s">
        <v>34</v>
      </c>
      <c r="E46" t="s">
        <v>59</v>
      </c>
      <c r="F46" t="s">
        <v>90</v>
      </c>
      <c r="G46">
        <v>0.25</v>
      </c>
      <c r="H46" t="s">
        <v>1114</v>
      </c>
      <c r="I46">
        <v>0.05</v>
      </c>
      <c r="J46">
        <v>41.9</v>
      </c>
      <c r="K46" t="s">
        <v>1189</v>
      </c>
      <c r="L46" t="s">
        <v>1194</v>
      </c>
      <c r="M46">
        <v>3.6</v>
      </c>
      <c r="N46">
        <v>-7.3999999999999996E-2</v>
      </c>
      <c r="O46">
        <v>0.14000000000000001</v>
      </c>
      <c r="P46">
        <v>7.9000000000000001E-4</v>
      </c>
      <c r="Q46">
        <v>3.2509999999999999</v>
      </c>
      <c r="R46" t="s">
        <v>1189</v>
      </c>
      <c r="S46" t="s">
        <v>1201</v>
      </c>
      <c r="T46" t="s">
        <v>1202</v>
      </c>
      <c r="U46">
        <v>7.5</v>
      </c>
      <c r="V46" t="s">
        <v>1114</v>
      </c>
      <c r="W46">
        <v>26.5</v>
      </c>
      <c r="X46" t="s">
        <v>1189</v>
      </c>
      <c r="Y46" t="s">
        <v>1201</v>
      </c>
      <c r="Z46">
        <v>0.84276283368637239</v>
      </c>
      <c r="AA46">
        <v>1.85</v>
      </c>
      <c r="AB46">
        <v>22</v>
      </c>
      <c r="AC46">
        <v>88.029412566074129</v>
      </c>
      <c r="AD46" t="s">
        <v>1119</v>
      </c>
      <c r="AE46">
        <v>15</v>
      </c>
      <c r="AF46" t="s">
        <v>1189</v>
      </c>
      <c r="AG46">
        <v>1.6986381612811945</v>
      </c>
      <c r="AH46" t="s">
        <v>1114</v>
      </c>
      <c r="AI46">
        <v>5.0000000000000002E-5</v>
      </c>
      <c r="AJ46">
        <v>3.7469999999999999</v>
      </c>
      <c r="AK46" t="s">
        <v>1119</v>
      </c>
      <c r="AL46" t="s">
        <v>1192</v>
      </c>
      <c r="AM46">
        <v>1</v>
      </c>
      <c r="AN46">
        <v>0.84</v>
      </c>
    </row>
    <row r="47" spans="1:40" x14ac:dyDescent="0.15">
      <c r="A47" s="117" t="s">
        <v>1443</v>
      </c>
      <c r="B47" t="s">
        <v>2</v>
      </c>
      <c r="C47" t="s">
        <v>13</v>
      </c>
      <c r="D47" t="s">
        <v>35</v>
      </c>
      <c r="E47" t="s">
        <v>63</v>
      </c>
      <c r="F47" t="s">
        <v>95</v>
      </c>
      <c r="G47">
        <v>1.0549999999999999</v>
      </c>
      <c r="H47" t="s">
        <v>1114</v>
      </c>
      <c r="I47" t="s">
        <v>1119</v>
      </c>
      <c r="J47">
        <v>207.5</v>
      </c>
      <c r="K47" t="s">
        <v>1192</v>
      </c>
      <c r="L47" t="s">
        <v>1197</v>
      </c>
      <c r="M47" t="s">
        <v>1119</v>
      </c>
      <c r="N47">
        <v>-4.4249999999999998E-2</v>
      </c>
      <c r="O47" t="s">
        <v>1119</v>
      </c>
      <c r="P47">
        <v>7.6639999999999998E-6</v>
      </c>
      <c r="Q47">
        <v>3.4380000000000002</v>
      </c>
      <c r="R47" t="s">
        <v>1192</v>
      </c>
      <c r="S47" t="s">
        <v>1197</v>
      </c>
      <c r="T47" t="s">
        <v>1202</v>
      </c>
      <c r="U47">
        <v>3</v>
      </c>
      <c r="V47" t="s">
        <v>1114</v>
      </c>
      <c r="W47">
        <v>178</v>
      </c>
      <c r="X47" t="s">
        <v>1192</v>
      </c>
      <c r="Y47" t="s">
        <v>1197</v>
      </c>
      <c r="Z47">
        <v>0.82182694822710156</v>
      </c>
      <c r="AA47">
        <v>1.7250000000000001</v>
      </c>
      <c r="AB47">
        <v>35.5</v>
      </c>
      <c r="AC47">
        <v>2000</v>
      </c>
      <c r="AD47" t="s">
        <v>1119</v>
      </c>
      <c r="AE47">
        <v>101.1</v>
      </c>
      <c r="AF47" t="s">
        <v>1192</v>
      </c>
      <c r="AG47">
        <v>0.58885498840114592</v>
      </c>
      <c r="AH47" t="s">
        <v>1114</v>
      </c>
      <c r="AI47" t="s">
        <v>1119</v>
      </c>
      <c r="AJ47" t="s">
        <v>1119</v>
      </c>
      <c r="AK47">
        <v>196445</v>
      </c>
      <c r="AL47" t="s">
        <v>1119</v>
      </c>
      <c r="AM47">
        <v>1</v>
      </c>
      <c r="AN47">
        <v>0.7</v>
      </c>
    </row>
    <row r="48" spans="1:40" x14ac:dyDescent="0.15">
      <c r="A48" s="117" t="s">
        <v>1444</v>
      </c>
      <c r="B48" t="s">
        <v>2</v>
      </c>
      <c r="C48" t="s">
        <v>13</v>
      </c>
      <c r="D48" t="s">
        <v>38</v>
      </c>
      <c r="E48" t="s">
        <v>70</v>
      </c>
      <c r="F48" t="s">
        <v>101</v>
      </c>
      <c r="G48">
        <v>0.3</v>
      </c>
      <c r="H48" t="s">
        <v>1114</v>
      </c>
      <c r="I48" t="s">
        <v>1119</v>
      </c>
      <c r="J48">
        <v>44.6</v>
      </c>
      <c r="K48" t="s">
        <v>1189</v>
      </c>
      <c r="L48" t="s">
        <v>1195</v>
      </c>
      <c r="M48" t="s">
        <v>1119</v>
      </c>
      <c r="N48">
        <v>-0.82</v>
      </c>
      <c r="O48" t="s">
        <v>1119</v>
      </c>
      <c r="P48">
        <v>4.4000000000000003E-3</v>
      </c>
      <c r="Q48">
        <v>3.0830000000000002</v>
      </c>
      <c r="R48" t="s">
        <v>1189</v>
      </c>
      <c r="S48" t="s">
        <v>1201</v>
      </c>
      <c r="T48" t="s">
        <v>1202</v>
      </c>
      <c r="U48">
        <v>5</v>
      </c>
      <c r="V48" t="s">
        <v>1114</v>
      </c>
      <c r="W48">
        <v>60</v>
      </c>
      <c r="X48" t="s">
        <v>1189</v>
      </c>
      <c r="Y48" t="s">
        <v>1195</v>
      </c>
      <c r="Z48">
        <v>0.55067103588277844</v>
      </c>
      <c r="AA48">
        <v>0.8</v>
      </c>
      <c r="AB48">
        <v>1.2</v>
      </c>
      <c r="AC48">
        <v>600.69696597657867</v>
      </c>
      <c r="AD48" t="s">
        <v>1119</v>
      </c>
      <c r="AE48">
        <v>27.108170975149676</v>
      </c>
      <c r="AF48" t="s">
        <v>1189</v>
      </c>
      <c r="AG48">
        <v>2.2999999999999998</v>
      </c>
      <c r="AH48" t="s">
        <v>1114</v>
      </c>
      <c r="AI48">
        <v>1</v>
      </c>
      <c r="AJ48">
        <v>3</v>
      </c>
      <c r="AK48" t="s">
        <v>1119</v>
      </c>
      <c r="AL48" t="s">
        <v>1202</v>
      </c>
      <c r="AM48">
        <v>1</v>
      </c>
      <c r="AN48">
        <v>0.7</v>
      </c>
    </row>
    <row r="49" spans="1:40" x14ac:dyDescent="0.15">
      <c r="A49" s="117" t="s">
        <v>1393</v>
      </c>
      <c r="B49" t="s">
        <v>2</v>
      </c>
      <c r="C49" t="s">
        <v>18</v>
      </c>
      <c r="D49" t="s">
        <v>25</v>
      </c>
      <c r="E49" t="s">
        <v>43</v>
      </c>
      <c r="F49" t="s">
        <v>478</v>
      </c>
      <c r="G49">
        <v>0.56999999999999995</v>
      </c>
      <c r="H49" t="s">
        <v>1114</v>
      </c>
      <c r="I49" t="s">
        <v>1119</v>
      </c>
      <c r="J49">
        <v>15.2</v>
      </c>
      <c r="K49" t="s">
        <v>1189</v>
      </c>
      <c r="L49" t="s">
        <v>1201</v>
      </c>
      <c r="M49" t="s">
        <v>1119</v>
      </c>
      <c r="N49">
        <v>0</v>
      </c>
      <c r="O49" t="s">
        <v>1119</v>
      </c>
      <c r="P49">
        <v>2.3800000000000002E-2</v>
      </c>
      <c r="Q49">
        <v>2.97</v>
      </c>
      <c r="R49" t="s">
        <v>1189</v>
      </c>
      <c r="S49" t="s">
        <v>1201</v>
      </c>
      <c r="T49" t="s">
        <v>1202</v>
      </c>
      <c r="U49">
        <v>16</v>
      </c>
      <c r="V49" t="s">
        <v>1114</v>
      </c>
      <c r="W49">
        <v>21</v>
      </c>
      <c r="X49" t="s">
        <v>1189</v>
      </c>
      <c r="Y49" t="s">
        <v>1195</v>
      </c>
      <c r="Z49">
        <v>0.18126924692201818</v>
      </c>
      <c r="AA49">
        <v>0.2</v>
      </c>
      <c r="AB49">
        <v>31</v>
      </c>
      <c r="AC49">
        <v>50.958348270198996</v>
      </c>
      <c r="AD49" t="s">
        <v>1119</v>
      </c>
      <c r="AE49">
        <v>12</v>
      </c>
      <c r="AF49" t="s">
        <v>1189</v>
      </c>
      <c r="AG49">
        <v>2.7335870492044743</v>
      </c>
      <c r="AH49" t="s">
        <v>1114</v>
      </c>
      <c r="AI49">
        <v>1</v>
      </c>
      <c r="AJ49">
        <v>3</v>
      </c>
      <c r="AK49" t="s">
        <v>1119</v>
      </c>
      <c r="AL49" t="s">
        <v>1202</v>
      </c>
      <c r="AM49">
        <v>1</v>
      </c>
      <c r="AN49">
        <v>0.7</v>
      </c>
    </row>
    <row r="50" spans="1:40" x14ac:dyDescent="0.15">
      <c r="A50" s="117" t="s">
        <v>1445</v>
      </c>
      <c r="B50" t="s">
        <v>2</v>
      </c>
      <c r="C50" t="s">
        <v>18</v>
      </c>
      <c r="D50" t="s">
        <v>28</v>
      </c>
      <c r="E50" t="s">
        <v>48</v>
      </c>
      <c r="F50" t="s">
        <v>79</v>
      </c>
      <c r="G50">
        <v>1.125</v>
      </c>
      <c r="H50" t="s">
        <v>1114</v>
      </c>
      <c r="I50">
        <v>0.41000000000000003</v>
      </c>
      <c r="J50">
        <v>175.41000000000003</v>
      </c>
      <c r="K50" t="s">
        <v>1192</v>
      </c>
      <c r="L50" t="s">
        <v>1194</v>
      </c>
      <c r="M50">
        <v>4.1449999999999996</v>
      </c>
      <c r="N50">
        <v>0</v>
      </c>
      <c r="O50" t="s">
        <v>1119</v>
      </c>
      <c r="P50">
        <v>1.82E-3</v>
      </c>
      <c r="Q50">
        <v>3.15</v>
      </c>
      <c r="R50" t="s">
        <v>1192</v>
      </c>
      <c r="S50" t="s">
        <v>1201</v>
      </c>
      <c r="T50" t="s">
        <v>1202</v>
      </c>
      <c r="U50">
        <v>9</v>
      </c>
      <c r="V50" t="s">
        <v>1114</v>
      </c>
      <c r="W50">
        <v>40</v>
      </c>
      <c r="X50" t="s">
        <v>1189</v>
      </c>
      <c r="Y50" t="s">
        <v>1195</v>
      </c>
      <c r="Z50">
        <v>0.29531191028128656</v>
      </c>
      <c r="AA50">
        <v>0.35</v>
      </c>
      <c r="AB50">
        <v>30</v>
      </c>
      <c r="AC50">
        <v>231.65462728124115</v>
      </c>
      <c r="AD50" t="s">
        <v>1119</v>
      </c>
      <c r="AE50">
        <v>142.96241264225978</v>
      </c>
      <c r="AF50" t="s">
        <v>1192</v>
      </c>
      <c r="AG50">
        <v>1.5</v>
      </c>
      <c r="AH50" t="s">
        <v>1114</v>
      </c>
      <c r="AI50">
        <v>1</v>
      </c>
      <c r="AJ50">
        <v>3</v>
      </c>
      <c r="AK50" t="s">
        <v>1119</v>
      </c>
      <c r="AL50" t="s">
        <v>1202</v>
      </c>
      <c r="AM50">
        <v>1</v>
      </c>
      <c r="AN50">
        <v>0.7</v>
      </c>
    </row>
    <row r="51" spans="1:40" x14ac:dyDescent="0.15">
      <c r="A51" s="117" t="s">
        <v>1446</v>
      </c>
      <c r="B51" t="s">
        <v>2</v>
      </c>
      <c r="C51" t="s">
        <v>18</v>
      </c>
      <c r="D51" t="s">
        <v>25</v>
      </c>
      <c r="E51" t="s">
        <v>58</v>
      </c>
      <c r="F51" t="s">
        <v>1180</v>
      </c>
      <c r="G51">
        <v>0.14000000000000001</v>
      </c>
      <c r="H51" t="s">
        <v>1114</v>
      </c>
      <c r="I51" t="s">
        <v>1119</v>
      </c>
      <c r="J51">
        <v>66.3</v>
      </c>
      <c r="K51" t="s">
        <v>1189</v>
      </c>
      <c r="L51" t="s">
        <v>1195</v>
      </c>
      <c r="M51" t="s">
        <v>1119</v>
      </c>
      <c r="N51">
        <v>-0.98</v>
      </c>
      <c r="O51" t="s">
        <v>1119</v>
      </c>
      <c r="P51">
        <v>2.2800000000000001E-2</v>
      </c>
      <c r="Q51">
        <v>2.9220000000000002</v>
      </c>
      <c r="R51" t="s">
        <v>1189</v>
      </c>
      <c r="S51" t="s">
        <v>1195</v>
      </c>
      <c r="T51" t="s">
        <v>1202</v>
      </c>
      <c r="U51">
        <v>44</v>
      </c>
      <c r="V51" t="s">
        <v>1114</v>
      </c>
      <c r="W51">
        <v>70</v>
      </c>
      <c r="X51" t="s">
        <v>1189</v>
      </c>
      <c r="Y51" t="s">
        <v>1201</v>
      </c>
      <c r="Z51">
        <v>0.34</v>
      </c>
      <c r="AA51">
        <v>0.41551544396166595</v>
      </c>
      <c r="AB51">
        <v>73.900000000000006</v>
      </c>
      <c r="AC51">
        <v>316</v>
      </c>
      <c r="AD51" t="s">
        <v>1119</v>
      </c>
      <c r="AE51">
        <v>31.95</v>
      </c>
      <c r="AF51" t="s">
        <v>1189</v>
      </c>
      <c r="AG51">
        <v>3.7170562751675607</v>
      </c>
      <c r="AH51" t="s">
        <v>1114</v>
      </c>
      <c r="AI51">
        <v>1</v>
      </c>
      <c r="AJ51">
        <v>3</v>
      </c>
      <c r="AK51" t="s">
        <v>1119</v>
      </c>
      <c r="AL51" t="s">
        <v>1202</v>
      </c>
      <c r="AM51">
        <v>1</v>
      </c>
      <c r="AN51">
        <v>0.5</v>
      </c>
    </row>
    <row r="52" spans="1:40" x14ac:dyDescent="0.15">
      <c r="A52" s="117" t="s">
        <v>1447</v>
      </c>
      <c r="B52" t="s">
        <v>2</v>
      </c>
      <c r="C52" t="s">
        <v>18</v>
      </c>
      <c r="D52" t="s">
        <v>35</v>
      </c>
      <c r="E52" t="s">
        <v>40</v>
      </c>
      <c r="F52" t="s">
        <v>92</v>
      </c>
      <c r="G52">
        <v>0.27</v>
      </c>
      <c r="H52" t="s">
        <v>1114</v>
      </c>
      <c r="I52" t="s">
        <v>1119</v>
      </c>
      <c r="J52">
        <v>144.69999999999999</v>
      </c>
      <c r="K52" t="s">
        <v>1192</v>
      </c>
      <c r="L52" t="s">
        <v>1196</v>
      </c>
      <c r="M52" t="s">
        <v>1119</v>
      </c>
      <c r="N52">
        <v>-0.18</v>
      </c>
      <c r="O52" t="s">
        <v>1119</v>
      </c>
      <c r="P52">
        <v>1E-3</v>
      </c>
      <c r="Q52">
        <v>2.98</v>
      </c>
      <c r="R52" t="s">
        <v>1189</v>
      </c>
      <c r="S52" t="s">
        <v>1196</v>
      </c>
      <c r="T52" t="s">
        <v>1202</v>
      </c>
      <c r="U52">
        <v>14</v>
      </c>
      <c r="V52" t="s">
        <v>1114</v>
      </c>
      <c r="W52">
        <v>40</v>
      </c>
      <c r="X52" t="s">
        <v>1189</v>
      </c>
      <c r="Y52" t="s">
        <v>1196</v>
      </c>
      <c r="Z52">
        <v>0.26500000000000001</v>
      </c>
      <c r="AA52">
        <v>0.3078847797693004</v>
      </c>
      <c r="AB52">
        <v>180</v>
      </c>
      <c r="AC52">
        <v>250</v>
      </c>
      <c r="AD52" t="s">
        <v>1119</v>
      </c>
      <c r="AE52">
        <v>66</v>
      </c>
      <c r="AF52" t="s">
        <v>1192</v>
      </c>
      <c r="AG52">
        <v>2.0756276970891876</v>
      </c>
      <c r="AH52" t="s">
        <v>1114</v>
      </c>
      <c r="AI52" t="s">
        <v>1119</v>
      </c>
      <c r="AJ52" t="s">
        <v>1119</v>
      </c>
      <c r="AK52">
        <v>1500000</v>
      </c>
      <c r="AL52" t="s">
        <v>1119</v>
      </c>
      <c r="AM52">
        <v>1</v>
      </c>
      <c r="AN52">
        <v>0.84149999999999991</v>
      </c>
    </row>
    <row r="53" spans="1:40" x14ac:dyDescent="0.15">
      <c r="A53" s="117" t="s">
        <v>1448</v>
      </c>
      <c r="B53" t="s">
        <v>2</v>
      </c>
      <c r="C53" t="s">
        <v>18</v>
      </c>
      <c r="D53" t="s">
        <v>36</v>
      </c>
      <c r="E53" t="s">
        <v>62</v>
      </c>
      <c r="F53" t="s">
        <v>94</v>
      </c>
      <c r="G53">
        <v>8.7999999999999995E-2</v>
      </c>
      <c r="H53" t="s">
        <v>1114</v>
      </c>
      <c r="I53" t="s">
        <v>1119</v>
      </c>
      <c r="J53">
        <v>63.012999999999998</v>
      </c>
      <c r="K53" t="s">
        <v>1189</v>
      </c>
      <c r="L53" t="s">
        <v>1194</v>
      </c>
      <c r="M53" t="s">
        <v>1119</v>
      </c>
      <c r="N53">
        <v>-4.4114000000000004</v>
      </c>
      <c r="O53" t="s">
        <v>1119</v>
      </c>
      <c r="P53">
        <v>9.0000000000000002E-6</v>
      </c>
      <c r="Q53">
        <v>3.2063999999999999</v>
      </c>
      <c r="R53" t="s">
        <v>1192</v>
      </c>
      <c r="S53" t="s">
        <v>1201</v>
      </c>
      <c r="T53" t="s">
        <v>1202</v>
      </c>
      <c r="U53">
        <v>14</v>
      </c>
      <c r="V53" t="s">
        <v>1114</v>
      </c>
      <c r="W53">
        <v>120</v>
      </c>
      <c r="X53" t="s">
        <v>1189</v>
      </c>
      <c r="Y53" t="s">
        <v>1193</v>
      </c>
      <c r="Z53">
        <v>0.247</v>
      </c>
      <c r="AA53">
        <v>0.2836900511822435</v>
      </c>
      <c r="AB53">
        <v>25.2</v>
      </c>
      <c r="AC53">
        <v>171</v>
      </c>
      <c r="AD53" t="s">
        <v>1119</v>
      </c>
      <c r="AE53">
        <v>34</v>
      </c>
      <c r="AF53" t="s">
        <v>1189</v>
      </c>
      <c r="AG53">
        <v>4.4022028284986021</v>
      </c>
      <c r="AH53" t="s">
        <v>1114</v>
      </c>
      <c r="AI53" t="s">
        <v>1119</v>
      </c>
      <c r="AJ53" t="s">
        <v>1119</v>
      </c>
      <c r="AK53">
        <v>410000</v>
      </c>
      <c r="AL53" t="s">
        <v>1119</v>
      </c>
      <c r="AM53">
        <v>1</v>
      </c>
      <c r="AN53">
        <v>0.5</v>
      </c>
    </row>
    <row r="54" spans="1:40" x14ac:dyDescent="0.15">
      <c r="A54" s="117" t="s">
        <v>1449</v>
      </c>
      <c r="B54" t="s">
        <v>2</v>
      </c>
      <c r="C54" t="s">
        <v>18</v>
      </c>
      <c r="D54" t="s">
        <v>39</v>
      </c>
      <c r="E54" t="s">
        <v>72</v>
      </c>
      <c r="F54" t="s">
        <v>103</v>
      </c>
      <c r="G54">
        <v>0.34</v>
      </c>
      <c r="H54" t="s">
        <v>1114</v>
      </c>
      <c r="I54" t="s">
        <v>1119</v>
      </c>
      <c r="J54">
        <v>131</v>
      </c>
      <c r="K54" t="s">
        <v>1189</v>
      </c>
      <c r="L54" t="s">
        <v>1195</v>
      </c>
      <c r="M54" t="s">
        <v>1119</v>
      </c>
      <c r="N54">
        <v>-0.32</v>
      </c>
      <c r="O54" t="s">
        <v>1119</v>
      </c>
      <c r="P54">
        <v>2.0000000000000001E-4</v>
      </c>
      <c r="Q54">
        <v>3.26</v>
      </c>
      <c r="R54" t="s">
        <v>1189</v>
      </c>
      <c r="S54" t="s">
        <v>1195</v>
      </c>
      <c r="T54" t="s">
        <v>1202</v>
      </c>
      <c r="U54">
        <v>15</v>
      </c>
      <c r="V54" t="s">
        <v>1114</v>
      </c>
      <c r="W54">
        <v>234</v>
      </c>
      <c r="X54" t="s">
        <v>1189</v>
      </c>
      <c r="Y54" t="s">
        <v>1195</v>
      </c>
      <c r="Z54">
        <v>0.48</v>
      </c>
      <c r="AA54">
        <v>0.65392646740666394</v>
      </c>
      <c r="AB54">
        <v>4.5</v>
      </c>
      <c r="AC54">
        <v>14711.510460677469</v>
      </c>
      <c r="AD54" t="s">
        <v>1119</v>
      </c>
      <c r="AE54">
        <v>60.5</v>
      </c>
      <c r="AF54" t="s">
        <v>1189</v>
      </c>
      <c r="AG54">
        <v>1.5023076864203779</v>
      </c>
      <c r="AH54" t="s">
        <v>1114</v>
      </c>
      <c r="AI54" t="s">
        <v>1119</v>
      </c>
      <c r="AJ54" t="s">
        <v>1119</v>
      </c>
      <c r="AK54">
        <v>130000</v>
      </c>
      <c r="AL54" t="s">
        <v>1119</v>
      </c>
      <c r="AM54">
        <v>1</v>
      </c>
      <c r="AN54">
        <v>0.7</v>
      </c>
    </row>
  </sheetData>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3"/>
  <sheetViews>
    <sheetView zoomScale="150" zoomScaleNormal="150" zoomScalePageLayoutView="150" workbookViewId="0">
      <selection activeCell="AL4" sqref="AL4"/>
    </sheetView>
  </sheetViews>
  <sheetFormatPr baseColWidth="10" defaultRowHeight="13" x14ac:dyDescent="0.15"/>
  <cols>
    <col min="4" max="4" width="12.6640625" bestFit="1" customWidth="1"/>
    <col min="5" max="5" width="20.6640625" bestFit="1" customWidth="1"/>
    <col min="6" max="6" width="15" bestFit="1" customWidth="1"/>
    <col min="7" max="7" width="6.1640625" bestFit="1" customWidth="1"/>
    <col min="8" max="8" width="6.33203125" bestFit="1" customWidth="1"/>
    <col min="9" max="9" width="8.1640625" bestFit="1" customWidth="1"/>
    <col min="10" max="10" width="6.1640625" bestFit="1" customWidth="1"/>
    <col min="11" max="12" width="8.5" bestFit="1" customWidth="1"/>
    <col min="13" max="13" width="8.33203125" bestFit="1" customWidth="1"/>
    <col min="14" max="14" width="7.83203125" bestFit="1" customWidth="1"/>
    <col min="15" max="15" width="9.1640625" bestFit="1" customWidth="1"/>
    <col min="16" max="16" width="11.33203125" bestFit="1" customWidth="1"/>
    <col min="17" max="17" width="8" bestFit="1" customWidth="1"/>
    <col min="18" max="20" width="11" bestFit="1" customWidth="1"/>
    <col min="21" max="21" width="7.5" bestFit="1" customWidth="1"/>
    <col min="22" max="22" width="8.6640625" bestFit="1" customWidth="1"/>
    <col min="23" max="23" width="5.1640625" bestFit="1" customWidth="1"/>
    <col min="24" max="25" width="8.83203125" bestFit="1" customWidth="1"/>
    <col min="28" max="28" width="5.1640625" bestFit="1" customWidth="1"/>
    <col min="29" max="29" width="6.33203125" bestFit="1" customWidth="1"/>
    <col min="30" max="30" width="10.5" bestFit="1" customWidth="1"/>
    <col min="31" max="31" width="8.1640625" bestFit="1" customWidth="1"/>
    <col min="32" max="32" width="12.33203125" bestFit="1" customWidth="1"/>
  </cols>
  <sheetData>
    <row r="1" spans="1:40" s="116" customFormat="1" x14ac:dyDescent="0.15">
      <c r="A1" s="116" t="s">
        <v>1241</v>
      </c>
      <c r="B1" s="116" t="s">
        <v>1242</v>
      </c>
      <c r="C1" s="116" t="s">
        <v>6</v>
      </c>
      <c r="D1" s="116" t="s">
        <v>24</v>
      </c>
      <c r="E1" s="116" t="s">
        <v>42</v>
      </c>
      <c r="F1" s="116" t="s">
        <v>1390</v>
      </c>
      <c r="G1" s="116" t="s">
        <v>129</v>
      </c>
      <c r="H1" s="116" t="s">
        <v>1116</v>
      </c>
      <c r="I1" s="116" t="s">
        <v>1117</v>
      </c>
      <c r="J1" s="116" t="s">
        <v>599</v>
      </c>
      <c r="K1" s="116" t="s">
        <v>1190</v>
      </c>
      <c r="L1" s="116" t="s">
        <v>1191</v>
      </c>
      <c r="M1" s="116" t="s">
        <v>1121</v>
      </c>
      <c r="N1" s="116" t="s">
        <v>183</v>
      </c>
      <c r="O1" s="116" t="s">
        <v>1118</v>
      </c>
      <c r="P1" s="116" t="s">
        <v>1123</v>
      </c>
      <c r="Q1" s="116" t="s">
        <v>1124</v>
      </c>
      <c r="R1" s="116" t="s">
        <v>1198</v>
      </c>
      <c r="S1" s="116" t="s">
        <v>1199</v>
      </c>
      <c r="T1" s="116" t="s">
        <v>1200</v>
      </c>
      <c r="U1" s="116" t="s">
        <v>1127</v>
      </c>
      <c r="V1" s="116" t="s">
        <v>1130</v>
      </c>
      <c r="W1" s="116" t="s">
        <v>1135</v>
      </c>
      <c r="X1" s="116" t="s">
        <v>1205</v>
      </c>
      <c r="Y1" s="116" t="s">
        <v>1204</v>
      </c>
      <c r="Z1" s="116" t="s">
        <v>1136</v>
      </c>
      <c r="AA1" s="116" t="s">
        <v>1137</v>
      </c>
      <c r="AB1" s="116" t="s">
        <v>1144</v>
      </c>
      <c r="AC1" s="116" t="s">
        <v>1145</v>
      </c>
      <c r="AD1" s="116" t="s">
        <v>1146</v>
      </c>
      <c r="AE1" s="116" t="s">
        <v>1151</v>
      </c>
      <c r="AF1" s="116" t="s">
        <v>1207</v>
      </c>
      <c r="AG1" s="116" t="s">
        <v>1152</v>
      </c>
      <c r="AH1" s="116" t="s">
        <v>1206</v>
      </c>
      <c r="AI1" s="116" t="s">
        <v>1158</v>
      </c>
      <c r="AJ1" s="116" t="s">
        <v>1159</v>
      </c>
      <c r="AK1" s="116" t="s">
        <v>1230</v>
      </c>
      <c r="AL1" s="116" t="s">
        <v>1228</v>
      </c>
      <c r="AM1" s="116" t="s">
        <v>1224</v>
      </c>
      <c r="AN1" s="116" t="s">
        <v>1113</v>
      </c>
    </row>
    <row r="2" spans="1:40" x14ac:dyDescent="0.15">
      <c r="A2" s="117" t="s">
        <v>1391</v>
      </c>
      <c r="B2" t="s">
        <v>1256</v>
      </c>
      <c r="C2" t="s">
        <v>1392</v>
      </c>
      <c r="D2" t="s">
        <v>29</v>
      </c>
      <c r="E2" t="s">
        <v>1270</v>
      </c>
      <c r="F2" t="s">
        <v>1279</v>
      </c>
      <c r="G2">
        <v>0.06</v>
      </c>
      <c r="H2" t="s">
        <v>1114</v>
      </c>
      <c r="I2" t="s">
        <v>1119</v>
      </c>
      <c r="J2">
        <v>94</v>
      </c>
      <c r="K2" t="s">
        <v>1189</v>
      </c>
      <c r="L2" t="s">
        <v>1194</v>
      </c>
      <c r="M2" t="s">
        <v>1119</v>
      </c>
      <c r="N2">
        <v>0</v>
      </c>
      <c r="O2" t="s">
        <v>1119</v>
      </c>
      <c r="P2">
        <v>-7.1099999999999997E-2</v>
      </c>
      <c r="Q2">
        <v>2.423</v>
      </c>
      <c r="R2" t="s">
        <v>1189</v>
      </c>
      <c r="S2" t="s">
        <v>1195</v>
      </c>
      <c r="T2" t="s">
        <v>1202</v>
      </c>
      <c r="U2">
        <v>29</v>
      </c>
      <c r="V2" t="s">
        <v>1114</v>
      </c>
      <c r="W2">
        <v>120</v>
      </c>
      <c r="X2" t="s">
        <v>1189</v>
      </c>
      <c r="Y2" t="s">
        <v>1194</v>
      </c>
      <c r="Z2">
        <v>0.14785621103378865</v>
      </c>
      <c r="AA2">
        <v>0.16</v>
      </c>
      <c r="AB2">
        <v>37.5</v>
      </c>
      <c r="AC2">
        <v>14832</v>
      </c>
      <c r="AD2" t="s">
        <v>1119</v>
      </c>
      <c r="AE2">
        <v>48</v>
      </c>
      <c r="AF2" t="s">
        <v>1189</v>
      </c>
      <c r="AG2">
        <v>11.910889763015151</v>
      </c>
      <c r="AH2" t="s">
        <v>1114</v>
      </c>
      <c r="AI2" t="s">
        <v>1119</v>
      </c>
      <c r="AJ2" t="s">
        <v>1119</v>
      </c>
      <c r="AK2">
        <v>3425000</v>
      </c>
      <c r="AL2" t="s">
        <v>1119</v>
      </c>
      <c r="AM2">
        <v>1</v>
      </c>
      <c r="AN2">
        <v>0.81499999999999995</v>
      </c>
    </row>
    <row r="3" spans="1:40" x14ac:dyDescent="0.15">
      <c r="A3" s="117" t="s">
        <v>1393</v>
      </c>
      <c r="B3" t="s">
        <v>1256</v>
      </c>
      <c r="C3" t="s">
        <v>1392</v>
      </c>
      <c r="D3" t="s">
        <v>33</v>
      </c>
      <c r="E3" t="s">
        <v>1394</v>
      </c>
      <c r="F3" t="s">
        <v>1280</v>
      </c>
      <c r="G3">
        <v>0.15</v>
      </c>
      <c r="H3" t="s">
        <v>1114</v>
      </c>
      <c r="I3" t="s">
        <v>1119</v>
      </c>
      <c r="J3">
        <v>88</v>
      </c>
      <c r="K3" t="s">
        <v>1189</v>
      </c>
      <c r="L3" t="s">
        <v>1194</v>
      </c>
      <c r="M3" t="s">
        <v>1119</v>
      </c>
      <c r="N3">
        <v>0</v>
      </c>
      <c r="O3" t="s">
        <v>1119</v>
      </c>
      <c r="P3">
        <v>1.0099999999999999E-8</v>
      </c>
      <c r="Q3">
        <v>3.05</v>
      </c>
      <c r="R3" t="s">
        <v>1189</v>
      </c>
      <c r="S3" t="s">
        <v>1195</v>
      </c>
      <c r="T3" t="s">
        <v>1203</v>
      </c>
      <c r="U3">
        <v>29</v>
      </c>
      <c r="V3" t="s">
        <v>1114</v>
      </c>
      <c r="W3">
        <v>84.9</v>
      </c>
      <c r="X3" t="s">
        <v>1189</v>
      </c>
      <c r="Y3" t="s">
        <v>1194</v>
      </c>
      <c r="Z3">
        <v>0.14785621103378865</v>
      </c>
      <c r="AA3">
        <v>0.16</v>
      </c>
      <c r="AB3">
        <v>30</v>
      </c>
      <c r="AC3">
        <v>61</v>
      </c>
      <c r="AD3" t="s">
        <v>1119</v>
      </c>
      <c r="AE3">
        <v>37</v>
      </c>
      <c r="AF3" t="s">
        <v>1189</v>
      </c>
      <c r="AG3">
        <v>3.6367412116925388</v>
      </c>
      <c r="AH3" t="s">
        <v>1114</v>
      </c>
      <c r="AI3" t="s">
        <v>1119</v>
      </c>
      <c r="AJ3" t="s">
        <v>1119</v>
      </c>
      <c r="AK3">
        <v>876000</v>
      </c>
      <c r="AL3" t="s">
        <v>1119</v>
      </c>
      <c r="AM3">
        <v>1</v>
      </c>
      <c r="AN3">
        <v>0.75333333333333341</v>
      </c>
    </row>
    <row r="4" spans="1:40" x14ac:dyDescent="0.15">
      <c r="A4" s="117" t="s">
        <v>1395</v>
      </c>
      <c r="B4" t="s">
        <v>1256</v>
      </c>
      <c r="C4" t="s">
        <v>1392</v>
      </c>
      <c r="D4" t="s">
        <v>35</v>
      </c>
      <c r="E4" t="s">
        <v>1249</v>
      </c>
      <c r="F4" t="s">
        <v>504</v>
      </c>
      <c r="G4">
        <v>0.24</v>
      </c>
      <c r="H4" t="s">
        <v>1114</v>
      </c>
      <c r="I4" t="s">
        <v>1119</v>
      </c>
      <c r="J4">
        <v>18.3</v>
      </c>
      <c r="K4" t="s">
        <v>1189</v>
      </c>
      <c r="L4" t="s">
        <v>1196</v>
      </c>
      <c r="M4" t="s">
        <v>1119</v>
      </c>
      <c r="N4">
        <v>0.44</v>
      </c>
      <c r="O4" t="s">
        <v>1119</v>
      </c>
      <c r="P4">
        <v>4.5999999999999999E-3</v>
      </c>
      <c r="Q4">
        <v>2.63</v>
      </c>
      <c r="R4" t="s">
        <v>1192</v>
      </c>
      <c r="S4" t="s">
        <v>1196</v>
      </c>
      <c r="T4" t="s">
        <v>1202</v>
      </c>
      <c r="U4">
        <v>15</v>
      </c>
      <c r="V4" t="s">
        <v>1114</v>
      </c>
      <c r="W4">
        <v>260</v>
      </c>
      <c r="X4" t="s">
        <v>1192</v>
      </c>
      <c r="Y4" t="s">
        <v>1196</v>
      </c>
      <c r="Z4">
        <v>0.28822967723739035</v>
      </c>
      <c r="AA4">
        <v>0.34</v>
      </c>
      <c r="AB4">
        <v>180</v>
      </c>
      <c r="AC4">
        <v>1044</v>
      </c>
      <c r="AD4" t="s">
        <v>1119</v>
      </c>
      <c r="AE4">
        <v>7.5</v>
      </c>
      <c r="AF4" t="s">
        <v>1189</v>
      </c>
      <c r="AG4">
        <v>2.6373121904883385</v>
      </c>
      <c r="AH4" t="s">
        <v>1114</v>
      </c>
      <c r="AI4" t="s">
        <v>1119</v>
      </c>
      <c r="AJ4" t="s">
        <v>1119</v>
      </c>
      <c r="AK4">
        <v>8300000</v>
      </c>
      <c r="AL4" t="s">
        <v>1192</v>
      </c>
      <c r="AM4">
        <v>1</v>
      </c>
      <c r="AN4">
        <v>0.97</v>
      </c>
    </row>
    <row r="5" spans="1:40" x14ac:dyDescent="0.15">
      <c r="A5" s="117" t="s">
        <v>1396</v>
      </c>
      <c r="B5" t="s">
        <v>1256</v>
      </c>
      <c r="C5" t="s">
        <v>1392</v>
      </c>
      <c r="D5" t="s">
        <v>35</v>
      </c>
      <c r="E5" t="s">
        <v>1272</v>
      </c>
      <c r="F5" t="s">
        <v>1281</v>
      </c>
      <c r="G5" t="s">
        <v>1119</v>
      </c>
      <c r="H5" t="s">
        <v>1119</v>
      </c>
      <c r="I5" t="s">
        <v>1119</v>
      </c>
      <c r="J5" t="s">
        <v>1119</v>
      </c>
      <c r="K5" t="s">
        <v>1119</v>
      </c>
      <c r="L5" t="s">
        <v>1119</v>
      </c>
      <c r="M5" t="s">
        <v>1119</v>
      </c>
      <c r="N5" t="s">
        <v>1119</v>
      </c>
      <c r="O5" t="s">
        <v>1119</v>
      </c>
      <c r="P5" t="s">
        <v>1119</v>
      </c>
      <c r="Q5" t="s">
        <v>1119</v>
      </c>
      <c r="R5" t="s">
        <v>1119</v>
      </c>
      <c r="S5" t="s">
        <v>1119</v>
      </c>
      <c r="T5" t="s">
        <v>1119</v>
      </c>
      <c r="U5">
        <v>30</v>
      </c>
      <c r="V5" t="s">
        <v>1114</v>
      </c>
      <c r="W5" t="s">
        <v>1119</v>
      </c>
      <c r="X5" t="s">
        <v>1119</v>
      </c>
      <c r="Y5" t="s">
        <v>1119</v>
      </c>
      <c r="Z5" t="s">
        <v>1119</v>
      </c>
      <c r="AA5">
        <v>0.52</v>
      </c>
      <c r="AB5">
        <v>42</v>
      </c>
      <c r="AC5">
        <v>346</v>
      </c>
      <c r="AD5" t="s">
        <v>1119</v>
      </c>
      <c r="AE5" t="s">
        <v>1119</v>
      </c>
      <c r="AF5" t="s">
        <v>1119</v>
      </c>
      <c r="AG5" t="s">
        <v>1119</v>
      </c>
      <c r="AH5" t="s">
        <v>1119</v>
      </c>
      <c r="AI5" t="s">
        <v>1119</v>
      </c>
      <c r="AJ5" t="s">
        <v>1119</v>
      </c>
      <c r="AK5" t="s">
        <v>1119</v>
      </c>
      <c r="AL5" t="s">
        <v>1119</v>
      </c>
      <c r="AM5">
        <v>3</v>
      </c>
      <c r="AN5">
        <v>0.7</v>
      </c>
    </row>
    <row r="6" spans="1:40" x14ac:dyDescent="0.15">
      <c r="A6" s="117" t="s">
        <v>1397</v>
      </c>
      <c r="B6" t="s">
        <v>1256</v>
      </c>
      <c r="C6" t="s">
        <v>1398</v>
      </c>
      <c r="D6" t="s">
        <v>1261</v>
      </c>
      <c r="E6" t="s">
        <v>1266</v>
      </c>
      <c r="F6" t="s">
        <v>1276</v>
      </c>
      <c r="G6">
        <v>0.66</v>
      </c>
      <c r="H6" t="s">
        <v>1114</v>
      </c>
      <c r="I6" t="s">
        <v>1119</v>
      </c>
      <c r="J6">
        <v>273</v>
      </c>
      <c r="K6" t="s">
        <v>1192</v>
      </c>
      <c r="L6" t="s">
        <v>1195</v>
      </c>
      <c r="M6" t="s">
        <v>1119</v>
      </c>
      <c r="N6">
        <v>-0.25</v>
      </c>
      <c r="O6" t="s">
        <v>1119</v>
      </c>
      <c r="P6">
        <v>2.0999999999999999E-3</v>
      </c>
      <c r="Q6">
        <v>3.589</v>
      </c>
      <c r="R6" t="s">
        <v>1189</v>
      </c>
      <c r="S6" t="s">
        <v>1195</v>
      </c>
      <c r="T6" t="s">
        <v>1202</v>
      </c>
      <c r="U6">
        <v>4.3</v>
      </c>
      <c r="V6" t="s">
        <v>1114</v>
      </c>
      <c r="W6">
        <v>260</v>
      </c>
      <c r="X6" t="s">
        <v>1192</v>
      </c>
      <c r="Y6" t="s">
        <v>1195</v>
      </c>
      <c r="Z6">
        <v>0.64654531804121984</v>
      </c>
      <c r="AA6">
        <v>1.04</v>
      </c>
      <c r="AB6">
        <v>22.5</v>
      </c>
      <c r="AC6">
        <v>84</v>
      </c>
      <c r="AD6" t="s">
        <v>1119</v>
      </c>
      <c r="AE6">
        <v>16.3</v>
      </c>
      <c r="AF6" t="s">
        <v>1189</v>
      </c>
      <c r="AG6">
        <v>1.1272597415038539</v>
      </c>
      <c r="AH6" t="s">
        <v>1114</v>
      </c>
      <c r="AI6" t="s">
        <v>1119</v>
      </c>
      <c r="AJ6" t="s">
        <v>1119</v>
      </c>
      <c r="AK6">
        <v>188964</v>
      </c>
      <c r="AL6" t="s">
        <v>1119</v>
      </c>
      <c r="AM6">
        <v>1</v>
      </c>
      <c r="AN6">
        <v>0.84</v>
      </c>
    </row>
    <row r="7" spans="1:40" x14ac:dyDescent="0.15">
      <c r="A7" s="117" t="s">
        <v>1399</v>
      </c>
      <c r="B7" t="s">
        <v>1256</v>
      </c>
      <c r="C7" t="s">
        <v>1398</v>
      </c>
      <c r="D7" t="s">
        <v>27</v>
      </c>
      <c r="E7" t="s">
        <v>1267</v>
      </c>
      <c r="F7" t="s">
        <v>1277</v>
      </c>
      <c r="G7">
        <v>0.17</v>
      </c>
      <c r="H7" t="s">
        <v>1114</v>
      </c>
      <c r="I7" t="s">
        <v>1119</v>
      </c>
      <c r="J7">
        <v>127</v>
      </c>
      <c r="K7" t="s">
        <v>1189</v>
      </c>
      <c r="L7" t="s">
        <v>1195</v>
      </c>
      <c r="M7" t="s">
        <v>1119</v>
      </c>
      <c r="N7">
        <v>-0.67</v>
      </c>
      <c r="O7" t="s">
        <v>1119</v>
      </c>
      <c r="P7">
        <v>4.0399999999999998E-2</v>
      </c>
      <c r="Q7">
        <v>2.91</v>
      </c>
      <c r="R7" t="s">
        <v>1189</v>
      </c>
      <c r="S7" t="s">
        <v>1193</v>
      </c>
      <c r="T7" t="s">
        <v>1202</v>
      </c>
      <c r="U7">
        <v>17</v>
      </c>
      <c r="V7" t="s">
        <v>1114</v>
      </c>
      <c r="W7">
        <v>124</v>
      </c>
      <c r="X7" t="s">
        <v>1192</v>
      </c>
      <c r="Y7" t="s">
        <v>1195</v>
      </c>
      <c r="Z7">
        <v>0.28107626656807383</v>
      </c>
      <c r="AA7">
        <v>0.33</v>
      </c>
      <c r="AB7">
        <v>53.8</v>
      </c>
      <c r="AC7">
        <v>4596</v>
      </c>
      <c r="AD7">
        <v>963</v>
      </c>
      <c r="AE7">
        <v>64.8</v>
      </c>
      <c r="AF7" t="s">
        <v>1189</v>
      </c>
      <c r="AG7">
        <v>3.5290122747850434</v>
      </c>
      <c r="AH7" t="s">
        <v>1114</v>
      </c>
      <c r="AI7">
        <v>2.2860000000000002E-9</v>
      </c>
      <c r="AJ7">
        <v>5.359</v>
      </c>
      <c r="AK7" t="s">
        <v>1119</v>
      </c>
      <c r="AL7" t="s">
        <v>1192</v>
      </c>
      <c r="AM7">
        <v>1</v>
      </c>
      <c r="AN7">
        <v>0.7</v>
      </c>
    </row>
    <row r="8" spans="1:40" x14ac:dyDescent="0.15">
      <c r="A8" s="117" t="s">
        <v>1400</v>
      </c>
      <c r="B8" t="s">
        <v>1256</v>
      </c>
      <c r="C8" t="s">
        <v>1398</v>
      </c>
      <c r="D8" t="s">
        <v>1262</v>
      </c>
      <c r="E8" t="s">
        <v>1268</v>
      </c>
      <c r="F8" t="s">
        <v>1278</v>
      </c>
      <c r="G8">
        <v>0.20499999999999999</v>
      </c>
      <c r="H8" t="s">
        <v>1114</v>
      </c>
      <c r="I8">
        <v>1.155E-2</v>
      </c>
      <c r="J8">
        <v>968.3</v>
      </c>
      <c r="K8" t="s">
        <v>1192</v>
      </c>
      <c r="L8" t="s">
        <v>1201</v>
      </c>
      <c r="M8">
        <v>21.895</v>
      </c>
      <c r="N8">
        <v>-0.7248</v>
      </c>
      <c r="O8">
        <v>0.107935</v>
      </c>
      <c r="P8">
        <v>4.4013999999999999E-6</v>
      </c>
      <c r="Q8">
        <v>3.1116999999999999</v>
      </c>
      <c r="R8" t="s">
        <v>1192</v>
      </c>
      <c r="S8" t="s">
        <v>1201</v>
      </c>
      <c r="T8" t="s">
        <v>1202</v>
      </c>
      <c r="U8">
        <v>21</v>
      </c>
      <c r="V8" t="s">
        <v>1114</v>
      </c>
      <c r="W8">
        <v>1145</v>
      </c>
      <c r="X8" t="s">
        <v>1192</v>
      </c>
      <c r="Y8" t="s">
        <v>1195</v>
      </c>
      <c r="Z8">
        <v>0.22119921692859512</v>
      </c>
      <c r="AA8">
        <v>0.25</v>
      </c>
      <c r="AB8">
        <v>17.5</v>
      </c>
      <c r="AC8">
        <v>2743</v>
      </c>
      <c r="AD8" t="s">
        <v>1119</v>
      </c>
      <c r="AE8">
        <v>353.5</v>
      </c>
      <c r="AF8" t="s">
        <v>1192</v>
      </c>
      <c r="AG8">
        <v>1.4910289997709492</v>
      </c>
      <c r="AH8" t="s">
        <v>1114</v>
      </c>
      <c r="AI8" t="s">
        <v>1119</v>
      </c>
      <c r="AJ8" t="s">
        <v>1119</v>
      </c>
      <c r="AK8">
        <v>2371935</v>
      </c>
      <c r="AL8" t="s">
        <v>1119</v>
      </c>
      <c r="AM8">
        <v>1</v>
      </c>
      <c r="AN8">
        <v>0.7</v>
      </c>
    </row>
    <row r="9" spans="1:40" x14ac:dyDescent="0.15">
      <c r="A9" s="117" t="s">
        <v>1401</v>
      </c>
      <c r="B9" t="s">
        <v>1256</v>
      </c>
      <c r="C9" t="s">
        <v>1398</v>
      </c>
      <c r="D9" t="s">
        <v>1260</v>
      </c>
      <c r="E9" t="s">
        <v>1264</v>
      </c>
      <c r="F9" t="s">
        <v>1274</v>
      </c>
      <c r="G9">
        <v>0.48</v>
      </c>
      <c r="H9" t="s">
        <v>1114</v>
      </c>
      <c r="I9">
        <v>0.08</v>
      </c>
      <c r="J9">
        <v>312.2</v>
      </c>
      <c r="K9" t="s">
        <v>1192</v>
      </c>
      <c r="L9" t="s">
        <v>1195</v>
      </c>
      <c r="M9">
        <v>1.79</v>
      </c>
      <c r="N9">
        <v>-0.32</v>
      </c>
      <c r="O9">
        <v>0.75</v>
      </c>
      <c r="P9">
        <v>3.3500000000000001E-3</v>
      </c>
      <c r="Q9">
        <v>2.7719999999999998</v>
      </c>
      <c r="R9" t="s">
        <v>1189</v>
      </c>
      <c r="S9" t="s">
        <v>1195</v>
      </c>
      <c r="T9" t="s">
        <v>1202</v>
      </c>
      <c r="U9">
        <v>14</v>
      </c>
      <c r="V9" t="s">
        <v>1114</v>
      </c>
      <c r="W9">
        <v>378</v>
      </c>
      <c r="X9" t="s">
        <v>1192</v>
      </c>
      <c r="Y9" t="s">
        <v>1201</v>
      </c>
      <c r="Z9">
        <v>0.13929202357494219</v>
      </c>
      <c r="AA9">
        <v>0.15</v>
      </c>
      <c r="AB9">
        <v>22.6</v>
      </c>
      <c r="AC9">
        <v>201</v>
      </c>
      <c r="AD9" t="s">
        <v>1119</v>
      </c>
      <c r="AE9">
        <v>16</v>
      </c>
      <c r="AF9" t="s">
        <v>1189</v>
      </c>
      <c r="AG9">
        <v>1.1767678388619716</v>
      </c>
      <c r="AH9" t="s">
        <v>1114</v>
      </c>
      <c r="AI9" t="s">
        <v>1119</v>
      </c>
      <c r="AJ9" t="s">
        <v>1119</v>
      </c>
      <c r="AK9">
        <v>141308</v>
      </c>
      <c r="AL9" t="s">
        <v>1119</v>
      </c>
      <c r="AM9">
        <v>1</v>
      </c>
      <c r="AN9">
        <v>0.7</v>
      </c>
    </row>
    <row r="10" spans="1:40" x14ac:dyDescent="0.15">
      <c r="A10" s="117" t="s">
        <v>1402</v>
      </c>
      <c r="B10" t="s">
        <v>1256</v>
      </c>
      <c r="C10" t="s">
        <v>1398</v>
      </c>
      <c r="D10" t="s">
        <v>33</v>
      </c>
      <c r="E10" t="s">
        <v>1403</v>
      </c>
      <c r="F10" t="s">
        <v>1282</v>
      </c>
      <c r="G10">
        <v>0.23</v>
      </c>
      <c r="H10" t="s">
        <v>1114</v>
      </c>
      <c r="I10" t="s">
        <v>1119</v>
      </c>
      <c r="J10">
        <v>45</v>
      </c>
      <c r="K10" t="s">
        <v>1189</v>
      </c>
      <c r="L10" t="s">
        <v>1194</v>
      </c>
      <c r="M10" t="s">
        <v>1119</v>
      </c>
      <c r="N10">
        <v>0</v>
      </c>
      <c r="O10" t="s">
        <v>1119</v>
      </c>
      <c r="P10">
        <v>6.0999999999999999E-5</v>
      </c>
      <c r="Q10">
        <v>2.75</v>
      </c>
      <c r="R10" t="s">
        <v>1192</v>
      </c>
      <c r="S10" t="s">
        <v>1201</v>
      </c>
      <c r="T10" t="s">
        <v>1202</v>
      </c>
      <c r="U10">
        <v>19</v>
      </c>
      <c r="V10" t="s">
        <v>1114</v>
      </c>
      <c r="W10">
        <v>180</v>
      </c>
      <c r="X10" t="s">
        <v>1189</v>
      </c>
      <c r="Y10" t="s">
        <v>1194</v>
      </c>
      <c r="Z10">
        <v>0.20546639749666595</v>
      </c>
      <c r="AA10">
        <v>0.23</v>
      </c>
      <c r="AB10">
        <v>30</v>
      </c>
      <c r="AC10">
        <v>61</v>
      </c>
      <c r="AD10" t="s">
        <v>1119</v>
      </c>
      <c r="AE10">
        <v>20</v>
      </c>
      <c r="AF10" t="s">
        <v>1189</v>
      </c>
      <c r="AG10">
        <v>2.5555941952266044</v>
      </c>
      <c r="AH10" t="s">
        <v>1114</v>
      </c>
      <c r="AI10" t="s">
        <v>1119</v>
      </c>
      <c r="AJ10" t="s">
        <v>1119</v>
      </c>
      <c r="AK10">
        <v>230800</v>
      </c>
      <c r="AL10" t="s">
        <v>1189</v>
      </c>
      <c r="AM10">
        <v>1</v>
      </c>
      <c r="AN10">
        <v>0.75333333333333341</v>
      </c>
    </row>
    <row r="11" spans="1:40" x14ac:dyDescent="0.15">
      <c r="A11" s="117" t="s">
        <v>1404</v>
      </c>
      <c r="B11" t="s">
        <v>1256</v>
      </c>
      <c r="C11" t="s">
        <v>1398</v>
      </c>
      <c r="D11" t="s">
        <v>33</v>
      </c>
      <c r="E11" t="s">
        <v>1265</v>
      </c>
      <c r="F11" t="s">
        <v>1275</v>
      </c>
      <c r="G11">
        <v>0.17</v>
      </c>
      <c r="H11" t="s">
        <v>1114</v>
      </c>
      <c r="I11" t="s">
        <v>1119</v>
      </c>
      <c r="J11">
        <v>607.70000000000005</v>
      </c>
      <c r="K11" t="s">
        <v>1192</v>
      </c>
      <c r="L11" t="s">
        <v>1195</v>
      </c>
      <c r="M11" t="s">
        <v>1119</v>
      </c>
      <c r="N11">
        <v>-1.88</v>
      </c>
      <c r="O11" t="s">
        <v>1119</v>
      </c>
      <c r="P11">
        <v>3.6399999999999997E-5</v>
      </c>
      <c r="Q11">
        <v>2.76</v>
      </c>
      <c r="R11" t="s">
        <v>1192</v>
      </c>
      <c r="S11" t="s">
        <v>1195</v>
      </c>
      <c r="T11" t="s">
        <v>1202</v>
      </c>
      <c r="U11">
        <v>13</v>
      </c>
      <c r="V11" t="s">
        <v>1114</v>
      </c>
      <c r="W11">
        <v>700</v>
      </c>
      <c r="X11" t="s">
        <v>1192</v>
      </c>
      <c r="Y11" t="s">
        <v>1195</v>
      </c>
      <c r="Z11">
        <v>0.47270757595695145</v>
      </c>
      <c r="AA11">
        <v>0.64</v>
      </c>
      <c r="AB11">
        <v>30.9</v>
      </c>
      <c r="AC11">
        <v>863</v>
      </c>
      <c r="AD11" t="s">
        <v>1119</v>
      </c>
      <c r="AE11">
        <v>28</v>
      </c>
      <c r="AF11" t="s">
        <v>1189</v>
      </c>
      <c r="AG11">
        <v>1.7528399025678856</v>
      </c>
      <c r="AH11" t="s">
        <v>1114</v>
      </c>
      <c r="AI11">
        <v>0.13703843885005895</v>
      </c>
      <c r="AJ11">
        <v>1</v>
      </c>
      <c r="AK11">
        <f>AVERAGE(14102,164756)</f>
        <v>89429</v>
      </c>
      <c r="AL11" t="s">
        <v>1119</v>
      </c>
      <c r="AM11">
        <v>26</v>
      </c>
      <c r="AN11">
        <v>0.75333333333333341</v>
      </c>
    </row>
    <row r="12" spans="1:40" x14ac:dyDescent="0.15">
      <c r="A12" s="117" t="s">
        <v>1405</v>
      </c>
      <c r="B12" t="s">
        <v>1256</v>
      </c>
      <c r="C12" t="s">
        <v>1398</v>
      </c>
      <c r="D12" t="s">
        <v>35</v>
      </c>
      <c r="E12" t="s">
        <v>1249</v>
      </c>
      <c r="F12" t="s">
        <v>504</v>
      </c>
      <c r="G12">
        <v>0.24</v>
      </c>
      <c r="H12" t="s">
        <v>1114</v>
      </c>
      <c r="I12" t="s">
        <v>1119</v>
      </c>
      <c r="J12">
        <v>18.3</v>
      </c>
      <c r="K12" t="s">
        <v>1189</v>
      </c>
      <c r="L12" t="s">
        <v>1196</v>
      </c>
      <c r="M12" t="s">
        <v>1119</v>
      </c>
      <c r="N12">
        <v>0.44</v>
      </c>
      <c r="O12" t="s">
        <v>1119</v>
      </c>
      <c r="P12">
        <v>4.5999999999999999E-3</v>
      </c>
      <c r="Q12">
        <v>2.63</v>
      </c>
      <c r="R12" t="s">
        <v>1192</v>
      </c>
      <c r="S12" t="s">
        <v>1196</v>
      </c>
      <c r="T12" t="s">
        <v>1202</v>
      </c>
      <c r="U12">
        <v>15</v>
      </c>
      <c r="V12" t="s">
        <v>1114</v>
      </c>
      <c r="W12">
        <v>260</v>
      </c>
      <c r="X12" t="s">
        <v>1192</v>
      </c>
      <c r="Y12" t="s">
        <v>1196</v>
      </c>
      <c r="Z12">
        <v>0.28822967723739035</v>
      </c>
      <c r="AA12">
        <v>0.34</v>
      </c>
      <c r="AB12">
        <v>180</v>
      </c>
      <c r="AC12">
        <v>1044</v>
      </c>
      <c r="AD12" t="s">
        <v>1119</v>
      </c>
      <c r="AE12">
        <v>7.5</v>
      </c>
      <c r="AF12" t="s">
        <v>1189</v>
      </c>
      <c r="AG12">
        <v>2.6373121904883385</v>
      </c>
      <c r="AH12" t="s">
        <v>1114</v>
      </c>
      <c r="AI12" t="s">
        <v>1119</v>
      </c>
      <c r="AJ12" t="s">
        <v>1119</v>
      </c>
      <c r="AK12">
        <v>8300000</v>
      </c>
      <c r="AL12" t="s">
        <v>1192</v>
      </c>
      <c r="AM12">
        <v>1</v>
      </c>
      <c r="AN12">
        <v>0.97</v>
      </c>
    </row>
    <row r="13" spans="1:40" x14ac:dyDescent="0.15">
      <c r="A13" s="117" t="s">
        <v>1406</v>
      </c>
      <c r="B13" t="s">
        <v>1256</v>
      </c>
      <c r="C13" t="s">
        <v>1398</v>
      </c>
      <c r="D13" t="s">
        <v>35</v>
      </c>
      <c r="E13" t="s">
        <v>1272</v>
      </c>
      <c r="F13" t="s">
        <v>1281</v>
      </c>
      <c r="G13" t="s">
        <v>1119</v>
      </c>
      <c r="H13" t="s">
        <v>1119</v>
      </c>
      <c r="I13" t="s">
        <v>1119</v>
      </c>
      <c r="J13" t="s">
        <v>1119</v>
      </c>
      <c r="K13" t="s">
        <v>1119</v>
      </c>
      <c r="L13" t="s">
        <v>1119</v>
      </c>
      <c r="M13" t="s">
        <v>1119</v>
      </c>
      <c r="N13" t="s">
        <v>1119</v>
      </c>
      <c r="O13" t="s">
        <v>1119</v>
      </c>
      <c r="P13" t="s">
        <v>1119</v>
      </c>
      <c r="Q13" t="s">
        <v>1119</v>
      </c>
      <c r="R13" t="s">
        <v>1119</v>
      </c>
      <c r="S13" t="s">
        <v>1119</v>
      </c>
      <c r="T13" t="s">
        <v>1119</v>
      </c>
      <c r="U13">
        <v>30</v>
      </c>
      <c r="V13" t="s">
        <v>1114</v>
      </c>
      <c r="W13" t="s">
        <v>1119</v>
      </c>
      <c r="X13" t="s">
        <v>1119</v>
      </c>
      <c r="Y13" t="s">
        <v>1119</v>
      </c>
      <c r="Z13" t="s">
        <v>1119</v>
      </c>
      <c r="AA13">
        <v>0.52</v>
      </c>
      <c r="AB13">
        <v>42</v>
      </c>
      <c r="AC13">
        <v>346</v>
      </c>
      <c r="AD13" t="s">
        <v>1119</v>
      </c>
      <c r="AE13" t="s">
        <v>1119</v>
      </c>
      <c r="AF13" t="s">
        <v>1119</v>
      </c>
      <c r="AG13" t="s">
        <v>1119</v>
      </c>
      <c r="AH13" t="s">
        <v>1119</v>
      </c>
      <c r="AI13" t="s">
        <v>1119</v>
      </c>
      <c r="AJ13" t="s">
        <v>1119</v>
      </c>
      <c r="AK13" t="s">
        <v>1119</v>
      </c>
      <c r="AL13" t="s">
        <v>1119</v>
      </c>
      <c r="AM13">
        <v>3</v>
      </c>
      <c r="AN13">
        <v>0.7</v>
      </c>
    </row>
  </sheetData>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V102"/>
  <sheetViews>
    <sheetView zoomScale="115" zoomScaleNormal="115" zoomScalePageLayoutView="115" workbookViewId="0">
      <pane xSplit="1" topLeftCell="AB1" activePane="topRight" state="frozen"/>
      <selection pane="topRight" activeCell="AG18" sqref="AG18"/>
    </sheetView>
  </sheetViews>
  <sheetFormatPr baseColWidth="10" defaultColWidth="16" defaultRowHeight="12.75" customHeight="1" x14ac:dyDescent="0.15"/>
  <cols>
    <col min="1" max="1" width="19.33203125" style="2" customWidth="1"/>
    <col min="2" max="2" width="13.5" style="2" customWidth="1"/>
    <col min="3" max="3" width="26.83203125" style="54" customWidth="1"/>
    <col min="4" max="4" width="26.83203125" style="2" customWidth="1"/>
    <col min="5" max="6" width="26.83203125" style="55" customWidth="1"/>
    <col min="7" max="7" width="22.83203125" style="2" customWidth="1"/>
    <col min="8" max="12" width="26.83203125" style="2" customWidth="1"/>
    <col min="13" max="13" width="26.83203125" style="56" customWidth="1"/>
    <col min="14" max="38" width="26.83203125" style="2" customWidth="1"/>
    <col min="39" max="39" width="8.1640625" style="2" customWidth="1"/>
    <col min="40" max="44" width="26.83203125" style="2" customWidth="1"/>
    <col min="45" max="74" width="8.1640625" style="2" customWidth="1"/>
  </cols>
  <sheetData>
    <row r="1" spans="1:74" ht="12.75" customHeight="1" x14ac:dyDescent="0.2">
      <c r="A1" s="1" t="s">
        <v>0</v>
      </c>
      <c r="C1" s="5"/>
      <c r="D1" s="5"/>
      <c r="E1" s="4"/>
      <c r="F1" s="5"/>
      <c r="G1" s="3"/>
      <c r="H1" s="3"/>
      <c r="I1" s="5"/>
      <c r="J1" s="5"/>
      <c r="K1" s="3"/>
      <c r="L1" s="4"/>
      <c r="M1" s="3"/>
      <c r="N1" s="5"/>
      <c r="O1" s="5"/>
      <c r="P1" s="3"/>
      <c r="R1" s="6"/>
      <c r="S1" s="5"/>
      <c r="T1" s="5"/>
      <c r="V1" s="3"/>
      <c r="W1" s="113"/>
      <c r="X1" s="7"/>
      <c r="Y1" s="9"/>
      <c r="Z1" s="112"/>
      <c r="AA1" s="112"/>
      <c r="AB1" s="7"/>
      <c r="AC1" s="7"/>
      <c r="AD1" s="8"/>
      <c r="AE1" s="5"/>
      <c r="AF1" s="5"/>
      <c r="AG1" s="5"/>
      <c r="AH1" s="5"/>
      <c r="AI1" s="5"/>
      <c r="AJ1" s="5"/>
      <c r="AK1" s="5"/>
      <c r="AL1" s="5"/>
      <c r="AN1" s="5"/>
      <c r="AP1" s="7"/>
      <c r="AQ1" s="5"/>
    </row>
    <row r="2" spans="1:74" ht="12.75" customHeight="1" x14ac:dyDescent="0.2">
      <c r="A2" s="1" t="s">
        <v>1</v>
      </c>
      <c r="B2" s="10"/>
      <c r="C2" s="195" t="s">
        <v>3</v>
      </c>
      <c r="D2" s="12" t="s">
        <v>3</v>
      </c>
      <c r="E2" s="11" t="s">
        <v>4</v>
      </c>
      <c r="F2" s="11" t="s">
        <v>2</v>
      </c>
      <c r="G2" s="11" t="s">
        <v>2</v>
      </c>
      <c r="H2" s="12" t="s">
        <v>3</v>
      </c>
      <c r="I2" s="11" t="s">
        <v>1256</v>
      </c>
      <c r="J2" s="11" t="s">
        <v>1256</v>
      </c>
      <c r="K2" s="11" t="s">
        <v>2</v>
      </c>
      <c r="L2" s="12" t="s">
        <v>3</v>
      </c>
      <c r="M2" s="12" t="s">
        <v>3</v>
      </c>
      <c r="N2" s="12" t="s">
        <v>3</v>
      </c>
      <c r="O2" s="12" t="s">
        <v>3</v>
      </c>
      <c r="P2" s="12" t="s">
        <v>3</v>
      </c>
      <c r="Q2" s="11" t="s">
        <v>1256</v>
      </c>
      <c r="R2" s="11" t="s">
        <v>2</v>
      </c>
      <c r="S2" s="11" t="s">
        <v>5</v>
      </c>
      <c r="T2" s="11" t="s">
        <v>2</v>
      </c>
      <c r="U2" s="11" t="s">
        <v>1256</v>
      </c>
      <c r="V2" s="12" t="s">
        <v>3</v>
      </c>
      <c r="W2" s="11" t="s">
        <v>1256</v>
      </c>
      <c r="X2" s="11" t="s">
        <v>2</v>
      </c>
      <c r="Y2" s="12" t="s">
        <v>3</v>
      </c>
      <c r="Z2" s="12" t="s">
        <v>3</v>
      </c>
      <c r="AA2" s="11" t="s">
        <v>2</v>
      </c>
      <c r="AB2" s="12" t="s">
        <v>3</v>
      </c>
      <c r="AC2" s="11" t="s">
        <v>2</v>
      </c>
      <c r="AD2" s="11" t="s">
        <v>1256</v>
      </c>
      <c r="AE2" s="11" t="s">
        <v>2</v>
      </c>
      <c r="AF2" s="11" t="s">
        <v>2</v>
      </c>
      <c r="AG2" s="11" t="s">
        <v>1256</v>
      </c>
      <c r="AH2" s="11" t="s">
        <v>2</v>
      </c>
      <c r="AI2" s="12" t="s">
        <v>3</v>
      </c>
      <c r="AJ2" s="11" t="s">
        <v>2</v>
      </c>
      <c r="AK2" s="12" t="s">
        <v>4</v>
      </c>
      <c r="AL2" s="11" t="s">
        <v>1256</v>
      </c>
      <c r="AM2" s="196"/>
      <c r="AN2" s="11" t="s">
        <v>2</v>
      </c>
      <c r="AO2" s="11" t="s">
        <v>1256</v>
      </c>
      <c r="AP2" s="11" t="s">
        <v>2</v>
      </c>
      <c r="AQ2" s="11" t="s">
        <v>2</v>
      </c>
      <c r="AR2" s="197" t="s">
        <v>1256</v>
      </c>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row>
    <row r="3" spans="1:74" s="19" customFormat="1" ht="12.75" customHeight="1" x14ac:dyDescent="0.15">
      <c r="A3" s="14"/>
      <c r="B3" s="15" t="s">
        <v>6</v>
      </c>
      <c r="C3" s="198" t="s">
        <v>11</v>
      </c>
      <c r="D3" s="16" t="s">
        <v>20</v>
      </c>
      <c r="E3" s="16" t="s">
        <v>9</v>
      </c>
      <c r="F3" s="16" t="s">
        <v>18</v>
      </c>
      <c r="G3" s="16" t="s">
        <v>7</v>
      </c>
      <c r="H3" s="16" t="s">
        <v>11</v>
      </c>
      <c r="I3" s="16" t="s">
        <v>1257</v>
      </c>
      <c r="J3" s="16" t="s">
        <v>1257</v>
      </c>
      <c r="K3" s="16" t="s">
        <v>12</v>
      </c>
      <c r="L3" s="16" t="s">
        <v>10</v>
      </c>
      <c r="M3" s="16" t="s">
        <v>8</v>
      </c>
      <c r="N3" s="16" t="s">
        <v>17</v>
      </c>
      <c r="O3" s="16" t="s">
        <v>22</v>
      </c>
      <c r="P3" s="16" t="s">
        <v>8</v>
      </c>
      <c r="Q3" s="16" t="s">
        <v>1257</v>
      </c>
      <c r="R3" s="17" t="s">
        <v>18</v>
      </c>
      <c r="S3" s="16" t="s">
        <v>21</v>
      </c>
      <c r="T3" s="16" t="s">
        <v>15</v>
      </c>
      <c r="U3" s="16" t="s">
        <v>1259</v>
      </c>
      <c r="V3" s="16" t="s">
        <v>11</v>
      </c>
      <c r="W3" s="16" t="s">
        <v>1259</v>
      </c>
      <c r="X3" s="16" t="s">
        <v>15</v>
      </c>
      <c r="Y3" s="16" t="s">
        <v>16</v>
      </c>
      <c r="Z3" s="16" t="s">
        <v>14</v>
      </c>
      <c r="AA3" s="16" t="s">
        <v>13</v>
      </c>
      <c r="AB3" s="16" t="s">
        <v>20</v>
      </c>
      <c r="AC3" s="16" t="s">
        <v>23</v>
      </c>
      <c r="AD3" s="16" t="s">
        <v>1257</v>
      </c>
      <c r="AE3" s="16" t="s">
        <v>13</v>
      </c>
      <c r="AF3" s="16" t="s">
        <v>15</v>
      </c>
      <c r="AG3" s="16" t="s">
        <v>1257</v>
      </c>
      <c r="AH3" s="16" t="s">
        <v>15</v>
      </c>
      <c r="AI3" s="16" t="s">
        <v>11</v>
      </c>
      <c r="AJ3" s="16" t="s">
        <v>13</v>
      </c>
      <c r="AK3" s="16" t="s">
        <v>1176</v>
      </c>
      <c r="AL3" s="16" t="s">
        <v>1257</v>
      </c>
      <c r="AM3" s="199"/>
      <c r="AN3" s="16" t="s">
        <v>13</v>
      </c>
      <c r="AO3" s="16" t="s">
        <v>1258</v>
      </c>
      <c r="AP3" s="16" t="s">
        <v>19</v>
      </c>
      <c r="AQ3" s="16" t="s">
        <v>18</v>
      </c>
      <c r="AR3" s="200" t="s">
        <v>1258</v>
      </c>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row>
    <row r="4" spans="1:74" s="19" customFormat="1" ht="12.75" customHeight="1" x14ac:dyDescent="0.15">
      <c r="A4" s="14"/>
      <c r="B4" s="15" t="s">
        <v>24</v>
      </c>
      <c r="C4" s="20" t="s">
        <v>30</v>
      </c>
      <c r="D4" s="21" t="s">
        <v>28</v>
      </c>
      <c r="E4" s="22" t="s">
        <v>27</v>
      </c>
      <c r="F4" s="22" t="s">
        <v>25</v>
      </c>
      <c r="G4" s="21" t="s">
        <v>25</v>
      </c>
      <c r="H4" s="21" t="s">
        <v>29</v>
      </c>
      <c r="I4" s="22" t="s">
        <v>1262</v>
      </c>
      <c r="J4" s="22" t="s">
        <v>27</v>
      </c>
      <c r="K4" s="22" t="s">
        <v>28</v>
      </c>
      <c r="L4" s="22" t="s">
        <v>27</v>
      </c>
      <c r="M4" s="21" t="s">
        <v>26</v>
      </c>
      <c r="N4" s="22" t="s">
        <v>33</v>
      </c>
      <c r="O4" s="21" t="s">
        <v>30</v>
      </c>
      <c r="P4" s="21" t="s">
        <v>30</v>
      </c>
      <c r="Q4" s="22" t="s">
        <v>33</v>
      </c>
      <c r="R4" s="21" t="s">
        <v>39</v>
      </c>
      <c r="S4" s="22" t="s">
        <v>36</v>
      </c>
      <c r="T4" s="22" t="s">
        <v>33</v>
      </c>
      <c r="U4" s="22" t="s">
        <v>33</v>
      </c>
      <c r="V4" s="21" t="s">
        <v>26</v>
      </c>
      <c r="W4" s="22" t="s">
        <v>29</v>
      </c>
      <c r="X4" s="22" t="s">
        <v>32</v>
      </c>
      <c r="Y4" s="22" t="s">
        <v>33</v>
      </c>
      <c r="Z4" s="21" t="s">
        <v>30</v>
      </c>
      <c r="AA4" s="22" t="s">
        <v>31</v>
      </c>
      <c r="AB4" s="21" t="s">
        <v>29</v>
      </c>
      <c r="AC4" s="22" t="s">
        <v>37</v>
      </c>
      <c r="AD4" s="22" t="s">
        <v>1261</v>
      </c>
      <c r="AE4" s="22" t="s">
        <v>34</v>
      </c>
      <c r="AF4" s="22" t="s">
        <v>32</v>
      </c>
      <c r="AG4" s="22" t="s">
        <v>1260</v>
      </c>
      <c r="AH4" s="22" t="s">
        <v>37</v>
      </c>
      <c r="AI4" s="21" t="s">
        <v>27</v>
      </c>
      <c r="AJ4" s="21" t="s">
        <v>38</v>
      </c>
      <c r="AK4" s="22" t="s">
        <v>485</v>
      </c>
      <c r="AL4" s="22" t="s">
        <v>33</v>
      </c>
      <c r="AM4" s="199"/>
      <c r="AN4" s="22" t="s">
        <v>35</v>
      </c>
      <c r="AO4" s="22" t="s">
        <v>1263</v>
      </c>
      <c r="AP4" s="22" t="s">
        <v>35</v>
      </c>
      <c r="AQ4" s="22" t="s">
        <v>35</v>
      </c>
      <c r="AR4" s="201" t="s">
        <v>1263</v>
      </c>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row>
    <row r="5" spans="1:74" s="25" customFormat="1" ht="22.5" customHeight="1" x14ac:dyDescent="0.15">
      <c r="A5" s="215" t="s">
        <v>41</v>
      </c>
      <c r="B5" s="23" t="s">
        <v>42</v>
      </c>
      <c r="C5" s="20" t="s">
        <v>71</v>
      </c>
      <c r="D5" s="21" t="s">
        <v>65</v>
      </c>
      <c r="E5" s="21" t="s">
        <v>45</v>
      </c>
      <c r="F5" s="21" t="s">
        <v>58</v>
      </c>
      <c r="G5" s="21" t="s">
        <v>43</v>
      </c>
      <c r="H5" s="21" t="s">
        <v>49</v>
      </c>
      <c r="I5" s="21" t="s">
        <v>1268</v>
      </c>
      <c r="J5" s="21" t="s">
        <v>1267</v>
      </c>
      <c r="K5" s="21" t="s">
        <v>48</v>
      </c>
      <c r="L5" s="21" t="s">
        <v>46</v>
      </c>
      <c r="M5" s="21" t="s">
        <v>44</v>
      </c>
      <c r="N5" s="21" t="s">
        <v>57</v>
      </c>
      <c r="O5" s="21" t="s">
        <v>64</v>
      </c>
      <c r="P5" s="21" t="s">
        <v>50</v>
      </c>
      <c r="Q5" s="21" t="s">
        <v>1273</v>
      </c>
      <c r="R5" s="21" t="s">
        <v>72</v>
      </c>
      <c r="S5" s="21" t="s">
        <v>62</v>
      </c>
      <c r="T5" s="21" t="s">
        <v>55</v>
      </c>
      <c r="U5" s="21" t="s">
        <v>1271</v>
      </c>
      <c r="V5" s="21" t="s">
        <v>47</v>
      </c>
      <c r="W5" s="21" t="s">
        <v>1270</v>
      </c>
      <c r="X5" s="21" t="s">
        <v>54</v>
      </c>
      <c r="Y5" s="21" t="s">
        <v>56</v>
      </c>
      <c r="Z5" s="21" t="s">
        <v>52</v>
      </c>
      <c r="AA5" s="21" t="s">
        <v>51</v>
      </c>
      <c r="AB5" s="21" t="s">
        <v>61</v>
      </c>
      <c r="AC5" s="21" t="s">
        <v>68</v>
      </c>
      <c r="AD5" s="21" t="s">
        <v>1266</v>
      </c>
      <c r="AE5" s="21" t="s">
        <v>59</v>
      </c>
      <c r="AF5" s="21" t="s">
        <v>53</v>
      </c>
      <c r="AG5" s="21" t="s">
        <v>1264</v>
      </c>
      <c r="AH5" s="21" t="s">
        <v>69</v>
      </c>
      <c r="AI5" s="21" t="s">
        <v>67</v>
      </c>
      <c r="AJ5" s="21" t="s">
        <v>70</v>
      </c>
      <c r="AK5" s="21" t="s">
        <v>470</v>
      </c>
      <c r="AL5" s="21" t="s">
        <v>1265</v>
      </c>
      <c r="AM5" s="59"/>
      <c r="AN5" s="21" t="s">
        <v>63</v>
      </c>
      <c r="AO5" s="21" t="s">
        <v>1272</v>
      </c>
      <c r="AP5" s="21" t="s">
        <v>60</v>
      </c>
      <c r="AQ5" s="21" t="s">
        <v>40</v>
      </c>
      <c r="AR5" s="202" t="s">
        <v>1269</v>
      </c>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row>
    <row r="6" spans="1:74" ht="42" customHeight="1" x14ac:dyDescent="0.15">
      <c r="A6" s="215"/>
      <c r="B6" s="26" t="s">
        <v>73</v>
      </c>
      <c r="C6" s="70" t="s">
        <v>102</v>
      </c>
      <c r="D6" s="71" t="s">
        <v>97</v>
      </c>
      <c r="E6" s="71" t="s">
        <v>76</v>
      </c>
      <c r="F6" s="71" t="s">
        <v>89</v>
      </c>
      <c r="G6" s="71" t="s">
        <v>74</v>
      </c>
      <c r="H6" s="71" t="s">
        <v>80</v>
      </c>
      <c r="I6" s="71" t="s">
        <v>1278</v>
      </c>
      <c r="J6" s="71" t="s">
        <v>1277</v>
      </c>
      <c r="K6" s="71" t="s">
        <v>79</v>
      </c>
      <c r="L6" s="71" t="s">
        <v>77</v>
      </c>
      <c r="M6" s="71" t="s">
        <v>75</v>
      </c>
      <c r="N6" s="71" t="s">
        <v>88</v>
      </c>
      <c r="O6" s="71" t="s">
        <v>96</v>
      </c>
      <c r="P6" s="71" t="s">
        <v>81</v>
      </c>
      <c r="Q6" s="71" t="s">
        <v>1282</v>
      </c>
      <c r="R6" s="71" t="s">
        <v>103</v>
      </c>
      <c r="S6" s="71" t="s">
        <v>94</v>
      </c>
      <c r="T6" s="71" t="s">
        <v>86</v>
      </c>
      <c r="U6" s="71" t="s">
        <v>1280</v>
      </c>
      <c r="V6" s="71" t="s">
        <v>78</v>
      </c>
      <c r="W6" s="71" t="s">
        <v>1279</v>
      </c>
      <c r="X6" s="71" t="s">
        <v>85</v>
      </c>
      <c r="Y6" s="71" t="s">
        <v>87</v>
      </c>
      <c r="Z6" s="71" t="s">
        <v>83</v>
      </c>
      <c r="AA6" s="71" t="s">
        <v>82</v>
      </c>
      <c r="AB6" s="71" t="s">
        <v>93</v>
      </c>
      <c r="AC6" s="71" t="s">
        <v>99</v>
      </c>
      <c r="AD6" s="71" t="s">
        <v>1276</v>
      </c>
      <c r="AE6" s="71" t="s">
        <v>90</v>
      </c>
      <c r="AF6" s="71" t="s">
        <v>84</v>
      </c>
      <c r="AG6" s="71" t="s">
        <v>1274</v>
      </c>
      <c r="AH6" s="71" t="s">
        <v>100</v>
      </c>
      <c r="AI6" s="71" t="s">
        <v>98</v>
      </c>
      <c r="AJ6" s="71" t="s">
        <v>101</v>
      </c>
      <c r="AK6" s="71" t="s">
        <v>488</v>
      </c>
      <c r="AL6" s="71" t="s">
        <v>1275</v>
      </c>
      <c r="AM6" s="53"/>
      <c r="AN6" s="71" t="s">
        <v>95</v>
      </c>
      <c r="AO6" s="71" t="s">
        <v>1281</v>
      </c>
      <c r="AP6" s="71" t="s">
        <v>91</v>
      </c>
      <c r="AQ6" s="71" t="s">
        <v>92</v>
      </c>
      <c r="AR6" s="203" t="s">
        <v>504</v>
      </c>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row>
    <row r="7" spans="1:74" ht="36" customHeight="1" x14ac:dyDescent="0.15">
      <c r="A7" s="27" t="s">
        <v>104</v>
      </c>
      <c r="B7" s="28"/>
      <c r="C7" s="29" t="s">
        <v>127</v>
      </c>
      <c r="D7" s="30" t="s">
        <v>123</v>
      </c>
      <c r="E7" s="30" t="s">
        <v>106</v>
      </c>
      <c r="F7" s="30" t="s">
        <v>115</v>
      </c>
      <c r="G7" s="30" t="s">
        <v>1231</v>
      </c>
      <c r="H7" s="30" t="s">
        <v>1092</v>
      </c>
      <c r="I7" s="30" t="s">
        <v>1286</v>
      </c>
      <c r="J7" s="30" t="s">
        <v>1285</v>
      </c>
      <c r="K7" s="30" t="s">
        <v>108</v>
      </c>
      <c r="L7" s="30" t="s">
        <v>1164</v>
      </c>
      <c r="M7" s="30" t="s">
        <v>105</v>
      </c>
      <c r="N7" s="30" t="s">
        <v>114</v>
      </c>
      <c r="O7" s="30" t="s">
        <v>122</v>
      </c>
      <c r="P7" s="30" t="s">
        <v>109</v>
      </c>
      <c r="Q7" s="30"/>
      <c r="R7" s="30" t="s">
        <v>128</v>
      </c>
      <c r="S7" s="30" t="s">
        <v>120</v>
      </c>
      <c r="T7" s="30" t="s">
        <v>112</v>
      </c>
      <c r="U7" s="30"/>
      <c r="V7" s="30" t="s">
        <v>107</v>
      </c>
      <c r="W7" s="30"/>
      <c r="X7" s="30" t="s">
        <v>111</v>
      </c>
      <c r="Y7" s="30" t="s">
        <v>113</v>
      </c>
      <c r="Z7" s="30" t="s">
        <v>110</v>
      </c>
      <c r="AA7" s="30" t="s">
        <v>778</v>
      </c>
      <c r="AB7" s="30" t="s">
        <v>119</v>
      </c>
      <c r="AC7" s="30" t="s">
        <v>125</v>
      </c>
      <c r="AD7" s="30" t="s">
        <v>1285</v>
      </c>
      <c r="AE7" s="30" t="s">
        <v>116</v>
      </c>
      <c r="AF7" s="30" t="s">
        <v>111</v>
      </c>
      <c r="AG7" s="30" t="s">
        <v>1283</v>
      </c>
      <c r="AH7" s="30" t="s">
        <v>125</v>
      </c>
      <c r="AI7" s="30" t="s">
        <v>124</v>
      </c>
      <c r="AJ7" s="30" t="s">
        <v>126</v>
      </c>
      <c r="AK7" s="30" t="s">
        <v>1171</v>
      </c>
      <c r="AL7" s="30" t="s">
        <v>1284</v>
      </c>
      <c r="AM7" s="53"/>
      <c r="AN7" s="30" t="s">
        <v>121</v>
      </c>
      <c r="AO7" s="30" t="s">
        <v>1287</v>
      </c>
      <c r="AP7" s="30" t="s">
        <v>117</v>
      </c>
      <c r="AQ7" s="30" t="s">
        <v>118</v>
      </c>
      <c r="AR7" s="204"/>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row>
    <row r="8" spans="1:74" ht="12.75" customHeight="1" x14ac:dyDescent="0.2">
      <c r="A8" s="31"/>
      <c r="B8" s="32" t="s">
        <v>129</v>
      </c>
      <c r="C8" s="33" t="s">
        <v>153</v>
      </c>
      <c r="D8" s="34" t="s">
        <v>148</v>
      </c>
      <c r="E8" s="34" t="s">
        <v>130</v>
      </c>
      <c r="F8" s="34" t="s">
        <v>141</v>
      </c>
      <c r="G8" s="34" t="s">
        <v>1232</v>
      </c>
      <c r="H8" s="34" t="s">
        <v>1088</v>
      </c>
      <c r="I8" s="34" t="s">
        <v>1291</v>
      </c>
      <c r="J8" s="34" t="s">
        <v>1289</v>
      </c>
      <c r="K8" s="34" t="s">
        <v>132</v>
      </c>
      <c r="L8" s="34" t="s">
        <v>798</v>
      </c>
      <c r="M8" s="34">
        <v>6.3E-2</v>
      </c>
      <c r="N8" s="34" t="s">
        <v>140</v>
      </c>
      <c r="O8" s="34" t="s">
        <v>147</v>
      </c>
      <c r="P8" s="34" t="s">
        <v>134</v>
      </c>
      <c r="Q8" s="34" t="s">
        <v>1296</v>
      </c>
      <c r="R8" s="34" t="s">
        <v>154</v>
      </c>
      <c r="S8" s="34" t="s">
        <v>145</v>
      </c>
      <c r="T8" s="34" t="s">
        <v>138</v>
      </c>
      <c r="U8" s="34" t="s">
        <v>1294</v>
      </c>
      <c r="V8" s="34" t="s">
        <v>131</v>
      </c>
      <c r="W8" s="34" t="s">
        <v>1293</v>
      </c>
      <c r="X8" s="34" t="s">
        <v>137</v>
      </c>
      <c r="Y8" s="34" t="s">
        <v>139</v>
      </c>
      <c r="Z8" s="34" t="s">
        <v>135</v>
      </c>
      <c r="AA8" s="34">
        <v>0.53</v>
      </c>
      <c r="AB8" s="34" t="s">
        <v>144</v>
      </c>
      <c r="AC8" s="34" t="s">
        <v>150</v>
      </c>
      <c r="AD8" s="34" t="s">
        <v>1290</v>
      </c>
      <c r="AE8" s="34" t="s">
        <v>1105</v>
      </c>
      <c r="AF8" s="34" t="s">
        <v>136</v>
      </c>
      <c r="AG8" s="34" t="s">
        <v>1288</v>
      </c>
      <c r="AH8" s="34" t="s">
        <v>151</v>
      </c>
      <c r="AI8" s="34" t="s">
        <v>149</v>
      </c>
      <c r="AJ8" s="34" t="s">
        <v>152</v>
      </c>
      <c r="AK8" s="34" t="s">
        <v>1172</v>
      </c>
      <c r="AL8" s="34" t="s">
        <v>1289</v>
      </c>
      <c r="AM8" s="53"/>
      <c r="AN8" s="34" t="s">
        <v>146</v>
      </c>
      <c r="AO8" s="34" t="s">
        <v>1295</v>
      </c>
      <c r="AP8" s="34"/>
      <c r="AQ8" s="34" t="s">
        <v>143</v>
      </c>
      <c r="AR8" s="166" t="s">
        <v>1292</v>
      </c>
      <c r="AS8" s="13"/>
      <c r="AT8" s="13"/>
      <c r="AU8" s="13"/>
      <c r="AV8" s="13"/>
      <c r="AW8" s="13"/>
      <c r="AX8" s="13"/>
      <c r="AY8" s="13"/>
      <c r="AZ8" s="13"/>
      <c r="BA8" s="13"/>
      <c r="BB8" s="13"/>
      <c r="BC8" s="13"/>
      <c r="BD8" s="13"/>
      <c r="BE8" s="13"/>
      <c r="BF8" s="13"/>
      <c r="BG8" s="13"/>
      <c r="BH8" s="13"/>
      <c r="BI8" s="13"/>
      <c r="BJ8" s="13"/>
      <c r="BK8" s="13"/>
      <c r="BL8" s="1"/>
      <c r="BM8" s="13"/>
      <c r="BN8" s="13"/>
      <c r="BO8" s="13"/>
      <c r="BP8" s="13"/>
      <c r="BQ8" s="13"/>
      <c r="BR8" s="13"/>
      <c r="BS8" s="13"/>
      <c r="BT8" s="13"/>
      <c r="BU8" s="13"/>
      <c r="BV8" s="13"/>
    </row>
    <row r="9" spans="1:74" ht="12.75" customHeight="1" x14ac:dyDescent="0.15">
      <c r="A9" s="31"/>
      <c r="B9" s="32" t="s">
        <v>155</v>
      </c>
      <c r="C9" s="33" t="s">
        <v>181</v>
      </c>
      <c r="D9" s="34" t="s">
        <v>175</v>
      </c>
      <c r="E9" s="34" t="s">
        <v>157</v>
      </c>
      <c r="F9" s="34" t="s">
        <v>168</v>
      </c>
      <c r="G9" s="34" t="s">
        <v>1233</v>
      </c>
      <c r="H9" s="34" t="s">
        <v>1089</v>
      </c>
      <c r="I9" s="34" t="s">
        <v>1301</v>
      </c>
      <c r="J9" s="34" t="s">
        <v>1300</v>
      </c>
      <c r="K9" s="34" t="s">
        <v>160</v>
      </c>
      <c r="L9" s="34" t="s">
        <v>1163</v>
      </c>
      <c r="M9" s="34" t="s">
        <v>156</v>
      </c>
      <c r="N9" s="34" t="s">
        <v>167</v>
      </c>
      <c r="O9" s="34" t="s">
        <v>174</v>
      </c>
      <c r="P9" s="34" t="s">
        <v>161</v>
      </c>
      <c r="Q9" s="34">
        <v>0.23</v>
      </c>
      <c r="R9" s="34" t="s">
        <v>182</v>
      </c>
      <c r="S9" s="34" t="s">
        <v>172</v>
      </c>
      <c r="T9" s="34" t="s">
        <v>165</v>
      </c>
      <c r="U9" s="34">
        <v>0.15</v>
      </c>
      <c r="V9" s="34" t="s">
        <v>159</v>
      </c>
      <c r="W9" s="34">
        <v>0.06</v>
      </c>
      <c r="X9" s="34" t="s">
        <v>164</v>
      </c>
      <c r="Y9" s="34" t="s">
        <v>166</v>
      </c>
      <c r="Z9" s="34" t="s">
        <v>162</v>
      </c>
      <c r="AA9" s="34" t="s">
        <v>1238</v>
      </c>
      <c r="AB9" s="34" t="s">
        <v>171</v>
      </c>
      <c r="AC9" s="34" t="s">
        <v>178</v>
      </c>
      <c r="AD9" s="34" t="s">
        <v>1299</v>
      </c>
      <c r="AE9" s="34" t="s">
        <v>169</v>
      </c>
      <c r="AF9" s="34" t="s">
        <v>163</v>
      </c>
      <c r="AG9" s="34" t="s">
        <v>1297</v>
      </c>
      <c r="AH9" s="34" t="s">
        <v>179</v>
      </c>
      <c r="AI9" s="34" t="s">
        <v>177</v>
      </c>
      <c r="AJ9" s="34" t="s">
        <v>180</v>
      </c>
      <c r="AK9" s="34" t="s">
        <v>600</v>
      </c>
      <c r="AL9" s="34" t="s">
        <v>1298</v>
      </c>
      <c r="AM9" s="53"/>
      <c r="AN9" s="34" t="s">
        <v>173</v>
      </c>
      <c r="AO9" s="34"/>
      <c r="AP9" s="34"/>
      <c r="AQ9" s="34" t="s">
        <v>170</v>
      </c>
      <c r="AR9" s="166">
        <v>0.24</v>
      </c>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row>
    <row r="10" spans="1:74" ht="12.75" customHeight="1" x14ac:dyDescent="0.15">
      <c r="A10" s="31"/>
      <c r="B10" s="32" t="s">
        <v>183</v>
      </c>
      <c r="C10" s="33" t="s">
        <v>203</v>
      </c>
      <c r="D10" s="34" t="s">
        <v>199</v>
      </c>
      <c r="E10" s="34" t="s">
        <v>185</v>
      </c>
      <c r="F10" s="34" t="s">
        <v>194</v>
      </c>
      <c r="G10" s="34">
        <v>0</v>
      </c>
      <c r="H10" s="34" t="s">
        <v>1090</v>
      </c>
      <c r="I10" s="35" t="s">
        <v>1303</v>
      </c>
      <c r="J10" s="34">
        <v>-0.67</v>
      </c>
      <c r="K10" s="35"/>
      <c r="L10" s="34" t="s">
        <v>186</v>
      </c>
      <c r="M10" s="34" t="s">
        <v>184</v>
      </c>
      <c r="N10" s="34" t="s">
        <v>193</v>
      </c>
      <c r="O10" s="34"/>
      <c r="P10" s="34">
        <v>-3.1699999999999999E-2</v>
      </c>
      <c r="Q10" s="34">
        <v>0</v>
      </c>
      <c r="R10" s="34" t="s">
        <v>189</v>
      </c>
      <c r="S10" s="34">
        <v>-4.4114000000000004</v>
      </c>
      <c r="T10" s="34" t="s">
        <v>191</v>
      </c>
      <c r="U10" s="34"/>
      <c r="V10" s="34" t="s">
        <v>187</v>
      </c>
      <c r="W10" s="34"/>
      <c r="X10" s="34" t="s">
        <v>190</v>
      </c>
      <c r="Y10" s="34" t="s">
        <v>192</v>
      </c>
      <c r="Z10" s="34" t="s">
        <v>188</v>
      </c>
      <c r="AA10" s="34">
        <v>-0.28000000000000003</v>
      </c>
      <c r="AB10" s="34" t="s">
        <v>197</v>
      </c>
      <c r="AC10" s="34" t="s">
        <v>201</v>
      </c>
      <c r="AD10" s="34">
        <v>-0.25</v>
      </c>
      <c r="AE10" s="35" t="s">
        <v>195</v>
      </c>
      <c r="AF10" s="34" t="s">
        <v>189</v>
      </c>
      <c r="AG10" s="35" t="s">
        <v>1302</v>
      </c>
      <c r="AH10" s="34" t="s">
        <v>202</v>
      </c>
      <c r="AI10" s="34" t="s">
        <v>200</v>
      </c>
      <c r="AJ10" s="34">
        <v>-0.82</v>
      </c>
      <c r="AK10" s="34" t="s">
        <v>1173</v>
      </c>
      <c r="AL10" s="34">
        <v>-1.88</v>
      </c>
      <c r="AM10" s="53"/>
      <c r="AN10" s="34" t="s">
        <v>198</v>
      </c>
      <c r="AO10" s="34"/>
      <c r="AP10" s="34"/>
      <c r="AQ10" s="34" t="s">
        <v>196</v>
      </c>
      <c r="AR10" s="166">
        <v>0.44</v>
      </c>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row>
    <row r="11" spans="1:74" ht="78" x14ac:dyDescent="0.15">
      <c r="A11" s="31" t="s">
        <v>204</v>
      </c>
      <c r="B11" s="32"/>
      <c r="C11" s="33" t="s">
        <v>228</v>
      </c>
      <c r="D11" s="34" t="s">
        <v>223</v>
      </c>
      <c r="E11" s="34" t="s">
        <v>205</v>
      </c>
      <c r="F11" s="34" t="s">
        <v>215</v>
      </c>
      <c r="G11" s="36" t="s">
        <v>205</v>
      </c>
      <c r="H11" s="34" t="s">
        <v>1162</v>
      </c>
      <c r="I11" s="34" t="s">
        <v>1308</v>
      </c>
      <c r="J11" s="34" t="s">
        <v>1307</v>
      </c>
      <c r="K11" s="34" t="s">
        <v>208</v>
      </c>
      <c r="L11" s="34" t="s">
        <v>206</v>
      </c>
      <c r="M11" s="34" t="s">
        <v>205</v>
      </c>
      <c r="N11" s="34" t="s">
        <v>214</v>
      </c>
      <c r="O11" s="34" t="s">
        <v>222</v>
      </c>
      <c r="P11" s="34" t="s">
        <v>205</v>
      </c>
      <c r="Q11" s="34" t="s">
        <v>1312</v>
      </c>
      <c r="R11" s="34" t="s">
        <v>229</v>
      </c>
      <c r="S11" s="34" t="s">
        <v>220</v>
      </c>
      <c r="T11" s="34" t="s">
        <v>212</v>
      </c>
      <c r="U11" s="34"/>
      <c r="V11" s="34" t="s">
        <v>207</v>
      </c>
      <c r="W11" s="34" t="s">
        <v>1310</v>
      </c>
      <c r="X11" s="36" t="s">
        <v>211</v>
      </c>
      <c r="Y11" s="34" t="s">
        <v>213</v>
      </c>
      <c r="Z11" s="34" t="s">
        <v>210</v>
      </c>
      <c r="AA11" s="34" t="s">
        <v>209</v>
      </c>
      <c r="AB11" s="34" t="s">
        <v>219</v>
      </c>
      <c r="AC11" s="34" t="s">
        <v>225</v>
      </c>
      <c r="AD11" s="34" t="s">
        <v>1306</v>
      </c>
      <c r="AE11" s="34" t="s">
        <v>216</v>
      </c>
      <c r="AF11" s="34" t="s">
        <v>211</v>
      </c>
      <c r="AG11" s="34" t="s">
        <v>1304</v>
      </c>
      <c r="AH11" s="34" t="s">
        <v>226</v>
      </c>
      <c r="AI11" s="34" t="s">
        <v>224</v>
      </c>
      <c r="AJ11" s="34" t="s">
        <v>227</v>
      </c>
      <c r="AK11" s="34" t="s">
        <v>1174</v>
      </c>
      <c r="AL11" s="34" t="s">
        <v>1305</v>
      </c>
      <c r="AM11" s="53"/>
      <c r="AN11" s="34" t="s">
        <v>221</v>
      </c>
      <c r="AO11" s="34" t="s">
        <v>1311</v>
      </c>
      <c r="AP11" s="34" t="s">
        <v>217</v>
      </c>
      <c r="AQ11" s="34" t="s">
        <v>218</v>
      </c>
      <c r="AR11" s="166" t="s">
        <v>1309</v>
      </c>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row>
    <row r="12" spans="1:74" ht="12.75" customHeight="1" x14ac:dyDescent="0.2">
      <c r="A12" s="31"/>
      <c r="B12" s="32" t="s">
        <v>230</v>
      </c>
      <c r="C12" s="33">
        <v>3.0000000000000004E-5</v>
      </c>
      <c r="D12" s="34">
        <v>2.3300000000000001E-2</v>
      </c>
      <c r="E12" s="34">
        <v>1.9130000000000001E-2</v>
      </c>
      <c r="F12" s="37">
        <v>2.2800000000000001E-2</v>
      </c>
      <c r="G12" s="37">
        <v>2.3800000000000002E-2</v>
      </c>
      <c r="H12" s="34">
        <v>1.24E-2</v>
      </c>
      <c r="I12" s="34">
        <v>4.4013999999999999E-6</v>
      </c>
      <c r="J12" s="34">
        <v>4.0399999999999998E-2</v>
      </c>
      <c r="K12" s="34" t="s">
        <v>1239</v>
      </c>
      <c r="L12" s="34">
        <v>2.0200000000000003E-2</v>
      </c>
      <c r="M12" s="34">
        <v>1.3070000000000002E-2</v>
      </c>
      <c r="N12" s="34">
        <v>2.1000000000000001E-2</v>
      </c>
      <c r="O12" s="34">
        <v>1.78E-2</v>
      </c>
      <c r="P12" s="34">
        <v>1.064E-2</v>
      </c>
      <c r="Q12" s="34">
        <v>6.0999999999999999E-5</v>
      </c>
      <c r="R12" s="34">
        <v>2.0000000000000001E-4</v>
      </c>
      <c r="S12" s="37">
        <v>9.0000000000000002E-6</v>
      </c>
      <c r="T12" s="34">
        <v>2.8000000000000001E-2</v>
      </c>
      <c r="U12" s="34" t="s">
        <v>1314</v>
      </c>
      <c r="V12" s="34">
        <v>2.3178000000000004E-5</v>
      </c>
      <c r="W12" s="34">
        <v>-7.1099999999999997E-2</v>
      </c>
      <c r="X12" s="34">
        <v>1.7299999999999999E-2</v>
      </c>
      <c r="Y12" s="34">
        <v>1.6199999999999999E-2</v>
      </c>
      <c r="Z12" s="34">
        <v>7.6475099999999999E-6</v>
      </c>
      <c r="AA12" s="37">
        <v>6.9999999999999999E-4</v>
      </c>
      <c r="AB12" s="34">
        <v>2.9138E-6</v>
      </c>
      <c r="AC12" s="37">
        <v>1.3100000000000001E-2</v>
      </c>
      <c r="AD12" s="34" t="s">
        <v>1313</v>
      </c>
      <c r="AE12" s="34">
        <v>7.9000000000000001E-4</v>
      </c>
      <c r="AF12" s="34">
        <v>1.7000000000000001E-2</v>
      </c>
      <c r="AG12" s="34">
        <v>3.3500000000000001E-3</v>
      </c>
      <c r="AH12" s="34">
        <v>1.2E-2</v>
      </c>
      <c r="AI12" s="34">
        <v>3.1400000000000004E-2</v>
      </c>
      <c r="AJ12" s="34">
        <v>4.4000000000000003E-3</v>
      </c>
      <c r="AK12" s="34">
        <v>1.374E-2</v>
      </c>
      <c r="AL12" s="34">
        <v>3.6399999999999997E-5</v>
      </c>
      <c r="AM12" s="53"/>
      <c r="AN12" s="205">
        <v>7.6639999999999998E-6</v>
      </c>
      <c r="AO12" s="34" t="s">
        <v>1315</v>
      </c>
      <c r="AP12" s="37" t="s">
        <v>231</v>
      </c>
      <c r="AQ12" s="37">
        <v>1E-3</v>
      </c>
      <c r="AR12" s="166">
        <v>4.5999999999999999E-3</v>
      </c>
      <c r="AS12" s="13"/>
      <c r="AT12" s="13"/>
      <c r="AU12" s="13"/>
      <c r="AV12" s="13"/>
      <c r="AW12" s="13"/>
      <c r="AX12" s="13"/>
      <c r="AY12" s="13"/>
      <c r="AZ12" s="13"/>
      <c r="BA12" s="13"/>
      <c r="BB12" s="13"/>
      <c r="BC12" s="13"/>
      <c r="BD12" s="13"/>
      <c r="BE12" s="13"/>
      <c r="BF12" s="13"/>
      <c r="BG12" s="13"/>
      <c r="BH12" s="13"/>
      <c r="BI12" s="13"/>
      <c r="BJ12" s="13"/>
      <c r="BK12" s="13"/>
      <c r="BL12" s="1"/>
      <c r="BM12" s="13"/>
      <c r="BN12" s="13"/>
      <c r="BO12" s="13"/>
      <c r="BP12" s="13"/>
      <c r="BQ12" s="13"/>
      <c r="BR12" s="13"/>
      <c r="BS12" s="13"/>
      <c r="BT12" s="13"/>
      <c r="BU12" s="13"/>
      <c r="BV12" s="13"/>
    </row>
    <row r="13" spans="1:74" ht="12.75" customHeight="1" x14ac:dyDescent="0.2">
      <c r="A13" s="31"/>
      <c r="B13" s="32" t="s">
        <v>232</v>
      </c>
      <c r="C13" s="33">
        <v>2.9278</v>
      </c>
      <c r="D13" s="34">
        <v>2.919</v>
      </c>
      <c r="E13" s="34">
        <v>2.94</v>
      </c>
      <c r="F13" s="34">
        <v>2.9220000000000002</v>
      </c>
      <c r="G13" s="34">
        <v>2.97</v>
      </c>
      <c r="H13" s="34">
        <v>3.0569999999999999</v>
      </c>
      <c r="I13" s="34">
        <v>3.1116999999999999</v>
      </c>
      <c r="J13" s="34">
        <v>2.91</v>
      </c>
      <c r="K13" s="34">
        <v>3.15</v>
      </c>
      <c r="L13" s="34">
        <v>3</v>
      </c>
      <c r="M13" s="34">
        <v>3.05</v>
      </c>
      <c r="N13" s="34">
        <v>2.996</v>
      </c>
      <c r="O13" s="34">
        <v>2.7967499999999998</v>
      </c>
      <c r="P13" s="34">
        <v>3.06</v>
      </c>
      <c r="Q13" s="34">
        <v>2.75</v>
      </c>
      <c r="R13" s="34">
        <v>3.26</v>
      </c>
      <c r="S13" s="34">
        <v>3.2063999999999999</v>
      </c>
      <c r="T13" s="34">
        <v>2.8442600000000002</v>
      </c>
      <c r="U13" s="34">
        <v>3.05</v>
      </c>
      <c r="V13" s="34">
        <v>2.9588999999999999</v>
      </c>
      <c r="W13" s="34">
        <v>2.423</v>
      </c>
      <c r="X13" s="34">
        <v>3.02583</v>
      </c>
      <c r="Y13" s="34">
        <v>3.01</v>
      </c>
      <c r="Z13" s="34">
        <v>3.24281</v>
      </c>
      <c r="AA13" s="34">
        <v>3.5750000000000002</v>
      </c>
      <c r="AB13" s="34">
        <v>3.2696999999999998</v>
      </c>
      <c r="AC13" s="34">
        <v>3.0880000000000001</v>
      </c>
      <c r="AD13" s="34" t="s">
        <v>1316</v>
      </c>
      <c r="AE13" s="34">
        <v>3.2509999999999999</v>
      </c>
      <c r="AF13" s="34">
        <v>3.0422600000000002</v>
      </c>
      <c r="AG13" s="34">
        <v>2.7719999999999998</v>
      </c>
      <c r="AH13" s="34">
        <v>3.0110000000000001</v>
      </c>
      <c r="AI13" s="34" t="s">
        <v>234</v>
      </c>
      <c r="AJ13" s="34">
        <v>3.0830000000000002</v>
      </c>
      <c r="AK13" s="34">
        <v>3</v>
      </c>
      <c r="AL13" s="34">
        <v>2.76</v>
      </c>
      <c r="AM13" s="53"/>
      <c r="AN13" s="206">
        <v>3.4380000000000002</v>
      </c>
      <c r="AO13" s="34" t="s">
        <v>1317</v>
      </c>
      <c r="AP13" s="34" t="s">
        <v>233</v>
      </c>
      <c r="AQ13" s="34">
        <v>2.98</v>
      </c>
      <c r="AR13" s="166">
        <v>2.63</v>
      </c>
      <c r="AS13" s="13"/>
      <c r="AT13" s="13"/>
      <c r="AU13" s="13"/>
      <c r="AV13" s="13"/>
      <c r="AW13" s="13"/>
      <c r="AX13" s="13"/>
      <c r="AY13" s="13"/>
      <c r="AZ13" s="13"/>
      <c r="BA13" s="13"/>
      <c r="BB13" s="13"/>
      <c r="BC13" s="13"/>
      <c r="BD13" s="13"/>
      <c r="BE13" s="13"/>
      <c r="BF13" s="13"/>
      <c r="BG13" s="13"/>
      <c r="BH13" s="13"/>
      <c r="BI13" s="13"/>
      <c r="BJ13" s="13"/>
      <c r="BK13" s="13"/>
      <c r="BL13" s="1"/>
      <c r="BM13" s="13"/>
      <c r="BN13" s="13"/>
      <c r="BO13" s="13"/>
      <c r="BP13" s="13"/>
      <c r="BQ13" s="13"/>
      <c r="BR13" s="13"/>
      <c r="BS13" s="13"/>
      <c r="BT13" s="13"/>
      <c r="BU13" s="13"/>
      <c r="BV13" s="13"/>
    </row>
    <row r="14" spans="1:74" ht="52" x14ac:dyDescent="0.2">
      <c r="A14" s="31" t="s">
        <v>235</v>
      </c>
      <c r="B14" s="32"/>
      <c r="C14" s="33" t="s">
        <v>263</v>
      </c>
      <c r="D14" s="34" t="s">
        <v>258</v>
      </c>
      <c r="E14" s="34" t="s">
        <v>238</v>
      </c>
      <c r="F14" s="34" t="s">
        <v>250</v>
      </c>
      <c r="G14" s="34" t="s">
        <v>236</v>
      </c>
      <c r="H14" s="34" t="s">
        <v>1093</v>
      </c>
      <c r="I14" s="34" t="s">
        <v>1322</v>
      </c>
      <c r="J14" s="34" t="s">
        <v>1321</v>
      </c>
      <c r="K14" s="34" t="s">
        <v>241</v>
      </c>
      <c r="L14" s="34" t="s">
        <v>239</v>
      </c>
      <c r="M14" s="34" t="s">
        <v>237</v>
      </c>
      <c r="N14" s="34" t="s">
        <v>249</v>
      </c>
      <c r="O14" s="34" t="s">
        <v>257</v>
      </c>
      <c r="P14" s="34" t="s">
        <v>242</v>
      </c>
      <c r="Q14" s="34">
        <v>19</v>
      </c>
      <c r="R14" s="34" t="s">
        <v>264</v>
      </c>
      <c r="S14" s="34" t="s">
        <v>255</v>
      </c>
      <c r="T14" s="34" t="s">
        <v>247</v>
      </c>
      <c r="U14" s="34">
        <v>29</v>
      </c>
      <c r="V14" s="34" t="s">
        <v>240</v>
      </c>
      <c r="W14" s="34">
        <v>29</v>
      </c>
      <c r="X14" s="34" t="s">
        <v>246</v>
      </c>
      <c r="Y14" s="34" t="s">
        <v>248</v>
      </c>
      <c r="Z14" s="34" t="s">
        <v>244</v>
      </c>
      <c r="AA14" s="34" t="s">
        <v>243</v>
      </c>
      <c r="AB14" s="34" t="s">
        <v>254</v>
      </c>
      <c r="AC14" s="34" t="s">
        <v>260</v>
      </c>
      <c r="AD14" s="34" t="s">
        <v>1320</v>
      </c>
      <c r="AE14" s="34" t="s">
        <v>251</v>
      </c>
      <c r="AF14" s="34" t="s">
        <v>245</v>
      </c>
      <c r="AG14" s="34" t="s">
        <v>1318</v>
      </c>
      <c r="AH14" s="34" t="s">
        <v>261</v>
      </c>
      <c r="AI14" s="34" t="s">
        <v>259</v>
      </c>
      <c r="AJ14" s="34" t="s">
        <v>262</v>
      </c>
      <c r="AK14" s="34" t="s">
        <v>687</v>
      </c>
      <c r="AL14" s="34" t="s">
        <v>1319</v>
      </c>
      <c r="AM14" s="53"/>
      <c r="AN14" s="34" t="s">
        <v>256</v>
      </c>
      <c r="AO14" s="34">
        <v>30</v>
      </c>
      <c r="AP14" s="34" t="s">
        <v>252</v>
      </c>
      <c r="AQ14" s="34" t="s">
        <v>253</v>
      </c>
      <c r="AR14" s="166">
        <v>15</v>
      </c>
      <c r="AS14" s="13"/>
      <c r="AT14" s="13"/>
      <c r="AU14" s="13"/>
      <c r="AV14" s="13"/>
      <c r="AW14" s="13"/>
      <c r="AX14" s="13"/>
      <c r="AY14" s="13"/>
      <c r="AZ14" s="13"/>
      <c r="BA14" s="13"/>
      <c r="BB14" s="13"/>
      <c r="BC14" s="13"/>
      <c r="BD14" s="13"/>
      <c r="BE14" s="13"/>
      <c r="BF14" s="13"/>
      <c r="BG14" s="13"/>
      <c r="BH14" s="13"/>
      <c r="BI14" s="13"/>
      <c r="BJ14" s="13"/>
      <c r="BK14" s="13"/>
      <c r="BL14" s="1"/>
      <c r="BM14" s="13"/>
      <c r="BN14" s="13"/>
      <c r="BO14" s="13"/>
      <c r="BP14" s="13"/>
      <c r="BQ14" s="13"/>
      <c r="BR14" s="13"/>
      <c r="BS14" s="13"/>
      <c r="BT14" s="13"/>
      <c r="BU14" s="13"/>
      <c r="BV14" s="13"/>
    </row>
    <row r="15" spans="1:74" ht="52" x14ac:dyDescent="0.2">
      <c r="A15" s="31" t="s">
        <v>265</v>
      </c>
      <c r="B15" s="32"/>
      <c r="C15" s="33" t="s">
        <v>293</v>
      </c>
      <c r="D15" s="34" t="s">
        <v>287</v>
      </c>
      <c r="E15" s="34" t="s">
        <v>268</v>
      </c>
      <c r="F15" s="34" t="s">
        <v>280</v>
      </c>
      <c r="G15" s="34" t="s">
        <v>266</v>
      </c>
      <c r="H15" s="34" t="s">
        <v>1091</v>
      </c>
      <c r="I15" s="34" t="s">
        <v>1327</v>
      </c>
      <c r="J15" s="34" t="s">
        <v>1326</v>
      </c>
      <c r="K15" s="34" t="s">
        <v>271</v>
      </c>
      <c r="L15" s="34" t="s">
        <v>269</v>
      </c>
      <c r="M15" s="34" t="s">
        <v>267</v>
      </c>
      <c r="N15" s="34" t="s">
        <v>279</v>
      </c>
      <c r="O15" s="34" t="s">
        <v>286</v>
      </c>
      <c r="P15" s="34" t="s">
        <v>273</v>
      </c>
      <c r="Q15" s="34" t="s">
        <v>1331</v>
      </c>
      <c r="R15" s="34" t="s">
        <v>294</v>
      </c>
      <c r="S15" s="34" t="s">
        <v>284</v>
      </c>
      <c r="T15" s="34" t="s">
        <v>278</v>
      </c>
      <c r="U15" s="34" t="s">
        <v>1330</v>
      </c>
      <c r="V15" s="34" t="s">
        <v>270</v>
      </c>
      <c r="W15" s="34" t="s">
        <v>1329</v>
      </c>
      <c r="X15" s="34" t="s">
        <v>277</v>
      </c>
      <c r="Y15" s="34" t="s">
        <v>1103</v>
      </c>
      <c r="Z15" s="34" t="s">
        <v>275</v>
      </c>
      <c r="AA15" s="34" t="s">
        <v>274</v>
      </c>
      <c r="AB15" s="34" t="s">
        <v>1104</v>
      </c>
      <c r="AC15" s="34" t="s">
        <v>290</v>
      </c>
      <c r="AD15" s="34" t="s">
        <v>1325</v>
      </c>
      <c r="AE15" s="34" t="s">
        <v>281</v>
      </c>
      <c r="AF15" s="34" t="s">
        <v>276</v>
      </c>
      <c r="AG15" s="34" t="s">
        <v>1323</v>
      </c>
      <c r="AH15" s="34" t="s">
        <v>291</v>
      </c>
      <c r="AI15" s="34" t="s">
        <v>289</v>
      </c>
      <c r="AJ15" s="34" t="s">
        <v>292</v>
      </c>
      <c r="AK15" s="34" t="s">
        <v>1175</v>
      </c>
      <c r="AL15" s="34" t="s">
        <v>1324</v>
      </c>
      <c r="AM15" s="53"/>
      <c r="AN15" s="34" t="s">
        <v>285</v>
      </c>
      <c r="AO15" s="34"/>
      <c r="AP15" s="34" t="s">
        <v>282</v>
      </c>
      <c r="AQ15" s="34" t="s">
        <v>283</v>
      </c>
      <c r="AR15" s="166" t="s">
        <v>1328</v>
      </c>
      <c r="AS15" s="13"/>
      <c r="AT15" s="13"/>
      <c r="AU15" s="13"/>
      <c r="AV15" s="13"/>
      <c r="AW15" s="13"/>
      <c r="AX15" s="13"/>
      <c r="AY15" s="13"/>
      <c r="AZ15" s="13"/>
      <c r="BA15" s="13"/>
      <c r="BB15" s="13"/>
      <c r="BC15" s="13"/>
      <c r="BD15" s="13"/>
      <c r="BE15" s="13"/>
      <c r="BF15" s="13"/>
      <c r="BG15" s="13"/>
      <c r="BH15" s="13"/>
      <c r="BI15" s="13"/>
      <c r="BJ15" s="13"/>
      <c r="BK15" s="13"/>
      <c r="BL15" s="1"/>
      <c r="BM15" s="13"/>
      <c r="BN15" s="13"/>
      <c r="BO15" s="13"/>
      <c r="BP15" s="13"/>
      <c r="BQ15" s="13"/>
      <c r="BR15" s="13"/>
      <c r="BS15" s="13"/>
      <c r="BT15" s="13"/>
      <c r="BU15" s="13"/>
      <c r="BV15" s="13"/>
    </row>
    <row r="16" spans="1:74" ht="65" x14ac:dyDescent="0.15">
      <c r="A16" s="31" t="s">
        <v>295</v>
      </c>
      <c r="B16" s="32"/>
      <c r="C16" s="33" t="s">
        <v>311</v>
      </c>
      <c r="D16" s="34" t="s">
        <v>309</v>
      </c>
      <c r="E16" s="34" t="s">
        <v>298</v>
      </c>
      <c r="F16" s="34" t="s">
        <v>303</v>
      </c>
      <c r="G16" s="34" t="s">
        <v>296</v>
      </c>
      <c r="H16" s="34" t="s">
        <v>1182</v>
      </c>
      <c r="I16" s="34" t="s">
        <v>1336</v>
      </c>
      <c r="J16" s="34" t="s">
        <v>1335</v>
      </c>
      <c r="K16" s="34" t="s">
        <v>1181</v>
      </c>
      <c r="L16" s="34" t="s">
        <v>299</v>
      </c>
      <c r="M16" s="34" t="s">
        <v>297</v>
      </c>
      <c r="N16" s="34" t="s">
        <v>1227</v>
      </c>
      <c r="O16" s="34" t="s">
        <v>308</v>
      </c>
      <c r="P16" s="34" t="s">
        <v>301</v>
      </c>
      <c r="Q16" s="34">
        <v>0.23</v>
      </c>
      <c r="R16" s="34" t="s">
        <v>312</v>
      </c>
      <c r="S16" s="34" t="s">
        <v>307</v>
      </c>
      <c r="T16" s="34" t="s">
        <v>1225</v>
      </c>
      <c r="U16" s="34">
        <v>0.16</v>
      </c>
      <c r="V16" s="34" t="s">
        <v>300</v>
      </c>
      <c r="W16" s="34">
        <v>0.16</v>
      </c>
      <c r="X16" s="34"/>
      <c r="Y16" s="34" t="s">
        <v>1226</v>
      </c>
      <c r="Z16" s="34" t="s">
        <v>1235</v>
      </c>
      <c r="AA16" s="34" t="s">
        <v>302</v>
      </c>
      <c r="AB16" s="34" t="s">
        <v>306</v>
      </c>
      <c r="AC16" s="34" t="s">
        <v>1142</v>
      </c>
      <c r="AD16" s="34" t="s">
        <v>1334</v>
      </c>
      <c r="AE16" s="34" t="s">
        <v>1100</v>
      </c>
      <c r="AF16" s="34" t="s">
        <v>1186</v>
      </c>
      <c r="AG16" s="34" t="s">
        <v>1332</v>
      </c>
      <c r="AH16" s="34" t="s">
        <v>1143</v>
      </c>
      <c r="AI16" s="34" t="s">
        <v>1140</v>
      </c>
      <c r="AJ16" s="34" t="s">
        <v>310</v>
      </c>
      <c r="AK16" s="34" t="s">
        <v>794</v>
      </c>
      <c r="AL16" s="34" t="s">
        <v>1333</v>
      </c>
      <c r="AM16" s="53"/>
      <c r="AN16" s="34" t="s">
        <v>1212</v>
      </c>
      <c r="AO16" s="34" t="s">
        <v>1337</v>
      </c>
      <c r="AP16" s="34" t="s">
        <v>304</v>
      </c>
      <c r="AQ16" s="34" t="s">
        <v>305</v>
      </c>
      <c r="AR16" s="166">
        <v>0.34</v>
      </c>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row>
    <row r="17" spans="1:74" ht="39" x14ac:dyDescent="0.2">
      <c r="A17" s="31" t="s">
        <v>313</v>
      </c>
      <c r="B17" s="32"/>
      <c r="C17" s="33" t="s">
        <v>1101</v>
      </c>
      <c r="D17" s="34" t="s">
        <v>335</v>
      </c>
      <c r="E17" s="34" t="s">
        <v>316</v>
      </c>
      <c r="F17" s="34" t="s">
        <v>328</v>
      </c>
      <c r="G17" s="34" t="s">
        <v>314</v>
      </c>
      <c r="H17" s="34" t="s">
        <v>320</v>
      </c>
      <c r="I17" s="34" t="s">
        <v>1341</v>
      </c>
      <c r="J17" s="34" t="s">
        <v>317</v>
      </c>
      <c r="K17" s="34" t="s">
        <v>319</v>
      </c>
      <c r="L17" s="34" t="s">
        <v>317</v>
      </c>
      <c r="M17" s="34" t="s">
        <v>315</v>
      </c>
      <c r="N17" s="34" t="s">
        <v>327</v>
      </c>
      <c r="O17" s="34" t="s">
        <v>1101</v>
      </c>
      <c r="P17" s="34" t="s">
        <v>321</v>
      </c>
      <c r="Q17" s="34" t="s">
        <v>1344</v>
      </c>
      <c r="R17" s="34" t="s">
        <v>339</v>
      </c>
      <c r="S17" s="34" t="s">
        <v>333</v>
      </c>
      <c r="T17" s="34" t="s">
        <v>325</v>
      </c>
      <c r="U17" s="34" t="s">
        <v>1344</v>
      </c>
      <c r="V17" s="34" t="s">
        <v>318</v>
      </c>
      <c r="W17" s="34" t="s">
        <v>1343</v>
      </c>
      <c r="X17" s="34" t="s">
        <v>324</v>
      </c>
      <c r="Y17" s="34" t="s">
        <v>326</v>
      </c>
      <c r="Z17" s="34" t="s">
        <v>322</v>
      </c>
      <c r="AA17" s="34" t="s">
        <v>1097</v>
      </c>
      <c r="AB17" s="34" t="s">
        <v>332</v>
      </c>
      <c r="AC17" s="34" t="s">
        <v>336</v>
      </c>
      <c r="AD17" s="34" t="s">
        <v>1340</v>
      </c>
      <c r="AE17" s="34" t="s">
        <v>329</v>
      </c>
      <c r="AF17" s="34" t="s">
        <v>323</v>
      </c>
      <c r="AG17" s="34" t="s">
        <v>1338</v>
      </c>
      <c r="AH17" s="34" t="s">
        <v>337</v>
      </c>
      <c r="AI17" s="34" t="s">
        <v>317</v>
      </c>
      <c r="AJ17" s="34" t="s">
        <v>338</v>
      </c>
      <c r="AK17" s="34" t="s">
        <v>1210</v>
      </c>
      <c r="AL17" s="34" t="s">
        <v>1339</v>
      </c>
      <c r="AM17" s="53"/>
      <c r="AN17" s="34" t="s">
        <v>334</v>
      </c>
      <c r="AO17" s="34" t="s">
        <v>1345</v>
      </c>
      <c r="AP17" s="34" t="s">
        <v>330</v>
      </c>
      <c r="AQ17" s="34" t="s">
        <v>331</v>
      </c>
      <c r="AR17" s="166" t="s">
        <v>1342</v>
      </c>
      <c r="AS17" s="13"/>
      <c r="AT17" s="13"/>
      <c r="AU17" s="13"/>
      <c r="AV17" s="13"/>
      <c r="AW17" s="13"/>
      <c r="AX17" s="13"/>
      <c r="AY17" s="13"/>
      <c r="AZ17" s="13"/>
      <c r="BA17" s="13"/>
      <c r="BB17" s="13"/>
      <c r="BC17" s="13"/>
      <c r="BD17" s="13"/>
      <c r="BE17" s="13"/>
      <c r="BF17" s="13"/>
      <c r="BG17" s="13"/>
      <c r="BH17" s="13"/>
      <c r="BI17" s="13"/>
      <c r="BJ17" s="13"/>
      <c r="BK17" s="13"/>
      <c r="BL17" s="1"/>
      <c r="BM17" s="13"/>
      <c r="BN17" s="13"/>
      <c r="BO17" s="13"/>
      <c r="BP17" s="13"/>
      <c r="BQ17" s="13"/>
      <c r="BR17" s="13"/>
      <c r="BS17" s="13"/>
      <c r="BT17" s="13"/>
      <c r="BU17" s="13"/>
      <c r="BV17" s="13"/>
    </row>
    <row r="18" spans="1:74" ht="104" x14ac:dyDescent="0.15">
      <c r="A18" s="31" t="s">
        <v>340</v>
      </c>
      <c r="B18" s="32"/>
      <c r="C18" s="69"/>
      <c r="D18" s="34" t="s">
        <v>355</v>
      </c>
      <c r="E18" s="34" t="s">
        <v>341</v>
      </c>
      <c r="F18" s="34" t="s">
        <v>348</v>
      </c>
      <c r="G18" s="34"/>
      <c r="I18" s="34" t="s">
        <v>1350</v>
      </c>
      <c r="J18" s="34" t="s">
        <v>1349</v>
      </c>
      <c r="K18" s="34"/>
      <c r="L18" s="34" t="s">
        <v>342</v>
      </c>
      <c r="M18" s="34"/>
      <c r="O18" s="34" t="s">
        <v>354</v>
      </c>
      <c r="Q18" s="34" t="s">
        <v>1353</v>
      </c>
      <c r="R18" s="34"/>
      <c r="S18" s="34" t="s">
        <v>352</v>
      </c>
      <c r="T18" s="34" t="s">
        <v>346</v>
      </c>
      <c r="U18" s="34" t="s">
        <v>1353</v>
      </c>
      <c r="W18" s="34" t="s">
        <v>1352</v>
      </c>
      <c r="X18" s="34" t="s">
        <v>345</v>
      </c>
      <c r="Y18" s="34" t="s">
        <v>347</v>
      </c>
      <c r="Z18" s="34" t="s">
        <v>343</v>
      </c>
      <c r="AA18" s="34"/>
      <c r="AB18" s="34" t="s">
        <v>351</v>
      </c>
      <c r="AC18" s="34" t="s">
        <v>356</v>
      </c>
      <c r="AD18" s="34" t="s">
        <v>1348</v>
      </c>
      <c r="AF18" s="34" t="s">
        <v>344</v>
      </c>
      <c r="AG18" s="34" t="s">
        <v>1346</v>
      </c>
      <c r="AH18" s="34" t="s">
        <v>356</v>
      </c>
      <c r="AJ18" s="34"/>
      <c r="AK18" s="34" t="s">
        <v>883</v>
      </c>
      <c r="AL18" s="34" t="s">
        <v>1347</v>
      </c>
      <c r="AM18" s="53"/>
      <c r="AN18" s="34" t="s">
        <v>353</v>
      </c>
      <c r="AO18" s="34" t="s">
        <v>1354</v>
      </c>
      <c r="AP18" s="34" t="s">
        <v>349</v>
      </c>
      <c r="AQ18" s="34" t="s">
        <v>350</v>
      </c>
      <c r="AR18" s="166" t="s">
        <v>1351</v>
      </c>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row>
    <row r="19" spans="1:74" ht="65" x14ac:dyDescent="0.2">
      <c r="A19" s="31" t="s">
        <v>357</v>
      </c>
      <c r="B19" s="32"/>
      <c r="C19" s="33" t="s">
        <v>383</v>
      </c>
      <c r="D19" s="34" t="s">
        <v>1237</v>
      </c>
      <c r="E19" s="34" t="s">
        <v>360</v>
      </c>
      <c r="F19" s="34" t="s">
        <v>372</v>
      </c>
      <c r="G19" s="34" t="s">
        <v>358</v>
      </c>
      <c r="H19" s="34" t="s">
        <v>364</v>
      </c>
      <c r="I19" s="34" t="s">
        <v>1359</v>
      </c>
      <c r="J19" s="34" t="s">
        <v>1358</v>
      </c>
      <c r="K19" s="34" t="s">
        <v>363</v>
      </c>
      <c r="L19" s="34" t="s">
        <v>361</v>
      </c>
      <c r="M19" s="34" t="s">
        <v>359</v>
      </c>
      <c r="N19" s="34" t="s">
        <v>371</v>
      </c>
      <c r="O19" s="34" t="s">
        <v>378</v>
      </c>
      <c r="P19" s="34" t="s">
        <v>365</v>
      </c>
      <c r="Q19" s="34" t="s">
        <v>1364</v>
      </c>
      <c r="R19" s="34" t="s">
        <v>384</v>
      </c>
      <c r="S19" s="34" t="s">
        <v>377</v>
      </c>
      <c r="T19" s="34" t="s">
        <v>369</v>
      </c>
      <c r="U19" s="34" t="s">
        <v>1362</v>
      </c>
      <c r="V19" s="34" t="s">
        <v>362</v>
      </c>
      <c r="W19" s="34" t="s">
        <v>1361</v>
      </c>
      <c r="X19" s="34" t="s">
        <v>368</v>
      </c>
      <c r="Y19" s="34" t="s">
        <v>370</v>
      </c>
      <c r="Z19" s="34" t="s">
        <v>366</v>
      </c>
      <c r="AA19" s="34" t="s">
        <v>1095</v>
      </c>
      <c r="AB19" s="34" t="s">
        <v>376</v>
      </c>
      <c r="AC19" s="34" t="s">
        <v>380</v>
      </c>
      <c r="AD19" s="34" t="s">
        <v>1357</v>
      </c>
      <c r="AE19" s="34" t="s">
        <v>373</v>
      </c>
      <c r="AF19" s="34" t="s">
        <v>367</v>
      </c>
      <c r="AG19" s="34" t="s">
        <v>1355</v>
      </c>
      <c r="AH19" s="34" t="s">
        <v>381</v>
      </c>
      <c r="AI19" s="34" t="s">
        <v>379</v>
      </c>
      <c r="AJ19" s="34" t="s">
        <v>382</v>
      </c>
      <c r="AK19" s="34" t="s">
        <v>943</v>
      </c>
      <c r="AL19" s="34" t="s">
        <v>1356</v>
      </c>
      <c r="AM19" s="53"/>
      <c r="AN19" s="34" t="s">
        <v>1160</v>
      </c>
      <c r="AO19" s="34" t="s">
        <v>1363</v>
      </c>
      <c r="AP19" s="34" t="s">
        <v>374</v>
      </c>
      <c r="AQ19" s="34" t="s">
        <v>375</v>
      </c>
      <c r="AR19" s="166" t="s">
        <v>1360</v>
      </c>
      <c r="AS19" s="13"/>
      <c r="AT19" s="13"/>
      <c r="AU19" s="13"/>
      <c r="AV19" s="13"/>
      <c r="AW19" s="13"/>
      <c r="AX19" s="13"/>
      <c r="AY19" s="13"/>
      <c r="AZ19" s="13"/>
      <c r="BA19" s="13"/>
      <c r="BB19" s="13"/>
      <c r="BC19" s="13"/>
      <c r="BD19" s="13"/>
      <c r="BE19" s="13"/>
      <c r="BF19" s="13"/>
      <c r="BG19" s="13"/>
      <c r="BH19" s="13"/>
      <c r="BI19" s="13"/>
      <c r="BJ19" s="13"/>
      <c r="BK19" s="13"/>
      <c r="BL19" s="1"/>
      <c r="BM19" s="13"/>
      <c r="BN19" s="13"/>
      <c r="BO19" s="13"/>
      <c r="BP19" s="13"/>
      <c r="BQ19" s="13"/>
      <c r="BR19" s="13"/>
      <c r="BS19" s="13"/>
      <c r="BT19" s="13"/>
      <c r="BU19" s="13"/>
      <c r="BV19" s="13"/>
    </row>
    <row r="20" spans="1:74" ht="104" x14ac:dyDescent="0.15">
      <c r="A20" s="31"/>
      <c r="B20" s="32" t="s">
        <v>385</v>
      </c>
      <c r="C20" s="33"/>
      <c r="D20" s="34"/>
      <c r="E20" s="34"/>
      <c r="F20" s="34" t="s">
        <v>393</v>
      </c>
      <c r="G20" s="34" t="s">
        <v>386</v>
      </c>
      <c r="H20" s="34"/>
      <c r="I20" s="34" t="s">
        <v>1366</v>
      </c>
      <c r="J20" s="34"/>
      <c r="K20" s="34"/>
      <c r="L20" s="34"/>
      <c r="M20" s="34" t="s">
        <v>387</v>
      </c>
      <c r="N20" s="34" t="s">
        <v>392</v>
      </c>
      <c r="O20" s="34" t="s">
        <v>398</v>
      </c>
      <c r="P20" s="34"/>
      <c r="Q20" s="34" t="s">
        <v>1371</v>
      </c>
      <c r="R20" s="34"/>
      <c r="S20" s="34" t="s">
        <v>396</v>
      </c>
      <c r="T20" s="34"/>
      <c r="U20" s="34" t="s">
        <v>1369</v>
      </c>
      <c r="V20" s="34"/>
      <c r="W20" s="34" t="s">
        <v>1368</v>
      </c>
      <c r="X20" s="34" t="s">
        <v>390</v>
      </c>
      <c r="Y20" s="34" t="s">
        <v>391</v>
      </c>
      <c r="Z20" s="34" t="s">
        <v>389</v>
      </c>
      <c r="AA20" s="34" t="s">
        <v>388</v>
      </c>
      <c r="AB20" s="34" t="s">
        <v>395</v>
      </c>
      <c r="AC20" s="34" t="s">
        <v>399</v>
      </c>
      <c r="AD20" s="34"/>
      <c r="AE20" s="34" t="s">
        <v>394</v>
      </c>
      <c r="AF20" s="34"/>
      <c r="AG20" s="34" t="s">
        <v>1365</v>
      </c>
      <c r="AH20" s="34"/>
      <c r="AI20" s="34"/>
      <c r="AJ20" s="34"/>
      <c r="AK20" s="34"/>
      <c r="AL20" s="34"/>
      <c r="AM20" s="53"/>
      <c r="AN20" s="34" t="s">
        <v>397</v>
      </c>
      <c r="AO20" s="34" t="s">
        <v>1370</v>
      </c>
      <c r="AP20" s="34"/>
      <c r="AQ20" s="34"/>
      <c r="AR20" s="166" t="s">
        <v>1367</v>
      </c>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row>
    <row r="21" spans="1:74" ht="117" x14ac:dyDescent="0.2">
      <c r="A21" s="31" t="s">
        <v>400</v>
      </c>
      <c r="B21" s="32"/>
      <c r="C21" s="33" t="s">
        <v>426</v>
      </c>
      <c r="D21" s="34" t="s">
        <v>422</v>
      </c>
      <c r="E21" s="34" t="s">
        <v>403</v>
      </c>
      <c r="F21" s="34" t="s">
        <v>414</v>
      </c>
      <c r="G21" s="34" t="s">
        <v>401</v>
      </c>
      <c r="H21" s="34" t="s">
        <v>407</v>
      </c>
      <c r="I21" s="34" t="s">
        <v>1373</v>
      </c>
      <c r="J21" s="34"/>
      <c r="K21" s="34" t="s">
        <v>406</v>
      </c>
      <c r="L21" s="34" t="s">
        <v>1087</v>
      </c>
      <c r="M21" s="34" t="s">
        <v>402</v>
      </c>
      <c r="N21" s="34" t="s">
        <v>413</v>
      </c>
      <c r="O21" s="34" t="s">
        <v>421</v>
      </c>
      <c r="P21" s="34" t="s">
        <v>1220</v>
      </c>
      <c r="Q21" s="34" t="s">
        <v>1378</v>
      </c>
      <c r="R21" s="34" t="s">
        <v>427</v>
      </c>
      <c r="S21" s="34" t="s">
        <v>419</v>
      </c>
      <c r="T21" s="34" t="s">
        <v>411</v>
      </c>
      <c r="U21" s="34" t="s">
        <v>1376</v>
      </c>
      <c r="V21" s="34" t="s">
        <v>405</v>
      </c>
      <c r="W21" s="34" t="s">
        <v>1375</v>
      </c>
      <c r="X21" s="34" t="s">
        <v>410</v>
      </c>
      <c r="Y21" s="34" t="s">
        <v>412</v>
      </c>
      <c r="Z21" s="34" t="s">
        <v>408</v>
      </c>
      <c r="AA21" s="34" t="s">
        <v>1098</v>
      </c>
      <c r="AB21" s="34" t="s">
        <v>418</v>
      </c>
      <c r="AC21" s="34" t="s">
        <v>423</v>
      </c>
      <c r="AD21" s="34"/>
      <c r="AE21" s="34" t="s">
        <v>415</v>
      </c>
      <c r="AF21" s="34" t="s">
        <v>409</v>
      </c>
      <c r="AG21" s="34"/>
      <c r="AH21" s="34" t="s">
        <v>424</v>
      </c>
      <c r="AI21" s="34"/>
      <c r="AJ21" s="34" t="s">
        <v>425</v>
      </c>
      <c r="AK21" s="34" t="s">
        <v>991</v>
      </c>
      <c r="AL21" s="34" t="s">
        <v>1372</v>
      </c>
      <c r="AM21" s="53"/>
      <c r="AN21" s="34" t="s">
        <v>420</v>
      </c>
      <c r="AO21" s="34" t="s">
        <v>1377</v>
      </c>
      <c r="AP21" s="34" t="s">
        <v>416</v>
      </c>
      <c r="AQ21" s="34" t="s">
        <v>417</v>
      </c>
      <c r="AR21" s="166" t="s">
        <v>1374</v>
      </c>
      <c r="AS21" s="13"/>
      <c r="AT21" s="13"/>
      <c r="AU21" s="13"/>
      <c r="AV21" s="13"/>
      <c r="AW21" s="13"/>
      <c r="AX21" s="13"/>
      <c r="AY21" s="13"/>
      <c r="AZ21" s="13"/>
      <c r="BA21" s="13"/>
      <c r="BB21" s="13"/>
      <c r="BC21" s="13"/>
      <c r="BD21" s="13"/>
      <c r="BE21" s="13"/>
      <c r="BF21" s="13"/>
      <c r="BG21" s="13"/>
      <c r="BH21" s="13"/>
      <c r="BI21" s="13"/>
      <c r="BJ21" s="13"/>
      <c r="BK21" s="13"/>
      <c r="BL21" s="1"/>
      <c r="BM21" s="13"/>
      <c r="BN21" s="13"/>
      <c r="BO21" s="13"/>
      <c r="BP21" s="13"/>
      <c r="BQ21" s="13"/>
      <c r="BR21" s="13"/>
      <c r="BS21" s="13"/>
      <c r="BT21" s="13"/>
      <c r="BU21" s="13"/>
      <c r="BV21" s="13"/>
    </row>
    <row r="22" spans="1:74" ht="91" x14ac:dyDescent="0.15">
      <c r="A22" s="31" t="s">
        <v>428</v>
      </c>
      <c r="B22" s="32"/>
      <c r="C22" s="33" t="s">
        <v>444</v>
      </c>
      <c r="D22" s="34"/>
      <c r="E22" s="34" t="s">
        <v>429</v>
      </c>
      <c r="F22" s="34"/>
      <c r="G22" s="34"/>
      <c r="H22" s="34"/>
      <c r="I22" s="111" t="s">
        <v>1382</v>
      </c>
      <c r="J22" s="34" t="s">
        <v>429</v>
      </c>
      <c r="K22" s="34" t="s">
        <v>430</v>
      </c>
      <c r="L22" s="34"/>
      <c r="M22" s="34"/>
      <c r="N22" s="34" t="s">
        <v>435</v>
      </c>
      <c r="O22" s="34" t="s">
        <v>441</v>
      </c>
      <c r="P22" s="34" t="s">
        <v>431</v>
      </c>
      <c r="Q22" s="34" t="s">
        <v>1387</v>
      </c>
      <c r="R22" s="34" t="s">
        <v>445</v>
      </c>
      <c r="S22" s="34" t="s">
        <v>439</v>
      </c>
      <c r="T22" s="34" t="s">
        <v>433</v>
      </c>
      <c r="U22" s="34" t="s">
        <v>1385</v>
      </c>
      <c r="V22" s="34"/>
      <c r="W22" s="34" t="s">
        <v>1384</v>
      </c>
      <c r="X22" s="34"/>
      <c r="Y22" s="34" t="s">
        <v>434</v>
      </c>
      <c r="Z22" s="34" t="s">
        <v>1223</v>
      </c>
      <c r="AA22" s="34" t="s">
        <v>1099</v>
      </c>
      <c r="AB22" s="34"/>
      <c r="AC22" s="34" t="s">
        <v>442</v>
      </c>
      <c r="AD22" s="34" t="s">
        <v>1381</v>
      </c>
      <c r="AE22" s="34" t="s">
        <v>436</v>
      </c>
      <c r="AF22" s="34" t="s">
        <v>432</v>
      </c>
      <c r="AG22" s="34" t="s">
        <v>1379</v>
      </c>
      <c r="AH22" s="34" t="s">
        <v>443</v>
      </c>
      <c r="AI22" s="34"/>
      <c r="AJ22" s="34"/>
      <c r="AK22" s="34"/>
      <c r="AL22" s="34" t="s">
        <v>1380</v>
      </c>
      <c r="AM22" s="53"/>
      <c r="AN22" s="34" t="s">
        <v>440</v>
      </c>
      <c r="AO22" s="34" t="s">
        <v>1386</v>
      </c>
      <c r="AP22" s="34" t="s">
        <v>437</v>
      </c>
      <c r="AQ22" s="34" t="s">
        <v>438</v>
      </c>
      <c r="AR22" s="166" t="s">
        <v>1383</v>
      </c>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row>
    <row r="23" spans="1:74" ht="12.75" customHeight="1" x14ac:dyDescent="0.15">
      <c r="A23" s="31"/>
      <c r="B23" s="32" t="s">
        <v>446</v>
      </c>
      <c r="C23" s="33"/>
      <c r="D23" s="34"/>
      <c r="E23" s="34" t="s">
        <v>447</v>
      </c>
      <c r="F23" s="34"/>
      <c r="G23" s="34"/>
      <c r="H23" s="34"/>
      <c r="I23" s="34"/>
      <c r="J23" s="34" t="s">
        <v>447</v>
      </c>
      <c r="K23" s="34"/>
      <c r="L23" s="34"/>
      <c r="M23" s="34"/>
      <c r="N23" s="34"/>
      <c r="O23" s="34"/>
      <c r="P23" s="34"/>
      <c r="Q23" s="34"/>
      <c r="R23" s="34"/>
      <c r="S23" s="34"/>
      <c r="T23" s="34" t="s">
        <v>449</v>
      </c>
      <c r="U23" s="34"/>
      <c r="V23" s="34"/>
      <c r="W23" s="34"/>
      <c r="X23" s="34"/>
      <c r="Y23" s="34" t="s">
        <v>450</v>
      </c>
      <c r="Z23" s="34"/>
      <c r="AA23" s="34"/>
      <c r="AB23" s="34"/>
      <c r="AC23" s="34" t="s">
        <v>451</v>
      </c>
      <c r="AD23" s="34"/>
      <c r="AE23" s="34">
        <f>5*10^-5</f>
        <v>5.0000000000000002E-5</v>
      </c>
      <c r="AF23" s="34" t="s">
        <v>448</v>
      </c>
      <c r="AG23" s="34"/>
      <c r="AH23" s="34" t="s">
        <v>452</v>
      </c>
      <c r="AI23" s="34"/>
      <c r="AJ23" s="34"/>
      <c r="AK23" s="34"/>
      <c r="AL23" s="34"/>
      <c r="AM23" s="53"/>
      <c r="AN23" s="34"/>
      <c r="AO23" s="34"/>
      <c r="AP23" s="34"/>
      <c r="AQ23" s="34"/>
      <c r="AR23" s="166"/>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row>
    <row r="24" spans="1:74" ht="12.75" customHeight="1" x14ac:dyDescent="0.15">
      <c r="A24" s="31"/>
      <c r="B24" s="32" t="s">
        <v>453</v>
      </c>
      <c r="C24" s="33"/>
      <c r="D24" s="34"/>
      <c r="E24" s="34" t="s">
        <v>454</v>
      </c>
      <c r="F24" s="34"/>
      <c r="G24" s="34"/>
      <c r="H24" s="34"/>
      <c r="I24" s="34"/>
      <c r="J24" s="34" t="s">
        <v>454</v>
      </c>
      <c r="K24" s="34"/>
      <c r="L24" s="34"/>
      <c r="M24" s="34"/>
      <c r="N24" s="34"/>
      <c r="O24" s="34"/>
      <c r="P24" s="34"/>
      <c r="Q24" s="34"/>
      <c r="R24" s="34"/>
      <c r="S24" s="34"/>
      <c r="T24" s="34" t="s">
        <v>456</v>
      </c>
      <c r="U24" s="34"/>
      <c r="V24" s="34"/>
      <c r="W24" s="34"/>
      <c r="X24" s="34"/>
      <c r="Y24" s="34" t="s">
        <v>457</v>
      </c>
      <c r="Z24" s="34"/>
      <c r="AA24" s="34"/>
      <c r="AB24" s="34"/>
      <c r="AC24" s="34" t="s">
        <v>458</v>
      </c>
      <c r="AD24" s="34"/>
      <c r="AE24" s="34">
        <v>3.7469999999999999</v>
      </c>
      <c r="AF24" s="34" t="s">
        <v>455</v>
      </c>
      <c r="AG24" s="34"/>
      <c r="AH24" s="34" t="s">
        <v>459</v>
      </c>
      <c r="AI24" s="34"/>
      <c r="AJ24" s="34"/>
      <c r="AK24" s="34"/>
      <c r="AL24" s="34"/>
      <c r="AM24" s="53"/>
      <c r="AN24" s="34"/>
      <c r="AO24" s="34"/>
      <c r="AP24" s="34"/>
      <c r="AQ24" s="34"/>
      <c r="AR24" s="166"/>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row>
    <row r="25" spans="1:74" ht="62" customHeight="1" x14ac:dyDescent="0.2">
      <c r="A25" s="31" t="s">
        <v>463</v>
      </c>
      <c r="B25" s="32"/>
      <c r="C25" s="41" t="s">
        <v>1110</v>
      </c>
      <c r="D25" s="42" t="s">
        <v>1110</v>
      </c>
      <c r="E25" s="42" t="s">
        <v>464</v>
      </c>
      <c r="F25" s="42" t="s">
        <v>1108</v>
      </c>
      <c r="G25" s="42" t="s">
        <v>1107</v>
      </c>
      <c r="H25" s="42" t="s">
        <v>1111</v>
      </c>
      <c r="I25" s="42" t="s">
        <v>1110</v>
      </c>
      <c r="J25" s="42" t="s">
        <v>1110</v>
      </c>
      <c r="K25" s="42" t="s">
        <v>1110</v>
      </c>
      <c r="L25" s="42" t="s">
        <v>1109</v>
      </c>
      <c r="M25" s="42" t="s">
        <v>1108</v>
      </c>
      <c r="N25" s="42" t="s">
        <v>1110</v>
      </c>
      <c r="O25" s="42" t="s">
        <v>468</v>
      </c>
      <c r="P25" s="42" t="s">
        <v>1110</v>
      </c>
      <c r="Q25" s="42" t="s">
        <v>1078</v>
      </c>
      <c r="R25" s="42" t="s">
        <v>1110</v>
      </c>
      <c r="S25" s="42" t="s">
        <v>467</v>
      </c>
      <c r="T25" s="42" t="s">
        <v>465</v>
      </c>
      <c r="U25" s="42" t="s">
        <v>1078</v>
      </c>
      <c r="V25" s="42" t="s">
        <v>1108</v>
      </c>
      <c r="W25" s="42" t="s">
        <v>1077</v>
      </c>
      <c r="X25" s="42" t="s">
        <v>1108</v>
      </c>
      <c r="Y25" s="42" t="s">
        <v>465</v>
      </c>
      <c r="Z25" s="42" t="s">
        <v>1184</v>
      </c>
      <c r="AA25" s="42" t="s">
        <v>1106</v>
      </c>
      <c r="AB25" s="42" t="s">
        <v>1108</v>
      </c>
      <c r="AC25" s="42" t="s">
        <v>1106</v>
      </c>
      <c r="AD25" s="42" t="s">
        <v>1106</v>
      </c>
      <c r="AE25" s="42" t="s">
        <v>1106</v>
      </c>
      <c r="AF25" s="42" t="s">
        <v>1110</v>
      </c>
      <c r="AG25" s="42" t="s">
        <v>1110</v>
      </c>
      <c r="AH25" s="42" t="s">
        <v>1106</v>
      </c>
      <c r="AI25" s="42" t="s">
        <v>1106</v>
      </c>
      <c r="AJ25" s="42" t="s">
        <v>1110</v>
      </c>
      <c r="AK25" s="42" t="s">
        <v>1110</v>
      </c>
      <c r="AL25" s="42" t="s">
        <v>1388</v>
      </c>
      <c r="AM25" s="207"/>
      <c r="AN25" s="42"/>
      <c r="AO25" s="42" t="s">
        <v>1389</v>
      </c>
      <c r="AP25" s="42"/>
      <c r="AQ25" s="42" t="s">
        <v>466</v>
      </c>
      <c r="AR25" s="208" t="s">
        <v>1079</v>
      </c>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
    </row>
    <row r="26" spans="1:74" ht="12.75" customHeight="1" x14ac:dyDescent="0.2">
      <c r="A26"/>
      <c r="B26"/>
      <c r="C26"/>
      <c r="D26"/>
      <c r="E26"/>
      <c r="F26"/>
      <c r="G26" s="43"/>
      <c r="H26" s="43"/>
      <c r="K26" s="49"/>
      <c r="L26" s="44"/>
      <c r="M26" s="46"/>
      <c r="N26" s="43"/>
      <c r="O26" s="13"/>
      <c r="P26" s="53"/>
      <c r="R26" s="45"/>
      <c r="S26" s="52"/>
      <c r="T26" s="48"/>
      <c r="V26" s="43"/>
      <c r="X26" s="47"/>
      <c r="Y26" s="114"/>
      <c r="Z26" s="43"/>
      <c r="AA26" s="43"/>
      <c r="AB26" s="51"/>
      <c r="AC26" s="13"/>
      <c r="AD26" s="115"/>
      <c r="AE26" s="50"/>
      <c r="AF26" s="43"/>
      <c r="AG26" s="13"/>
      <c r="AH26" s="13"/>
      <c r="AI26" s="53"/>
      <c r="AJ26" s="53"/>
      <c r="AM26" s="13"/>
      <c r="AN26" s="13"/>
      <c r="AP26" s="51"/>
      <c r="AQ26" s="50"/>
      <c r="AS26" s="13"/>
      <c r="AT26" s="13"/>
      <c r="AU26" s="13"/>
      <c r="AV26" s="13"/>
      <c r="AW26" s="13"/>
      <c r="AX26" s="13"/>
      <c r="AY26" s="13"/>
      <c r="AZ26" s="13"/>
      <c r="BA26" s="13"/>
      <c r="BB26" s="13"/>
      <c r="BC26" s="13"/>
      <c r="BD26" s="13"/>
      <c r="BE26" s="13"/>
      <c r="BF26" s="13"/>
      <c r="BG26" s="13"/>
      <c r="BH26" s="13"/>
      <c r="BI26" s="13"/>
      <c r="BJ26" s="13"/>
      <c r="BK26" s="13"/>
      <c r="BL26" s="1"/>
      <c r="BM26" s="13"/>
      <c r="BN26" s="13"/>
      <c r="BO26" s="13"/>
      <c r="BP26" s="13"/>
      <c r="BQ26" s="13"/>
      <c r="BR26" s="13"/>
      <c r="BS26" s="13"/>
      <c r="BT26" s="13"/>
      <c r="BU26" s="13"/>
      <c r="BV26" s="13"/>
    </row>
    <row r="27" spans="1:74" ht="12.75" customHeight="1" x14ac:dyDescent="0.15">
      <c r="A27"/>
      <c r="B27"/>
      <c r="C27"/>
      <c r="D27"/>
      <c r="E27"/>
      <c r="F27"/>
      <c r="L27" s="55"/>
      <c r="AG27" s="13"/>
      <c r="AK27" s="47"/>
    </row>
    <row r="28" spans="1:74" ht="12.75" customHeight="1" x14ac:dyDescent="0.15">
      <c r="A28"/>
      <c r="B28"/>
      <c r="C28"/>
      <c r="D28"/>
      <c r="E28"/>
      <c r="F28"/>
      <c r="L28" s="55"/>
      <c r="AG28" s="13"/>
    </row>
    <row r="29" spans="1:74" ht="12.75" customHeight="1" x14ac:dyDescent="0.15">
      <c r="A29"/>
      <c r="B29"/>
      <c r="C29"/>
      <c r="D29"/>
      <c r="E29"/>
      <c r="F29"/>
      <c r="L29" s="55"/>
      <c r="AG29" s="13"/>
    </row>
    <row r="30" spans="1:74" ht="12.75" customHeight="1" x14ac:dyDescent="0.15">
      <c r="A30"/>
      <c r="B30"/>
      <c r="C30"/>
      <c r="D30"/>
      <c r="E30"/>
      <c r="F30"/>
      <c r="L30" s="55"/>
      <c r="AG30" s="13"/>
    </row>
    <row r="31" spans="1:74" ht="12.75" customHeight="1" x14ac:dyDescent="0.15">
      <c r="A31"/>
      <c r="B31"/>
      <c r="C31"/>
      <c r="D31"/>
      <c r="E31"/>
      <c r="F31"/>
      <c r="L31" s="55"/>
      <c r="AG31" s="13"/>
    </row>
    <row r="32" spans="1:74" ht="12.75" customHeight="1" x14ac:dyDescent="0.15">
      <c r="A32"/>
      <c r="B32"/>
      <c r="C32"/>
      <c r="D32"/>
      <c r="E32"/>
      <c r="F32"/>
      <c r="L32" s="55"/>
      <c r="AG32" s="13"/>
    </row>
    <row r="33" spans="1:33" ht="12.75" customHeight="1" x14ac:dyDescent="0.15">
      <c r="A33"/>
      <c r="B33"/>
      <c r="C33"/>
      <c r="D33"/>
      <c r="E33"/>
      <c r="F33"/>
      <c r="L33" s="55"/>
      <c r="AG33" s="13"/>
    </row>
    <row r="34" spans="1:33" ht="12.75" customHeight="1" x14ac:dyDescent="0.15">
      <c r="A34"/>
      <c r="B34"/>
      <c r="C34"/>
      <c r="D34"/>
      <c r="E34"/>
      <c r="F34"/>
      <c r="L34" s="55"/>
      <c r="AG34" s="13"/>
    </row>
    <row r="35" spans="1:33" ht="12.75" customHeight="1" x14ac:dyDescent="0.15">
      <c r="A35"/>
      <c r="B35"/>
      <c r="C35"/>
      <c r="D35"/>
      <c r="E35"/>
      <c r="F35"/>
      <c r="L35" s="55"/>
      <c r="AG35" s="13"/>
    </row>
    <row r="36" spans="1:33" ht="12.75" customHeight="1" x14ac:dyDescent="0.15">
      <c r="A36"/>
      <c r="B36"/>
      <c r="C36"/>
      <c r="D36"/>
      <c r="E36"/>
      <c r="F36"/>
      <c r="L36" s="55"/>
      <c r="AG36" s="13"/>
    </row>
    <row r="37" spans="1:33" ht="12.75" customHeight="1" x14ac:dyDescent="0.15">
      <c r="A37"/>
      <c r="B37"/>
      <c r="C37"/>
      <c r="D37"/>
      <c r="E37"/>
      <c r="F37"/>
      <c r="L37" s="55"/>
      <c r="AG37" s="13"/>
    </row>
    <row r="38" spans="1:33" ht="12.75" customHeight="1" x14ac:dyDescent="0.15">
      <c r="A38"/>
      <c r="B38"/>
      <c r="C38"/>
      <c r="D38"/>
      <c r="E38"/>
      <c r="F38"/>
      <c r="L38" s="55"/>
      <c r="AG38" s="13"/>
    </row>
    <row r="39" spans="1:33" ht="12.75" customHeight="1" x14ac:dyDescent="0.15">
      <c r="A39"/>
      <c r="B39"/>
      <c r="C39"/>
      <c r="D39"/>
      <c r="E39"/>
      <c r="F39"/>
      <c r="L39" s="55"/>
      <c r="AG39" s="13"/>
    </row>
    <row r="40" spans="1:33" ht="12.75" customHeight="1" x14ac:dyDescent="0.15">
      <c r="A40"/>
      <c r="B40"/>
      <c r="C40"/>
      <c r="D40"/>
      <c r="E40"/>
      <c r="F40"/>
      <c r="L40" s="55"/>
      <c r="AG40" s="13"/>
    </row>
    <row r="41" spans="1:33" ht="12.75" customHeight="1" x14ac:dyDescent="0.15">
      <c r="A41"/>
      <c r="B41"/>
      <c r="C41"/>
      <c r="D41"/>
      <c r="E41"/>
      <c r="F41"/>
      <c r="L41" s="55"/>
      <c r="AG41" s="13"/>
    </row>
    <row r="42" spans="1:33" ht="12.75" customHeight="1" x14ac:dyDescent="0.15">
      <c r="A42"/>
      <c r="B42"/>
      <c r="C42"/>
      <c r="D42"/>
      <c r="E42"/>
      <c r="F42"/>
      <c r="L42" s="55"/>
      <c r="AG42" s="13"/>
    </row>
    <row r="43" spans="1:33" ht="12.75" customHeight="1" x14ac:dyDescent="0.15">
      <c r="A43"/>
      <c r="B43"/>
      <c r="C43"/>
      <c r="D43"/>
      <c r="E43"/>
      <c r="F43"/>
      <c r="L43" s="55"/>
      <c r="AG43" s="13"/>
    </row>
    <row r="44" spans="1:33" ht="12.75" customHeight="1" x14ac:dyDescent="0.15">
      <c r="A44"/>
      <c r="B44"/>
      <c r="C44"/>
      <c r="D44"/>
      <c r="E44"/>
      <c r="F44"/>
      <c r="L44" s="55"/>
      <c r="AG44" s="13"/>
    </row>
    <row r="45" spans="1:33" ht="12.75" customHeight="1" x14ac:dyDescent="0.15">
      <c r="A45"/>
      <c r="B45"/>
      <c r="C45"/>
      <c r="D45"/>
      <c r="E45"/>
      <c r="F45"/>
      <c r="L45" s="55"/>
      <c r="AG45" s="13"/>
    </row>
    <row r="46" spans="1:33" ht="12.75" customHeight="1" x14ac:dyDescent="0.15">
      <c r="A46"/>
      <c r="B46"/>
      <c r="C46"/>
      <c r="D46"/>
      <c r="E46"/>
      <c r="F46"/>
      <c r="L46" s="55"/>
      <c r="AG46" s="13"/>
    </row>
    <row r="47" spans="1:33" ht="12.75" customHeight="1" x14ac:dyDescent="0.15">
      <c r="A47"/>
      <c r="B47"/>
      <c r="C47"/>
      <c r="D47"/>
      <c r="E47"/>
      <c r="F47"/>
      <c r="L47" s="55"/>
      <c r="AG47" s="13"/>
    </row>
    <row r="48" spans="1:33" ht="12.75" customHeight="1" x14ac:dyDescent="0.15">
      <c r="A48"/>
      <c r="B48"/>
      <c r="C48"/>
      <c r="D48"/>
      <c r="E48"/>
      <c r="F48"/>
      <c r="L48" s="55"/>
      <c r="AG48" s="13"/>
    </row>
    <row r="49" spans="1:33" ht="12.75" customHeight="1" x14ac:dyDescent="0.15">
      <c r="A49"/>
      <c r="B49"/>
      <c r="C49"/>
      <c r="D49"/>
      <c r="E49"/>
      <c r="F49"/>
      <c r="L49" s="55"/>
      <c r="AG49" s="13"/>
    </row>
    <row r="50" spans="1:33" ht="12.75" customHeight="1" x14ac:dyDescent="0.15">
      <c r="A50"/>
      <c r="B50"/>
      <c r="C50"/>
      <c r="D50"/>
      <c r="E50"/>
      <c r="F50"/>
      <c r="L50" s="55"/>
      <c r="AG50" s="13"/>
    </row>
    <row r="51" spans="1:33" ht="12.75" customHeight="1" x14ac:dyDescent="0.15">
      <c r="A51"/>
      <c r="B51"/>
      <c r="C51"/>
      <c r="D51"/>
      <c r="E51"/>
      <c r="F51"/>
      <c r="L51" s="55"/>
      <c r="AG51" s="13"/>
    </row>
    <row r="52" spans="1:33" ht="12.75" customHeight="1" x14ac:dyDescent="0.15">
      <c r="A52"/>
      <c r="B52"/>
      <c r="C52"/>
      <c r="D52"/>
      <c r="E52"/>
      <c r="F52"/>
      <c r="L52" s="55"/>
      <c r="AG52" s="13"/>
    </row>
    <row r="53" spans="1:33" ht="12.75" customHeight="1" x14ac:dyDescent="0.15">
      <c r="A53"/>
      <c r="B53"/>
      <c r="C53"/>
      <c r="D53"/>
      <c r="E53"/>
      <c r="F53"/>
      <c r="L53" s="55"/>
      <c r="AG53" s="13"/>
    </row>
    <row r="54" spans="1:33" ht="12.75" customHeight="1" x14ac:dyDescent="0.15">
      <c r="A54"/>
      <c r="B54"/>
      <c r="C54"/>
      <c r="D54"/>
      <c r="E54"/>
      <c r="F54"/>
      <c r="L54" s="55"/>
      <c r="AG54" s="13"/>
    </row>
    <row r="55" spans="1:33" ht="12.75" customHeight="1" x14ac:dyDescent="0.15">
      <c r="A55"/>
      <c r="B55"/>
      <c r="C55"/>
      <c r="D55"/>
      <c r="E55"/>
      <c r="F55"/>
      <c r="L55" s="55"/>
      <c r="AG55" s="13"/>
    </row>
    <row r="56" spans="1:33" ht="12.75" customHeight="1" x14ac:dyDescent="0.15">
      <c r="A56"/>
      <c r="B56"/>
      <c r="C56"/>
      <c r="D56"/>
      <c r="E56"/>
      <c r="F56"/>
      <c r="L56" s="55"/>
      <c r="AG56" s="13"/>
    </row>
    <row r="57" spans="1:33" ht="12.75" customHeight="1" x14ac:dyDescent="0.15">
      <c r="A57"/>
      <c r="B57"/>
      <c r="C57"/>
      <c r="D57"/>
      <c r="E57"/>
      <c r="F57"/>
      <c r="L57" s="55"/>
      <c r="AG57" s="13"/>
    </row>
    <row r="58" spans="1:33" ht="12.75" customHeight="1" x14ac:dyDescent="0.15">
      <c r="A58"/>
      <c r="B58"/>
      <c r="C58"/>
      <c r="D58"/>
      <c r="E58"/>
      <c r="F58"/>
      <c r="L58" s="55"/>
      <c r="AG58" s="13"/>
    </row>
    <row r="59" spans="1:33" ht="12.75" customHeight="1" x14ac:dyDescent="0.15">
      <c r="A59"/>
      <c r="B59"/>
      <c r="C59"/>
      <c r="D59"/>
      <c r="E59"/>
      <c r="F59"/>
      <c r="L59" s="55"/>
      <c r="AG59" s="13"/>
    </row>
    <row r="60" spans="1:33" ht="12.75" customHeight="1" x14ac:dyDescent="0.15">
      <c r="A60"/>
      <c r="B60"/>
      <c r="C60"/>
      <c r="D60"/>
      <c r="E60"/>
      <c r="F60"/>
      <c r="L60" s="55"/>
      <c r="AG60" s="13"/>
    </row>
    <row r="61" spans="1:33" ht="12.75" customHeight="1" x14ac:dyDescent="0.15">
      <c r="A61"/>
      <c r="B61"/>
      <c r="C61"/>
      <c r="D61"/>
      <c r="E61"/>
      <c r="F61"/>
      <c r="L61" s="55"/>
      <c r="AG61" s="13"/>
    </row>
    <row r="62" spans="1:33" ht="12.75" customHeight="1" x14ac:dyDescent="0.15">
      <c r="A62"/>
      <c r="B62"/>
      <c r="C62"/>
      <c r="D62"/>
      <c r="E62"/>
      <c r="F62"/>
      <c r="L62" s="55"/>
      <c r="AG62" s="13"/>
    </row>
    <row r="63" spans="1:33" ht="12.75" customHeight="1" x14ac:dyDescent="0.15">
      <c r="A63"/>
      <c r="B63"/>
      <c r="C63"/>
      <c r="D63"/>
      <c r="E63"/>
      <c r="F63"/>
      <c r="L63" s="55"/>
      <c r="AG63" s="13"/>
    </row>
    <row r="64" spans="1:33" ht="12.75" customHeight="1" x14ac:dyDescent="0.15">
      <c r="A64"/>
      <c r="B64"/>
      <c r="C64"/>
      <c r="D64"/>
      <c r="E64"/>
      <c r="F64"/>
      <c r="L64" s="55"/>
      <c r="AG64" s="13"/>
    </row>
    <row r="65" spans="1:33" ht="12.75" customHeight="1" x14ac:dyDescent="0.15">
      <c r="A65"/>
      <c r="B65"/>
      <c r="C65"/>
      <c r="D65"/>
      <c r="E65"/>
      <c r="F65"/>
      <c r="L65" s="55"/>
      <c r="AG65" s="13"/>
    </row>
    <row r="66" spans="1:33" ht="12.75" customHeight="1" x14ac:dyDescent="0.15">
      <c r="A66"/>
      <c r="B66"/>
      <c r="C66"/>
      <c r="D66"/>
      <c r="E66"/>
      <c r="F66"/>
      <c r="L66" s="55"/>
      <c r="AG66" s="13"/>
    </row>
    <row r="67" spans="1:33" ht="12.75" customHeight="1" x14ac:dyDescent="0.15">
      <c r="A67"/>
      <c r="B67"/>
      <c r="C67"/>
      <c r="D67"/>
      <c r="E67"/>
      <c r="F67"/>
      <c r="L67" s="55"/>
      <c r="AG67" s="13"/>
    </row>
    <row r="68" spans="1:33" ht="12.75" customHeight="1" x14ac:dyDescent="0.15">
      <c r="A68"/>
      <c r="B68"/>
      <c r="C68"/>
      <c r="D68"/>
      <c r="E68"/>
      <c r="F68"/>
      <c r="L68" s="55"/>
      <c r="AG68" s="13"/>
    </row>
    <row r="69" spans="1:33" ht="12.75" customHeight="1" x14ac:dyDescent="0.15">
      <c r="A69"/>
      <c r="B69"/>
      <c r="C69"/>
      <c r="D69"/>
      <c r="E69"/>
      <c r="F69"/>
      <c r="L69" s="55"/>
      <c r="AG69" s="13"/>
    </row>
    <row r="70" spans="1:33" ht="12.75" customHeight="1" x14ac:dyDescent="0.15">
      <c r="A70"/>
      <c r="B70"/>
      <c r="C70"/>
      <c r="D70"/>
      <c r="E70"/>
      <c r="F70"/>
      <c r="L70" s="55"/>
      <c r="AG70" s="13"/>
    </row>
    <row r="71" spans="1:33" ht="12.75" customHeight="1" x14ac:dyDescent="0.15">
      <c r="A71"/>
      <c r="B71"/>
      <c r="C71"/>
      <c r="D71"/>
      <c r="E71"/>
      <c r="F71"/>
      <c r="L71" s="55"/>
      <c r="AG71" s="13"/>
    </row>
    <row r="72" spans="1:33" ht="12.75" customHeight="1" x14ac:dyDescent="0.15">
      <c r="A72"/>
      <c r="B72"/>
      <c r="C72"/>
      <c r="D72"/>
      <c r="E72"/>
      <c r="F72"/>
      <c r="L72" s="55"/>
      <c r="AG72" s="13"/>
    </row>
    <row r="73" spans="1:33" ht="12.75" customHeight="1" x14ac:dyDescent="0.15">
      <c r="F73" s="2"/>
      <c r="L73" s="55"/>
      <c r="AG73" s="13"/>
    </row>
    <row r="74" spans="1:33" ht="12.75" customHeight="1" x14ac:dyDescent="0.15">
      <c r="F74" s="2"/>
      <c r="L74" s="55"/>
      <c r="AG74" s="13"/>
    </row>
    <row r="75" spans="1:33" ht="12.75" customHeight="1" x14ac:dyDescent="0.15">
      <c r="F75" s="2"/>
      <c r="L75" s="55"/>
      <c r="AG75" s="13"/>
    </row>
    <row r="76" spans="1:33" ht="12.75" customHeight="1" x14ac:dyDescent="0.15">
      <c r="F76" s="2"/>
      <c r="L76" s="55"/>
      <c r="AG76" s="13"/>
    </row>
    <row r="77" spans="1:33" ht="12.75" customHeight="1" x14ac:dyDescent="0.15">
      <c r="F77" s="2"/>
      <c r="L77" s="55"/>
      <c r="AG77" s="13"/>
    </row>
    <row r="78" spans="1:33" ht="12.75" customHeight="1" x14ac:dyDescent="0.15">
      <c r="F78" s="2"/>
      <c r="L78" s="55"/>
      <c r="AG78" s="13"/>
    </row>
    <row r="79" spans="1:33" ht="12.75" customHeight="1" x14ac:dyDescent="0.15">
      <c r="F79" s="2"/>
      <c r="L79" s="55"/>
      <c r="AG79" s="13"/>
    </row>
    <row r="80" spans="1:33" ht="12.75" customHeight="1" x14ac:dyDescent="0.15">
      <c r="F80" s="2"/>
      <c r="L80" s="55"/>
      <c r="AG80" s="13"/>
    </row>
    <row r="81" spans="6:33" ht="12.75" customHeight="1" x14ac:dyDescent="0.15">
      <c r="F81" s="2"/>
      <c r="L81" s="55"/>
      <c r="AG81" s="13"/>
    </row>
    <row r="82" spans="6:33" ht="12.75" customHeight="1" x14ac:dyDescent="0.15">
      <c r="F82" s="2"/>
      <c r="L82" s="55"/>
      <c r="AG82" s="13"/>
    </row>
    <row r="83" spans="6:33" ht="12.75" customHeight="1" x14ac:dyDescent="0.15">
      <c r="F83" s="2"/>
      <c r="L83" s="55"/>
      <c r="AG83" s="13"/>
    </row>
    <row r="84" spans="6:33" ht="12.75" customHeight="1" x14ac:dyDescent="0.15">
      <c r="F84" s="2"/>
      <c r="L84" s="55"/>
      <c r="AG84" s="13"/>
    </row>
    <row r="85" spans="6:33" ht="12.75" customHeight="1" x14ac:dyDescent="0.15">
      <c r="F85" s="2"/>
      <c r="L85" s="55"/>
      <c r="AG85" s="13"/>
    </row>
    <row r="86" spans="6:33" ht="12.75" customHeight="1" x14ac:dyDescent="0.15">
      <c r="F86" s="2"/>
      <c r="L86" s="55"/>
      <c r="AG86" s="13"/>
    </row>
    <row r="87" spans="6:33" ht="12.75" customHeight="1" x14ac:dyDescent="0.15">
      <c r="F87" s="2"/>
      <c r="L87" s="55"/>
      <c r="AG87" s="13"/>
    </row>
    <row r="88" spans="6:33" ht="12.75" customHeight="1" x14ac:dyDescent="0.15">
      <c r="F88" s="2"/>
      <c r="L88" s="55"/>
      <c r="AG88" s="13"/>
    </row>
    <row r="89" spans="6:33" ht="12.75" customHeight="1" x14ac:dyDescent="0.15">
      <c r="F89" s="2"/>
      <c r="L89" s="55"/>
      <c r="AG89" s="13"/>
    </row>
    <row r="90" spans="6:33" ht="12.75" customHeight="1" x14ac:dyDescent="0.15">
      <c r="F90" s="2"/>
      <c r="L90" s="55"/>
      <c r="AG90" s="13"/>
    </row>
    <row r="91" spans="6:33" ht="12.75" customHeight="1" x14ac:dyDescent="0.15">
      <c r="F91" s="2"/>
      <c r="L91" s="55"/>
      <c r="AG91" s="13"/>
    </row>
    <row r="92" spans="6:33" ht="12.75" customHeight="1" x14ac:dyDescent="0.15">
      <c r="F92" s="2"/>
      <c r="L92" s="55"/>
      <c r="AG92" s="13"/>
    </row>
    <row r="93" spans="6:33" ht="12.75" customHeight="1" x14ac:dyDescent="0.15">
      <c r="F93" s="2"/>
      <c r="L93" s="55"/>
      <c r="AG93" s="13"/>
    </row>
    <row r="94" spans="6:33" ht="12.75" customHeight="1" x14ac:dyDescent="0.15">
      <c r="F94" s="2"/>
      <c r="L94" s="55"/>
      <c r="AG94" s="13"/>
    </row>
    <row r="95" spans="6:33" ht="12.75" customHeight="1" x14ac:dyDescent="0.15">
      <c r="F95" s="2"/>
      <c r="L95" s="55"/>
      <c r="AG95" s="13"/>
    </row>
    <row r="96" spans="6:33" ht="12.75" customHeight="1" x14ac:dyDescent="0.15">
      <c r="F96" s="2"/>
      <c r="L96" s="55"/>
      <c r="AG96" s="13"/>
    </row>
    <row r="97" spans="6:33" ht="12.75" customHeight="1" x14ac:dyDescent="0.15">
      <c r="F97" s="2"/>
      <c r="L97" s="55"/>
      <c r="AG97" s="13"/>
    </row>
    <row r="98" spans="6:33" ht="12.75" customHeight="1" x14ac:dyDescent="0.15">
      <c r="F98" s="2"/>
      <c r="L98" s="55"/>
      <c r="AG98" s="13"/>
    </row>
    <row r="99" spans="6:33" ht="12.75" customHeight="1" x14ac:dyDescent="0.15">
      <c r="F99" s="2"/>
      <c r="L99" s="55"/>
      <c r="AG99" s="13"/>
    </row>
    <row r="100" spans="6:33" ht="12.75" customHeight="1" x14ac:dyDescent="0.15">
      <c r="F100" s="2"/>
      <c r="L100" s="55"/>
      <c r="AG100" s="13"/>
    </row>
    <row r="101" spans="6:33" ht="12.75" customHeight="1" x14ac:dyDescent="0.15">
      <c r="F101" s="2"/>
      <c r="L101" s="55"/>
      <c r="AG101" s="13"/>
    </row>
    <row r="102" spans="6:33" ht="12.75" customHeight="1" x14ac:dyDescent="0.15">
      <c r="F102" s="2"/>
      <c r="L102" s="55"/>
      <c r="AG102" s="13"/>
    </row>
  </sheetData>
  <sortState columnSort="1" ref="C1:AL102">
    <sortCondition ref="C6:AL6"/>
  </sortState>
  <mergeCells count="1">
    <mergeCell ref="A5:A6"/>
  </mergeCells>
  <pageMargins left="0.79" right="0.79" top="1.03" bottom="1.03" header="0.79" footer="0.79"/>
  <pageSetup scale="65" orientation="portrait" horizontalDpi="300" verticalDpi="300"/>
  <headerFooter>
    <oddHeader>&amp;C&amp;A</oddHeader>
    <oddFooter>&amp;CPage &amp;P</oddFooter>
  </headerFooter>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H32"/>
  <sheetViews>
    <sheetView topLeftCell="A14" workbookViewId="0">
      <pane xSplit="1" topLeftCell="AT1" activePane="topRight" state="frozen"/>
      <selection pane="topRight" activeCell="AW22" sqref="AW22"/>
    </sheetView>
  </sheetViews>
  <sheetFormatPr baseColWidth="10" defaultColWidth="19.5" defaultRowHeight="79.5" customHeight="1" x14ac:dyDescent="0.15"/>
  <cols>
    <col min="1" max="1" width="21.5" style="179" customWidth="1"/>
    <col min="2" max="2" width="20" style="167" customWidth="1"/>
    <col min="3" max="13" width="20.6640625" style="2" customWidth="1"/>
    <col min="14" max="14" width="21.5" style="2" customWidth="1"/>
    <col min="15" max="15" width="21.33203125" style="2" customWidth="1"/>
    <col min="16" max="17" width="21.5" style="2" customWidth="1"/>
    <col min="18" max="45" width="20.6640625" style="2" customWidth="1"/>
    <col min="46" max="46" width="21.6640625" style="2" customWidth="1"/>
    <col min="47" max="48" width="22" style="2" customWidth="1"/>
    <col min="49" max="49" width="21.33203125" style="2" customWidth="1"/>
    <col min="50" max="50" width="21.5" style="2" customWidth="1"/>
    <col min="51" max="16384" width="19.5" style="170"/>
  </cols>
  <sheetData>
    <row r="1" spans="1:60" s="120" customFormat="1" ht="61.5" customHeight="1" thickBot="1" x14ac:dyDescent="0.2">
      <c r="A1" s="172" t="s">
        <v>486</v>
      </c>
      <c r="B1" s="120" t="s">
        <v>519</v>
      </c>
      <c r="C1" s="120" t="s">
        <v>516</v>
      </c>
      <c r="D1" s="120" t="s">
        <v>515</v>
      </c>
      <c r="E1" s="120" t="s">
        <v>493</v>
      </c>
      <c r="F1" s="120" t="s">
        <v>499</v>
      </c>
      <c r="G1" s="120" t="s">
        <v>510</v>
      </c>
      <c r="H1" s="120" t="s">
        <v>513</v>
      </c>
      <c r="I1" s="120" t="s">
        <v>473</v>
      </c>
      <c r="J1" s="120" t="s">
        <v>89</v>
      </c>
      <c r="K1" s="120" t="s">
        <v>74</v>
      </c>
      <c r="L1" s="120" t="s">
        <v>496</v>
      </c>
      <c r="M1" s="120" t="s">
        <v>1278</v>
      </c>
      <c r="N1" s="120" t="s">
        <v>1277</v>
      </c>
      <c r="O1" s="120" t="s">
        <v>79</v>
      </c>
      <c r="P1" s="120" t="s">
        <v>502</v>
      </c>
      <c r="Q1" s="120" t="s">
        <v>475</v>
      </c>
      <c r="R1" s="120" t="s">
        <v>491</v>
      </c>
      <c r="S1" s="120" t="s">
        <v>490</v>
      </c>
      <c r="T1" s="120" t="s">
        <v>492</v>
      </c>
      <c r="U1" s="120" t="s">
        <v>487</v>
      </c>
      <c r="V1" s="120" t="s">
        <v>88</v>
      </c>
      <c r="W1" s="120" t="s">
        <v>511</v>
      </c>
      <c r="X1" s="120" t="s">
        <v>474</v>
      </c>
      <c r="Y1" s="120" t="s">
        <v>1282</v>
      </c>
      <c r="Z1" s="120" t="s">
        <v>103</v>
      </c>
      <c r="AA1" s="120" t="s">
        <v>508</v>
      </c>
      <c r="AB1" s="120" t="s">
        <v>517</v>
      </c>
      <c r="AC1" s="120" t="s">
        <v>500</v>
      </c>
      <c r="AD1" s="120" t="s">
        <v>86</v>
      </c>
      <c r="AE1" s="120" t="s">
        <v>1280</v>
      </c>
      <c r="AF1" s="120" t="s">
        <v>494</v>
      </c>
      <c r="AG1" s="120" t="s">
        <v>1279</v>
      </c>
      <c r="AH1" s="120" t="s">
        <v>483</v>
      </c>
      <c r="AI1" s="120" t="s">
        <v>85</v>
      </c>
      <c r="AJ1" s="120" t="s">
        <v>92</v>
      </c>
      <c r="AK1" s="120" t="s">
        <v>512</v>
      </c>
      <c r="AL1" s="120" t="s">
        <v>503</v>
      </c>
      <c r="AM1" s="120" t="s">
        <v>1495</v>
      </c>
      <c r="AN1" s="120" t="s">
        <v>489</v>
      </c>
      <c r="AO1" s="120" t="s">
        <v>498</v>
      </c>
      <c r="AP1" s="120" t="s">
        <v>514</v>
      </c>
      <c r="AQ1" s="120" t="s">
        <v>504</v>
      </c>
      <c r="AR1" s="120" t="s">
        <v>504</v>
      </c>
      <c r="AS1" s="120" t="s">
        <v>509</v>
      </c>
      <c r="AT1" s="120" t="s">
        <v>99</v>
      </c>
      <c r="AU1" s="120" t="s">
        <v>1276</v>
      </c>
      <c r="AV1" s="120" t="s">
        <v>507</v>
      </c>
      <c r="AW1" s="120" t="s">
        <v>506</v>
      </c>
      <c r="AX1" s="120" t="s">
        <v>84</v>
      </c>
      <c r="AY1" s="120" t="s">
        <v>495</v>
      </c>
      <c r="AZ1" s="120" t="s">
        <v>497</v>
      </c>
      <c r="BA1" s="120" t="s">
        <v>505</v>
      </c>
      <c r="BB1" s="120" t="s">
        <v>501</v>
      </c>
      <c r="BC1" s="120" t="s">
        <v>1274</v>
      </c>
      <c r="BD1" s="120" t="s">
        <v>100</v>
      </c>
      <c r="BE1" s="120" t="s">
        <v>98</v>
      </c>
      <c r="BF1" s="120" t="s">
        <v>518</v>
      </c>
      <c r="BG1" s="120" t="s">
        <v>488</v>
      </c>
      <c r="BH1" s="120" t="s">
        <v>1275</v>
      </c>
    </row>
    <row r="2" spans="1:60" s="58" customFormat="1" ht="27" thickTop="1" x14ac:dyDescent="0.15">
      <c r="A2" s="173" t="s">
        <v>520</v>
      </c>
      <c r="B2" s="57" t="s">
        <v>71</v>
      </c>
      <c r="C2" s="57" t="s">
        <v>69</v>
      </c>
      <c r="D2" s="57" t="s">
        <v>528</v>
      </c>
      <c r="E2" s="57" t="s">
        <v>522</v>
      </c>
      <c r="F2" s="57" t="s">
        <v>524</v>
      </c>
      <c r="G2" s="57" t="s">
        <v>63</v>
      </c>
      <c r="H2" s="57" t="s">
        <v>65</v>
      </c>
      <c r="I2" s="57" t="s">
        <v>45</v>
      </c>
      <c r="J2" s="57" t="s">
        <v>58</v>
      </c>
      <c r="K2" s="57" t="s">
        <v>43</v>
      </c>
      <c r="L2" s="57" t="s">
        <v>49</v>
      </c>
      <c r="M2" s="57" t="s">
        <v>1268</v>
      </c>
      <c r="N2" s="57" t="s">
        <v>1267</v>
      </c>
      <c r="O2" s="57" t="s">
        <v>48</v>
      </c>
      <c r="P2" s="57" t="s">
        <v>525</v>
      </c>
      <c r="Q2" s="57" t="s">
        <v>477</v>
      </c>
      <c r="R2" s="57" t="s">
        <v>46</v>
      </c>
      <c r="S2" s="57" t="s">
        <v>46</v>
      </c>
      <c r="T2" s="57" t="s">
        <v>521</v>
      </c>
      <c r="U2" s="57" t="s">
        <v>44</v>
      </c>
      <c r="V2" s="57" t="s">
        <v>57</v>
      </c>
      <c r="W2" s="57" t="s">
        <v>64</v>
      </c>
      <c r="X2" s="57" t="s">
        <v>50</v>
      </c>
      <c r="Y2" s="57" t="s">
        <v>1497</v>
      </c>
      <c r="Z2" s="57" t="s">
        <v>72</v>
      </c>
      <c r="AA2" s="57" t="s">
        <v>62</v>
      </c>
      <c r="AB2" s="57" t="s">
        <v>529</v>
      </c>
      <c r="AC2" s="57" t="s">
        <v>55</v>
      </c>
      <c r="AD2" s="57" t="s">
        <v>55</v>
      </c>
      <c r="AE2" s="57" t="s">
        <v>1271</v>
      </c>
      <c r="AF2" s="57" t="s">
        <v>47</v>
      </c>
      <c r="AG2" s="57" t="s">
        <v>1270</v>
      </c>
      <c r="AH2" s="57" t="s">
        <v>60</v>
      </c>
      <c r="AI2" s="57" t="s">
        <v>54</v>
      </c>
      <c r="AJ2" s="57" t="s">
        <v>40</v>
      </c>
      <c r="AK2" s="57" t="s">
        <v>527</v>
      </c>
      <c r="AL2" s="57" t="s">
        <v>59</v>
      </c>
      <c r="AM2" s="57" t="s">
        <v>1272</v>
      </c>
      <c r="AN2" s="57" t="s">
        <v>470</v>
      </c>
      <c r="AO2" s="57" t="s">
        <v>52</v>
      </c>
      <c r="AP2" s="57" t="s">
        <v>66</v>
      </c>
      <c r="AQ2" s="57" t="s">
        <v>40</v>
      </c>
      <c r="AR2" s="57" t="s">
        <v>1496</v>
      </c>
      <c r="AS2" s="57" t="s">
        <v>476</v>
      </c>
      <c r="AT2" s="57" t="s">
        <v>68</v>
      </c>
      <c r="AU2" s="57" t="s">
        <v>1266</v>
      </c>
      <c r="AV2" s="57" t="s">
        <v>62</v>
      </c>
      <c r="AW2" s="57" t="s">
        <v>61</v>
      </c>
      <c r="AX2" s="57" t="s">
        <v>53</v>
      </c>
      <c r="AY2" s="57" t="s">
        <v>523</v>
      </c>
      <c r="AZ2" s="57" t="s">
        <v>484</v>
      </c>
      <c r="BA2" s="57" t="s">
        <v>526</v>
      </c>
      <c r="BB2" s="57" t="s">
        <v>56</v>
      </c>
      <c r="BC2" s="57" t="s">
        <v>1264</v>
      </c>
      <c r="BD2" s="57" t="s">
        <v>479</v>
      </c>
      <c r="BE2" s="57" t="s">
        <v>67</v>
      </c>
      <c r="BF2" s="57" t="s">
        <v>70</v>
      </c>
      <c r="BG2" s="57" t="s">
        <v>470</v>
      </c>
      <c r="BH2" s="57" t="s">
        <v>1265</v>
      </c>
    </row>
    <row r="3" spans="1:60" s="168" customFormat="1" ht="13" x14ac:dyDescent="0.15">
      <c r="A3" s="174" t="s">
        <v>530</v>
      </c>
      <c r="B3" s="59" t="s">
        <v>3</v>
      </c>
      <c r="C3" s="59" t="s">
        <v>3</v>
      </c>
      <c r="D3" s="59" t="s">
        <v>532</v>
      </c>
      <c r="E3" s="59" t="s">
        <v>533</v>
      </c>
      <c r="F3" s="59" t="s">
        <v>532</v>
      </c>
      <c r="G3" s="59" t="s">
        <v>538</v>
      </c>
      <c r="H3" s="59" t="s">
        <v>3</v>
      </c>
      <c r="I3" s="59" t="s">
        <v>3</v>
      </c>
      <c r="J3" s="59" t="s">
        <v>531</v>
      </c>
      <c r="K3" s="59" t="s">
        <v>531</v>
      </c>
      <c r="L3" s="59" t="s">
        <v>3</v>
      </c>
      <c r="M3" s="59" t="s">
        <v>1256</v>
      </c>
      <c r="N3" s="59" t="s">
        <v>1256</v>
      </c>
      <c r="O3" s="59"/>
      <c r="P3" s="59" t="s">
        <v>532</v>
      </c>
      <c r="Q3" s="59" t="s">
        <v>3</v>
      </c>
      <c r="R3" s="59" t="s">
        <v>534</v>
      </c>
      <c r="S3" s="59" t="s">
        <v>533</v>
      </c>
      <c r="T3" s="59" t="s">
        <v>3</v>
      </c>
      <c r="U3" s="59" t="s">
        <v>3</v>
      </c>
      <c r="V3" s="59" t="s">
        <v>537</v>
      </c>
      <c r="W3" s="59" t="s">
        <v>3</v>
      </c>
      <c r="X3" s="59" t="s">
        <v>535</v>
      </c>
      <c r="Y3" s="59" t="s">
        <v>1256</v>
      </c>
      <c r="Z3" s="59" t="s">
        <v>531</v>
      </c>
      <c r="AA3" s="59" t="s">
        <v>531</v>
      </c>
      <c r="AB3" s="59" t="s">
        <v>536</v>
      </c>
      <c r="AC3" s="59" t="s">
        <v>3</v>
      </c>
      <c r="AD3" s="59" t="s">
        <v>533</v>
      </c>
      <c r="AE3" s="59" t="s">
        <v>1256</v>
      </c>
      <c r="AF3" s="59" t="s">
        <v>3</v>
      </c>
      <c r="AG3" s="59" t="s">
        <v>1256</v>
      </c>
      <c r="AH3" s="59" t="s">
        <v>3</v>
      </c>
      <c r="AI3" s="59" t="s">
        <v>536</v>
      </c>
      <c r="AJ3" s="59" t="s">
        <v>531</v>
      </c>
      <c r="AK3" s="59" t="s">
        <v>3</v>
      </c>
      <c r="AL3" s="59"/>
      <c r="AM3" s="59" t="s">
        <v>1256</v>
      </c>
      <c r="AN3" s="59" t="s">
        <v>532</v>
      </c>
      <c r="AO3" s="59" t="s">
        <v>537</v>
      </c>
      <c r="AP3" s="59" t="s">
        <v>3</v>
      </c>
      <c r="AQ3" s="59" t="s">
        <v>3</v>
      </c>
      <c r="AR3" s="59" t="s">
        <v>1256</v>
      </c>
      <c r="AS3" s="59" t="s">
        <v>537</v>
      </c>
      <c r="AT3" s="59" t="s">
        <v>532</v>
      </c>
      <c r="AU3" s="59" t="s">
        <v>1256</v>
      </c>
      <c r="AV3" s="59" t="s">
        <v>3</v>
      </c>
      <c r="AW3" s="59" t="s">
        <v>3</v>
      </c>
      <c r="AX3" s="59" t="s">
        <v>533</v>
      </c>
      <c r="AY3" s="59" t="s">
        <v>3</v>
      </c>
      <c r="AZ3" s="59" t="s">
        <v>536</v>
      </c>
      <c r="BA3" s="59" t="s">
        <v>536</v>
      </c>
      <c r="BB3" s="59" t="s">
        <v>3</v>
      </c>
      <c r="BC3" s="59" t="s">
        <v>1256</v>
      </c>
      <c r="BD3" s="59" t="s">
        <v>533</v>
      </c>
      <c r="BE3" s="59" t="s">
        <v>3</v>
      </c>
      <c r="BF3" s="59" t="s">
        <v>2</v>
      </c>
      <c r="BG3" s="59" t="s">
        <v>3</v>
      </c>
      <c r="BH3" s="59" t="s">
        <v>1256</v>
      </c>
    </row>
    <row r="4" spans="1:60" s="169" customFormat="1" ht="25.5" customHeight="1" x14ac:dyDescent="0.15">
      <c r="A4" s="175" t="s">
        <v>539</v>
      </c>
      <c r="B4" s="60"/>
      <c r="C4" s="60"/>
      <c r="D4" s="60"/>
      <c r="E4" s="60"/>
      <c r="F4" s="60"/>
      <c r="G4" s="60"/>
      <c r="H4" s="60"/>
      <c r="I4" s="60"/>
      <c r="J4" s="60"/>
      <c r="K4" s="60"/>
      <c r="L4" s="60"/>
      <c r="M4" s="163"/>
      <c r="N4" s="163"/>
      <c r="O4" s="60"/>
      <c r="P4" s="60"/>
      <c r="Q4" s="60"/>
      <c r="R4" s="60"/>
      <c r="S4" s="60"/>
      <c r="T4" s="60"/>
      <c r="U4" s="60"/>
      <c r="V4" s="60"/>
      <c r="W4" s="60"/>
      <c r="X4" s="60"/>
      <c r="Y4" s="163"/>
      <c r="Z4" s="60"/>
      <c r="AA4" s="60"/>
      <c r="AB4" s="60"/>
      <c r="AC4" s="60"/>
      <c r="AD4" s="60"/>
      <c r="AE4" s="163"/>
      <c r="AF4" s="60"/>
      <c r="AG4" s="163"/>
      <c r="AH4" s="60"/>
      <c r="AI4" s="60"/>
      <c r="AJ4" s="60"/>
      <c r="AK4" s="60"/>
      <c r="AL4" s="60"/>
      <c r="AM4" s="163"/>
      <c r="AN4" s="60"/>
      <c r="AO4" s="60"/>
      <c r="AP4" s="60"/>
      <c r="AQ4" s="60"/>
      <c r="AR4" s="163"/>
      <c r="AS4" s="60"/>
      <c r="AT4" s="60"/>
      <c r="AU4" s="163"/>
      <c r="AV4" s="60"/>
      <c r="AW4" s="60"/>
      <c r="AX4" s="60"/>
      <c r="AY4" s="60"/>
      <c r="AZ4" s="60"/>
      <c r="BA4" s="60"/>
      <c r="BB4" s="60"/>
      <c r="BC4" s="163"/>
      <c r="BD4" s="60"/>
      <c r="BE4" s="60"/>
      <c r="BF4" s="60"/>
      <c r="BG4" s="60"/>
      <c r="BH4" s="163"/>
    </row>
    <row r="5" spans="1:60" ht="75" customHeight="1" x14ac:dyDescent="0.15">
      <c r="A5" s="176" t="s">
        <v>540</v>
      </c>
      <c r="B5" s="61" t="s">
        <v>153</v>
      </c>
      <c r="C5" s="61">
        <v>1</v>
      </c>
      <c r="D5" s="61" t="s">
        <v>558</v>
      </c>
      <c r="E5" s="61" t="s">
        <v>544</v>
      </c>
      <c r="F5" s="61" t="s">
        <v>547</v>
      </c>
      <c r="G5" s="61" t="s">
        <v>146</v>
      </c>
      <c r="H5" s="61" t="s">
        <v>148</v>
      </c>
      <c r="I5" s="61" t="s">
        <v>130</v>
      </c>
      <c r="J5" s="61" t="s">
        <v>141</v>
      </c>
      <c r="K5" s="61"/>
      <c r="L5" s="61" t="s">
        <v>133</v>
      </c>
      <c r="M5" s="61"/>
      <c r="N5" s="61" t="s">
        <v>1289</v>
      </c>
      <c r="O5" s="61"/>
      <c r="P5" s="61" t="s">
        <v>552</v>
      </c>
      <c r="Q5" s="61" t="s">
        <v>158</v>
      </c>
      <c r="R5" s="61" t="s">
        <v>542</v>
      </c>
      <c r="S5" s="61" t="s">
        <v>542</v>
      </c>
      <c r="T5" s="61" t="s">
        <v>543</v>
      </c>
      <c r="U5" s="61">
        <v>6.3E-2</v>
      </c>
      <c r="V5" s="61" t="s">
        <v>140</v>
      </c>
      <c r="W5" s="61" t="s">
        <v>557</v>
      </c>
      <c r="X5" s="61" t="s">
        <v>545</v>
      </c>
      <c r="Y5" s="61">
        <v>0.23</v>
      </c>
      <c r="Z5" s="61" t="s">
        <v>154</v>
      </c>
      <c r="AA5" s="61" t="s">
        <v>145</v>
      </c>
      <c r="AB5" s="61" t="s">
        <v>560</v>
      </c>
      <c r="AC5" s="61">
        <v>0.17220000000000002</v>
      </c>
      <c r="AD5" s="61" t="s">
        <v>550</v>
      </c>
      <c r="AE5" s="61">
        <v>0.15</v>
      </c>
      <c r="AF5" s="61" t="s">
        <v>131</v>
      </c>
      <c r="AG5" s="61">
        <v>0.06</v>
      </c>
      <c r="AH5" s="61"/>
      <c r="AI5" s="61" t="s">
        <v>549</v>
      </c>
      <c r="AJ5" s="61" t="s">
        <v>554</v>
      </c>
      <c r="AK5" s="61"/>
      <c r="AL5" s="61" t="s">
        <v>142</v>
      </c>
      <c r="AM5" s="61">
        <v>0.37059999999999998</v>
      </c>
      <c r="AN5" s="61" t="s">
        <v>541</v>
      </c>
      <c r="AO5" s="61" t="s">
        <v>546</v>
      </c>
      <c r="AP5" s="61" t="s">
        <v>143</v>
      </c>
      <c r="AQ5" s="61" t="s">
        <v>553</v>
      </c>
      <c r="AR5" s="61"/>
      <c r="AS5" s="61" t="s">
        <v>556</v>
      </c>
      <c r="AT5" s="61" t="s">
        <v>559</v>
      </c>
      <c r="AU5" s="61" t="s">
        <v>1290</v>
      </c>
      <c r="AV5" s="61" t="s">
        <v>145</v>
      </c>
      <c r="AW5" s="61" t="s">
        <v>144</v>
      </c>
      <c r="AX5" s="61" t="s">
        <v>548</v>
      </c>
      <c r="AY5" s="61">
        <v>0.16</v>
      </c>
      <c r="AZ5" s="61"/>
      <c r="BA5" s="61" t="s">
        <v>555</v>
      </c>
      <c r="BB5" s="61" t="s">
        <v>551</v>
      </c>
      <c r="BC5" s="61" t="s">
        <v>1288</v>
      </c>
      <c r="BD5" s="61" t="s">
        <v>151</v>
      </c>
      <c r="BE5" s="61" t="s">
        <v>149</v>
      </c>
      <c r="BF5" s="61"/>
      <c r="BG5" s="61" t="s">
        <v>541</v>
      </c>
      <c r="BH5" s="61" t="s">
        <v>1289</v>
      </c>
    </row>
    <row r="6" spans="1:60" s="171" customFormat="1" ht="75" customHeight="1" x14ac:dyDescent="0.15">
      <c r="A6" s="177" t="s">
        <v>561</v>
      </c>
      <c r="B6" s="64" t="s">
        <v>597</v>
      </c>
      <c r="C6" s="64" t="s">
        <v>596</v>
      </c>
      <c r="D6" s="64" t="s">
        <v>594</v>
      </c>
      <c r="E6" s="64" t="s">
        <v>564</v>
      </c>
      <c r="F6" s="64" t="s">
        <v>575</v>
      </c>
      <c r="G6" s="64" t="s">
        <v>590</v>
      </c>
      <c r="H6" s="64" t="s">
        <v>592</v>
      </c>
      <c r="I6" s="64" t="s">
        <v>566</v>
      </c>
      <c r="J6" s="64" t="s">
        <v>581</v>
      </c>
      <c r="K6" s="64" t="s">
        <v>968</v>
      </c>
      <c r="L6" s="64" t="s">
        <v>571</v>
      </c>
      <c r="M6" s="64" t="s">
        <v>1504</v>
      </c>
      <c r="N6" s="64" t="s">
        <v>1503</v>
      </c>
      <c r="O6" s="64" t="s">
        <v>569</v>
      </c>
      <c r="P6" s="64" t="s">
        <v>578</v>
      </c>
      <c r="Q6" s="64" t="s">
        <v>567</v>
      </c>
      <c r="R6" s="64" t="s">
        <v>564</v>
      </c>
      <c r="S6" s="64" t="s">
        <v>1016</v>
      </c>
      <c r="T6" s="64" t="s">
        <v>565</v>
      </c>
      <c r="U6" s="64" t="s">
        <v>105</v>
      </c>
      <c r="V6" s="64" t="s">
        <v>580</v>
      </c>
      <c r="W6" s="64" t="s">
        <v>591</v>
      </c>
      <c r="X6" s="64" t="s">
        <v>572</v>
      </c>
      <c r="Y6" s="64" t="s">
        <v>1498</v>
      </c>
      <c r="Z6" s="64" t="s">
        <v>598</v>
      </c>
      <c r="AA6" s="64" t="s">
        <v>588</v>
      </c>
      <c r="AB6" s="64" t="s">
        <v>595</v>
      </c>
      <c r="AC6" s="64" t="s">
        <v>577</v>
      </c>
      <c r="AD6" s="64" t="s">
        <v>578</v>
      </c>
      <c r="AE6" s="64" t="s">
        <v>1498</v>
      </c>
      <c r="AF6" s="64" t="s">
        <v>568</v>
      </c>
      <c r="AG6" s="64" t="s">
        <v>1498</v>
      </c>
      <c r="AH6" s="64" t="s">
        <v>583</v>
      </c>
      <c r="AI6" s="64" t="s">
        <v>576</v>
      </c>
      <c r="AJ6" s="64" t="s">
        <v>585</v>
      </c>
      <c r="AK6" s="64"/>
      <c r="AL6" s="64" t="s">
        <v>582</v>
      </c>
      <c r="AM6" s="64" t="s">
        <v>1499</v>
      </c>
      <c r="AN6" s="64" t="s">
        <v>563</v>
      </c>
      <c r="AO6" s="64" t="s">
        <v>574</v>
      </c>
      <c r="AP6" s="64" t="s">
        <v>593</v>
      </c>
      <c r="AQ6" s="64" t="s">
        <v>584</v>
      </c>
      <c r="AR6" s="64"/>
      <c r="AS6" s="64" t="s">
        <v>589</v>
      </c>
      <c r="AT6" s="64" t="s">
        <v>595</v>
      </c>
      <c r="AU6" s="64" t="s">
        <v>1502</v>
      </c>
      <c r="AV6" s="64" t="s">
        <v>588</v>
      </c>
      <c r="AW6" s="64" t="s">
        <v>1170</v>
      </c>
      <c r="AX6" s="64" t="s">
        <v>576</v>
      </c>
      <c r="AY6" s="64" t="s">
        <v>570</v>
      </c>
      <c r="AZ6" s="64" t="s">
        <v>573</v>
      </c>
      <c r="BA6" s="64" t="s">
        <v>586</v>
      </c>
      <c r="BB6" s="64" t="s">
        <v>579</v>
      </c>
      <c r="BC6" s="64" t="s">
        <v>1500</v>
      </c>
      <c r="BD6" s="64" t="s">
        <v>595</v>
      </c>
      <c r="BE6" s="64" t="s">
        <v>564</v>
      </c>
      <c r="BF6" s="64"/>
      <c r="BG6" s="64" t="s">
        <v>563</v>
      </c>
      <c r="BH6" s="64" t="s">
        <v>1501</v>
      </c>
    </row>
    <row r="7" spans="1:60" ht="75" customHeight="1" x14ac:dyDescent="0.15">
      <c r="A7" s="176" t="s">
        <v>599</v>
      </c>
      <c r="B7" s="61" t="s">
        <v>181</v>
      </c>
      <c r="C7" s="61" t="s">
        <v>623</v>
      </c>
      <c r="D7" s="61" t="s">
        <v>622</v>
      </c>
      <c r="E7" s="61" t="s">
        <v>603</v>
      </c>
      <c r="F7" s="61" t="s">
        <v>608</v>
      </c>
      <c r="G7" s="61" t="s">
        <v>620</v>
      </c>
      <c r="H7" s="61" t="s">
        <v>175</v>
      </c>
      <c r="I7" s="61" t="s">
        <v>157</v>
      </c>
      <c r="J7" s="61" t="s">
        <v>168</v>
      </c>
      <c r="K7" s="61"/>
      <c r="L7" s="61" t="s">
        <v>606</v>
      </c>
      <c r="M7" s="61"/>
      <c r="N7" s="61" t="s">
        <v>1300</v>
      </c>
      <c r="O7" s="61"/>
      <c r="P7" s="61" t="s">
        <v>612</v>
      </c>
      <c r="Q7" s="61" t="s">
        <v>604</v>
      </c>
      <c r="R7" s="61" t="s">
        <v>601</v>
      </c>
      <c r="S7" s="61" t="s">
        <v>601</v>
      </c>
      <c r="T7" s="61" t="s">
        <v>602</v>
      </c>
      <c r="U7" s="61" t="s">
        <v>156</v>
      </c>
      <c r="V7" s="61" t="s">
        <v>613</v>
      </c>
      <c r="W7" s="61" t="s">
        <v>621</v>
      </c>
      <c r="X7" s="61" t="s">
        <v>607</v>
      </c>
      <c r="Y7" s="61" t="s">
        <v>1508</v>
      </c>
      <c r="Z7" s="61" t="s">
        <v>182</v>
      </c>
      <c r="AA7" s="61" t="s">
        <v>618</v>
      </c>
      <c r="AB7" s="61" t="s">
        <v>624</v>
      </c>
      <c r="AC7" s="61" t="s">
        <v>610</v>
      </c>
      <c r="AD7" s="61" t="s">
        <v>165</v>
      </c>
      <c r="AE7" s="61" t="s">
        <v>1506</v>
      </c>
      <c r="AF7" s="61" t="s">
        <v>159</v>
      </c>
      <c r="AG7" s="61">
        <v>48</v>
      </c>
      <c r="AH7" s="61"/>
      <c r="AI7" s="61" t="s">
        <v>164</v>
      </c>
      <c r="AJ7" s="61" t="s">
        <v>170</v>
      </c>
      <c r="AK7" s="61"/>
      <c r="AL7" s="61" t="s">
        <v>614</v>
      </c>
      <c r="AM7" s="61" t="s">
        <v>1507</v>
      </c>
      <c r="AN7" s="61" t="s">
        <v>600</v>
      </c>
      <c r="AO7" s="61" t="s">
        <v>162</v>
      </c>
      <c r="AP7" s="61" t="s">
        <v>176</v>
      </c>
      <c r="AQ7" s="61" t="s">
        <v>615</v>
      </c>
      <c r="AR7" s="61" t="s">
        <v>1505</v>
      </c>
      <c r="AS7" s="61" t="s">
        <v>619</v>
      </c>
      <c r="AT7" s="61" t="s">
        <v>178</v>
      </c>
      <c r="AU7" s="61" t="s">
        <v>1299</v>
      </c>
      <c r="AV7" s="61" t="s">
        <v>618</v>
      </c>
      <c r="AW7" s="61" t="s">
        <v>617</v>
      </c>
      <c r="AX7" s="61" t="s">
        <v>609</v>
      </c>
      <c r="AY7" s="61" t="s">
        <v>605</v>
      </c>
      <c r="AZ7" s="61"/>
      <c r="BA7" s="61" t="s">
        <v>616</v>
      </c>
      <c r="BB7" s="61" t="s">
        <v>611</v>
      </c>
      <c r="BC7" s="61" t="s">
        <v>1297</v>
      </c>
      <c r="BD7" s="61" t="s">
        <v>179</v>
      </c>
      <c r="BE7" s="61" t="s">
        <v>177</v>
      </c>
      <c r="BF7" s="61"/>
      <c r="BG7" s="61" t="s">
        <v>600</v>
      </c>
      <c r="BH7" s="61" t="s">
        <v>1298</v>
      </c>
    </row>
    <row r="8" spans="1:60" s="171" customFormat="1" ht="75" customHeight="1" x14ac:dyDescent="0.15">
      <c r="A8" s="177" t="s">
        <v>561</v>
      </c>
      <c r="B8" s="64" t="s">
        <v>597</v>
      </c>
      <c r="C8" s="64" t="s">
        <v>596</v>
      </c>
      <c r="D8" s="64" t="s">
        <v>594</v>
      </c>
      <c r="E8" s="64" t="s">
        <v>564</v>
      </c>
      <c r="F8" s="64" t="s">
        <v>575</v>
      </c>
      <c r="G8" s="64" t="s">
        <v>590</v>
      </c>
      <c r="H8" s="64" t="s">
        <v>592</v>
      </c>
      <c r="I8" s="64" t="s">
        <v>566</v>
      </c>
      <c r="J8" s="64" t="s">
        <v>581</v>
      </c>
      <c r="K8" s="64"/>
      <c r="L8" s="64" t="s">
        <v>571</v>
      </c>
      <c r="M8" s="64"/>
      <c r="N8" s="64" t="s">
        <v>1503</v>
      </c>
      <c r="O8" s="64"/>
      <c r="P8" s="64" t="s">
        <v>578</v>
      </c>
      <c r="Q8" s="64"/>
      <c r="R8" s="64" t="s">
        <v>564</v>
      </c>
      <c r="S8" s="64" t="s">
        <v>564</v>
      </c>
      <c r="T8" s="64" t="s">
        <v>565</v>
      </c>
      <c r="U8" s="64" t="s">
        <v>105</v>
      </c>
      <c r="V8" s="64" t="s">
        <v>580</v>
      </c>
      <c r="W8" s="64" t="e">
        <f>#N/A</f>
        <v>#N/A</v>
      </c>
      <c r="X8" s="64" t="s">
        <v>572</v>
      </c>
      <c r="Y8" s="64" t="s">
        <v>1498</v>
      </c>
      <c r="Z8" s="64" t="s">
        <v>598</v>
      </c>
      <c r="AA8" s="64" t="s">
        <v>588</v>
      </c>
      <c r="AB8" s="64" t="s">
        <v>595</v>
      </c>
      <c r="AC8" s="64" t="s">
        <v>577</v>
      </c>
      <c r="AD8" s="64" t="s">
        <v>578</v>
      </c>
      <c r="AE8" s="64" t="s">
        <v>1498</v>
      </c>
      <c r="AF8" s="64" t="s">
        <v>568</v>
      </c>
      <c r="AG8" s="64" t="s">
        <v>1498</v>
      </c>
      <c r="AH8" s="64"/>
      <c r="AI8" s="64" t="s">
        <v>576</v>
      </c>
      <c r="AJ8" s="64" t="s">
        <v>625</v>
      </c>
      <c r="AK8" s="64"/>
      <c r="AL8" s="64" t="s">
        <v>582</v>
      </c>
      <c r="AM8" s="64" t="s">
        <v>1499</v>
      </c>
      <c r="AN8" s="64" t="s">
        <v>563</v>
      </c>
      <c r="AO8" s="64" t="s">
        <v>574</v>
      </c>
      <c r="AP8" s="64" t="s">
        <v>593</v>
      </c>
      <c r="AQ8" s="64" t="s">
        <v>584</v>
      </c>
      <c r="AR8" s="64" t="s">
        <v>1509</v>
      </c>
      <c r="AS8" s="64" t="s">
        <v>589</v>
      </c>
      <c r="AT8" s="64" t="s">
        <v>595</v>
      </c>
      <c r="AU8" s="64" t="s">
        <v>1502</v>
      </c>
      <c r="AV8" s="64" t="s">
        <v>588</v>
      </c>
      <c r="AW8" s="64" t="s">
        <v>587</v>
      </c>
      <c r="AX8" s="64" t="s">
        <v>576</v>
      </c>
      <c r="AY8" s="64" t="s">
        <v>570</v>
      </c>
      <c r="AZ8" s="64" t="s">
        <v>573</v>
      </c>
      <c r="BA8" s="64" t="s">
        <v>586</v>
      </c>
      <c r="BB8" s="64" t="s">
        <v>579</v>
      </c>
      <c r="BC8" s="64" t="s">
        <v>1500</v>
      </c>
      <c r="BD8" s="64" t="s">
        <v>595</v>
      </c>
      <c r="BE8" s="64" t="s">
        <v>564</v>
      </c>
      <c r="BF8" s="64"/>
      <c r="BG8" s="64" t="s">
        <v>563</v>
      </c>
      <c r="BH8" s="64" t="s">
        <v>1501</v>
      </c>
    </row>
    <row r="9" spans="1:60" ht="75" customHeight="1" x14ac:dyDescent="0.15">
      <c r="A9" s="176" t="s">
        <v>626</v>
      </c>
      <c r="B9" s="61" t="s">
        <v>662</v>
      </c>
      <c r="C9" s="61" t="s">
        <v>659</v>
      </c>
      <c r="D9" s="61" t="s">
        <v>656</v>
      </c>
      <c r="E9" s="61" t="s">
        <v>631</v>
      </c>
      <c r="F9" s="61" t="s">
        <v>637</v>
      </c>
      <c r="G9" s="61" t="s">
        <v>652</v>
      </c>
      <c r="H9" s="61" t="s">
        <v>654</v>
      </c>
      <c r="I9" s="61"/>
      <c r="J9" s="61" t="s">
        <v>645</v>
      </c>
      <c r="K9" s="61" t="s">
        <v>627</v>
      </c>
      <c r="L9" s="61" t="s">
        <v>634</v>
      </c>
      <c r="M9" s="61" t="s">
        <v>1517</v>
      </c>
      <c r="N9" s="61" t="s">
        <v>1516</v>
      </c>
      <c r="O9" s="61"/>
      <c r="P9" s="61" t="s">
        <v>643</v>
      </c>
      <c r="Q9" s="61" t="s">
        <v>632</v>
      </c>
      <c r="R9" s="61" t="s">
        <v>629</v>
      </c>
      <c r="S9" s="61" t="s">
        <v>629</v>
      </c>
      <c r="T9" s="61" t="s">
        <v>630</v>
      </c>
      <c r="U9" s="61"/>
      <c r="V9" s="61" t="s">
        <v>644</v>
      </c>
      <c r="W9" s="61" t="s">
        <v>653</v>
      </c>
      <c r="X9" s="61"/>
      <c r="Y9" s="61" t="s">
        <v>1513</v>
      </c>
      <c r="Z9" s="61" t="s">
        <v>663</v>
      </c>
      <c r="AA9" s="61" t="s">
        <v>651</v>
      </c>
      <c r="AB9" s="61" t="s">
        <v>661</v>
      </c>
      <c r="AC9" s="61" t="s">
        <v>640</v>
      </c>
      <c r="AD9" s="61" t="s">
        <v>641</v>
      </c>
      <c r="AE9" s="61" t="s">
        <v>1512</v>
      </c>
      <c r="AF9" s="61" t="s">
        <v>207</v>
      </c>
      <c r="AG9" s="61" t="s">
        <v>1511</v>
      </c>
      <c r="AH9" s="61"/>
      <c r="AI9" s="61" t="s">
        <v>639</v>
      </c>
      <c r="AJ9" s="61" t="s">
        <v>648</v>
      </c>
      <c r="AK9" s="61"/>
      <c r="AL9" s="61" t="s">
        <v>646</v>
      </c>
      <c r="AM9" s="61" t="s">
        <v>1315</v>
      </c>
      <c r="AN9" s="61" t="s">
        <v>628</v>
      </c>
      <c r="AO9" s="61" t="s">
        <v>636</v>
      </c>
      <c r="AP9" s="61" t="s">
        <v>655</v>
      </c>
      <c r="AQ9" s="61" t="s">
        <v>647</v>
      </c>
      <c r="AR9" s="61" t="s">
        <v>1510</v>
      </c>
      <c r="AS9" s="61"/>
      <c r="AT9" s="61" t="s">
        <v>658</v>
      </c>
      <c r="AU9" s="61"/>
      <c r="AV9" s="61" t="s">
        <v>651</v>
      </c>
      <c r="AW9" s="61" t="s">
        <v>650</v>
      </c>
      <c r="AX9" s="61" t="s">
        <v>638</v>
      </c>
      <c r="AY9" s="61" t="s">
        <v>633</v>
      </c>
      <c r="AZ9" s="61" t="s">
        <v>635</v>
      </c>
      <c r="BA9" s="61" t="s">
        <v>649</v>
      </c>
      <c r="BB9" s="61" t="s">
        <v>642</v>
      </c>
      <c r="BC9" s="61" t="s">
        <v>1514</v>
      </c>
      <c r="BD9" s="61" t="s">
        <v>660</v>
      </c>
      <c r="BE9" s="61" t="s">
        <v>657</v>
      </c>
      <c r="BF9" s="61"/>
      <c r="BG9" s="61" t="s">
        <v>628</v>
      </c>
      <c r="BH9" s="61" t="s">
        <v>1515</v>
      </c>
    </row>
    <row r="10" spans="1:60" s="171" customFormat="1" ht="75" customHeight="1" x14ac:dyDescent="0.15">
      <c r="A10" s="177" t="s">
        <v>561</v>
      </c>
      <c r="B10" s="64" t="s">
        <v>597</v>
      </c>
      <c r="C10" s="64" t="s">
        <v>684</v>
      </c>
      <c r="D10" s="64" t="s">
        <v>594</v>
      </c>
      <c r="E10" s="64" t="s">
        <v>564</v>
      </c>
      <c r="F10" s="64" t="s">
        <v>671</v>
      </c>
      <c r="G10" s="64" t="s">
        <v>679</v>
      </c>
      <c r="H10" s="64" t="s">
        <v>681</v>
      </c>
      <c r="I10" s="64"/>
      <c r="J10" s="64" t="s">
        <v>581</v>
      </c>
      <c r="K10" s="64" t="s">
        <v>664</v>
      </c>
      <c r="L10" s="64" t="s">
        <v>669</v>
      </c>
      <c r="M10" s="64" t="s">
        <v>1525</v>
      </c>
      <c r="N10" s="64" t="s">
        <v>1524</v>
      </c>
      <c r="O10" s="64" t="s">
        <v>668</v>
      </c>
      <c r="P10" s="64" t="s">
        <v>578</v>
      </c>
      <c r="Q10" s="64" t="s">
        <v>666</v>
      </c>
      <c r="R10" s="64" t="s">
        <v>564</v>
      </c>
      <c r="S10" s="64" t="s">
        <v>564</v>
      </c>
      <c r="T10" s="64" t="s">
        <v>565</v>
      </c>
      <c r="U10" s="64"/>
      <c r="V10" s="64" t="s">
        <v>674</v>
      </c>
      <c r="W10" s="64" t="s">
        <v>680</v>
      </c>
      <c r="X10" s="64"/>
      <c r="Y10" s="64" t="s">
        <v>1521</v>
      </c>
      <c r="Z10" s="64" t="s">
        <v>598</v>
      </c>
      <c r="AA10" s="64" t="s">
        <v>678</v>
      </c>
      <c r="AB10" s="64" t="s">
        <v>595</v>
      </c>
      <c r="AC10" s="64" t="s">
        <v>672</v>
      </c>
      <c r="AD10" s="64" t="s">
        <v>578</v>
      </c>
      <c r="AE10" s="64" t="s">
        <v>1519</v>
      </c>
      <c r="AF10" s="64" t="s">
        <v>667</v>
      </c>
      <c r="AG10" s="64" t="s">
        <v>1518</v>
      </c>
      <c r="AH10" s="64"/>
      <c r="AI10" s="64" t="s">
        <v>576</v>
      </c>
      <c r="AJ10" s="64" t="s">
        <v>676</v>
      </c>
      <c r="AK10" s="64"/>
      <c r="AL10" s="64" t="s">
        <v>670</v>
      </c>
      <c r="AM10" s="64" t="s">
        <v>1520</v>
      </c>
      <c r="AN10" s="64" t="s">
        <v>665</v>
      </c>
      <c r="AO10" s="64" t="s">
        <v>1126</v>
      </c>
      <c r="AP10" s="64" t="s">
        <v>682</v>
      </c>
      <c r="AQ10" s="64" t="s">
        <v>675</v>
      </c>
      <c r="AR10" s="64" t="s">
        <v>1509</v>
      </c>
      <c r="AS10" s="64"/>
      <c r="AT10" s="64" t="s">
        <v>595</v>
      </c>
      <c r="AU10" s="64" t="s">
        <v>1523</v>
      </c>
      <c r="AV10" s="64" t="s">
        <v>678</v>
      </c>
      <c r="AW10" s="64" t="s">
        <v>677</v>
      </c>
      <c r="AX10" s="64" t="s">
        <v>576</v>
      </c>
      <c r="AY10" s="64" t="s">
        <v>570</v>
      </c>
      <c r="AZ10" s="64" t="s">
        <v>670</v>
      </c>
      <c r="BA10" s="64" t="s">
        <v>586</v>
      </c>
      <c r="BB10" s="64" t="s">
        <v>673</v>
      </c>
      <c r="BC10" s="64" t="s">
        <v>1522</v>
      </c>
      <c r="BD10" s="64" t="s">
        <v>595</v>
      </c>
      <c r="BE10" s="64" t="s">
        <v>683</v>
      </c>
      <c r="BF10" s="64" t="s">
        <v>670</v>
      </c>
      <c r="BG10" s="64" t="s">
        <v>665</v>
      </c>
      <c r="BH10" s="64" t="s">
        <v>1501</v>
      </c>
    </row>
    <row r="11" spans="1:60" ht="75" customHeight="1" x14ac:dyDescent="0.15">
      <c r="A11" s="176" t="s">
        <v>685</v>
      </c>
      <c r="B11" s="61" t="s">
        <v>263</v>
      </c>
      <c r="C11" s="61" t="s">
        <v>709</v>
      </c>
      <c r="D11" s="61" t="s">
        <v>707</v>
      </c>
      <c r="E11" s="61" t="s">
        <v>689</v>
      </c>
      <c r="F11" s="61" t="s">
        <v>694</v>
      </c>
      <c r="G11" s="61" t="s">
        <v>256</v>
      </c>
      <c r="H11" s="61" t="s">
        <v>258</v>
      </c>
      <c r="I11" s="61" t="s">
        <v>238</v>
      </c>
      <c r="J11" s="61"/>
      <c r="K11" s="61" t="s">
        <v>266</v>
      </c>
      <c r="L11" s="61"/>
      <c r="M11" s="61" t="s">
        <v>1530</v>
      </c>
      <c r="N11" s="61" t="s">
        <v>1529</v>
      </c>
      <c r="O11" s="61"/>
      <c r="P11" s="61" t="s">
        <v>700</v>
      </c>
      <c r="Q11" s="61" t="s">
        <v>239</v>
      </c>
      <c r="R11" s="61" t="s">
        <v>239</v>
      </c>
      <c r="S11" s="61" t="s">
        <v>239</v>
      </c>
      <c r="T11" s="61" t="s">
        <v>688</v>
      </c>
      <c r="U11" s="61" t="s">
        <v>686</v>
      </c>
      <c r="V11" s="61" t="s">
        <v>249</v>
      </c>
      <c r="W11" s="61" t="s">
        <v>705</v>
      </c>
      <c r="X11" s="61" t="s">
        <v>691</v>
      </c>
      <c r="Y11" s="61">
        <v>19</v>
      </c>
      <c r="Z11" s="61" t="s">
        <v>711</v>
      </c>
      <c r="AA11" s="61" t="s">
        <v>703</v>
      </c>
      <c r="AB11" s="61" t="s">
        <v>710</v>
      </c>
      <c r="AC11" s="61" t="s">
        <v>697</v>
      </c>
      <c r="AD11" s="61" t="s">
        <v>698</v>
      </c>
      <c r="AE11" s="61">
        <v>29</v>
      </c>
      <c r="AF11" s="61" t="s">
        <v>240</v>
      </c>
      <c r="AG11" s="61">
        <v>29</v>
      </c>
      <c r="AH11" s="61"/>
      <c r="AI11" s="61" t="s">
        <v>696</v>
      </c>
      <c r="AJ11" s="61" t="s">
        <v>696</v>
      </c>
      <c r="AK11" s="61"/>
      <c r="AL11" s="61" t="s">
        <v>701</v>
      </c>
      <c r="AM11" s="61" t="s">
        <v>1527</v>
      </c>
      <c r="AN11" s="61" t="s">
        <v>687</v>
      </c>
      <c r="AO11" s="61" t="s">
        <v>693</v>
      </c>
      <c r="AP11" s="61" t="s">
        <v>706</v>
      </c>
      <c r="AQ11" s="61" t="s">
        <v>696</v>
      </c>
      <c r="AR11" s="61" t="s">
        <v>1526</v>
      </c>
      <c r="AS11" s="61" t="s">
        <v>704</v>
      </c>
      <c r="AT11" s="61" t="s">
        <v>708</v>
      </c>
      <c r="AU11" s="61" t="s">
        <v>1528</v>
      </c>
      <c r="AV11" s="61" t="s">
        <v>703</v>
      </c>
      <c r="AW11" s="61" t="s">
        <v>693</v>
      </c>
      <c r="AX11" s="61" t="s">
        <v>695</v>
      </c>
      <c r="AY11" s="61" t="s">
        <v>690</v>
      </c>
      <c r="AZ11" s="61" t="s">
        <v>692</v>
      </c>
      <c r="BA11" s="61" t="s">
        <v>702</v>
      </c>
      <c r="BB11" s="61" t="s">
        <v>699</v>
      </c>
      <c r="BC11" s="61">
        <v>14</v>
      </c>
      <c r="BD11" s="61" t="s">
        <v>261</v>
      </c>
      <c r="BE11" s="61" t="s">
        <v>259</v>
      </c>
      <c r="BF11" s="61"/>
      <c r="BG11" s="61" t="s">
        <v>687</v>
      </c>
      <c r="BH11" s="61">
        <v>13</v>
      </c>
    </row>
    <row r="12" spans="1:60" s="171" customFormat="1" ht="75" customHeight="1" x14ac:dyDescent="0.15">
      <c r="A12" s="177" t="s">
        <v>561</v>
      </c>
      <c r="B12" s="64" t="s">
        <v>731</v>
      </c>
      <c r="C12" s="64" t="s">
        <v>596</v>
      </c>
      <c r="D12" s="64" t="s">
        <v>732</v>
      </c>
      <c r="E12" s="64" t="s">
        <v>714</v>
      </c>
      <c r="F12" s="64" t="s">
        <v>719</v>
      </c>
      <c r="G12" s="64" t="s">
        <v>728</v>
      </c>
      <c r="H12" s="64" t="s">
        <v>730</v>
      </c>
      <c r="I12" s="64" t="s">
        <v>564</v>
      </c>
      <c r="J12" s="64"/>
      <c r="K12" s="64" t="s">
        <v>562</v>
      </c>
      <c r="L12" s="64" t="s">
        <v>1094</v>
      </c>
      <c r="M12" s="64" t="s">
        <v>1535</v>
      </c>
      <c r="N12" s="64" t="s">
        <v>1503</v>
      </c>
      <c r="O12" s="64" t="s">
        <v>569</v>
      </c>
      <c r="P12" s="64" t="s">
        <v>723</v>
      </c>
      <c r="Q12" s="64" t="s">
        <v>715</v>
      </c>
      <c r="R12" s="64" t="s">
        <v>564</v>
      </c>
      <c r="S12" s="64" t="s">
        <v>564</v>
      </c>
      <c r="T12" s="64" t="s">
        <v>565</v>
      </c>
      <c r="U12" s="64" t="s">
        <v>712</v>
      </c>
      <c r="V12" s="64" t="s">
        <v>580</v>
      </c>
      <c r="W12" s="64" t="s">
        <v>729</v>
      </c>
      <c r="X12" s="64" t="s">
        <v>572</v>
      </c>
      <c r="Y12" s="64" t="s">
        <v>1498</v>
      </c>
      <c r="Z12" s="64" t="s">
        <v>736</v>
      </c>
      <c r="AA12" s="64"/>
      <c r="AB12" s="64" t="s">
        <v>733</v>
      </c>
      <c r="AC12" s="64" t="s">
        <v>721</v>
      </c>
      <c r="AD12" s="64" t="s">
        <v>721</v>
      </c>
      <c r="AE12" s="64" t="s">
        <v>1532</v>
      </c>
      <c r="AF12" s="64" t="s">
        <v>716</v>
      </c>
      <c r="AG12" s="64" t="s">
        <v>1532</v>
      </c>
      <c r="AH12" s="64" t="s">
        <v>725</v>
      </c>
      <c r="AI12" s="64" t="s">
        <v>576</v>
      </c>
      <c r="AJ12" s="64" t="s">
        <v>584</v>
      </c>
      <c r="AK12" s="64"/>
      <c r="AL12" s="64" t="s">
        <v>724</v>
      </c>
      <c r="AM12" s="64" t="s">
        <v>1533</v>
      </c>
      <c r="AN12" s="64" t="s">
        <v>713</v>
      </c>
      <c r="AO12" s="64" t="s">
        <v>718</v>
      </c>
      <c r="AP12" s="64" t="s">
        <v>731</v>
      </c>
      <c r="AQ12" s="64" t="s">
        <v>584</v>
      </c>
      <c r="AR12" s="64" t="s">
        <v>1531</v>
      </c>
      <c r="AS12" s="64" t="s">
        <v>727</v>
      </c>
      <c r="AT12" s="64" t="s">
        <v>733</v>
      </c>
      <c r="AU12" s="64" t="s">
        <v>1502</v>
      </c>
      <c r="AV12" s="64"/>
      <c r="AW12" s="64" t="s">
        <v>587</v>
      </c>
      <c r="AX12" s="64" t="s">
        <v>720</v>
      </c>
      <c r="AY12" s="64" t="s">
        <v>570</v>
      </c>
      <c r="AZ12" s="64" t="s">
        <v>717</v>
      </c>
      <c r="BA12" s="64" t="s">
        <v>726</v>
      </c>
      <c r="BB12" s="64" t="s">
        <v>722</v>
      </c>
      <c r="BC12" s="64" t="s">
        <v>1534</v>
      </c>
      <c r="BD12" s="64" t="s">
        <v>734</v>
      </c>
      <c r="BE12" s="64" t="s">
        <v>564</v>
      </c>
      <c r="BF12" s="64" t="s">
        <v>735</v>
      </c>
      <c r="BG12" s="64" t="s">
        <v>713</v>
      </c>
      <c r="BH12" s="64" t="s">
        <v>1501</v>
      </c>
    </row>
    <row r="13" spans="1:60" ht="75" customHeight="1" x14ac:dyDescent="0.15">
      <c r="A13" s="176" t="s">
        <v>737</v>
      </c>
      <c r="B13" s="61" t="s">
        <v>764</v>
      </c>
      <c r="C13" s="61" t="s">
        <v>762</v>
      </c>
      <c r="D13" s="61" t="s">
        <v>761</v>
      </c>
      <c r="E13" s="61" t="s">
        <v>742</v>
      </c>
      <c r="F13" s="61" t="s">
        <v>747</v>
      </c>
      <c r="G13" s="61" t="s">
        <v>285</v>
      </c>
      <c r="H13" s="61" t="s">
        <v>760</v>
      </c>
      <c r="I13" s="61" t="s">
        <v>268</v>
      </c>
      <c r="J13" s="61" t="s">
        <v>280</v>
      </c>
      <c r="K13" s="61" t="s">
        <v>738</v>
      </c>
      <c r="L13" s="61" t="s">
        <v>272</v>
      </c>
      <c r="M13" s="61" t="s">
        <v>1540</v>
      </c>
      <c r="N13" s="61" t="s">
        <v>1539</v>
      </c>
      <c r="O13" s="61"/>
      <c r="P13" s="61" t="s">
        <v>750</v>
      </c>
      <c r="Q13" s="61" t="s">
        <v>269</v>
      </c>
      <c r="R13" s="61" t="s">
        <v>269</v>
      </c>
      <c r="S13" s="61" t="s">
        <v>269</v>
      </c>
      <c r="T13" s="61" t="s">
        <v>741</v>
      </c>
      <c r="U13" s="61" t="s">
        <v>739</v>
      </c>
      <c r="V13" s="61" t="s">
        <v>751</v>
      </c>
      <c r="W13" s="61" t="s">
        <v>759</v>
      </c>
      <c r="X13" s="61" t="s">
        <v>745</v>
      </c>
      <c r="Y13" s="61" t="s">
        <v>1331</v>
      </c>
      <c r="Z13" s="61" t="s">
        <v>765</v>
      </c>
      <c r="AA13" s="61" t="s">
        <v>757</v>
      </c>
      <c r="AB13" s="61" t="s">
        <v>763</v>
      </c>
      <c r="AC13" s="61" t="s">
        <v>748</v>
      </c>
      <c r="AD13" s="61" t="s">
        <v>748</v>
      </c>
      <c r="AE13" s="61" t="s">
        <v>1330</v>
      </c>
      <c r="AF13" s="61" t="s">
        <v>743</v>
      </c>
      <c r="AG13" s="61" t="s">
        <v>1329</v>
      </c>
      <c r="AH13" s="61"/>
      <c r="AI13" s="61" t="s">
        <v>277</v>
      </c>
      <c r="AJ13" s="61" t="s">
        <v>754</v>
      </c>
      <c r="AK13" s="61"/>
      <c r="AL13" s="61" t="s">
        <v>752</v>
      </c>
      <c r="AM13" s="61"/>
      <c r="AN13" s="61" t="s">
        <v>740</v>
      </c>
      <c r="AO13" s="61" t="s">
        <v>746</v>
      </c>
      <c r="AP13" s="61" t="s">
        <v>288</v>
      </c>
      <c r="AQ13" s="61" t="s">
        <v>753</v>
      </c>
      <c r="AR13" s="61"/>
      <c r="AS13" s="61" t="s">
        <v>758</v>
      </c>
      <c r="AT13" s="61" t="s">
        <v>290</v>
      </c>
      <c r="AU13" s="61" t="s">
        <v>1538</v>
      </c>
      <c r="AV13" s="61" t="s">
        <v>757</v>
      </c>
      <c r="AW13" s="61" t="s">
        <v>756</v>
      </c>
      <c r="AX13" s="61" t="s">
        <v>276</v>
      </c>
      <c r="AY13" s="61" t="s">
        <v>744</v>
      </c>
      <c r="AZ13" s="61" t="s">
        <v>274</v>
      </c>
      <c r="BA13" s="61" t="s">
        <v>755</v>
      </c>
      <c r="BB13" s="61" t="s">
        <v>749</v>
      </c>
      <c r="BC13" s="61" t="s">
        <v>1536</v>
      </c>
      <c r="BD13" s="61" t="s">
        <v>291</v>
      </c>
      <c r="BE13" s="61" t="s">
        <v>289</v>
      </c>
      <c r="BF13" s="61"/>
      <c r="BG13" s="61" t="s">
        <v>740</v>
      </c>
      <c r="BH13" s="61" t="s">
        <v>1537</v>
      </c>
    </row>
    <row r="14" spans="1:60" s="171" customFormat="1" ht="75" customHeight="1" x14ac:dyDescent="0.15">
      <c r="A14" s="177" t="s">
        <v>561</v>
      </c>
      <c r="B14" s="64" t="s">
        <v>791</v>
      </c>
      <c r="C14" s="64" t="s">
        <v>778</v>
      </c>
      <c r="D14" s="64" t="s">
        <v>785</v>
      </c>
      <c r="E14" s="64" t="s">
        <v>771</v>
      </c>
      <c r="F14" s="64" t="s">
        <v>777</v>
      </c>
      <c r="G14" s="64" t="s">
        <v>783</v>
      </c>
      <c r="H14" s="64" t="s">
        <v>592</v>
      </c>
      <c r="I14" s="64" t="s">
        <v>770</v>
      </c>
      <c r="J14" s="64" t="s">
        <v>768</v>
      </c>
      <c r="K14" s="64" t="s">
        <v>766</v>
      </c>
      <c r="L14" s="64" t="s">
        <v>774</v>
      </c>
      <c r="M14" s="64" t="s">
        <v>1525</v>
      </c>
      <c r="N14" s="64" t="s">
        <v>1503</v>
      </c>
      <c r="O14" s="64"/>
      <c r="P14" s="64" t="s">
        <v>578</v>
      </c>
      <c r="Q14" s="64" t="s">
        <v>772</v>
      </c>
      <c r="R14" s="64" t="s">
        <v>768</v>
      </c>
      <c r="S14" s="64" t="s">
        <v>768</v>
      </c>
      <c r="T14" s="64" t="s">
        <v>769</v>
      </c>
      <c r="U14" s="64" t="s">
        <v>767</v>
      </c>
      <c r="V14" s="64" t="s">
        <v>779</v>
      </c>
      <c r="W14" s="64" t="s">
        <v>729</v>
      </c>
      <c r="X14" s="64" t="s">
        <v>593</v>
      </c>
      <c r="Y14" s="64" t="s">
        <v>1498</v>
      </c>
      <c r="Z14" s="64" t="s">
        <v>792</v>
      </c>
      <c r="AA14" s="64"/>
      <c r="AB14" s="64" t="s">
        <v>789</v>
      </c>
      <c r="AC14" s="64" t="s">
        <v>577</v>
      </c>
      <c r="AD14" s="64" t="s">
        <v>577</v>
      </c>
      <c r="AE14" s="64" t="s">
        <v>1532</v>
      </c>
      <c r="AF14" s="64" t="s">
        <v>773</v>
      </c>
      <c r="AG14" s="64" t="s">
        <v>1532</v>
      </c>
      <c r="AH14" s="64"/>
      <c r="AI14" s="64" t="s">
        <v>766</v>
      </c>
      <c r="AJ14" s="64" t="s">
        <v>780</v>
      </c>
      <c r="AK14" s="64"/>
      <c r="AL14" s="64" t="s">
        <v>670</v>
      </c>
      <c r="AM14" s="64"/>
      <c r="AN14" s="64" t="s">
        <v>713</v>
      </c>
      <c r="AO14" s="64" t="s">
        <v>776</v>
      </c>
      <c r="AP14" s="64" t="s">
        <v>784</v>
      </c>
      <c r="AQ14" s="64" t="s">
        <v>584</v>
      </c>
      <c r="AR14" s="64"/>
      <c r="AS14" s="64" t="s">
        <v>782</v>
      </c>
      <c r="AT14" s="64" t="s">
        <v>787</v>
      </c>
      <c r="AU14" s="64" t="s">
        <v>1541</v>
      </c>
      <c r="AV14" s="64"/>
      <c r="AW14" s="64" t="s">
        <v>778</v>
      </c>
      <c r="AX14" s="64" t="s">
        <v>576</v>
      </c>
      <c r="AY14" s="64" t="s">
        <v>570</v>
      </c>
      <c r="AZ14" s="64" t="s">
        <v>775</v>
      </c>
      <c r="BA14" s="64" t="s">
        <v>781</v>
      </c>
      <c r="BB14" s="64" t="s">
        <v>778</v>
      </c>
      <c r="BC14" s="64" t="s">
        <v>1500</v>
      </c>
      <c r="BD14" s="64" t="s">
        <v>788</v>
      </c>
      <c r="BE14" s="64" t="s">
        <v>786</v>
      </c>
      <c r="BF14" s="64" t="s">
        <v>790</v>
      </c>
      <c r="BG14" s="64" t="s">
        <v>713</v>
      </c>
      <c r="BH14" s="64" t="s">
        <v>1501</v>
      </c>
    </row>
    <row r="15" spans="1:60" ht="75" customHeight="1" x14ac:dyDescent="0.15">
      <c r="A15" s="178" t="s">
        <v>295</v>
      </c>
      <c r="B15" s="62" t="s">
        <v>811</v>
      </c>
      <c r="C15" s="61" t="s">
        <v>810</v>
      </c>
      <c r="D15" s="61" t="s">
        <v>809</v>
      </c>
      <c r="E15" s="62" t="s">
        <v>797</v>
      </c>
      <c r="F15" s="61" t="s">
        <v>801</v>
      </c>
      <c r="G15" s="62"/>
      <c r="H15" s="62" t="s">
        <v>309</v>
      </c>
      <c r="I15" s="66" t="s">
        <v>796</v>
      </c>
      <c r="J15" s="61" t="s">
        <v>154</v>
      </c>
      <c r="K15" s="61" t="s">
        <v>793</v>
      </c>
      <c r="L15" s="62"/>
      <c r="M15" s="164">
        <v>0.25</v>
      </c>
      <c r="N15" s="164">
        <v>0.33</v>
      </c>
      <c r="O15" s="62"/>
      <c r="P15" s="61"/>
      <c r="Q15" s="62" t="s">
        <v>299</v>
      </c>
      <c r="R15" s="62"/>
      <c r="S15" s="61"/>
      <c r="T15" s="61" t="s">
        <v>795</v>
      </c>
      <c r="U15" s="62" t="s">
        <v>297</v>
      </c>
      <c r="V15" s="62"/>
      <c r="W15" s="61" t="s">
        <v>808</v>
      </c>
      <c r="X15" s="61" t="s">
        <v>799</v>
      </c>
      <c r="Y15" s="164">
        <v>0.52700000000000002</v>
      </c>
      <c r="Z15" s="61" t="s">
        <v>812</v>
      </c>
      <c r="AA15" s="63" t="s">
        <v>806</v>
      </c>
      <c r="AB15" s="61">
        <v>1.3</v>
      </c>
      <c r="AC15" s="61" t="s">
        <v>802</v>
      </c>
      <c r="AD15" s="61" t="s">
        <v>802</v>
      </c>
      <c r="AE15" s="164" t="s">
        <v>1543</v>
      </c>
      <c r="AF15" s="62" t="s">
        <v>300</v>
      </c>
      <c r="AG15" s="164" t="s">
        <v>1542</v>
      </c>
      <c r="AH15" s="61"/>
      <c r="AI15" s="66"/>
      <c r="AJ15" s="61" t="s">
        <v>803</v>
      </c>
      <c r="AK15" s="61"/>
      <c r="AL15" s="61"/>
      <c r="AM15" s="164" t="s">
        <v>1544</v>
      </c>
      <c r="AN15" s="61" t="s">
        <v>794</v>
      </c>
      <c r="AO15" s="62" t="s">
        <v>800</v>
      </c>
      <c r="AP15" s="61"/>
      <c r="AQ15" s="61" t="s">
        <v>803</v>
      </c>
      <c r="AR15" s="164"/>
      <c r="AS15" s="62" t="s">
        <v>807</v>
      </c>
      <c r="AT15" s="61">
        <v>1.51</v>
      </c>
      <c r="AU15" s="164">
        <v>1.04</v>
      </c>
      <c r="AV15" s="63" t="s">
        <v>806</v>
      </c>
      <c r="AW15" s="61" t="s">
        <v>805</v>
      </c>
      <c r="AX15" s="62"/>
      <c r="AY15" s="61" t="s">
        <v>798</v>
      </c>
      <c r="AZ15" s="61" t="s">
        <v>302</v>
      </c>
      <c r="BA15" s="61" t="s">
        <v>804</v>
      </c>
      <c r="BB15" s="61"/>
      <c r="BC15" s="164">
        <v>0.15</v>
      </c>
      <c r="BD15" s="62">
        <v>1.29</v>
      </c>
      <c r="BE15" s="62" t="s">
        <v>1139</v>
      </c>
      <c r="BF15" s="61"/>
      <c r="BG15" s="61" t="s">
        <v>794</v>
      </c>
      <c r="BH15" s="164"/>
    </row>
    <row r="16" spans="1:60" s="171" customFormat="1" ht="75" customHeight="1" x14ac:dyDescent="0.15">
      <c r="A16" s="177" t="s">
        <v>561</v>
      </c>
      <c r="B16" s="64" t="s">
        <v>827</v>
      </c>
      <c r="C16" s="64" t="s">
        <v>596</v>
      </c>
      <c r="D16" s="64" t="s">
        <v>594</v>
      </c>
      <c r="E16" s="64" t="s">
        <v>564</v>
      </c>
      <c r="F16" s="64" t="s">
        <v>820</v>
      </c>
      <c r="G16" s="64" t="s">
        <v>1211</v>
      </c>
      <c r="H16" s="64" t="s">
        <v>825</v>
      </c>
      <c r="I16" s="64" t="s">
        <v>564</v>
      </c>
      <c r="J16" s="64" t="s">
        <v>581</v>
      </c>
      <c r="K16" s="64" t="s">
        <v>813</v>
      </c>
      <c r="L16" s="64"/>
      <c r="M16" s="64" t="s">
        <v>1525</v>
      </c>
      <c r="N16" s="64" t="s">
        <v>1503</v>
      </c>
      <c r="O16" s="64" t="s">
        <v>816</v>
      </c>
      <c r="P16" s="64" t="s">
        <v>577</v>
      </c>
      <c r="Q16" s="64" t="s">
        <v>715</v>
      </c>
      <c r="R16" s="64" t="s">
        <v>564</v>
      </c>
      <c r="S16" s="64" t="s">
        <v>564</v>
      </c>
      <c r="T16" s="64" t="s">
        <v>815</v>
      </c>
      <c r="U16" s="64" t="s">
        <v>814</v>
      </c>
      <c r="V16" s="64" t="s">
        <v>577</v>
      </c>
      <c r="W16" s="64" t="s">
        <v>824</v>
      </c>
      <c r="X16" s="64" t="s">
        <v>817</v>
      </c>
      <c r="Y16" s="64" t="s">
        <v>1498</v>
      </c>
      <c r="Z16" s="64" t="s">
        <v>598</v>
      </c>
      <c r="AA16" s="64"/>
      <c r="AB16" s="64" t="s">
        <v>1141</v>
      </c>
      <c r="AC16" s="64" t="s">
        <v>577</v>
      </c>
      <c r="AD16" s="64" t="s">
        <v>577</v>
      </c>
      <c r="AE16" s="64" t="s">
        <v>1532</v>
      </c>
      <c r="AF16" s="64" t="s">
        <v>716</v>
      </c>
      <c r="AG16" s="64" t="s">
        <v>1532</v>
      </c>
      <c r="AH16" s="64" t="s">
        <v>821</v>
      </c>
      <c r="AI16" s="64"/>
      <c r="AJ16" s="64" t="s">
        <v>675</v>
      </c>
      <c r="AK16" s="64"/>
      <c r="AL16" s="64"/>
      <c r="AM16" s="64" t="s">
        <v>1545</v>
      </c>
      <c r="AN16" s="64" t="s">
        <v>563</v>
      </c>
      <c r="AO16" s="64" t="s">
        <v>819</v>
      </c>
      <c r="AP16" s="64"/>
      <c r="AQ16" s="64" t="s">
        <v>675</v>
      </c>
      <c r="AR16" s="64"/>
      <c r="AS16" s="64" t="s">
        <v>823</v>
      </c>
      <c r="AT16" s="64" t="s">
        <v>1141</v>
      </c>
      <c r="AU16" s="64" t="s">
        <v>1502</v>
      </c>
      <c r="AV16" s="64"/>
      <c r="AW16" s="64" t="s">
        <v>822</v>
      </c>
      <c r="AX16" s="64" t="s">
        <v>1185</v>
      </c>
      <c r="AY16" s="64" t="s">
        <v>570</v>
      </c>
      <c r="AZ16" s="64" t="s">
        <v>818</v>
      </c>
      <c r="BA16" s="64" t="s">
        <v>586</v>
      </c>
      <c r="BB16" s="64" t="s">
        <v>577</v>
      </c>
      <c r="BC16" s="64" t="s">
        <v>1500</v>
      </c>
      <c r="BD16" s="64" t="s">
        <v>1141</v>
      </c>
      <c r="BE16" s="64" t="s">
        <v>1138</v>
      </c>
      <c r="BF16" s="64" t="s">
        <v>826</v>
      </c>
      <c r="BG16" s="64" t="s">
        <v>563</v>
      </c>
      <c r="BH16" s="64"/>
    </row>
    <row r="17" spans="1:60" ht="75" customHeight="1" x14ac:dyDescent="0.15">
      <c r="A17" s="176" t="s">
        <v>828</v>
      </c>
      <c r="B17" s="61"/>
      <c r="C17" s="61" t="s">
        <v>853</v>
      </c>
      <c r="D17" s="61"/>
      <c r="E17" s="61" t="s">
        <v>832</v>
      </c>
      <c r="F17" s="61" t="s">
        <v>837</v>
      </c>
      <c r="G17" s="61" t="s">
        <v>850</v>
      </c>
      <c r="H17" s="61"/>
      <c r="I17" s="61"/>
      <c r="J17" s="61" t="s">
        <v>843</v>
      </c>
      <c r="K17" s="61" t="s">
        <v>314</v>
      </c>
      <c r="L17" s="61"/>
      <c r="M17" s="61" t="s">
        <v>1547</v>
      </c>
      <c r="N17" s="61"/>
      <c r="O17" s="61"/>
      <c r="P17" s="61" t="s">
        <v>841</v>
      </c>
      <c r="Q17" s="61"/>
      <c r="R17" s="61"/>
      <c r="S17" s="61" t="s">
        <v>831</v>
      </c>
      <c r="T17" s="61"/>
      <c r="U17" s="61" t="s">
        <v>829</v>
      </c>
      <c r="V17" s="61" t="s">
        <v>842</v>
      </c>
      <c r="W17" s="61" t="s">
        <v>851</v>
      </c>
      <c r="X17" s="61" t="s">
        <v>835</v>
      </c>
      <c r="Y17" s="61" t="s">
        <v>1344</v>
      </c>
      <c r="Z17" s="61" t="s">
        <v>855</v>
      </c>
      <c r="AA17" s="61" t="s">
        <v>848</v>
      </c>
      <c r="AB17" s="61" t="s">
        <v>854</v>
      </c>
      <c r="AC17" s="61" t="s">
        <v>840</v>
      </c>
      <c r="AD17" s="61" t="s">
        <v>840</v>
      </c>
      <c r="AE17" s="61" t="s">
        <v>1344</v>
      </c>
      <c r="AF17" s="61" t="s">
        <v>833</v>
      </c>
      <c r="AG17" s="61" t="s">
        <v>1343</v>
      </c>
      <c r="AH17" s="61"/>
      <c r="AI17" s="61" t="s">
        <v>839</v>
      </c>
      <c r="AJ17" s="61" t="s">
        <v>845</v>
      </c>
      <c r="AK17" s="61"/>
      <c r="AL17" s="61"/>
      <c r="AM17" s="61" t="s">
        <v>1345</v>
      </c>
      <c r="AN17" s="61" t="s">
        <v>830</v>
      </c>
      <c r="AO17" s="61" t="s">
        <v>836</v>
      </c>
      <c r="AP17" s="61" t="s">
        <v>852</v>
      </c>
      <c r="AQ17" s="61" t="s">
        <v>844</v>
      </c>
      <c r="AR17" s="61" t="s">
        <v>1546</v>
      </c>
      <c r="AS17" s="61" t="s">
        <v>849</v>
      </c>
      <c r="AT17" s="61" t="s">
        <v>336</v>
      </c>
      <c r="AU17" s="61"/>
      <c r="AV17" s="61" t="s">
        <v>848</v>
      </c>
      <c r="AW17" s="61" t="s">
        <v>847</v>
      </c>
      <c r="AX17" s="61" t="s">
        <v>838</v>
      </c>
      <c r="AY17" s="61" t="s">
        <v>834</v>
      </c>
      <c r="AZ17" s="61"/>
      <c r="BA17" s="61" t="s">
        <v>846</v>
      </c>
      <c r="BB17" s="61" t="s">
        <v>841</v>
      </c>
      <c r="BC17" s="61"/>
      <c r="BD17" s="61" t="s">
        <v>853</v>
      </c>
      <c r="BE17" s="61"/>
      <c r="BF17" s="61"/>
      <c r="BG17" s="61"/>
      <c r="BH17" s="61"/>
    </row>
    <row r="18" spans="1:60" s="171" customFormat="1" ht="75" customHeight="1" x14ac:dyDescent="0.15">
      <c r="A18" s="177" t="s">
        <v>561</v>
      </c>
      <c r="B18" s="64"/>
      <c r="C18" s="64" t="s">
        <v>877</v>
      </c>
      <c r="D18" s="64"/>
      <c r="E18" s="64" t="s">
        <v>714</v>
      </c>
      <c r="F18" s="64" t="s">
        <v>864</v>
      </c>
      <c r="G18" s="64" t="s">
        <v>875</v>
      </c>
      <c r="H18" s="64"/>
      <c r="I18" s="64"/>
      <c r="J18" s="64" t="s">
        <v>869</v>
      </c>
      <c r="K18" s="64" t="s">
        <v>856</v>
      </c>
      <c r="L18" s="64"/>
      <c r="M18" s="64" t="s">
        <v>1551</v>
      </c>
      <c r="N18" s="64" t="s">
        <v>1641</v>
      </c>
      <c r="O18" s="64"/>
      <c r="P18" s="64" t="s">
        <v>867</v>
      </c>
      <c r="Q18" s="64"/>
      <c r="R18" s="64"/>
      <c r="S18" s="64" t="s">
        <v>859</v>
      </c>
      <c r="T18" s="64"/>
      <c r="U18" s="64" t="s">
        <v>857</v>
      </c>
      <c r="V18" s="64" t="s">
        <v>868</v>
      </c>
      <c r="W18" s="64" t="s">
        <v>876</v>
      </c>
      <c r="X18" s="64" t="s">
        <v>862</v>
      </c>
      <c r="Y18" s="64"/>
      <c r="Z18" s="64" t="s">
        <v>598</v>
      </c>
      <c r="AA18" s="64"/>
      <c r="AB18" s="64" t="s">
        <v>878</v>
      </c>
      <c r="AC18" s="64" t="s">
        <v>866</v>
      </c>
      <c r="AD18" s="64" t="s">
        <v>866</v>
      </c>
      <c r="AE18" s="64" t="s">
        <v>1549</v>
      </c>
      <c r="AF18" s="64" t="s">
        <v>860</v>
      </c>
      <c r="AG18" s="64" t="s">
        <v>1548</v>
      </c>
      <c r="AH18" s="64"/>
      <c r="AI18" s="64" t="s">
        <v>865</v>
      </c>
      <c r="AJ18" s="64" t="s">
        <v>871</v>
      </c>
      <c r="AK18" s="64"/>
      <c r="AL18" s="64"/>
      <c r="AM18" s="64" t="s">
        <v>1545</v>
      </c>
      <c r="AN18" s="64" t="s">
        <v>858</v>
      </c>
      <c r="AO18" s="64" t="s">
        <v>863</v>
      </c>
      <c r="AP18" s="64" t="s">
        <v>593</v>
      </c>
      <c r="AQ18" s="64" t="s">
        <v>870</v>
      </c>
      <c r="AR18" s="64" t="s">
        <v>1509</v>
      </c>
      <c r="AS18" s="64" t="s">
        <v>874</v>
      </c>
      <c r="AT18" s="64" t="s">
        <v>595</v>
      </c>
      <c r="AU18" s="64" t="s">
        <v>1550</v>
      </c>
      <c r="AV18" s="64"/>
      <c r="AW18" s="64" t="s">
        <v>873</v>
      </c>
      <c r="AX18" s="64" t="s">
        <v>865</v>
      </c>
      <c r="AY18" s="64" t="s">
        <v>861</v>
      </c>
      <c r="AZ18" s="64" t="s">
        <v>1096</v>
      </c>
      <c r="BA18" s="64" t="s">
        <v>872</v>
      </c>
      <c r="BB18" s="64" t="s">
        <v>867</v>
      </c>
      <c r="BC18" s="64" t="s">
        <v>1641</v>
      </c>
      <c r="BD18" s="64" t="s">
        <v>877</v>
      </c>
      <c r="BE18" s="64"/>
      <c r="BF18" s="64" t="s">
        <v>879</v>
      </c>
      <c r="BG18" s="64" t="s">
        <v>1642</v>
      </c>
      <c r="BH18" s="64" t="s">
        <v>1641</v>
      </c>
    </row>
    <row r="19" spans="1:60" ht="75" customHeight="1" x14ac:dyDescent="0.15">
      <c r="A19" s="176" t="s">
        <v>880</v>
      </c>
      <c r="B19" s="61" t="s">
        <v>910</v>
      </c>
      <c r="C19" s="61" t="s">
        <v>908</v>
      </c>
      <c r="D19" s="61" t="s">
        <v>905</v>
      </c>
      <c r="E19" s="61" t="s">
        <v>884</v>
      </c>
      <c r="F19" s="61" t="s">
        <v>893</v>
      </c>
      <c r="G19" s="61" t="s">
        <v>353</v>
      </c>
      <c r="H19" s="61" t="s">
        <v>903</v>
      </c>
      <c r="I19" s="61" t="s">
        <v>886</v>
      </c>
      <c r="J19" s="61" t="s">
        <v>897</v>
      </c>
      <c r="K19" s="61" t="s">
        <v>881</v>
      </c>
      <c r="L19" s="61" t="s">
        <v>890</v>
      </c>
      <c r="M19" s="61"/>
      <c r="N19" s="61"/>
      <c r="O19" s="61"/>
      <c r="P19" s="61" t="s">
        <v>347</v>
      </c>
      <c r="Q19" s="61" t="s">
        <v>887</v>
      </c>
      <c r="R19" s="61" t="s">
        <v>885</v>
      </c>
      <c r="S19" s="61" t="s">
        <v>884</v>
      </c>
      <c r="T19" s="61" t="s">
        <v>342</v>
      </c>
      <c r="U19" s="61" t="s">
        <v>882</v>
      </c>
      <c r="V19" s="61" t="s">
        <v>896</v>
      </c>
      <c r="W19" s="61" t="s">
        <v>902</v>
      </c>
      <c r="X19" s="61" t="s">
        <v>891</v>
      </c>
      <c r="Y19" s="61" t="s">
        <v>1353</v>
      </c>
      <c r="Z19" s="61" t="s">
        <v>911</v>
      </c>
      <c r="AA19" s="61" t="s">
        <v>352</v>
      </c>
      <c r="AB19" s="61" t="s">
        <v>909</v>
      </c>
      <c r="AC19" s="61" t="s">
        <v>894</v>
      </c>
      <c r="AD19" s="61" t="s">
        <v>894</v>
      </c>
      <c r="AE19" s="61" t="s">
        <v>1353</v>
      </c>
      <c r="AF19" s="61" t="s">
        <v>888</v>
      </c>
      <c r="AG19" s="61" t="s">
        <v>1552</v>
      </c>
      <c r="AH19" s="61"/>
      <c r="AI19" s="61" t="s">
        <v>345</v>
      </c>
      <c r="AJ19" s="61" t="s">
        <v>899</v>
      </c>
      <c r="AK19" s="61"/>
      <c r="AL19" s="61"/>
      <c r="AM19" s="61" t="s">
        <v>1553</v>
      </c>
      <c r="AN19" s="61" t="s">
        <v>883</v>
      </c>
      <c r="AO19" s="61" t="s">
        <v>892</v>
      </c>
      <c r="AP19" s="61" t="s">
        <v>904</v>
      </c>
      <c r="AQ19" s="61" t="s">
        <v>898</v>
      </c>
      <c r="AR19" s="61" t="s">
        <v>1351</v>
      </c>
      <c r="AS19" s="61"/>
      <c r="AT19" s="61" t="s">
        <v>907</v>
      </c>
      <c r="AU19" s="61"/>
      <c r="AV19" s="61" t="s">
        <v>352</v>
      </c>
      <c r="AW19" s="61" t="s">
        <v>901</v>
      </c>
      <c r="AX19" s="61" t="s">
        <v>344</v>
      </c>
      <c r="AY19" s="61" t="s">
        <v>889</v>
      </c>
      <c r="AZ19" s="61"/>
      <c r="BA19" s="61" t="s">
        <v>900</v>
      </c>
      <c r="BB19" s="61" t="s">
        <v>895</v>
      </c>
      <c r="BC19" s="61"/>
      <c r="BD19" s="61" t="s">
        <v>909</v>
      </c>
      <c r="BE19" s="61" t="s">
        <v>906</v>
      </c>
      <c r="BF19" s="61"/>
      <c r="BG19" s="61" t="s">
        <v>883</v>
      </c>
      <c r="BH19" s="61"/>
    </row>
    <row r="20" spans="1:60" s="171" customFormat="1" ht="75" customHeight="1" x14ac:dyDescent="0.15">
      <c r="A20" s="177" t="s">
        <v>561</v>
      </c>
      <c r="B20" s="64" t="s">
        <v>593</v>
      </c>
      <c r="C20" s="64" t="s">
        <v>938</v>
      </c>
      <c r="D20" s="64" t="s">
        <v>937</v>
      </c>
      <c r="E20" s="64" t="s">
        <v>915</v>
      </c>
      <c r="F20" s="64" t="s">
        <v>922</v>
      </c>
      <c r="G20" s="64" t="s">
        <v>933</v>
      </c>
      <c r="H20" s="64" t="s">
        <v>935</v>
      </c>
      <c r="I20" s="64" t="s">
        <v>918</v>
      </c>
      <c r="J20" s="64" t="s">
        <v>927</v>
      </c>
      <c r="K20" s="64" t="s">
        <v>912</v>
      </c>
      <c r="L20" s="64" t="s">
        <v>785</v>
      </c>
      <c r="M20" s="64"/>
      <c r="N20" s="64"/>
      <c r="O20" s="64"/>
      <c r="P20" s="64" t="s">
        <v>925</v>
      </c>
      <c r="Q20" s="64" t="s">
        <v>919</v>
      </c>
      <c r="R20" s="64" t="s">
        <v>916</v>
      </c>
      <c r="S20" s="64" t="s">
        <v>915</v>
      </c>
      <c r="T20" s="64" t="s">
        <v>917</v>
      </c>
      <c r="U20" s="64" t="s">
        <v>913</v>
      </c>
      <c r="V20" s="64" t="s">
        <v>926</v>
      </c>
      <c r="W20" s="64" t="s">
        <v>934</v>
      </c>
      <c r="X20" s="64" t="s">
        <v>593</v>
      </c>
      <c r="Y20" s="64" t="s">
        <v>1556</v>
      </c>
      <c r="Z20" s="64" t="s">
        <v>939</v>
      </c>
      <c r="AA20" s="64"/>
      <c r="AB20" s="64" t="s">
        <v>931</v>
      </c>
      <c r="AC20" s="64" t="s">
        <v>924</v>
      </c>
      <c r="AD20" s="64" t="s">
        <v>924</v>
      </c>
      <c r="AE20" s="64" t="s">
        <v>1556</v>
      </c>
      <c r="AF20" s="64" t="s">
        <v>920</v>
      </c>
      <c r="AG20" s="64" t="s">
        <v>1555</v>
      </c>
      <c r="AH20" s="64" t="s">
        <v>928</v>
      </c>
      <c r="AI20" s="64" t="s">
        <v>923</v>
      </c>
      <c r="AJ20" s="64" t="s">
        <v>930</v>
      </c>
      <c r="AK20" s="64"/>
      <c r="AL20" s="64"/>
      <c r="AM20" s="64" t="s">
        <v>1545</v>
      </c>
      <c r="AN20" s="64" t="s">
        <v>914</v>
      </c>
      <c r="AO20" s="64" t="s">
        <v>718</v>
      </c>
      <c r="AP20" s="64" t="s">
        <v>936</v>
      </c>
      <c r="AQ20" s="64" t="s">
        <v>929</v>
      </c>
      <c r="AR20" s="64" t="s">
        <v>1554</v>
      </c>
      <c r="AS20" s="64"/>
      <c r="AT20" s="64" t="s">
        <v>931</v>
      </c>
      <c r="AU20" s="64"/>
      <c r="AV20" s="64"/>
      <c r="AW20" s="64" t="s">
        <v>932</v>
      </c>
      <c r="AX20" s="64" t="s">
        <v>923</v>
      </c>
      <c r="AY20" s="64" t="s">
        <v>921</v>
      </c>
      <c r="AZ20" s="64"/>
      <c r="BA20" s="64" t="s">
        <v>931</v>
      </c>
      <c r="BB20" s="64" t="s">
        <v>925</v>
      </c>
      <c r="BC20" s="64"/>
      <c r="BD20" s="64" t="s">
        <v>931</v>
      </c>
      <c r="BE20" s="64" t="s">
        <v>564</v>
      </c>
      <c r="BF20" s="64"/>
      <c r="BG20" s="64" t="s">
        <v>914</v>
      </c>
      <c r="BH20" s="64"/>
    </row>
    <row r="21" spans="1:60" ht="75" customHeight="1" x14ac:dyDescent="0.15">
      <c r="A21" s="176" t="s">
        <v>940</v>
      </c>
      <c r="B21" s="61" t="s">
        <v>749</v>
      </c>
      <c r="C21" s="61" t="s">
        <v>967</v>
      </c>
      <c r="D21" s="61" t="s">
        <v>966</v>
      </c>
      <c r="E21" s="61" t="s">
        <v>947</v>
      </c>
      <c r="F21" s="61" t="s">
        <v>951</v>
      </c>
      <c r="G21" s="61" t="s">
        <v>963</v>
      </c>
      <c r="H21" s="61"/>
      <c r="I21" s="61" t="s">
        <v>946</v>
      </c>
      <c r="J21" s="61" t="s">
        <v>955</v>
      </c>
      <c r="K21" s="61" t="s">
        <v>941</v>
      </c>
      <c r="L21" s="61" t="s">
        <v>364</v>
      </c>
      <c r="M21" s="61" t="s">
        <v>1547</v>
      </c>
      <c r="N21" s="61" t="s">
        <v>1563</v>
      </c>
      <c r="O21" s="61"/>
      <c r="P21" s="61" t="s">
        <v>954</v>
      </c>
      <c r="Q21" s="61" t="s">
        <v>361</v>
      </c>
      <c r="R21" s="61" t="s">
        <v>945</v>
      </c>
      <c r="S21" s="61" t="s">
        <v>944</v>
      </c>
      <c r="T21" s="61" t="s">
        <v>944</v>
      </c>
      <c r="U21" s="61" t="s">
        <v>942</v>
      </c>
      <c r="V21" s="61" t="s">
        <v>371</v>
      </c>
      <c r="W21" s="61" t="s">
        <v>964</v>
      </c>
      <c r="X21" s="61" t="s">
        <v>365</v>
      </c>
      <c r="Y21" s="61" t="s">
        <v>1560</v>
      </c>
      <c r="Z21" s="61" t="s">
        <v>384</v>
      </c>
      <c r="AA21" s="61" t="s">
        <v>961</v>
      </c>
      <c r="AB21" s="61" t="s">
        <v>380</v>
      </c>
      <c r="AC21" s="61" t="s">
        <v>952</v>
      </c>
      <c r="AD21" s="61" t="s">
        <v>369</v>
      </c>
      <c r="AE21" s="61" t="s">
        <v>1558</v>
      </c>
      <c r="AF21" s="61" t="s">
        <v>948</v>
      </c>
      <c r="AG21" s="61" t="s">
        <v>1557</v>
      </c>
      <c r="AH21" s="61" t="s">
        <v>374</v>
      </c>
      <c r="AI21" s="61" t="s">
        <v>368</v>
      </c>
      <c r="AJ21" s="61" t="s">
        <v>958</v>
      </c>
      <c r="AK21" s="61"/>
      <c r="AL21" s="61" t="s">
        <v>956</v>
      </c>
      <c r="AM21" s="61" t="s">
        <v>1559</v>
      </c>
      <c r="AN21" s="61" t="s">
        <v>943</v>
      </c>
      <c r="AO21" s="61" t="s">
        <v>950</v>
      </c>
      <c r="AP21" s="61" t="s">
        <v>965</v>
      </c>
      <c r="AQ21" s="61" t="s">
        <v>957</v>
      </c>
      <c r="AR21" s="61"/>
      <c r="AS21" s="61" t="s">
        <v>962</v>
      </c>
      <c r="AT21" s="61" t="s">
        <v>380</v>
      </c>
      <c r="AU21" s="61"/>
      <c r="AV21" s="61" t="s">
        <v>961</v>
      </c>
      <c r="AW21" s="61" t="s">
        <v>960</v>
      </c>
      <c r="AX21" s="61" t="s">
        <v>367</v>
      </c>
      <c r="AY21" s="61" t="s">
        <v>949</v>
      </c>
      <c r="AZ21" s="61"/>
      <c r="BA21" s="61" t="s">
        <v>959</v>
      </c>
      <c r="BB21" s="61" t="s">
        <v>953</v>
      </c>
      <c r="BC21" s="61" t="s">
        <v>1561</v>
      </c>
      <c r="BD21" s="61" t="s">
        <v>381</v>
      </c>
      <c r="BE21" s="61"/>
      <c r="BF21" s="61"/>
      <c r="BG21" s="61" t="s">
        <v>943</v>
      </c>
      <c r="BH21" s="61" t="s">
        <v>1562</v>
      </c>
    </row>
    <row r="22" spans="1:60" s="171" customFormat="1" ht="75" customHeight="1" x14ac:dyDescent="0.15">
      <c r="A22" s="177" t="s">
        <v>561</v>
      </c>
      <c r="B22" s="64" t="s">
        <v>988</v>
      </c>
      <c r="C22" s="64" t="s">
        <v>596</v>
      </c>
      <c r="D22" s="64" t="s">
        <v>985</v>
      </c>
      <c r="E22" s="64" t="s">
        <v>971</v>
      </c>
      <c r="F22" s="64" t="s">
        <v>820</v>
      </c>
      <c r="G22" s="64" t="s">
        <v>783</v>
      </c>
      <c r="H22" s="64" t="s">
        <v>1236</v>
      </c>
      <c r="I22" s="64" t="s">
        <v>970</v>
      </c>
      <c r="J22" s="64" t="s">
        <v>869</v>
      </c>
      <c r="K22" s="64" t="s">
        <v>968</v>
      </c>
      <c r="L22" s="64" t="s">
        <v>974</v>
      </c>
      <c r="M22" s="165" t="s">
        <v>1525</v>
      </c>
      <c r="N22" s="165" t="s">
        <v>1503</v>
      </c>
      <c r="O22" s="64"/>
      <c r="P22" s="64" t="s">
        <v>971</v>
      </c>
      <c r="Q22" s="64" t="s">
        <v>972</v>
      </c>
      <c r="R22" s="65" t="s">
        <v>969</v>
      </c>
      <c r="S22" s="64" t="s">
        <v>769</v>
      </c>
      <c r="T22" s="64" t="s">
        <v>769</v>
      </c>
      <c r="U22" s="64" t="s">
        <v>712</v>
      </c>
      <c r="V22" s="64" t="s">
        <v>980</v>
      </c>
      <c r="W22" s="64" t="s">
        <v>984</v>
      </c>
      <c r="X22" s="64" t="s">
        <v>975</v>
      </c>
      <c r="Y22" s="165" t="s">
        <v>1567</v>
      </c>
      <c r="Z22" s="64" t="s">
        <v>989</v>
      </c>
      <c r="AA22" s="67"/>
      <c r="AB22" s="64" t="s">
        <v>986</v>
      </c>
      <c r="AC22" s="64" t="s">
        <v>577</v>
      </c>
      <c r="AD22" s="64" t="s">
        <v>979</v>
      </c>
      <c r="AE22" s="165" t="s">
        <v>1565</v>
      </c>
      <c r="AF22" s="64" t="s">
        <v>667</v>
      </c>
      <c r="AG22" s="165" t="s">
        <v>1564</v>
      </c>
      <c r="AH22" s="64" t="s">
        <v>981</v>
      </c>
      <c r="AI22" s="64" t="s">
        <v>978</v>
      </c>
      <c r="AJ22" s="64" t="s">
        <v>982</v>
      </c>
      <c r="AK22" s="64"/>
      <c r="AL22" s="64" t="s">
        <v>582</v>
      </c>
      <c r="AM22" s="165" t="s">
        <v>1566</v>
      </c>
      <c r="AN22" s="64" t="s">
        <v>563</v>
      </c>
      <c r="AO22" s="64" t="s">
        <v>976</v>
      </c>
      <c r="AP22" s="64" t="s">
        <v>593</v>
      </c>
      <c r="AQ22" s="64" t="s">
        <v>973</v>
      </c>
      <c r="AR22" s="165"/>
      <c r="AS22" s="64" t="s">
        <v>983</v>
      </c>
      <c r="AT22" s="64" t="s">
        <v>986</v>
      </c>
      <c r="AU22" s="165"/>
      <c r="AV22" s="67"/>
      <c r="AW22" s="64" t="s">
        <v>587</v>
      </c>
      <c r="AX22" s="64" t="s">
        <v>977</v>
      </c>
      <c r="AY22" s="64" t="s">
        <v>973</v>
      </c>
      <c r="AZ22" s="64"/>
      <c r="BA22" s="64" t="s">
        <v>814</v>
      </c>
      <c r="BB22" s="64" t="s">
        <v>722</v>
      </c>
      <c r="BC22" s="165" t="s">
        <v>1568</v>
      </c>
      <c r="BD22" s="64" t="s">
        <v>987</v>
      </c>
      <c r="BE22" s="64"/>
      <c r="BF22" s="64"/>
      <c r="BG22" s="64" t="s">
        <v>563</v>
      </c>
      <c r="BH22" s="165" t="s">
        <v>1569</v>
      </c>
    </row>
    <row r="23" spans="1:60" ht="75" customHeight="1" x14ac:dyDescent="0.15">
      <c r="A23" s="176" t="s">
        <v>400</v>
      </c>
      <c r="B23" s="61" t="s">
        <v>426</v>
      </c>
      <c r="C23" s="61" t="s">
        <v>1011</v>
      </c>
      <c r="D23" s="61" t="s">
        <v>1009</v>
      </c>
      <c r="E23" s="61" t="s">
        <v>994</v>
      </c>
      <c r="F23" s="61" t="s">
        <v>997</v>
      </c>
      <c r="G23" s="61"/>
      <c r="H23" s="61" t="s">
        <v>1007</v>
      </c>
      <c r="I23" s="61" t="s">
        <v>403</v>
      </c>
      <c r="J23" s="61" t="s">
        <v>414</v>
      </c>
      <c r="K23" s="61" t="s">
        <v>990</v>
      </c>
      <c r="L23" s="61" t="s">
        <v>407</v>
      </c>
      <c r="M23" s="61" t="s">
        <v>1572</v>
      </c>
      <c r="N23" s="61"/>
      <c r="O23" s="61"/>
      <c r="P23" s="61" t="s">
        <v>1001</v>
      </c>
      <c r="Q23" s="61" t="s">
        <v>404</v>
      </c>
      <c r="R23" s="61" t="s">
        <v>993</v>
      </c>
      <c r="S23" s="61" t="s">
        <v>992</v>
      </c>
      <c r="T23" s="61" t="s">
        <v>992</v>
      </c>
      <c r="U23" s="61" t="s">
        <v>402</v>
      </c>
      <c r="V23" s="61" t="s">
        <v>413</v>
      </c>
      <c r="W23" s="61" t="s">
        <v>1006</v>
      </c>
      <c r="X23" s="61" t="s">
        <v>996</v>
      </c>
      <c r="Y23" s="61" t="s">
        <v>1378</v>
      </c>
      <c r="Z23" s="61" t="s">
        <v>427</v>
      </c>
      <c r="AA23" s="61" t="s">
        <v>419</v>
      </c>
      <c r="AB23" s="61" t="s">
        <v>1012</v>
      </c>
      <c r="AC23" s="61" t="s">
        <v>999</v>
      </c>
      <c r="AD23" s="61" t="s">
        <v>411</v>
      </c>
      <c r="AE23" s="61" t="s">
        <v>1571</v>
      </c>
      <c r="AF23" s="61" t="s">
        <v>405</v>
      </c>
      <c r="AG23" s="61" t="s">
        <v>1375</v>
      </c>
      <c r="AH23" s="61" t="s">
        <v>416</v>
      </c>
      <c r="AI23" s="61" t="s">
        <v>410</v>
      </c>
      <c r="AJ23" s="61" t="s">
        <v>1003</v>
      </c>
      <c r="AK23" s="61"/>
      <c r="AL23" s="61" t="s">
        <v>415</v>
      </c>
      <c r="AM23" s="61" t="s">
        <v>1377</v>
      </c>
      <c r="AN23" s="61" t="s">
        <v>991</v>
      </c>
      <c r="AO23" s="61" t="s">
        <v>408</v>
      </c>
      <c r="AP23" s="61" t="s">
        <v>1008</v>
      </c>
      <c r="AQ23" s="61" t="s">
        <v>1002</v>
      </c>
      <c r="AR23" s="61" t="s">
        <v>1570</v>
      </c>
      <c r="AS23" s="61" t="s">
        <v>1005</v>
      </c>
      <c r="AT23" s="61" t="s">
        <v>1010</v>
      </c>
      <c r="AU23" s="61"/>
      <c r="AV23" s="61" t="s">
        <v>419</v>
      </c>
      <c r="AW23" s="61" t="s">
        <v>1004</v>
      </c>
      <c r="AX23" s="61" t="s">
        <v>998</v>
      </c>
      <c r="AY23" s="61" t="s">
        <v>995</v>
      </c>
      <c r="AZ23" s="61"/>
      <c r="BA23" s="61"/>
      <c r="BB23" s="61" t="s">
        <v>1000</v>
      </c>
      <c r="BC23" s="61"/>
      <c r="BD23" s="61" t="s">
        <v>424</v>
      </c>
      <c r="BE23" s="61"/>
      <c r="BF23" s="61"/>
      <c r="BG23" s="61" t="s">
        <v>991</v>
      </c>
      <c r="BH23" s="61"/>
    </row>
    <row r="24" spans="1:60" s="171" customFormat="1" ht="75" customHeight="1" x14ac:dyDescent="0.15">
      <c r="A24" s="177" t="s">
        <v>561</v>
      </c>
      <c r="B24" s="64" t="s">
        <v>1038</v>
      </c>
      <c r="C24" s="64" t="s">
        <v>1035</v>
      </c>
      <c r="D24" s="64" t="s">
        <v>1033</v>
      </c>
      <c r="E24" s="64" t="s">
        <v>714</v>
      </c>
      <c r="F24" s="64" t="s">
        <v>1023</v>
      </c>
      <c r="G24" s="64" t="s">
        <v>1031</v>
      </c>
      <c r="H24" s="64" t="s">
        <v>1032</v>
      </c>
      <c r="I24" s="64" t="s">
        <v>1017</v>
      </c>
      <c r="J24" s="64" t="s">
        <v>869</v>
      </c>
      <c r="K24" s="64" t="s">
        <v>1013</v>
      </c>
      <c r="L24" s="64" t="s">
        <v>1021</v>
      </c>
      <c r="M24" s="165" t="s">
        <v>1525</v>
      </c>
      <c r="N24" s="165"/>
      <c r="O24" s="64" t="s">
        <v>1019</v>
      </c>
      <c r="P24" s="64" t="s">
        <v>1026</v>
      </c>
      <c r="Q24" s="64" t="s">
        <v>567</v>
      </c>
      <c r="R24" s="65" t="s">
        <v>1016</v>
      </c>
      <c r="S24" s="64" t="s">
        <v>1015</v>
      </c>
      <c r="T24" s="64" t="s">
        <v>1015</v>
      </c>
      <c r="U24" s="64" t="s">
        <v>1014</v>
      </c>
      <c r="V24" s="64" t="s">
        <v>1027</v>
      </c>
      <c r="W24" s="64" t="s">
        <v>729</v>
      </c>
      <c r="X24" s="64" t="s">
        <v>593</v>
      </c>
      <c r="Y24" s="165" t="s">
        <v>1577</v>
      </c>
      <c r="Z24" s="64" t="s">
        <v>1039</v>
      </c>
      <c r="AA24" s="64"/>
      <c r="AB24" s="64" t="s">
        <v>1034</v>
      </c>
      <c r="AC24" s="64" t="s">
        <v>1024</v>
      </c>
      <c r="AD24" s="64" t="s">
        <v>1025</v>
      </c>
      <c r="AE24" s="165" t="s">
        <v>1575</v>
      </c>
      <c r="AF24" s="64" t="s">
        <v>1018</v>
      </c>
      <c r="AG24" s="165" t="s">
        <v>1574</v>
      </c>
      <c r="AH24" s="64" t="s">
        <v>725</v>
      </c>
      <c r="AI24" s="64" t="s">
        <v>576</v>
      </c>
      <c r="AJ24" s="64" t="s">
        <v>1028</v>
      </c>
      <c r="AK24" s="64"/>
      <c r="AL24" s="64" t="s">
        <v>582</v>
      </c>
      <c r="AM24" s="165" t="s">
        <v>1576</v>
      </c>
      <c r="AN24" s="64" t="s">
        <v>713</v>
      </c>
      <c r="AO24" s="64" t="s">
        <v>1022</v>
      </c>
      <c r="AP24" s="64" t="s">
        <v>593</v>
      </c>
      <c r="AQ24" s="64" t="s">
        <v>584</v>
      </c>
      <c r="AR24" s="165" t="s">
        <v>1573</v>
      </c>
      <c r="AS24" s="64" t="s">
        <v>1030</v>
      </c>
      <c r="AT24" s="64" t="s">
        <v>1034</v>
      </c>
      <c r="AU24" s="165"/>
      <c r="AV24" s="64"/>
      <c r="AW24" s="64" t="s">
        <v>1029</v>
      </c>
      <c r="AX24" s="64"/>
      <c r="AY24" s="64" t="s">
        <v>1020</v>
      </c>
      <c r="AZ24" s="64" t="s">
        <v>1096</v>
      </c>
      <c r="BA24" s="64"/>
      <c r="BB24" s="64" t="s">
        <v>673</v>
      </c>
      <c r="BC24" s="165"/>
      <c r="BD24" s="64" t="s">
        <v>1036</v>
      </c>
      <c r="BE24" s="64"/>
      <c r="BF24" s="64" t="s">
        <v>1037</v>
      </c>
      <c r="BG24" s="64" t="s">
        <v>713</v>
      </c>
      <c r="BH24" s="165" t="s">
        <v>1578</v>
      </c>
    </row>
    <row r="25" spans="1:60" ht="75" customHeight="1" x14ac:dyDescent="0.15">
      <c r="A25" s="176" t="s">
        <v>428</v>
      </c>
      <c r="B25" s="61" t="s">
        <v>444</v>
      </c>
      <c r="C25" s="61" t="s">
        <v>1055</v>
      </c>
      <c r="D25" s="61" t="s">
        <v>1053</v>
      </c>
      <c r="E25" s="61"/>
      <c r="F25" s="61" t="s">
        <v>1044</v>
      </c>
      <c r="G25" s="61" t="s">
        <v>440</v>
      </c>
      <c r="H25" s="61"/>
      <c r="I25" s="61" t="s">
        <v>1042</v>
      </c>
      <c r="J25" s="61"/>
      <c r="K25" s="61"/>
      <c r="L25" s="61"/>
      <c r="M25" s="61" t="s">
        <v>1581</v>
      </c>
      <c r="N25" s="61"/>
      <c r="O25" s="61"/>
      <c r="P25" s="61" t="s">
        <v>1048</v>
      </c>
      <c r="Q25" s="61"/>
      <c r="R25" s="61"/>
      <c r="S25" s="61" t="s">
        <v>1041</v>
      </c>
      <c r="T25" s="61" t="s">
        <v>1041</v>
      </c>
      <c r="U25" s="61"/>
      <c r="V25" s="61" t="s">
        <v>1049</v>
      </c>
      <c r="W25" s="61" t="s">
        <v>1052</v>
      </c>
      <c r="X25" s="61" t="s">
        <v>431</v>
      </c>
      <c r="Y25" s="61" t="s">
        <v>1387</v>
      </c>
      <c r="Z25" s="61" t="s">
        <v>445</v>
      </c>
      <c r="AA25" s="61" t="s">
        <v>439</v>
      </c>
      <c r="AB25" s="61" t="s">
        <v>1054</v>
      </c>
      <c r="AC25" s="61" t="s">
        <v>1046</v>
      </c>
      <c r="AD25" s="61" t="s">
        <v>1046</v>
      </c>
      <c r="AE25" s="61" t="s">
        <v>1580</v>
      </c>
      <c r="AF25" s="61"/>
      <c r="AG25" s="61" t="s">
        <v>1384</v>
      </c>
      <c r="AH25" s="61"/>
      <c r="AI25" s="61" t="s">
        <v>1045</v>
      </c>
      <c r="AJ25" s="61" t="s">
        <v>438</v>
      </c>
      <c r="AK25" s="61"/>
      <c r="AL25" s="61" t="s">
        <v>1050</v>
      </c>
      <c r="AM25" s="61" t="s">
        <v>1386</v>
      </c>
      <c r="AN25" s="61" t="s">
        <v>1040</v>
      </c>
      <c r="AO25" s="61"/>
      <c r="AP25" s="61"/>
      <c r="AQ25" s="61" t="s">
        <v>1051</v>
      </c>
      <c r="AR25" s="61" t="s">
        <v>1579</v>
      </c>
      <c r="AS25" s="61"/>
      <c r="AT25" s="61" t="s">
        <v>1054</v>
      </c>
      <c r="AU25" s="61"/>
      <c r="AV25" s="61" t="s">
        <v>439</v>
      </c>
      <c r="AW25" s="61"/>
      <c r="AX25" s="61" t="s">
        <v>1045</v>
      </c>
      <c r="AY25" s="61" t="s">
        <v>1043</v>
      </c>
      <c r="AZ25" s="61"/>
      <c r="BA25" s="61"/>
      <c r="BB25" s="61" t="s">
        <v>1047</v>
      </c>
      <c r="BC25" s="61"/>
      <c r="BD25" s="61" t="s">
        <v>1055</v>
      </c>
      <c r="BE25" s="61"/>
      <c r="BF25" s="61"/>
      <c r="BG25" s="61"/>
      <c r="BH25" s="61"/>
    </row>
    <row r="26" spans="1:60" s="171" customFormat="1" ht="75" customHeight="1" x14ac:dyDescent="0.15">
      <c r="A26" s="177" t="s">
        <v>561</v>
      </c>
      <c r="B26" s="64" t="s">
        <v>1067</v>
      </c>
      <c r="C26" s="64" t="s">
        <v>1035</v>
      </c>
      <c r="D26" s="64" t="s">
        <v>985</v>
      </c>
      <c r="E26" s="64"/>
      <c r="F26" s="64" t="s">
        <v>820</v>
      </c>
      <c r="G26" s="64" t="s">
        <v>1064</v>
      </c>
      <c r="H26" s="64"/>
      <c r="I26" s="64" t="s">
        <v>1016</v>
      </c>
      <c r="J26" s="64"/>
      <c r="K26" s="64"/>
      <c r="L26" s="64"/>
      <c r="M26" s="64" t="s">
        <v>1586</v>
      </c>
      <c r="N26" s="64" t="s">
        <v>915</v>
      </c>
      <c r="O26" s="64"/>
      <c r="P26" s="64" t="s">
        <v>1061</v>
      </c>
      <c r="Q26" s="64"/>
      <c r="R26" s="64"/>
      <c r="S26" s="64" t="s">
        <v>1057</v>
      </c>
      <c r="T26" s="64" t="s">
        <v>1057</v>
      </c>
      <c r="U26" s="64"/>
      <c r="V26" s="64" t="s">
        <v>980</v>
      </c>
      <c r="W26" s="64" t="s">
        <v>1065</v>
      </c>
      <c r="X26" s="64" t="s">
        <v>975</v>
      </c>
      <c r="Y26" s="64" t="s">
        <v>1577</v>
      </c>
      <c r="Z26" s="64" t="s">
        <v>598</v>
      </c>
      <c r="AA26" s="64" t="s">
        <v>678</v>
      </c>
      <c r="AB26" s="64" t="s">
        <v>1066</v>
      </c>
      <c r="AC26" s="64" t="s">
        <v>1024</v>
      </c>
      <c r="AD26" s="64" t="s">
        <v>1024</v>
      </c>
      <c r="AE26" s="64" t="s">
        <v>1584</v>
      </c>
      <c r="AF26" s="64"/>
      <c r="AG26" s="64" t="s">
        <v>1583</v>
      </c>
      <c r="AH26" s="64"/>
      <c r="AI26" s="64" t="s">
        <v>1059</v>
      </c>
      <c r="AJ26" s="64" t="s">
        <v>1028</v>
      </c>
      <c r="AK26" s="64"/>
      <c r="AL26" s="64" t="s">
        <v>1062</v>
      </c>
      <c r="AM26" s="64" t="s">
        <v>1520</v>
      </c>
      <c r="AN26" s="64" t="s">
        <v>1056</v>
      </c>
      <c r="AO26" s="64" t="s">
        <v>1222</v>
      </c>
      <c r="AP26" s="64"/>
      <c r="AQ26" s="64" t="s">
        <v>1063</v>
      </c>
      <c r="AR26" s="64" t="s">
        <v>1582</v>
      </c>
      <c r="AS26" s="64"/>
      <c r="AT26" s="64" t="s">
        <v>1066</v>
      </c>
      <c r="AU26" s="64" t="s">
        <v>1585</v>
      </c>
      <c r="AV26" s="64" t="s">
        <v>678</v>
      </c>
      <c r="AW26" s="64"/>
      <c r="AX26" s="64" t="s">
        <v>1059</v>
      </c>
      <c r="AY26" s="64" t="s">
        <v>1058</v>
      </c>
      <c r="AZ26" s="64"/>
      <c r="BA26" s="64"/>
      <c r="BB26" s="64" t="s">
        <v>1060</v>
      </c>
      <c r="BC26" s="64"/>
      <c r="BD26" s="64" t="s">
        <v>1035</v>
      </c>
      <c r="BE26" s="64"/>
      <c r="BF26" s="64"/>
      <c r="BG26" s="64"/>
      <c r="BH26" s="64" t="s">
        <v>1578</v>
      </c>
    </row>
    <row r="27" spans="1:60" ht="75" customHeight="1" x14ac:dyDescent="0.15">
      <c r="A27" s="176" t="s">
        <v>460</v>
      </c>
      <c r="B27" s="61"/>
      <c r="C27" s="61"/>
      <c r="D27" s="61"/>
      <c r="E27" s="61"/>
      <c r="F27" s="61"/>
      <c r="G27" s="61"/>
      <c r="H27" s="61"/>
      <c r="I27" s="61"/>
      <c r="J27" s="61"/>
      <c r="K27" s="61"/>
      <c r="L27" s="61"/>
      <c r="M27" s="61"/>
      <c r="N27" s="61"/>
      <c r="O27" s="61"/>
      <c r="P27" s="61"/>
      <c r="Q27" s="61"/>
      <c r="R27" s="61"/>
      <c r="S27" s="61"/>
      <c r="T27" s="61" t="s">
        <v>1068</v>
      </c>
      <c r="U27" s="61" t="s">
        <v>461</v>
      </c>
      <c r="V27" s="61"/>
      <c r="W27" s="61" t="s">
        <v>1070</v>
      </c>
      <c r="X27" s="61" t="s">
        <v>462</v>
      </c>
      <c r="Y27" s="61" t="s">
        <v>1589</v>
      </c>
      <c r="Z27" s="61"/>
      <c r="AA27" s="61"/>
      <c r="AB27" s="61"/>
      <c r="AC27" s="61"/>
      <c r="AD27" s="61"/>
      <c r="AE27" s="61"/>
      <c r="AF27" s="61"/>
      <c r="AG27" s="61"/>
      <c r="AH27" s="61"/>
      <c r="AI27" s="61"/>
      <c r="AJ27" s="61" t="s">
        <v>1069</v>
      </c>
      <c r="AK27" s="61"/>
      <c r="AL27" s="61"/>
      <c r="AM27" s="61" t="s">
        <v>1588</v>
      </c>
      <c r="AN27" s="61"/>
      <c r="AO27" s="61"/>
      <c r="AP27" s="61"/>
      <c r="AQ27" s="61"/>
      <c r="AR27" s="61" t="s">
        <v>1587</v>
      </c>
      <c r="AS27" s="61"/>
      <c r="AT27" s="61"/>
      <c r="AU27" s="61"/>
      <c r="AV27" s="61"/>
      <c r="AW27" s="61"/>
      <c r="AX27" s="61"/>
      <c r="AY27" s="61"/>
      <c r="AZ27" s="61"/>
      <c r="BA27" s="61"/>
      <c r="BB27" s="61"/>
      <c r="BC27" s="61"/>
      <c r="BD27" s="61"/>
      <c r="BE27" s="61"/>
      <c r="BF27" s="61"/>
      <c r="BG27" s="61"/>
      <c r="BH27" s="61"/>
    </row>
    <row r="28" spans="1:60" s="171" customFormat="1" ht="75" customHeight="1" x14ac:dyDescent="0.15">
      <c r="A28" s="177" t="s">
        <v>561</v>
      </c>
      <c r="B28" s="64"/>
      <c r="C28" s="64"/>
      <c r="D28" s="64"/>
      <c r="E28" s="64"/>
      <c r="F28" s="64"/>
      <c r="G28" s="64"/>
      <c r="H28" s="64"/>
      <c r="I28" s="64"/>
      <c r="J28" s="64"/>
      <c r="K28" s="64"/>
      <c r="L28" s="64"/>
      <c r="M28" s="64"/>
      <c r="N28" s="64"/>
      <c r="O28" s="64"/>
      <c r="P28" s="64"/>
      <c r="Q28" s="64"/>
      <c r="R28" s="64"/>
      <c r="S28" s="64"/>
      <c r="T28" s="64"/>
      <c r="U28" s="64" t="s">
        <v>1071</v>
      </c>
      <c r="V28" s="64"/>
      <c r="W28" s="64" t="s">
        <v>1074</v>
      </c>
      <c r="X28" s="64" t="s">
        <v>1072</v>
      </c>
      <c r="Y28" s="64" t="s">
        <v>1592</v>
      </c>
      <c r="Z28" s="64"/>
      <c r="AA28" s="64"/>
      <c r="AB28" s="64"/>
      <c r="AC28" s="64"/>
      <c r="AD28" s="64"/>
      <c r="AE28" s="64"/>
      <c r="AF28" s="64"/>
      <c r="AG28" s="64" t="s">
        <v>1591</v>
      </c>
      <c r="AH28" s="64"/>
      <c r="AI28" s="64"/>
      <c r="AJ28" s="64" t="s">
        <v>1073</v>
      </c>
      <c r="AK28" s="64"/>
      <c r="AL28" s="64"/>
      <c r="AM28" s="64" t="s">
        <v>1545</v>
      </c>
      <c r="AN28" s="64"/>
      <c r="AO28" s="64"/>
      <c r="AP28" s="64"/>
      <c r="AQ28" s="64"/>
      <c r="AR28" s="64" t="s">
        <v>1590</v>
      </c>
      <c r="AS28" s="64"/>
      <c r="AT28" s="64"/>
      <c r="AU28" s="64"/>
      <c r="AV28" s="64"/>
      <c r="AW28" s="64"/>
      <c r="AX28" s="64"/>
      <c r="AY28" s="64"/>
      <c r="AZ28" s="64"/>
      <c r="BA28" s="64"/>
      <c r="BB28" s="64"/>
      <c r="BC28" s="64"/>
      <c r="BD28" s="64"/>
      <c r="BE28" s="64"/>
      <c r="BF28" s="64"/>
      <c r="BG28" s="64"/>
      <c r="BH28" s="64"/>
    </row>
    <row r="29" spans="1:60" ht="75" customHeight="1" x14ac:dyDescent="0.15">
      <c r="A29" s="176" t="s">
        <v>463</v>
      </c>
      <c r="B29" s="61"/>
      <c r="C29" s="61" t="s">
        <v>1081</v>
      </c>
      <c r="D29" s="61"/>
      <c r="E29" s="61" t="s">
        <v>1076</v>
      </c>
      <c r="F29" s="61"/>
      <c r="G29" s="61"/>
      <c r="H29" s="61"/>
      <c r="I29" s="61"/>
      <c r="J29" s="61"/>
      <c r="K29" s="61"/>
      <c r="L29" s="61"/>
      <c r="M29" s="61"/>
      <c r="N29" s="61"/>
      <c r="O29" s="61"/>
      <c r="P29" s="61"/>
      <c r="Q29" s="61"/>
      <c r="R29" s="61"/>
      <c r="S29" s="61" t="s">
        <v>1076</v>
      </c>
      <c r="T29" s="61" t="s">
        <v>1076</v>
      </c>
      <c r="U29" s="61" t="s">
        <v>1075</v>
      </c>
      <c r="V29" s="61"/>
      <c r="W29" s="61" t="s">
        <v>1080</v>
      </c>
      <c r="X29" s="61"/>
      <c r="Y29" s="61" t="s">
        <v>1378</v>
      </c>
      <c r="Z29" s="61"/>
      <c r="AA29" s="61" t="s">
        <v>467</v>
      </c>
      <c r="AB29" s="61"/>
      <c r="AC29" s="61" t="s">
        <v>1078</v>
      </c>
      <c r="AD29" s="61" t="s">
        <v>1078</v>
      </c>
      <c r="AE29" s="61" t="s">
        <v>1078</v>
      </c>
      <c r="AF29" s="61"/>
      <c r="AG29" s="61" t="s">
        <v>1077</v>
      </c>
      <c r="AH29" s="61"/>
      <c r="AI29" s="61"/>
      <c r="AJ29" s="61"/>
      <c r="AK29" s="61"/>
      <c r="AL29" s="61"/>
      <c r="AM29" s="61"/>
      <c r="AN29" s="61"/>
      <c r="AO29" s="61" t="s">
        <v>1183</v>
      </c>
      <c r="AP29" s="61"/>
      <c r="AQ29" s="61" t="s">
        <v>1079</v>
      </c>
      <c r="AR29" s="61" t="s">
        <v>1593</v>
      </c>
      <c r="AS29" s="61"/>
      <c r="AT29" s="61"/>
      <c r="AU29" s="61"/>
      <c r="AV29" s="61" t="s">
        <v>467</v>
      </c>
      <c r="AW29" s="61"/>
      <c r="AX29" s="61"/>
      <c r="AY29" s="61" t="s">
        <v>1077</v>
      </c>
      <c r="AZ29" s="61"/>
      <c r="BA29" s="61"/>
      <c r="BB29" s="61" t="s">
        <v>1078</v>
      </c>
      <c r="BC29" s="61"/>
      <c r="BD29" s="61"/>
      <c r="BE29" s="61"/>
      <c r="BF29" s="61"/>
      <c r="BG29" s="61"/>
      <c r="BH29" s="61"/>
    </row>
    <row r="30" spans="1:60" s="171" customFormat="1" ht="75" customHeight="1" x14ac:dyDescent="0.15">
      <c r="A30" s="177" t="s">
        <v>561</v>
      </c>
      <c r="B30" s="64"/>
      <c r="C30" s="64" t="s">
        <v>1084</v>
      </c>
      <c r="D30" s="64"/>
      <c r="E30" s="64" t="s">
        <v>1083</v>
      </c>
      <c r="F30" s="64"/>
      <c r="G30" s="64"/>
      <c r="H30" s="64"/>
      <c r="I30" s="64"/>
      <c r="J30" s="64"/>
      <c r="K30" s="64"/>
      <c r="L30" s="64"/>
      <c r="M30" s="64"/>
      <c r="N30" s="64"/>
      <c r="O30" s="64"/>
      <c r="P30" s="64"/>
      <c r="Q30" s="64"/>
      <c r="R30" s="64"/>
      <c r="S30" s="64" t="s">
        <v>1083</v>
      </c>
      <c r="T30" s="64" t="s">
        <v>1083</v>
      </c>
      <c r="U30" s="64" t="s">
        <v>1082</v>
      </c>
      <c r="V30" s="64"/>
      <c r="W30" s="64" t="s">
        <v>1083</v>
      </c>
      <c r="X30" s="64"/>
      <c r="Y30" s="64" t="s">
        <v>1596</v>
      </c>
      <c r="Z30" s="64"/>
      <c r="AA30" s="64"/>
      <c r="AB30" s="64"/>
      <c r="AC30" s="64" t="s">
        <v>1083</v>
      </c>
      <c r="AD30" s="64" t="s">
        <v>1083</v>
      </c>
      <c r="AE30" s="64" t="s">
        <v>1596</v>
      </c>
      <c r="AF30" s="64"/>
      <c r="AG30" s="64" t="s">
        <v>1595</v>
      </c>
      <c r="AH30" s="64"/>
      <c r="AI30" s="64"/>
      <c r="AJ30" s="64"/>
      <c r="AK30" s="64"/>
      <c r="AL30" s="64"/>
      <c r="AM30" s="64"/>
      <c r="AN30" s="64"/>
      <c r="AO30" s="64" t="s">
        <v>819</v>
      </c>
      <c r="AP30" s="64"/>
      <c r="AQ30" s="64" t="s">
        <v>1083</v>
      </c>
      <c r="AR30" s="64" t="s">
        <v>1594</v>
      </c>
      <c r="AS30" s="64"/>
      <c r="AT30" s="64"/>
      <c r="AU30" s="64"/>
      <c r="AV30" s="64"/>
      <c r="AW30" s="64"/>
      <c r="AX30" s="64"/>
      <c r="AY30" s="64" t="s">
        <v>1083</v>
      </c>
      <c r="AZ30" s="64"/>
      <c r="BA30" s="64"/>
      <c r="BB30" s="64" t="s">
        <v>1083</v>
      </c>
      <c r="BC30" s="64"/>
      <c r="BD30" s="64"/>
      <c r="BE30" s="64"/>
      <c r="BF30" s="64"/>
      <c r="BG30" s="64"/>
      <c r="BH30" s="64"/>
    </row>
    <row r="31" spans="1:60" ht="75" customHeight="1" x14ac:dyDescent="0.15">
      <c r="A31" s="176" t="s">
        <v>1085</v>
      </c>
      <c r="B31" s="61"/>
      <c r="C31" s="61"/>
      <c r="D31" s="61"/>
      <c r="E31" s="61"/>
      <c r="F31" s="61"/>
      <c r="G31" s="61"/>
      <c r="H31" s="61"/>
      <c r="I31" s="61"/>
      <c r="J31" s="61"/>
      <c r="K31" s="61"/>
      <c r="L31" s="61"/>
      <c r="M31" s="61"/>
      <c r="N31" s="61"/>
      <c r="O31" s="61"/>
      <c r="P31" s="61"/>
      <c r="Q31" s="61"/>
      <c r="R31" s="61"/>
      <c r="S31" s="61"/>
      <c r="T31" s="61"/>
      <c r="U31" s="61" t="s">
        <v>1086</v>
      </c>
      <c r="V31" s="61"/>
      <c r="W31" s="61"/>
      <c r="X31" s="61"/>
      <c r="Y31" s="61" t="s">
        <v>1601</v>
      </c>
      <c r="Z31" s="61"/>
      <c r="AA31" s="61"/>
      <c r="AB31" s="61"/>
      <c r="AC31" s="61"/>
      <c r="AD31" s="61"/>
      <c r="AE31" s="61" t="s">
        <v>1599</v>
      </c>
      <c r="AF31" s="61"/>
      <c r="AG31" s="61" t="s">
        <v>1598</v>
      </c>
      <c r="AH31" s="61"/>
      <c r="AI31" s="61"/>
      <c r="AJ31" s="61"/>
      <c r="AK31" s="61"/>
      <c r="AL31" s="61"/>
      <c r="AM31" s="61" t="s">
        <v>1600</v>
      </c>
      <c r="AN31" s="61"/>
      <c r="AO31" s="61"/>
      <c r="AP31" s="61"/>
      <c r="AQ31" s="61"/>
      <c r="AR31" s="61" t="s">
        <v>1597</v>
      </c>
      <c r="AS31" s="61"/>
      <c r="AT31" s="61"/>
      <c r="AU31" s="61"/>
      <c r="AV31" s="61"/>
      <c r="AW31" s="61"/>
      <c r="AX31" s="61"/>
      <c r="AY31" s="61"/>
      <c r="AZ31" s="61"/>
      <c r="BA31" s="61"/>
      <c r="BB31" s="61"/>
      <c r="BC31" s="61"/>
      <c r="BD31" s="61"/>
      <c r="BE31" s="61"/>
      <c r="BF31" s="61"/>
      <c r="BG31" s="61"/>
      <c r="BH31" s="61"/>
    </row>
    <row r="32" spans="1:60" s="171" customFormat="1" ht="75" customHeight="1" x14ac:dyDescent="0.15">
      <c r="A32" s="177" t="s">
        <v>561</v>
      </c>
      <c r="B32" s="64"/>
      <c r="C32" s="64"/>
      <c r="D32" s="64"/>
      <c r="E32" s="64"/>
      <c r="F32" s="64"/>
      <c r="G32" s="64"/>
      <c r="H32" s="64"/>
      <c r="I32" s="64"/>
      <c r="J32" s="64"/>
      <c r="K32" s="64"/>
      <c r="L32" s="64"/>
      <c r="M32" s="64"/>
      <c r="N32" s="64"/>
      <c r="O32" s="64"/>
      <c r="P32" s="64"/>
      <c r="Q32" s="64"/>
      <c r="R32" s="64"/>
      <c r="S32" s="64"/>
      <c r="T32" s="64"/>
      <c r="U32" s="64"/>
      <c r="V32" s="64"/>
      <c r="W32" s="64"/>
      <c r="X32" s="64"/>
      <c r="Y32" s="64" t="s">
        <v>1498</v>
      </c>
      <c r="Z32" s="64"/>
      <c r="AA32" s="64"/>
      <c r="AB32" s="64"/>
      <c r="AC32" s="64"/>
      <c r="AD32" s="64"/>
      <c r="AE32" s="64" t="s">
        <v>1532</v>
      </c>
      <c r="AF32" s="64"/>
      <c r="AG32" s="64" t="s">
        <v>1532</v>
      </c>
      <c r="AH32" s="64"/>
      <c r="AI32" s="64"/>
      <c r="AJ32" s="64"/>
      <c r="AK32" s="64"/>
      <c r="AL32" s="64"/>
      <c r="AM32" s="64" t="s">
        <v>1545</v>
      </c>
      <c r="AN32" s="64"/>
      <c r="AO32" s="64"/>
      <c r="AP32" s="64"/>
      <c r="AQ32" s="64"/>
      <c r="AR32" s="64" t="s">
        <v>1602</v>
      </c>
      <c r="AS32" s="64"/>
      <c r="AT32" s="64"/>
      <c r="AU32" s="64"/>
      <c r="AV32" s="64"/>
      <c r="AW32" s="64"/>
      <c r="AX32" s="64"/>
      <c r="AY32" s="64"/>
      <c r="AZ32" s="64"/>
      <c r="BA32" s="64"/>
      <c r="BB32" s="64"/>
      <c r="BC32" s="64"/>
      <c r="BD32" s="64"/>
      <c r="BE32" s="64"/>
      <c r="BF32" s="64"/>
      <c r="BG32" s="64"/>
      <c r="BH32" s="64"/>
    </row>
  </sheetData>
  <sortState columnSort="1" ref="B1:BH32">
    <sortCondition ref="B1:BH1"/>
  </sortState>
  <hyperlinks>
    <hyperlink ref="AU14" r:id="rId1"/>
  </hyperlink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K98"/>
  <sheetViews>
    <sheetView zoomScale="115" zoomScaleNormal="115" zoomScalePageLayoutView="115" workbookViewId="0">
      <pane xSplit="1" topLeftCell="B1" activePane="topRight" state="frozen"/>
      <selection pane="topRight" activeCell="B42" sqref="B42"/>
    </sheetView>
  </sheetViews>
  <sheetFormatPr baseColWidth="10" defaultColWidth="16" defaultRowHeight="12.75" customHeight="1" x14ac:dyDescent="0.15"/>
  <cols>
    <col min="1" max="1" width="13.5" style="2" customWidth="1"/>
    <col min="2" max="2" width="16.6640625" style="54" customWidth="1"/>
    <col min="3" max="4" width="16.6640625" style="2" customWidth="1"/>
    <col min="5" max="6" width="16.6640625" style="55" customWidth="1"/>
    <col min="7" max="11" width="16.6640625" style="2" customWidth="1"/>
    <col min="12" max="12" width="16.6640625" style="56" customWidth="1"/>
    <col min="13" max="33" width="16.6640625" style="2" customWidth="1"/>
    <col min="34" max="63" width="8.1640625" style="2" customWidth="1"/>
  </cols>
  <sheetData>
    <row r="1" spans="1:63" ht="12.75" customHeight="1" x14ac:dyDescent="0.15">
      <c r="B1" s="3"/>
      <c r="C1" s="3"/>
      <c r="D1" s="3"/>
      <c r="E1" s="4"/>
      <c r="F1" s="4"/>
      <c r="G1" s="3"/>
      <c r="H1" s="3"/>
      <c r="I1" s="3"/>
      <c r="J1" s="3"/>
      <c r="K1" s="3"/>
      <c r="L1" s="3"/>
      <c r="M1" s="5"/>
      <c r="N1" s="5"/>
      <c r="O1" s="5"/>
      <c r="P1" s="5"/>
      <c r="Q1" s="6"/>
      <c r="R1" s="5"/>
      <c r="S1" s="5"/>
      <c r="T1" s="5"/>
      <c r="U1" s="5"/>
      <c r="V1" s="7"/>
      <c r="W1" s="7"/>
      <c r="X1" s="9"/>
      <c r="Y1" s="7"/>
      <c r="Z1" s="7"/>
      <c r="AA1" s="7"/>
      <c r="AB1" s="7"/>
      <c r="AC1" s="8"/>
      <c r="AE1" s="5"/>
      <c r="AF1" s="5"/>
      <c r="AG1" s="7"/>
    </row>
    <row r="2" spans="1:63" ht="12.75" customHeight="1" x14ac:dyDescent="0.15">
      <c r="A2" s="10"/>
      <c r="B2" s="11" t="s">
        <v>2</v>
      </c>
      <c r="C2" s="12" t="s">
        <v>3</v>
      </c>
      <c r="D2" s="12" t="s">
        <v>4</v>
      </c>
      <c r="E2" s="12" t="s">
        <v>3</v>
      </c>
      <c r="F2" s="11" t="s">
        <v>4</v>
      </c>
      <c r="G2" s="12" t="s">
        <v>3</v>
      </c>
      <c r="H2" s="11" t="s">
        <v>2</v>
      </c>
      <c r="I2" s="12" t="s">
        <v>3</v>
      </c>
      <c r="J2" s="12" t="s">
        <v>3</v>
      </c>
      <c r="K2" s="11" t="s">
        <v>2</v>
      </c>
      <c r="L2" s="12" t="s">
        <v>3</v>
      </c>
      <c r="M2" s="11" t="s">
        <v>2</v>
      </c>
      <c r="N2" s="11" t="s">
        <v>2</v>
      </c>
      <c r="O2" s="11" t="s">
        <v>2</v>
      </c>
      <c r="P2" s="12" t="s">
        <v>3</v>
      </c>
      <c r="Q2" s="12" t="s">
        <v>3</v>
      </c>
      <c r="R2" s="11" t="s">
        <v>2</v>
      </c>
      <c r="S2" s="11" t="s">
        <v>2</v>
      </c>
      <c r="T2" s="12" t="s">
        <v>3</v>
      </c>
      <c r="U2" s="11" t="s">
        <v>5</v>
      </c>
      <c r="V2" s="12" t="s">
        <v>3</v>
      </c>
      <c r="W2" s="12" t="s">
        <v>3</v>
      </c>
      <c r="X2" s="12" t="s">
        <v>3</v>
      </c>
      <c r="Y2" s="11" t="s">
        <v>2</v>
      </c>
      <c r="Z2" s="11" t="s">
        <v>2</v>
      </c>
      <c r="AA2" s="11" t="s">
        <v>2</v>
      </c>
      <c r="AB2" s="12" t="s">
        <v>3</v>
      </c>
      <c r="AC2" s="11" t="s">
        <v>2</v>
      </c>
      <c r="AD2" s="13"/>
      <c r="AE2" s="11" t="s">
        <v>2</v>
      </c>
      <c r="AF2" s="11" t="s">
        <v>2</v>
      </c>
      <c r="AG2" s="11" t="s">
        <v>2</v>
      </c>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row>
    <row r="3" spans="1:63" s="19" customFormat="1" ht="12.75" customHeight="1" x14ac:dyDescent="0.15">
      <c r="A3" s="15" t="s">
        <v>6</v>
      </c>
      <c r="B3" s="16" t="s">
        <v>7</v>
      </c>
      <c r="C3" s="16" t="s">
        <v>8</v>
      </c>
      <c r="D3" s="16" t="s">
        <v>1176</v>
      </c>
      <c r="E3" s="16" t="s">
        <v>10</v>
      </c>
      <c r="F3" s="16" t="s">
        <v>9</v>
      </c>
      <c r="G3" s="16" t="s">
        <v>11</v>
      </c>
      <c r="H3" s="16" t="s">
        <v>12</v>
      </c>
      <c r="I3" s="16" t="s">
        <v>11</v>
      </c>
      <c r="J3" s="16" t="s">
        <v>8</v>
      </c>
      <c r="K3" s="16" t="s">
        <v>13</v>
      </c>
      <c r="L3" s="16" t="s">
        <v>14</v>
      </c>
      <c r="M3" s="16" t="s">
        <v>15</v>
      </c>
      <c r="N3" s="16" t="s">
        <v>15</v>
      </c>
      <c r="O3" s="16" t="s">
        <v>15</v>
      </c>
      <c r="P3" s="16" t="s">
        <v>16</v>
      </c>
      <c r="Q3" s="16" t="s">
        <v>17</v>
      </c>
      <c r="R3" s="16" t="s">
        <v>18</v>
      </c>
      <c r="S3" s="16" t="s">
        <v>13</v>
      </c>
      <c r="T3" s="16" t="s">
        <v>20</v>
      </c>
      <c r="U3" s="16" t="s">
        <v>21</v>
      </c>
      <c r="V3" s="16" t="s">
        <v>22</v>
      </c>
      <c r="W3" s="16" t="s">
        <v>20</v>
      </c>
      <c r="X3" s="16" t="s">
        <v>11</v>
      </c>
      <c r="Y3" s="16" t="s">
        <v>23</v>
      </c>
      <c r="Z3" s="16" t="s">
        <v>15</v>
      </c>
      <c r="AA3" s="16" t="s">
        <v>13</v>
      </c>
      <c r="AB3" s="16" t="s">
        <v>11</v>
      </c>
      <c r="AC3" s="17" t="s">
        <v>18</v>
      </c>
      <c r="AD3" s="18"/>
      <c r="AE3" s="16" t="s">
        <v>19</v>
      </c>
      <c r="AF3" s="16" t="s">
        <v>18</v>
      </c>
      <c r="AG3" s="16" t="s">
        <v>13</v>
      </c>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row>
    <row r="4" spans="1:63" s="19" customFormat="1" ht="12.75" customHeight="1" x14ac:dyDescent="0.15">
      <c r="A4" s="15" t="s">
        <v>24</v>
      </c>
      <c r="B4" s="20" t="s">
        <v>25</v>
      </c>
      <c r="C4" s="21" t="s">
        <v>26</v>
      </c>
      <c r="D4" s="21" t="s">
        <v>485</v>
      </c>
      <c r="E4" s="22" t="s">
        <v>27</v>
      </c>
      <c r="F4" s="22" t="s">
        <v>27</v>
      </c>
      <c r="G4" s="21" t="s">
        <v>26</v>
      </c>
      <c r="H4" s="22" t="s">
        <v>28</v>
      </c>
      <c r="I4" s="21" t="s">
        <v>29</v>
      </c>
      <c r="J4" s="21" t="s">
        <v>30</v>
      </c>
      <c r="K4" s="22" t="s">
        <v>31</v>
      </c>
      <c r="L4" s="21" t="s">
        <v>30</v>
      </c>
      <c r="M4" s="22" t="s">
        <v>32</v>
      </c>
      <c r="N4" s="22" t="s">
        <v>32</v>
      </c>
      <c r="O4" s="22" t="s">
        <v>33</v>
      </c>
      <c r="P4" s="22" t="s">
        <v>33</v>
      </c>
      <c r="Q4" s="22" t="s">
        <v>33</v>
      </c>
      <c r="R4" s="22" t="s">
        <v>25</v>
      </c>
      <c r="S4" s="22" t="s">
        <v>34</v>
      </c>
      <c r="T4" s="21" t="s">
        <v>29</v>
      </c>
      <c r="U4" s="22" t="s">
        <v>36</v>
      </c>
      <c r="V4" s="21" t="s">
        <v>30</v>
      </c>
      <c r="W4" s="21" t="s">
        <v>28</v>
      </c>
      <c r="X4" s="21" t="s">
        <v>27</v>
      </c>
      <c r="Y4" s="22" t="s">
        <v>37</v>
      </c>
      <c r="Z4" s="22" t="s">
        <v>37</v>
      </c>
      <c r="AA4" s="21" t="s">
        <v>38</v>
      </c>
      <c r="AB4" s="21" t="s">
        <v>30</v>
      </c>
      <c r="AC4" s="21" t="s">
        <v>39</v>
      </c>
      <c r="AD4" s="18"/>
      <c r="AE4" s="22" t="s">
        <v>35</v>
      </c>
      <c r="AF4" s="22" t="s">
        <v>35</v>
      </c>
      <c r="AG4" s="22" t="s">
        <v>35</v>
      </c>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row>
    <row r="5" spans="1:63" s="25" customFormat="1" ht="22.5" customHeight="1" x14ac:dyDescent="0.15">
      <c r="A5" s="23" t="s">
        <v>42</v>
      </c>
      <c r="B5" s="20" t="s">
        <v>43</v>
      </c>
      <c r="C5" s="21" t="s">
        <v>44</v>
      </c>
      <c r="D5" s="21" t="s">
        <v>470</v>
      </c>
      <c r="E5" s="21" t="s">
        <v>46</v>
      </c>
      <c r="F5" s="21" t="s">
        <v>45</v>
      </c>
      <c r="G5" s="21" t="s">
        <v>47</v>
      </c>
      <c r="H5" s="21" t="s">
        <v>48</v>
      </c>
      <c r="I5" s="21" t="s">
        <v>49</v>
      </c>
      <c r="J5" s="21" t="s">
        <v>50</v>
      </c>
      <c r="K5" s="21" t="s">
        <v>51</v>
      </c>
      <c r="L5" s="21" t="s">
        <v>52</v>
      </c>
      <c r="M5" s="21" t="s">
        <v>53</v>
      </c>
      <c r="N5" s="21" t="s">
        <v>54</v>
      </c>
      <c r="O5" s="21" t="s">
        <v>55</v>
      </c>
      <c r="P5" s="21" t="s">
        <v>56</v>
      </c>
      <c r="Q5" s="21" t="s">
        <v>57</v>
      </c>
      <c r="R5" s="21" t="s">
        <v>58</v>
      </c>
      <c r="S5" s="21" t="s">
        <v>59</v>
      </c>
      <c r="T5" s="21" t="s">
        <v>61</v>
      </c>
      <c r="U5" s="21" t="s">
        <v>62</v>
      </c>
      <c r="V5" s="21" t="s">
        <v>64</v>
      </c>
      <c r="W5" s="21" t="s">
        <v>65</v>
      </c>
      <c r="X5" s="21" t="s">
        <v>67</v>
      </c>
      <c r="Y5" s="21" t="s">
        <v>68</v>
      </c>
      <c r="Z5" s="21" t="s">
        <v>69</v>
      </c>
      <c r="AA5" s="21" t="s">
        <v>70</v>
      </c>
      <c r="AB5" s="21" t="s">
        <v>71</v>
      </c>
      <c r="AC5" s="21" t="s">
        <v>72</v>
      </c>
      <c r="AD5" s="24"/>
      <c r="AE5" s="21" t="s">
        <v>60</v>
      </c>
      <c r="AF5" s="21" t="s">
        <v>40</v>
      </c>
      <c r="AG5" s="21" t="s">
        <v>63</v>
      </c>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row>
    <row r="6" spans="1:63" ht="42" customHeight="1" x14ac:dyDescent="0.15">
      <c r="A6" s="26" t="s">
        <v>73</v>
      </c>
      <c r="B6" s="70" t="s">
        <v>478</v>
      </c>
      <c r="C6" s="71" t="s">
        <v>1178</v>
      </c>
      <c r="D6" s="71" t="s">
        <v>471</v>
      </c>
      <c r="E6" s="71" t="s">
        <v>77</v>
      </c>
      <c r="F6" s="71" t="s">
        <v>76</v>
      </c>
      <c r="G6" s="71" t="s">
        <v>78</v>
      </c>
      <c r="H6" s="71" t="s">
        <v>79</v>
      </c>
      <c r="I6" s="71" t="s">
        <v>80</v>
      </c>
      <c r="J6" s="71" t="s">
        <v>1179</v>
      </c>
      <c r="K6" s="71" t="s">
        <v>82</v>
      </c>
      <c r="L6" s="71" t="s">
        <v>83</v>
      </c>
      <c r="M6" s="71" t="s">
        <v>482</v>
      </c>
      <c r="N6" s="71" t="s">
        <v>1177</v>
      </c>
      <c r="O6" s="71" t="s">
        <v>481</v>
      </c>
      <c r="P6" s="71" t="s">
        <v>87</v>
      </c>
      <c r="Q6" s="71" t="s">
        <v>88</v>
      </c>
      <c r="R6" s="71" t="s">
        <v>1180</v>
      </c>
      <c r="S6" s="71" t="s">
        <v>90</v>
      </c>
      <c r="T6" s="71" t="s">
        <v>93</v>
      </c>
      <c r="U6" s="71" t="s">
        <v>94</v>
      </c>
      <c r="V6" s="71" t="s">
        <v>1102</v>
      </c>
      <c r="W6" s="71" t="s">
        <v>472</v>
      </c>
      <c r="X6" s="71" t="s">
        <v>98</v>
      </c>
      <c r="Y6" s="71" t="s">
        <v>99</v>
      </c>
      <c r="Z6" s="71" t="s">
        <v>480</v>
      </c>
      <c r="AA6" s="71" t="s">
        <v>101</v>
      </c>
      <c r="AB6" s="71" t="s">
        <v>102</v>
      </c>
      <c r="AC6" s="71" t="s">
        <v>103</v>
      </c>
      <c r="AD6" s="13"/>
      <c r="AE6" s="71" t="s">
        <v>91</v>
      </c>
      <c r="AF6" s="71" t="s">
        <v>92</v>
      </c>
      <c r="AG6" s="71" t="s">
        <v>95</v>
      </c>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row>
    <row r="7" spans="1:63" s="84" customFormat="1" ht="32" customHeight="1" x14ac:dyDescent="0.2">
      <c r="A7" s="81" t="s">
        <v>129</v>
      </c>
      <c r="B7" s="74">
        <v>0.56999999999999995</v>
      </c>
      <c r="C7" s="75">
        <v>6.3E-2</v>
      </c>
      <c r="D7" s="75">
        <v>0.32</v>
      </c>
      <c r="E7" s="75">
        <v>0.69</v>
      </c>
      <c r="F7" s="75">
        <v>0.19400000000000001</v>
      </c>
      <c r="G7" s="75">
        <v>0.1</v>
      </c>
      <c r="H7" s="75">
        <f>(1.1+1.15)/2</f>
        <v>1.125</v>
      </c>
      <c r="I7" s="75">
        <f>(0.195+0.18)/2</f>
        <v>0.1875</v>
      </c>
      <c r="J7" s="75">
        <v>0.56000000000000005</v>
      </c>
      <c r="K7" s="75">
        <v>0.53</v>
      </c>
      <c r="L7" s="75">
        <v>0.55000000000000004</v>
      </c>
      <c r="M7" s="75">
        <v>0.47</v>
      </c>
      <c r="N7" s="75">
        <v>0.38</v>
      </c>
      <c r="O7" s="75">
        <v>0.19</v>
      </c>
      <c r="P7" s="75">
        <f>(0.27+0.091)/2</f>
        <v>0.18049999999999999</v>
      </c>
      <c r="Q7" s="75">
        <v>0.31</v>
      </c>
      <c r="R7" s="75">
        <v>0.14000000000000001</v>
      </c>
      <c r="S7" s="75">
        <v>0.25</v>
      </c>
      <c r="T7" s="75">
        <v>0.63500000000000001</v>
      </c>
      <c r="U7" s="75">
        <v>8.7999999999999995E-2</v>
      </c>
      <c r="V7" s="75">
        <f>(0.8+0.64)/2</f>
        <v>0.72</v>
      </c>
      <c r="W7" s="75">
        <v>0.65</v>
      </c>
      <c r="X7" s="75">
        <v>1.1200000000000001</v>
      </c>
      <c r="Y7" s="75">
        <v>0.75</v>
      </c>
      <c r="Z7" s="75">
        <v>1.89</v>
      </c>
      <c r="AA7" s="75">
        <v>0.3</v>
      </c>
      <c r="AB7" s="75">
        <v>0.2011</v>
      </c>
      <c r="AC7" s="75">
        <v>0.34</v>
      </c>
      <c r="AD7" s="82"/>
      <c r="AE7" s="75" t="s">
        <v>1119</v>
      </c>
      <c r="AF7" s="75">
        <v>0.27</v>
      </c>
      <c r="AG7" s="75">
        <f>(1.14+0.97)/2</f>
        <v>1.0549999999999999</v>
      </c>
      <c r="AH7" s="82"/>
      <c r="AI7" s="82"/>
      <c r="AJ7" s="82"/>
      <c r="AK7" s="82"/>
      <c r="AL7" s="82"/>
      <c r="AM7" s="82"/>
      <c r="AN7" s="82"/>
      <c r="AO7" s="82"/>
      <c r="AP7" s="82"/>
      <c r="AQ7" s="82"/>
      <c r="AR7" s="82"/>
      <c r="AS7" s="82"/>
      <c r="AT7" s="82"/>
      <c r="AU7" s="82"/>
      <c r="AV7" s="82"/>
      <c r="AW7" s="82"/>
      <c r="AX7" s="82"/>
      <c r="AY7" s="82"/>
      <c r="AZ7" s="82"/>
      <c r="BA7" s="83"/>
      <c r="BB7" s="82"/>
      <c r="BC7" s="82"/>
      <c r="BD7" s="82"/>
      <c r="BE7" s="82"/>
      <c r="BF7" s="82"/>
      <c r="BG7" s="82"/>
      <c r="BH7" s="82"/>
      <c r="BI7" s="82"/>
      <c r="BJ7" s="82"/>
      <c r="BK7" s="82"/>
    </row>
    <row r="8" spans="1:63" ht="22" customHeight="1" x14ac:dyDescent="0.2">
      <c r="A8" s="32" t="s">
        <v>1116</v>
      </c>
      <c r="B8" s="33" t="s">
        <v>1114</v>
      </c>
      <c r="C8" s="34" t="s">
        <v>1114</v>
      </c>
      <c r="D8" s="34" t="s">
        <v>1114</v>
      </c>
      <c r="E8" s="34" t="s">
        <v>1114</v>
      </c>
      <c r="F8" s="34" t="s">
        <v>1114</v>
      </c>
      <c r="G8" s="34" t="s">
        <v>1114</v>
      </c>
      <c r="H8" s="34" t="s">
        <v>1114</v>
      </c>
      <c r="I8" s="34" t="s">
        <v>1114</v>
      </c>
      <c r="J8" s="34" t="s">
        <v>1114</v>
      </c>
      <c r="K8" s="34" t="s">
        <v>1114</v>
      </c>
      <c r="L8" s="34" t="s">
        <v>1114</v>
      </c>
      <c r="M8" s="34" t="s">
        <v>1114</v>
      </c>
      <c r="N8" s="34" t="s">
        <v>1114</v>
      </c>
      <c r="O8" s="34" t="s">
        <v>1114</v>
      </c>
      <c r="P8" s="34" t="s">
        <v>1114</v>
      </c>
      <c r="Q8" s="34" t="s">
        <v>1114</v>
      </c>
      <c r="R8" s="34" t="s">
        <v>1114</v>
      </c>
      <c r="S8" s="34" t="s">
        <v>1114</v>
      </c>
      <c r="T8" s="34" t="s">
        <v>1114</v>
      </c>
      <c r="U8" s="34" t="s">
        <v>1114</v>
      </c>
      <c r="V8" s="34" t="s">
        <v>1114</v>
      </c>
      <c r="W8" s="34" t="s">
        <v>1114</v>
      </c>
      <c r="X8" s="34" t="s">
        <v>1114</v>
      </c>
      <c r="Y8" s="34" t="s">
        <v>1114</v>
      </c>
      <c r="Z8" s="34" t="s">
        <v>1114</v>
      </c>
      <c r="AA8" s="34" t="s">
        <v>1114</v>
      </c>
      <c r="AB8" s="34" t="s">
        <v>1114</v>
      </c>
      <c r="AC8" s="34" t="s">
        <v>1114</v>
      </c>
      <c r="AD8" s="13"/>
      <c r="AE8" s="37" t="s">
        <v>1119</v>
      </c>
      <c r="AF8" s="34" t="s">
        <v>1114</v>
      </c>
      <c r="AG8" s="34" t="s">
        <v>1114</v>
      </c>
      <c r="AH8" s="13"/>
      <c r="AI8" s="13"/>
      <c r="AJ8" s="13"/>
      <c r="AK8" s="13"/>
      <c r="AL8" s="13"/>
      <c r="AM8" s="13"/>
      <c r="AN8" s="13"/>
      <c r="AO8" s="13"/>
      <c r="AP8" s="13"/>
      <c r="AQ8" s="13"/>
      <c r="AR8" s="13"/>
      <c r="AS8" s="13"/>
      <c r="AT8" s="13"/>
      <c r="AU8" s="13"/>
      <c r="AV8" s="13"/>
      <c r="AW8" s="13"/>
      <c r="AX8" s="13"/>
      <c r="AY8" s="13"/>
      <c r="AZ8" s="13"/>
      <c r="BA8" s="1"/>
      <c r="BB8" s="13"/>
      <c r="BC8" s="13"/>
      <c r="BD8" s="13"/>
      <c r="BE8" s="13"/>
      <c r="BF8" s="13"/>
      <c r="BG8" s="13"/>
      <c r="BH8" s="13"/>
      <c r="BI8" s="13"/>
      <c r="BJ8" s="13"/>
      <c r="BK8" s="13"/>
    </row>
    <row r="9" spans="1:63" ht="22" customHeight="1" x14ac:dyDescent="0.2">
      <c r="A9" s="32" t="s">
        <v>1117</v>
      </c>
      <c r="B9" s="33" t="s">
        <v>1119</v>
      </c>
      <c r="C9" s="34" t="s">
        <v>1119</v>
      </c>
      <c r="D9" s="34" t="s">
        <v>1119</v>
      </c>
      <c r="E9" s="34" t="s">
        <v>1119</v>
      </c>
      <c r="F9" s="34" t="s">
        <v>1119</v>
      </c>
      <c r="G9" s="34" t="s">
        <v>1119</v>
      </c>
      <c r="H9" s="34">
        <f>(0.49+0.33)/2</f>
        <v>0.41000000000000003</v>
      </c>
      <c r="I9" s="34" t="s">
        <v>1119</v>
      </c>
      <c r="J9" s="34" t="s">
        <v>1119</v>
      </c>
      <c r="K9" s="34" t="s">
        <v>1119</v>
      </c>
      <c r="L9" s="34" t="s">
        <v>1119</v>
      </c>
      <c r="M9" s="34" t="s">
        <v>1122</v>
      </c>
      <c r="N9" s="34" t="s">
        <v>1119</v>
      </c>
      <c r="O9" s="34" t="s">
        <v>1119</v>
      </c>
      <c r="P9" s="34" t="s">
        <v>1119</v>
      </c>
      <c r="Q9" s="34" t="s">
        <v>1119</v>
      </c>
      <c r="R9" s="34" t="s">
        <v>1119</v>
      </c>
      <c r="S9" s="34">
        <v>0.05</v>
      </c>
      <c r="T9" s="34" t="s">
        <v>1119</v>
      </c>
      <c r="U9" s="34" t="s">
        <v>1119</v>
      </c>
      <c r="V9" s="34" t="s">
        <v>1119</v>
      </c>
      <c r="W9" s="34" t="s">
        <v>1119</v>
      </c>
      <c r="X9" s="34" t="s">
        <v>1119</v>
      </c>
      <c r="Y9" s="34" t="s">
        <v>1119</v>
      </c>
      <c r="Z9" s="34" t="s">
        <v>1119</v>
      </c>
      <c r="AA9" s="34" t="s">
        <v>1119</v>
      </c>
      <c r="AB9" s="34" t="s">
        <v>1119</v>
      </c>
      <c r="AC9" s="34" t="s">
        <v>1119</v>
      </c>
      <c r="AD9" s="13"/>
      <c r="AE9" s="37" t="s">
        <v>1119</v>
      </c>
      <c r="AF9" s="34" t="s">
        <v>1119</v>
      </c>
      <c r="AG9" s="34" t="s">
        <v>1119</v>
      </c>
      <c r="AH9" s="13"/>
      <c r="AI9" s="13"/>
      <c r="AJ9" s="13"/>
      <c r="AK9" s="13"/>
      <c r="AL9" s="13"/>
      <c r="AM9" s="13"/>
      <c r="AN9" s="13"/>
      <c r="AO9" s="13"/>
      <c r="AP9" s="13"/>
      <c r="AQ9" s="13"/>
      <c r="AR9" s="13"/>
      <c r="AS9" s="13"/>
      <c r="AT9" s="13"/>
      <c r="AU9" s="13"/>
      <c r="AV9" s="13"/>
      <c r="AW9" s="13"/>
      <c r="AX9" s="13"/>
      <c r="AY9" s="13"/>
      <c r="AZ9" s="13"/>
      <c r="BA9" s="1"/>
      <c r="BB9" s="13"/>
      <c r="BC9" s="13"/>
      <c r="BD9" s="13"/>
      <c r="BE9" s="13"/>
      <c r="BF9" s="13"/>
      <c r="BG9" s="13"/>
      <c r="BH9" s="13"/>
      <c r="BI9" s="13"/>
      <c r="BJ9" s="13"/>
      <c r="BK9" s="13"/>
    </row>
    <row r="10" spans="1:63" s="84" customFormat="1" ht="22" customHeight="1" x14ac:dyDescent="0.2">
      <c r="A10" s="81" t="s">
        <v>599</v>
      </c>
      <c r="B10" s="74">
        <v>15.2</v>
      </c>
      <c r="C10" s="75">
        <v>157.75</v>
      </c>
      <c r="D10" s="75">
        <v>62.2</v>
      </c>
      <c r="E10" s="75">
        <v>184</v>
      </c>
      <c r="F10" s="75">
        <v>97.3</v>
      </c>
      <c r="G10" s="75">
        <v>138</v>
      </c>
      <c r="H10" s="75">
        <f>(192.61+158.21)/2</f>
        <v>175.41000000000003</v>
      </c>
      <c r="I10" s="75">
        <f>(53.7+57.9)/2</f>
        <v>55.8</v>
      </c>
      <c r="J10" s="75">
        <v>81.92</v>
      </c>
      <c r="K10" s="75">
        <v>39.700000000000003</v>
      </c>
      <c r="L10" s="75">
        <v>102</v>
      </c>
      <c r="M10" s="75">
        <v>40.799999999999997</v>
      </c>
      <c r="N10" s="75">
        <v>35.5</v>
      </c>
      <c r="O10" s="75">
        <v>105</v>
      </c>
      <c r="P10" s="75">
        <f>(81.7+63.06)/2</f>
        <v>72.38</v>
      </c>
      <c r="Q10" s="75">
        <v>44.2</v>
      </c>
      <c r="R10" s="75">
        <v>66.3</v>
      </c>
      <c r="S10" s="75">
        <v>41.9</v>
      </c>
      <c r="T10" s="75">
        <v>45.48</v>
      </c>
      <c r="U10" s="75">
        <v>63.012999999999998</v>
      </c>
      <c r="V10" s="75">
        <f>(38+31.7)/2</f>
        <v>34.85</v>
      </c>
      <c r="W10" s="75">
        <v>428.7</v>
      </c>
      <c r="X10" s="75">
        <v>20</v>
      </c>
      <c r="Y10" s="75">
        <v>34.799999999999997</v>
      </c>
      <c r="Z10" s="75">
        <v>25.2</v>
      </c>
      <c r="AA10" s="75">
        <v>44.6</v>
      </c>
      <c r="AB10" s="75">
        <v>208.7</v>
      </c>
      <c r="AC10" s="75">
        <v>131</v>
      </c>
      <c r="AD10" s="82"/>
      <c r="AE10" s="75" t="s">
        <v>1119</v>
      </c>
      <c r="AF10" s="75">
        <v>144.69999999999999</v>
      </c>
      <c r="AG10" s="75">
        <f>(211+204)/2</f>
        <v>207.5</v>
      </c>
      <c r="AH10" s="82"/>
      <c r="AI10" s="82"/>
      <c r="AJ10" s="82"/>
      <c r="AK10" s="82"/>
      <c r="AL10" s="82"/>
      <c r="AM10" s="82"/>
      <c r="AN10" s="82"/>
      <c r="AO10" s="82"/>
      <c r="AP10" s="82"/>
      <c r="AQ10" s="82"/>
      <c r="AR10" s="82"/>
      <c r="AS10" s="82"/>
      <c r="AT10" s="82"/>
      <c r="AU10" s="82"/>
      <c r="AV10" s="82"/>
      <c r="AW10" s="82"/>
      <c r="AX10" s="82"/>
      <c r="AY10" s="82"/>
      <c r="AZ10" s="82"/>
      <c r="BA10" s="83"/>
      <c r="BB10" s="82"/>
      <c r="BC10" s="82"/>
      <c r="BD10" s="82"/>
      <c r="BE10" s="82"/>
      <c r="BF10" s="82"/>
      <c r="BG10" s="82"/>
      <c r="BH10" s="82"/>
      <c r="BI10" s="82"/>
      <c r="BJ10" s="82"/>
      <c r="BK10" s="82"/>
    </row>
    <row r="11" spans="1:63" s="84" customFormat="1" ht="22" customHeight="1" x14ac:dyDescent="0.2">
      <c r="A11" s="81" t="s">
        <v>1190</v>
      </c>
      <c r="B11" s="74" t="s">
        <v>1189</v>
      </c>
      <c r="C11" s="75" t="s">
        <v>1189</v>
      </c>
      <c r="D11" s="75" t="s">
        <v>1189</v>
      </c>
      <c r="E11" s="75" t="s">
        <v>1189</v>
      </c>
      <c r="F11" s="75" t="s">
        <v>1189</v>
      </c>
      <c r="G11" s="75" t="s">
        <v>1189</v>
      </c>
      <c r="H11" s="75" t="s">
        <v>1192</v>
      </c>
      <c r="I11" s="75" t="s">
        <v>1189</v>
      </c>
      <c r="J11" s="75" t="s">
        <v>1189</v>
      </c>
      <c r="K11" s="75" t="s">
        <v>1189</v>
      </c>
      <c r="L11" s="75" t="s">
        <v>1189</v>
      </c>
      <c r="M11" s="75" t="s">
        <v>1189</v>
      </c>
      <c r="N11" s="75" t="s">
        <v>1189</v>
      </c>
      <c r="O11" s="75" t="s">
        <v>1189</v>
      </c>
      <c r="P11" s="75" t="s">
        <v>1189</v>
      </c>
      <c r="Q11" s="75" t="s">
        <v>1189</v>
      </c>
      <c r="R11" s="75" t="s">
        <v>1189</v>
      </c>
      <c r="S11" s="75" t="s">
        <v>1189</v>
      </c>
      <c r="T11" s="75" t="s">
        <v>1189</v>
      </c>
      <c r="U11" s="75" t="s">
        <v>1189</v>
      </c>
      <c r="V11" s="75" t="s">
        <v>1189</v>
      </c>
      <c r="W11" s="75" t="s">
        <v>1192</v>
      </c>
      <c r="X11" s="75" t="s">
        <v>1189</v>
      </c>
      <c r="Y11" s="75" t="s">
        <v>1189</v>
      </c>
      <c r="Z11" s="75" t="s">
        <v>1189</v>
      </c>
      <c r="AA11" s="75" t="s">
        <v>1189</v>
      </c>
      <c r="AB11" s="75" t="s">
        <v>1189</v>
      </c>
      <c r="AC11" s="75" t="s">
        <v>1189</v>
      </c>
      <c r="AD11" s="82"/>
      <c r="AE11" s="75" t="s">
        <v>1119</v>
      </c>
      <c r="AF11" s="75" t="s">
        <v>1192</v>
      </c>
      <c r="AG11" s="75" t="s">
        <v>1192</v>
      </c>
      <c r="AH11" s="82"/>
      <c r="AI11" s="82"/>
      <c r="AJ11" s="82"/>
      <c r="AK11" s="82"/>
      <c r="AL11" s="82"/>
      <c r="AM11" s="82"/>
      <c r="AN11" s="82"/>
      <c r="AO11" s="82"/>
      <c r="AP11" s="82"/>
      <c r="AQ11" s="82"/>
      <c r="AR11" s="82"/>
      <c r="AS11" s="82"/>
      <c r="AT11" s="82"/>
      <c r="AU11" s="82"/>
      <c r="AV11" s="82"/>
      <c r="AW11" s="82"/>
      <c r="AX11" s="82"/>
      <c r="AY11" s="82"/>
      <c r="AZ11" s="82"/>
      <c r="BA11" s="83"/>
      <c r="BB11" s="82"/>
      <c r="BC11" s="82"/>
      <c r="BD11" s="82"/>
      <c r="BE11" s="82"/>
      <c r="BF11" s="82"/>
      <c r="BG11" s="82"/>
      <c r="BH11" s="82"/>
      <c r="BI11" s="82"/>
      <c r="BJ11" s="82"/>
      <c r="BK11" s="82"/>
    </row>
    <row r="12" spans="1:63" ht="22" customHeight="1" x14ac:dyDescent="0.15">
      <c r="A12" s="32" t="s">
        <v>1191</v>
      </c>
      <c r="B12" s="33" t="s">
        <v>1201</v>
      </c>
      <c r="C12" s="34" t="s">
        <v>1194</v>
      </c>
      <c r="D12" s="34" t="s">
        <v>1195</v>
      </c>
      <c r="E12" s="34" t="s">
        <v>1194</v>
      </c>
      <c r="F12" s="34" t="s">
        <v>1194</v>
      </c>
      <c r="G12" s="34" t="s">
        <v>1195</v>
      </c>
      <c r="H12" s="34" t="s">
        <v>1194</v>
      </c>
      <c r="I12" s="73" t="s">
        <v>1194</v>
      </c>
      <c r="J12" s="73" t="s">
        <v>1194</v>
      </c>
      <c r="K12" s="73" t="s">
        <v>1195</v>
      </c>
      <c r="L12" s="73" t="s">
        <v>1194</v>
      </c>
      <c r="M12" s="34" t="s">
        <v>1195</v>
      </c>
      <c r="N12" s="34" t="s">
        <v>1195</v>
      </c>
      <c r="O12" s="34" t="s">
        <v>1195</v>
      </c>
      <c r="P12" s="73" t="s">
        <v>1194</v>
      </c>
      <c r="Q12" s="73" t="s">
        <v>1201</v>
      </c>
      <c r="R12" s="34" t="s">
        <v>1195</v>
      </c>
      <c r="S12" s="73" t="s">
        <v>1194</v>
      </c>
      <c r="T12" s="73" t="s">
        <v>1194</v>
      </c>
      <c r="U12" s="73" t="s">
        <v>1194</v>
      </c>
      <c r="V12" s="73" t="s">
        <v>1194</v>
      </c>
      <c r="W12" s="73" t="s">
        <v>1194</v>
      </c>
      <c r="X12" s="34" t="s">
        <v>1195</v>
      </c>
      <c r="Y12" s="34" t="s">
        <v>1195</v>
      </c>
      <c r="Z12" s="34" t="s">
        <v>1195</v>
      </c>
      <c r="AA12" s="34" t="s">
        <v>1195</v>
      </c>
      <c r="AB12" s="73" t="s">
        <v>1194</v>
      </c>
      <c r="AC12" s="34" t="s">
        <v>1195</v>
      </c>
      <c r="AD12" s="13"/>
      <c r="AE12" s="37" t="s">
        <v>1119</v>
      </c>
      <c r="AF12" s="34" t="s">
        <v>1196</v>
      </c>
      <c r="AG12" s="34" t="s">
        <v>1197</v>
      </c>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row>
    <row r="13" spans="1:63" ht="22" customHeight="1" x14ac:dyDescent="0.2">
      <c r="A13" s="32" t="s">
        <v>1121</v>
      </c>
      <c r="B13" s="33" t="s">
        <v>1119</v>
      </c>
      <c r="C13" s="34" t="s">
        <v>1119</v>
      </c>
      <c r="D13" s="34" t="s">
        <v>1119</v>
      </c>
      <c r="E13" s="34" t="s">
        <v>1119</v>
      </c>
      <c r="F13" s="34" t="s">
        <v>1119</v>
      </c>
      <c r="G13" s="34" t="s">
        <v>1119</v>
      </c>
      <c r="H13" s="34">
        <f>(4.41+3.88)/2</f>
        <v>4.1449999999999996</v>
      </c>
      <c r="I13" s="34" t="s">
        <v>1119</v>
      </c>
      <c r="J13" s="34" t="s">
        <v>1119</v>
      </c>
      <c r="K13" s="34" t="s">
        <v>1119</v>
      </c>
      <c r="L13" s="34" t="s">
        <v>1119</v>
      </c>
      <c r="M13" s="34" t="s">
        <v>1119</v>
      </c>
      <c r="N13" s="34" t="s">
        <v>1119</v>
      </c>
      <c r="O13" s="34" t="s">
        <v>1119</v>
      </c>
      <c r="P13" s="34" t="s">
        <v>1119</v>
      </c>
      <c r="Q13" s="34" t="s">
        <v>1119</v>
      </c>
      <c r="R13" s="34" t="s">
        <v>1119</v>
      </c>
      <c r="S13" s="34">
        <v>3.6</v>
      </c>
      <c r="T13" s="34" t="s">
        <v>1119</v>
      </c>
      <c r="U13" s="34" t="s">
        <v>1119</v>
      </c>
      <c r="V13" s="34" t="s">
        <v>1119</v>
      </c>
      <c r="W13" s="34" t="s">
        <v>1119</v>
      </c>
      <c r="X13" s="34" t="s">
        <v>1119</v>
      </c>
      <c r="Y13" s="34" t="s">
        <v>1119</v>
      </c>
      <c r="Z13" s="34" t="s">
        <v>1119</v>
      </c>
      <c r="AA13" s="34" t="s">
        <v>1119</v>
      </c>
      <c r="AB13" s="34" t="s">
        <v>1119</v>
      </c>
      <c r="AC13" s="34" t="s">
        <v>1119</v>
      </c>
      <c r="AD13" s="13"/>
      <c r="AE13" s="37" t="s">
        <v>1119</v>
      </c>
      <c r="AF13" s="34" t="s">
        <v>1119</v>
      </c>
      <c r="AG13" s="34" t="s">
        <v>1119</v>
      </c>
      <c r="AH13" s="13"/>
      <c r="AI13" s="13"/>
      <c r="AJ13" s="13"/>
      <c r="AK13" s="13"/>
      <c r="AL13" s="13"/>
      <c r="AM13" s="13"/>
      <c r="AN13" s="13"/>
      <c r="AO13" s="13"/>
      <c r="AP13" s="13"/>
      <c r="AQ13" s="13"/>
      <c r="AR13" s="13"/>
      <c r="AS13" s="13"/>
      <c r="AT13" s="13"/>
      <c r="AU13" s="13"/>
      <c r="AV13" s="13"/>
      <c r="AW13" s="13"/>
      <c r="AX13" s="13"/>
      <c r="AY13" s="13"/>
      <c r="AZ13" s="13"/>
      <c r="BA13" s="1"/>
      <c r="BB13" s="13"/>
      <c r="BC13" s="13"/>
      <c r="BD13" s="13"/>
      <c r="BE13" s="13"/>
      <c r="BF13" s="13"/>
      <c r="BG13" s="13"/>
      <c r="BH13" s="13"/>
      <c r="BI13" s="13"/>
      <c r="BJ13" s="13"/>
      <c r="BK13" s="13"/>
    </row>
    <row r="14" spans="1:63" s="84" customFormat="1" ht="22" customHeight="1" x14ac:dyDescent="0.15">
      <c r="A14" s="81" t="s">
        <v>183</v>
      </c>
      <c r="B14" s="74">
        <v>0</v>
      </c>
      <c r="C14" s="75">
        <v>-0.47</v>
      </c>
      <c r="D14" s="34">
        <v>-0.42</v>
      </c>
      <c r="E14" s="75">
        <v>-2.4199999999999999E-2</v>
      </c>
      <c r="F14" s="75">
        <v>-0.19600000000000001</v>
      </c>
      <c r="G14" s="75">
        <v>-1.1399999999999999</v>
      </c>
      <c r="H14" s="75">
        <v>0</v>
      </c>
      <c r="I14" s="75">
        <v>-0.245</v>
      </c>
      <c r="J14" s="75">
        <v>-3.1699999999999999E-2</v>
      </c>
      <c r="K14" s="75">
        <v>-0.28000000000000003</v>
      </c>
      <c r="L14" s="75">
        <v>-0.02</v>
      </c>
      <c r="M14" s="75">
        <v>-0.32</v>
      </c>
      <c r="N14" s="75">
        <v>-0.41</v>
      </c>
      <c r="O14" s="75">
        <v>-0.63</v>
      </c>
      <c r="P14" s="75">
        <f>(0.013+-3.95)/2</f>
        <v>-1.9685000000000001</v>
      </c>
      <c r="Q14" s="75">
        <v>0</v>
      </c>
      <c r="R14" s="75">
        <v>-0.98</v>
      </c>
      <c r="S14" s="75">
        <v>-7.3999999999999996E-2</v>
      </c>
      <c r="T14" s="75">
        <v>0.309</v>
      </c>
      <c r="U14" s="75">
        <v>-4.4114000000000004</v>
      </c>
      <c r="V14" s="75">
        <v>0</v>
      </c>
      <c r="W14" s="75">
        <v>-7.0000000000000007E-2</v>
      </c>
      <c r="X14" s="75">
        <v>-0.16</v>
      </c>
      <c r="Y14" s="75">
        <v>-0.21</v>
      </c>
      <c r="Z14" s="75">
        <v>-0.09</v>
      </c>
      <c r="AA14" s="75">
        <v>-0.82</v>
      </c>
      <c r="AB14" s="75">
        <v>-0.99060000000000004</v>
      </c>
      <c r="AC14" s="75">
        <v>-0.32</v>
      </c>
      <c r="AD14" s="82"/>
      <c r="AE14" s="75" t="s">
        <v>1119</v>
      </c>
      <c r="AF14" s="75">
        <v>-0.18</v>
      </c>
      <c r="AG14" s="75">
        <f>(-0.0194+-0.0691)/2</f>
        <v>-4.4249999999999998E-2</v>
      </c>
      <c r="AH14" s="82"/>
      <c r="AI14" s="82"/>
      <c r="AJ14" s="82"/>
      <c r="AK14" s="82"/>
      <c r="AL14" s="82"/>
      <c r="AM14" s="82"/>
      <c r="AN14" s="82"/>
      <c r="AO14" s="82"/>
      <c r="AP14" s="82"/>
      <c r="AQ14" s="82"/>
      <c r="AR14" s="82"/>
      <c r="AS14" s="82"/>
      <c r="AT14" s="82"/>
      <c r="AU14" s="82"/>
      <c r="AV14" s="82"/>
      <c r="AW14" s="82"/>
      <c r="AX14" s="82"/>
      <c r="AY14" s="82"/>
      <c r="AZ14" s="82"/>
      <c r="BA14" s="82"/>
      <c r="BB14" s="82"/>
      <c r="BC14" s="82"/>
      <c r="BD14" s="82"/>
      <c r="BE14" s="82"/>
      <c r="BF14" s="82"/>
      <c r="BG14" s="82"/>
      <c r="BH14" s="82"/>
      <c r="BI14" s="82"/>
      <c r="BJ14" s="82"/>
      <c r="BK14" s="82"/>
    </row>
    <row r="15" spans="1:63" ht="22" customHeight="1" x14ac:dyDescent="0.15">
      <c r="A15" s="32" t="s">
        <v>1118</v>
      </c>
      <c r="B15" s="33" t="s">
        <v>1119</v>
      </c>
      <c r="C15" s="34" t="s">
        <v>1119</v>
      </c>
      <c r="D15" s="34" t="s">
        <v>1119</v>
      </c>
      <c r="E15" s="34" t="s">
        <v>1119</v>
      </c>
      <c r="F15" s="34" t="s">
        <v>1119</v>
      </c>
      <c r="G15" s="34" t="s">
        <v>1119</v>
      </c>
      <c r="H15" s="34" t="s">
        <v>1119</v>
      </c>
      <c r="I15" s="34" t="s">
        <v>1119</v>
      </c>
      <c r="J15" s="34" t="s">
        <v>1119</v>
      </c>
      <c r="K15" s="34" t="s">
        <v>1119</v>
      </c>
      <c r="L15" s="34" t="s">
        <v>1119</v>
      </c>
      <c r="M15" s="34" t="s">
        <v>1119</v>
      </c>
      <c r="N15" s="34" t="s">
        <v>1119</v>
      </c>
      <c r="O15" s="34" t="s">
        <v>1119</v>
      </c>
      <c r="P15" s="34" t="s">
        <v>1119</v>
      </c>
      <c r="Q15" s="34" t="s">
        <v>1119</v>
      </c>
      <c r="R15" s="34" t="s">
        <v>1119</v>
      </c>
      <c r="S15" s="35">
        <v>0.14000000000000001</v>
      </c>
      <c r="T15" s="34" t="s">
        <v>1119</v>
      </c>
      <c r="U15" s="34" t="s">
        <v>1119</v>
      </c>
      <c r="V15" s="34" t="s">
        <v>1119</v>
      </c>
      <c r="W15" s="34" t="s">
        <v>1119</v>
      </c>
      <c r="X15" s="34" t="s">
        <v>1119</v>
      </c>
      <c r="Y15" s="34" t="s">
        <v>1119</v>
      </c>
      <c r="Z15" s="34" t="s">
        <v>1119</v>
      </c>
      <c r="AA15" s="34" t="s">
        <v>1119</v>
      </c>
      <c r="AB15" s="34" t="s">
        <v>1119</v>
      </c>
      <c r="AC15" s="34" t="s">
        <v>1119</v>
      </c>
      <c r="AD15" s="13"/>
      <c r="AE15" s="37" t="s">
        <v>1119</v>
      </c>
      <c r="AF15" s="34" t="s">
        <v>1119</v>
      </c>
      <c r="AG15" s="34" t="s">
        <v>1119</v>
      </c>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row>
    <row r="16" spans="1:63" ht="22" customHeight="1" x14ac:dyDescent="0.2">
      <c r="A16" s="32" t="s">
        <v>1123</v>
      </c>
      <c r="B16" s="74">
        <v>2.3800000000000002E-2</v>
      </c>
      <c r="C16" s="34">
        <v>1.3070000000000002E-2</v>
      </c>
      <c r="D16" s="34">
        <v>1.374E-2</v>
      </c>
      <c r="E16" s="34">
        <v>2.0200000000000003E-2</v>
      </c>
      <c r="F16" s="34">
        <v>1.9130000000000001E-2</v>
      </c>
      <c r="G16" s="34">
        <v>2.3178000000000004E-5</v>
      </c>
      <c r="H16" s="34">
        <f>1.82*10^-3</f>
        <v>1.82E-3</v>
      </c>
      <c r="I16" s="34">
        <v>1.24E-2</v>
      </c>
      <c r="J16" s="34">
        <v>1.064E-2</v>
      </c>
      <c r="K16" s="37">
        <v>6.9999999999999999E-4</v>
      </c>
      <c r="L16" s="34">
        <v>7.6475099999999999E-6</v>
      </c>
      <c r="M16" s="34">
        <v>1.7000000000000001E-2</v>
      </c>
      <c r="N16" s="34">
        <v>1.7299999999999999E-2</v>
      </c>
      <c r="O16" s="34">
        <v>2.8000000000000001E-2</v>
      </c>
      <c r="P16" s="34">
        <v>1.6199999999999999E-2</v>
      </c>
      <c r="Q16" s="34">
        <v>2.1000000000000001E-2</v>
      </c>
      <c r="R16" s="37">
        <v>2.2800000000000001E-2</v>
      </c>
      <c r="S16" s="34">
        <v>7.9000000000000001E-4</v>
      </c>
      <c r="T16" s="34">
        <v>2.9138E-6</v>
      </c>
      <c r="U16" s="37">
        <v>9.0000000000000002E-6</v>
      </c>
      <c r="V16" s="34">
        <v>1.78E-2</v>
      </c>
      <c r="W16" s="34">
        <v>2.3300000000000001E-2</v>
      </c>
      <c r="X16" s="34">
        <v>3.1400000000000004E-2</v>
      </c>
      <c r="Y16" s="37">
        <v>1.3100000000000001E-2</v>
      </c>
      <c r="Z16" s="34">
        <v>1.2E-2</v>
      </c>
      <c r="AA16" s="34">
        <v>4.4000000000000003E-3</v>
      </c>
      <c r="AB16" s="34">
        <v>3.0000000000000004E-5</v>
      </c>
      <c r="AC16" s="34">
        <v>2.0000000000000001E-4</v>
      </c>
      <c r="AD16" s="13"/>
      <c r="AE16" s="37" t="s">
        <v>1119</v>
      </c>
      <c r="AF16" s="37">
        <v>1E-3</v>
      </c>
      <c r="AG16" s="38">
        <v>7.6639999999999998E-6</v>
      </c>
      <c r="AH16" s="13"/>
      <c r="AI16" s="13"/>
      <c r="AJ16" s="13"/>
      <c r="AK16" s="13"/>
      <c r="AL16" s="13"/>
      <c r="AM16" s="13"/>
      <c r="AN16" s="13"/>
      <c r="AO16" s="13"/>
      <c r="AP16" s="13"/>
      <c r="AQ16" s="13"/>
      <c r="AR16" s="13"/>
      <c r="AS16" s="13"/>
      <c r="AT16" s="13"/>
      <c r="AU16" s="13"/>
      <c r="AV16" s="13"/>
      <c r="AW16" s="13"/>
      <c r="AX16" s="13"/>
      <c r="AY16" s="13"/>
      <c r="AZ16" s="13"/>
      <c r="BA16" s="1"/>
      <c r="BB16" s="13"/>
      <c r="BC16" s="13"/>
      <c r="BD16" s="13"/>
      <c r="BE16" s="13"/>
      <c r="BF16" s="13"/>
      <c r="BG16" s="13"/>
      <c r="BH16" s="13"/>
      <c r="BI16" s="13"/>
      <c r="BJ16" s="13"/>
      <c r="BK16" s="13"/>
    </row>
    <row r="17" spans="1:63" ht="22" customHeight="1" x14ac:dyDescent="0.2">
      <c r="A17" s="32" t="s">
        <v>1124</v>
      </c>
      <c r="B17" s="33">
        <v>2.97</v>
      </c>
      <c r="C17" s="34">
        <v>3.05</v>
      </c>
      <c r="D17" s="34">
        <v>3</v>
      </c>
      <c r="E17" s="34">
        <v>3</v>
      </c>
      <c r="F17" s="34">
        <v>2.94</v>
      </c>
      <c r="G17" s="34">
        <v>2.9588999999999999</v>
      </c>
      <c r="H17" s="34">
        <v>3.15</v>
      </c>
      <c r="I17" s="34">
        <v>3.0569999999999999</v>
      </c>
      <c r="J17" s="34">
        <v>3.06</v>
      </c>
      <c r="K17" s="34">
        <v>3.5750000000000002</v>
      </c>
      <c r="L17" s="34">
        <v>3.24281</v>
      </c>
      <c r="M17" s="34">
        <v>3.0422600000000002</v>
      </c>
      <c r="N17" s="34">
        <v>3.02583</v>
      </c>
      <c r="O17" s="34">
        <v>2.8442600000000002</v>
      </c>
      <c r="P17" s="34">
        <v>3.01</v>
      </c>
      <c r="Q17" s="34">
        <v>2.996</v>
      </c>
      <c r="R17" s="34">
        <v>2.9220000000000002</v>
      </c>
      <c r="S17" s="34">
        <v>3.2509999999999999</v>
      </c>
      <c r="T17" s="34">
        <v>3.2696999999999998</v>
      </c>
      <c r="U17" s="34">
        <v>3.2063999999999999</v>
      </c>
      <c r="V17" s="34">
        <v>2.7967499999999998</v>
      </c>
      <c r="W17" s="34">
        <v>2.919</v>
      </c>
      <c r="X17" s="34" t="s">
        <v>234</v>
      </c>
      <c r="Y17" s="34">
        <v>3.0880000000000001</v>
      </c>
      <c r="Z17" s="34">
        <v>3.0110000000000001</v>
      </c>
      <c r="AA17" s="34">
        <v>3.0830000000000002</v>
      </c>
      <c r="AB17" s="34">
        <v>2.9278</v>
      </c>
      <c r="AC17" s="34">
        <v>3.26</v>
      </c>
      <c r="AD17" s="13"/>
      <c r="AE17" s="37" t="s">
        <v>1119</v>
      </c>
      <c r="AF17" s="34">
        <v>2.98</v>
      </c>
      <c r="AG17" s="39">
        <v>3.4380000000000002</v>
      </c>
      <c r="AH17" s="13"/>
      <c r="AI17" s="13"/>
      <c r="AJ17" s="13"/>
      <c r="AK17" s="13"/>
      <c r="AL17" s="13"/>
      <c r="AM17" s="13"/>
      <c r="AN17" s="13"/>
      <c r="AO17" s="13"/>
      <c r="AP17" s="13"/>
      <c r="AQ17" s="13"/>
      <c r="AR17" s="13"/>
      <c r="AS17" s="13"/>
      <c r="AT17" s="13"/>
      <c r="AU17" s="13"/>
      <c r="AV17" s="13"/>
      <c r="AW17" s="13"/>
      <c r="AX17" s="13"/>
      <c r="AY17" s="13"/>
      <c r="AZ17" s="13"/>
      <c r="BA17" s="1"/>
      <c r="BB17" s="13"/>
      <c r="BC17" s="13"/>
      <c r="BD17" s="13"/>
      <c r="BE17" s="13"/>
      <c r="BF17" s="13"/>
      <c r="BG17" s="13"/>
      <c r="BH17" s="13"/>
      <c r="BI17" s="13"/>
      <c r="BJ17" s="13"/>
      <c r="BK17" s="13"/>
    </row>
    <row r="18" spans="1:63" ht="22" customHeight="1" x14ac:dyDescent="0.2">
      <c r="A18" s="32" t="s">
        <v>1198</v>
      </c>
      <c r="B18" s="33" t="s">
        <v>1189</v>
      </c>
      <c r="C18" s="34" t="s">
        <v>1189</v>
      </c>
      <c r="D18" s="34" t="s">
        <v>1189</v>
      </c>
      <c r="E18" s="34" t="s">
        <v>1189</v>
      </c>
      <c r="F18" s="34" t="s">
        <v>1189</v>
      </c>
      <c r="G18" s="34" t="s">
        <v>1192</v>
      </c>
      <c r="H18" s="34" t="s">
        <v>1192</v>
      </c>
      <c r="I18" s="34" t="s">
        <v>1189</v>
      </c>
      <c r="J18" s="34" t="s">
        <v>1189</v>
      </c>
      <c r="K18" s="34" t="s">
        <v>1189</v>
      </c>
      <c r="L18" s="34" t="s">
        <v>1189</v>
      </c>
      <c r="M18" s="34" t="s">
        <v>1189</v>
      </c>
      <c r="N18" s="34" t="s">
        <v>1189</v>
      </c>
      <c r="O18" s="34" t="s">
        <v>1189</v>
      </c>
      <c r="P18" s="34" t="s">
        <v>1189</v>
      </c>
      <c r="Q18" s="34" t="s">
        <v>1189</v>
      </c>
      <c r="R18" s="34" t="s">
        <v>1189</v>
      </c>
      <c r="S18" s="34" t="s">
        <v>1189</v>
      </c>
      <c r="T18" s="34" t="s">
        <v>1192</v>
      </c>
      <c r="U18" s="34" t="s">
        <v>1192</v>
      </c>
      <c r="V18" s="34" t="s">
        <v>1189</v>
      </c>
      <c r="W18" s="34" t="s">
        <v>1189</v>
      </c>
      <c r="X18" s="34" t="s">
        <v>1189</v>
      </c>
      <c r="Y18" s="34" t="s">
        <v>1189</v>
      </c>
      <c r="Z18" s="34" t="s">
        <v>1189</v>
      </c>
      <c r="AA18" s="34" t="s">
        <v>1189</v>
      </c>
      <c r="AB18" s="34" t="s">
        <v>1189</v>
      </c>
      <c r="AC18" s="34" t="s">
        <v>1189</v>
      </c>
      <c r="AD18" s="13"/>
      <c r="AE18" s="37" t="s">
        <v>1119</v>
      </c>
      <c r="AF18" s="34" t="s">
        <v>1189</v>
      </c>
      <c r="AG18" s="39" t="s">
        <v>1192</v>
      </c>
      <c r="AH18" s="13"/>
      <c r="AI18" s="13"/>
      <c r="AJ18" s="13"/>
      <c r="AK18" s="13"/>
      <c r="AL18" s="13"/>
      <c r="AM18" s="13"/>
      <c r="AN18" s="13"/>
      <c r="AO18" s="13"/>
      <c r="AP18" s="13"/>
      <c r="AQ18" s="13"/>
      <c r="AR18" s="13"/>
      <c r="AS18" s="13"/>
      <c r="AT18" s="13"/>
      <c r="AU18" s="13"/>
      <c r="AV18" s="13"/>
      <c r="AW18" s="13"/>
      <c r="AX18" s="13"/>
      <c r="AY18" s="13"/>
      <c r="AZ18" s="13"/>
      <c r="BA18" s="1"/>
      <c r="BB18" s="13"/>
      <c r="BC18" s="13"/>
      <c r="BD18" s="13"/>
      <c r="BE18" s="13"/>
      <c r="BF18" s="13"/>
      <c r="BG18" s="13"/>
      <c r="BH18" s="13"/>
      <c r="BI18" s="13"/>
      <c r="BJ18" s="13"/>
      <c r="BK18" s="13"/>
    </row>
    <row r="19" spans="1:63" ht="22" customHeight="1" x14ac:dyDescent="0.2">
      <c r="A19" s="32" t="s">
        <v>1199</v>
      </c>
      <c r="B19" s="33" t="s">
        <v>1201</v>
      </c>
      <c r="C19" s="34" t="s">
        <v>1194</v>
      </c>
      <c r="D19" s="34" t="s">
        <v>1195</v>
      </c>
      <c r="E19" s="34" t="s">
        <v>1201</v>
      </c>
      <c r="F19" s="34" t="s">
        <v>1194</v>
      </c>
      <c r="G19" s="34" t="s">
        <v>1195</v>
      </c>
      <c r="H19" s="34" t="s">
        <v>1201</v>
      </c>
      <c r="I19" s="34" t="s">
        <v>1195</v>
      </c>
      <c r="J19" s="34" t="s">
        <v>1194</v>
      </c>
      <c r="K19" s="34" t="s">
        <v>1194</v>
      </c>
      <c r="L19" s="34" t="s">
        <v>1201</v>
      </c>
      <c r="M19" s="34" t="s">
        <v>1201</v>
      </c>
      <c r="N19" s="34" t="s">
        <v>1201</v>
      </c>
      <c r="O19" s="34" t="s">
        <v>1201</v>
      </c>
      <c r="P19" s="34" t="s">
        <v>1201</v>
      </c>
      <c r="Q19" s="34" t="s">
        <v>1201</v>
      </c>
      <c r="R19" s="34" t="s">
        <v>1195</v>
      </c>
      <c r="S19" s="34" t="s">
        <v>1201</v>
      </c>
      <c r="T19" s="34" t="s">
        <v>1201</v>
      </c>
      <c r="U19" s="34" t="s">
        <v>1201</v>
      </c>
      <c r="V19" s="34" t="s">
        <v>1194</v>
      </c>
      <c r="W19" s="34" t="s">
        <v>1195</v>
      </c>
      <c r="X19" s="34" t="s">
        <v>1193</v>
      </c>
      <c r="Y19" s="34" t="s">
        <v>1201</v>
      </c>
      <c r="Z19" s="34" t="s">
        <v>1195</v>
      </c>
      <c r="AA19" s="34" t="s">
        <v>1201</v>
      </c>
      <c r="AB19" s="34" t="s">
        <v>1201</v>
      </c>
      <c r="AC19" s="34" t="s">
        <v>1195</v>
      </c>
      <c r="AD19" s="13"/>
      <c r="AE19" s="37" t="s">
        <v>1119</v>
      </c>
      <c r="AF19" s="34" t="s">
        <v>1196</v>
      </c>
      <c r="AG19" s="39" t="s">
        <v>1197</v>
      </c>
      <c r="AH19" s="13"/>
      <c r="AI19" s="13"/>
      <c r="AJ19" s="13"/>
      <c r="AK19" s="13"/>
      <c r="AL19" s="13"/>
      <c r="AM19" s="13"/>
      <c r="AN19" s="13"/>
      <c r="AO19" s="13"/>
      <c r="AP19" s="13"/>
      <c r="AQ19" s="13"/>
      <c r="AR19" s="13"/>
      <c r="AS19" s="13"/>
      <c r="AT19" s="13"/>
      <c r="AU19" s="13"/>
      <c r="AV19" s="13"/>
      <c r="AW19" s="13"/>
      <c r="AX19" s="13"/>
      <c r="AY19" s="13"/>
      <c r="AZ19" s="13"/>
      <c r="BA19" s="1"/>
      <c r="BB19" s="13"/>
      <c r="BC19" s="13"/>
      <c r="BD19" s="13"/>
      <c r="BE19" s="13"/>
      <c r="BF19" s="13"/>
      <c r="BG19" s="13"/>
      <c r="BH19" s="13"/>
      <c r="BI19" s="13"/>
      <c r="BJ19" s="13"/>
      <c r="BK19" s="13"/>
    </row>
    <row r="20" spans="1:63" ht="22" customHeight="1" x14ac:dyDescent="0.2">
      <c r="A20" s="32" t="s">
        <v>1200</v>
      </c>
      <c r="B20" s="33" t="s">
        <v>1202</v>
      </c>
      <c r="C20" s="34" t="s">
        <v>1202</v>
      </c>
      <c r="D20" s="34" t="s">
        <v>1202</v>
      </c>
      <c r="E20" s="34" t="s">
        <v>1202</v>
      </c>
      <c r="F20" s="34" t="s">
        <v>1202</v>
      </c>
      <c r="G20" s="34" t="s">
        <v>1202</v>
      </c>
      <c r="H20" s="34" t="s">
        <v>1202</v>
      </c>
      <c r="I20" s="34" t="s">
        <v>1202</v>
      </c>
      <c r="J20" s="34" t="s">
        <v>1202</v>
      </c>
      <c r="K20" s="34" t="s">
        <v>1202</v>
      </c>
      <c r="L20" s="34" t="s">
        <v>1203</v>
      </c>
      <c r="M20" s="34" t="s">
        <v>1202</v>
      </c>
      <c r="N20" s="34" t="s">
        <v>1202</v>
      </c>
      <c r="O20" s="34" t="s">
        <v>1202</v>
      </c>
      <c r="P20" s="34" t="s">
        <v>1202</v>
      </c>
      <c r="Q20" s="34" t="s">
        <v>1202</v>
      </c>
      <c r="R20" s="34" t="s">
        <v>1202</v>
      </c>
      <c r="S20" s="34" t="s">
        <v>1202</v>
      </c>
      <c r="T20" s="34" t="s">
        <v>1202</v>
      </c>
      <c r="U20" s="34" t="s">
        <v>1202</v>
      </c>
      <c r="V20" s="34" t="s">
        <v>1202</v>
      </c>
      <c r="W20" s="34" t="s">
        <v>1202</v>
      </c>
      <c r="X20" s="34" t="s">
        <v>1202</v>
      </c>
      <c r="Y20" s="34" t="s">
        <v>1202</v>
      </c>
      <c r="Z20" s="34" t="s">
        <v>1202</v>
      </c>
      <c r="AA20" s="34" t="s">
        <v>1202</v>
      </c>
      <c r="AB20" s="34" t="s">
        <v>1203</v>
      </c>
      <c r="AC20" s="34" t="s">
        <v>1202</v>
      </c>
      <c r="AD20" s="13"/>
      <c r="AE20" s="37" t="s">
        <v>1119</v>
      </c>
      <c r="AF20" s="34" t="s">
        <v>1202</v>
      </c>
      <c r="AG20" s="39" t="s">
        <v>1202</v>
      </c>
      <c r="AH20" s="13"/>
      <c r="AI20" s="13"/>
      <c r="AJ20" s="13"/>
      <c r="AK20" s="13"/>
      <c r="AL20" s="13"/>
      <c r="AM20" s="13"/>
      <c r="AN20" s="13"/>
      <c r="AO20" s="13"/>
      <c r="AP20" s="13"/>
      <c r="AQ20" s="13"/>
      <c r="AR20" s="13"/>
      <c r="AS20" s="13"/>
      <c r="AT20" s="13"/>
      <c r="AU20" s="13"/>
      <c r="AV20" s="13"/>
      <c r="AW20" s="13"/>
      <c r="AX20" s="13"/>
      <c r="AY20" s="13"/>
      <c r="AZ20" s="13"/>
      <c r="BA20" s="1"/>
      <c r="BB20" s="13"/>
      <c r="BC20" s="13"/>
      <c r="BD20" s="13"/>
      <c r="BE20" s="13"/>
      <c r="BF20" s="13"/>
      <c r="BG20" s="13"/>
      <c r="BH20" s="13"/>
      <c r="BI20" s="13"/>
      <c r="BJ20" s="13"/>
      <c r="BK20" s="13"/>
    </row>
    <row r="21" spans="1:63" ht="22" customHeight="1" x14ac:dyDescent="0.2">
      <c r="A21" s="89" t="s">
        <v>1128</v>
      </c>
      <c r="B21" s="33" t="s">
        <v>1119</v>
      </c>
      <c r="C21" s="34" t="s">
        <v>1119</v>
      </c>
      <c r="D21" s="34" t="s">
        <v>1119</v>
      </c>
      <c r="E21" s="34" t="s">
        <v>1119</v>
      </c>
      <c r="F21" s="34" t="s">
        <v>1119</v>
      </c>
      <c r="G21" s="34">
        <v>30</v>
      </c>
      <c r="H21" s="34" t="s">
        <v>1119</v>
      </c>
      <c r="I21" s="34" t="s">
        <v>1119</v>
      </c>
      <c r="J21" s="34" t="s">
        <v>1119</v>
      </c>
      <c r="K21" s="34" t="s">
        <v>1119</v>
      </c>
      <c r="L21" s="34" t="s">
        <v>1119</v>
      </c>
      <c r="M21" s="34" t="s">
        <v>1119</v>
      </c>
      <c r="N21" s="34" t="s">
        <v>1119</v>
      </c>
      <c r="O21" s="34" t="s">
        <v>1119</v>
      </c>
      <c r="P21" s="34" t="s">
        <v>1119</v>
      </c>
      <c r="Q21" s="34">
        <v>24</v>
      </c>
      <c r="R21" s="34" t="s">
        <v>1119</v>
      </c>
      <c r="S21" s="34">
        <v>10</v>
      </c>
      <c r="T21" s="34" t="s">
        <v>1119</v>
      </c>
      <c r="U21" s="34">
        <v>6</v>
      </c>
      <c r="V21" s="34" t="s">
        <v>1119</v>
      </c>
      <c r="W21" s="34" t="s">
        <v>1119</v>
      </c>
      <c r="X21" s="34" t="s">
        <v>1119</v>
      </c>
      <c r="Y21" s="34" t="s">
        <v>1119</v>
      </c>
      <c r="Z21" s="34" t="s">
        <v>1119</v>
      </c>
      <c r="AA21" s="34" t="s">
        <v>1119</v>
      </c>
      <c r="AB21" s="34" t="s">
        <v>1119</v>
      </c>
      <c r="AC21" s="34" t="s">
        <v>1119</v>
      </c>
      <c r="AD21" s="13"/>
      <c r="AE21" s="34" t="s">
        <v>1119</v>
      </c>
      <c r="AF21" s="34" t="s">
        <v>1119</v>
      </c>
      <c r="AG21" s="39" t="s">
        <v>1119</v>
      </c>
      <c r="AH21" s="13"/>
      <c r="AI21" s="13"/>
      <c r="AJ21" s="13"/>
      <c r="AK21" s="13"/>
      <c r="AL21" s="13"/>
      <c r="AM21" s="13"/>
      <c r="AN21" s="13"/>
      <c r="AO21" s="13"/>
      <c r="AP21" s="13"/>
      <c r="AQ21" s="13"/>
      <c r="AR21" s="13"/>
      <c r="AS21" s="13"/>
      <c r="AT21" s="13"/>
      <c r="AU21" s="13"/>
      <c r="AV21" s="13"/>
      <c r="AW21" s="13"/>
      <c r="AX21" s="13"/>
      <c r="AY21" s="13"/>
      <c r="AZ21" s="13"/>
      <c r="BA21" s="1"/>
      <c r="BB21" s="13"/>
      <c r="BC21" s="13"/>
      <c r="BD21" s="13"/>
      <c r="BE21" s="13"/>
      <c r="BF21" s="13"/>
      <c r="BG21" s="13"/>
      <c r="BH21" s="13"/>
      <c r="BI21" s="13"/>
      <c r="BJ21" s="13"/>
      <c r="BK21" s="13"/>
    </row>
    <row r="22" spans="1:63" ht="22" customHeight="1" x14ac:dyDescent="0.2">
      <c r="A22" s="89" t="s">
        <v>1129</v>
      </c>
      <c r="B22" s="33" t="s">
        <v>1119</v>
      </c>
      <c r="C22" s="34" t="s">
        <v>1119</v>
      </c>
      <c r="D22" s="34" t="s">
        <v>1119</v>
      </c>
      <c r="E22" s="34" t="s">
        <v>1119</v>
      </c>
      <c r="F22" s="34" t="s">
        <v>1119</v>
      </c>
      <c r="G22" s="34">
        <v>25</v>
      </c>
      <c r="H22" s="34" t="s">
        <v>1119</v>
      </c>
      <c r="I22" s="34" t="s">
        <v>1119</v>
      </c>
      <c r="J22" s="34" t="s">
        <v>1119</v>
      </c>
      <c r="K22" s="34" t="s">
        <v>1119</v>
      </c>
      <c r="L22" s="34" t="s">
        <v>1119</v>
      </c>
      <c r="M22" s="34" t="s">
        <v>1119</v>
      </c>
      <c r="N22" s="34" t="s">
        <v>1119</v>
      </c>
      <c r="O22" s="34" t="s">
        <v>1119</v>
      </c>
      <c r="P22" s="34" t="s">
        <v>1119</v>
      </c>
      <c r="Q22" s="34">
        <v>21</v>
      </c>
      <c r="R22" s="34" t="s">
        <v>1119</v>
      </c>
      <c r="S22" s="34">
        <v>5</v>
      </c>
      <c r="T22" s="34" t="s">
        <v>1119</v>
      </c>
      <c r="U22" s="34">
        <v>10</v>
      </c>
      <c r="V22" s="34" t="s">
        <v>1119</v>
      </c>
      <c r="W22" s="34" t="s">
        <v>1119</v>
      </c>
      <c r="X22" s="34" t="s">
        <v>1119</v>
      </c>
      <c r="Y22" s="34" t="s">
        <v>1119</v>
      </c>
      <c r="Z22" s="34" t="s">
        <v>1119</v>
      </c>
      <c r="AA22" s="34" t="s">
        <v>1119</v>
      </c>
      <c r="AB22" s="34" t="s">
        <v>1119</v>
      </c>
      <c r="AC22" s="34" t="s">
        <v>1119</v>
      </c>
      <c r="AD22" s="13"/>
      <c r="AE22" s="34" t="s">
        <v>1119</v>
      </c>
      <c r="AF22" s="34" t="s">
        <v>1119</v>
      </c>
      <c r="AG22" s="39" t="s">
        <v>1119</v>
      </c>
      <c r="AH22" s="13"/>
      <c r="AI22" s="13"/>
      <c r="AJ22" s="13"/>
      <c r="AK22" s="13"/>
      <c r="AL22" s="13"/>
      <c r="AM22" s="13"/>
      <c r="AN22" s="13"/>
      <c r="AO22" s="13"/>
      <c r="AP22" s="13"/>
      <c r="AQ22" s="13"/>
      <c r="AR22" s="13"/>
      <c r="AS22" s="13"/>
      <c r="AT22" s="13"/>
      <c r="AU22" s="13"/>
      <c r="AV22" s="13"/>
      <c r="AW22" s="13"/>
      <c r="AX22" s="13"/>
      <c r="AY22" s="13"/>
      <c r="AZ22" s="13"/>
      <c r="BA22" s="1"/>
      <c r="BB22" s="13"/>
      <c r="BC22" s="13"/>
      <c r="BD22" s="13"/>
      <c r="BE22" s="13"/>
      <c r="BF22" s="13"/>
      <c r="BG22" s="13"/>
      <c r="BH22" s="13"/>
      <c r="BI22" s="13"/>
      <c r="BJ22" s="13"/>
      <c r="BK22" s="13"/>
    </row>
    <row r="23" spans="1:63" ht="22" customHeight="1" x14ac:dyDescent="0.2">
      <c r="A23" s="32" t="s">
        <v>1127</v>
      </c>
      <c r="B23" s="33">
        <v>16</v>
      </c>
      <c r="C23" s="34">
        <v>40</v>
      </c>
      <c r="D23" s="34">
        <v>9</v>
      </c>
      <c r="E23" s="34">
        <v>26.3</v>
      </c>
      <c r="F23" s="34">
        <v>12.5</v>
      </c>
      <c r="G23" s="34">
        <f>(30+25)/2</f>
        <v>27.5</v>
      </c>
      <c r="H23" s="34">
        <v>9</v>
      </c>
      <c r="I23" s="34">
        <v>31</v>
      </c>
      <c r="J23" s="34">
        <v>8</v>
      </c>
      <c r="K23" s="34">
        <f>(3+8.5)/2</f>
        <v>5.75</v>
      </c>
      <c r="L23" s="34">
        <v>12</v>
      </c>
      <c r="M23" s="34">
        <v>15</v>
      </c>
      <c r="N23" s="34">
        <v>14</v>
      </c>
      <c r="O23" s="34">
        <v>31</v>
      </c>
      <c r="P23" s="34">
        <v>55</v>
      </c>
      <c r="Q23" s="34">
        <f>(24+21+18)/3</f>
        <v>21</v>
      </c>
      <c r="R23" s="34">
        <f>(38+50)/2</f>
        <v>44</v>
      </c>
      <c r="S23" s="34">
        <f>(10+5)/2</f>
        <v>7.5</v>
      </c>
      <c r="T23" s="34">
        <v>12</v>
      </c>
      <c r="U23" s="34">
        <f>(26+6+10)/3</f>
        <v>14</v>
      </c>
      <c r="V23" s="34">
        <f>(4.91+6+7)/3</f>
        <v>5.97</v>
      </c>
      <c r="W23" s="34">
        <v>13</v>
      </c>
      <c r="X23" s="34">
        <v>2.5</v>
      </c>
      <c r="Y23" s="34">
        <v>2</v>
      </c>
      <c r="Z23" s="34">
        <v>7.8</v>
      </c>
      <c r="AA23" s="34">
        <v>5</v>
      </c>
      <c r="AB23" s="34">
        <v>9</v>
      </c>
      <c r="AC23" s="34">
        <v>15</v>
      </c>
      <c r="AD23" s="13"/>
      <c r="AE23" s="34">
        <v>15</v>
      </c>
      <c r="AF23" s="34">
        <v>14</v>
      </c>
      <c r="AG23" s="34">
        <v>3</v>
      </c>
      <c r="AH23" s="13"/>
      <c r="AI23" s="13"/>
      <c r="AJ23" s="13"/>
      <c r="AK23" s="13"/>
      <c r="AL23" s="13"/>
      <c r="AM23" s="13"/>
      <c r="AN23" s="13"/>
      <c r="AO23" s="13"/>
      <c r="AP23" s="13"/>
      <c r="AQ23" s="13"/>
      <c r="AR23" s="13"/>
      <c r="AS23" s="13"/>
      <c r="AT23" s="13"/>
      <c r="AU23" s="13"/>
      <c r="AV23" s="13"/>
      <c r="AW23" s="13"/>
      <c r="AX23" s="13"/>
      <c r="AY23" s="13"/>
      <c r="AZ23" s="13"/>
      <c r="BA23" s="1"/>
      <c r="BB23" s="13"/>
      <c r="BC23" s="13"/>
      <c r="BD23" s="13"/>
      <c r="BE23" s="13"/>
      <c r="BF23" s="13"/>
      <c r="BG23" s="13"/>
      <c r="BH23" s="13"/>
      <c r="BI23" s="13"/>
      <c r="BJ23" s="13"/>
      <c r="BK23" s="13"/>
    </row>
    <row r="24" spans="1:63" ht="22" customHeight="1" x14ac:dyDescent="0.2">
      <c r="A24" s="32" t="s">
        <v>1130</v>
      </c>
      <c r="B24" s="33" t="s">
        <v>1114</v>
      </c>
      <c r="C24" s="34" t="s">
        <v>1114</v>
      </c>
      <c r="D24" s="34" t="s">
        <v>1114</v>
      </c>
      <c r="E24" s="34" t="s">
        <v>1114</v>
      </c>
      <c r="F24" s="34" t="s">
        <v>1114</v>
      </c>
      <c r="G24" s="34" t="s">
        <v>1114</v>
      </c>
      <c r="H24" s="34" t="s">
        <v>1114</v>
      </c>
      <c r="I24" s="34" t="s">
        <v>1114</v>
      </c>
      <c r="J24" s="34" t="s">
        <v>1114</v>
      </c>
      <c r="K24" s="34" t="s">
        <v>1114</v>
      </c>
      <c r="L24" s="34" t="s">
        <v>1114</v>
      </c>
      <c r="M24" s="34" t="s">
        <v>1114</v>
      </c>
      <c r="N24" s="34" t="s">
        <v>1114</v>
      </c>
      <c r="O24" s="34" t="s">
        <v>1114</v>
      </c>
      <c r="P24" s="34" t="s">
        <v>1114</v>
      </c>
      <c r="Q24" s="34" t="s">
        <v>1114</v>
      </c>
      <c r="R24" s="34" t="s">
        <v>1114</v>
      </c>
      <c r="S24" s="34" t="s">
        <v>1114</v>
      </c>
      <c r="T24" s="34" t="s">
        <v>1114</v>
      </c>
      <c r="U24" s="34" t="s">
        <v>1114</v>
      </c>
      <c r="V24" s="34" t="s">
        <v>1114</v>
      </c>
      <c r="W24" s="34" t="s">
        <v>1114</v>
      </c>
      <c r="X24" s="34" t="s">
        <v>1114</v>
      </c>
      <c r="Y24" s="34" t="s">
        <v>1114</v>
      </c>
      <c r="Z24" s="34" t="s">
        <v>1114</v>
      </c>
      <c r="AA24" s="34" t="s">
        <v>1114</v>
      </c>
      <c r="AB24" s="34" t="s">
        <v>1114</v>
      </c>
      <c r="AC24" s="34" t="s">
        <v>1114</v>
      </c>
      <c r="AD24" s="13"/>
      <c r="AE24" s="34" t="s">
        <v>1115</v>
      </c>
      <c r="AF24" s="34" t="s">
        <v>1114</v>
      </c>
      <c r="AG24" s="34" t="s">
        <v>1114</v>
      </c>
      <c r="AH24" s="13"/>
      <c r="AI24" s="13"/>
      <c r="AJ24" s="13"/>
      <c r="AK24" s="13"/>
      <c r="AL24" s="13"/>
      <c r="AM24" s="13"/>
      <c r="AN24" s="13"/>
      <c r="AO24" s="13"/>
      <c r="AP24" s="13"/>
      <c r="AQ24" s="13"/>
      <c r="AR24" s="13"/>
      <c r="AS24" s="13"/>
      <c r="AT24" s="13"/>
      <c r="AU24" s="13"/>
      <c r="AV24" s="13"/>
      <c r="AW24" s="13"/>
      <c r="AX24" s="13"/>
      <c r="AY24" s="13"/>
      <c r="AZ24" s="13"/>
      <c r="BA24" s="1"/>
      <c r="BB24" s="13"/>
      <c r="BC24" s="13"/>
      <c r="BD24" s="13"/>
      <c r="BE24" s="13"/>
      <c r="BF24" s="13"/>
      <c r="BG24" s="13"/>
      <c r="BH24" s="13"/>
      <c r="BI24" s="13"/>
      <c r="BJ24" s="13"/>
      <c r="BK24" s="13"/>
    </row>
    <row r="25" spans="1:63" ht="22" customHeight="1" x14ac:dyDescent="0.2">
      <c r="A25" s="32" t="s">
        <v>1131</v>
      </c>
      <c r="B25" s="33" t="s">
        <v>1119</v>
      </c>
      <c r="C25" s="34" t="s">
        <v>1119</v>
      </c>
      <c r="D25" s="34" t="s">
        <v>1119</v>
      </c>
      <c r="E25" s="34" t="s">
        <v>1119</v>
      </c>
      <c r="F25" s="34" t="s">
        <v>1119</v>
      </c>
      <c r="G25" s="34" t="s">
        <v>1119</v>
      </c>
      <c r="H25" s="34" t="s">
        <v>1119</v>
      </c>
      <c r="I25" s="34" t="s">
        <v>1119</v>
      </c>
      <c r="J25" s="34" t="s">
        <v>1119</v>
      </c>
      <c r="K25" s="34" t="s">
        <v>1119</v>
      </c>
      <c r="L25" s="34" t="s">
        <v>1119</v>
      </c>
      <c r="M25" s="34" t="s">
        <v>1119</v>
      </c>
      <c r="N25" s="34" t="s">
        <v>1119</v>
      </c>
      <c r="O25" s="34" t="s">
        <v>1119</v>
      </c>
      <c r="P25" s="34" t="s">
        <v>1119</v>
      </c>
      <c r="Q25" s="34" t="s">
        <v>1119</v>
      </c>
      <c r="R25" s="34" t="s">
        <v>1119</v>
      </c>
      <c r="S25" s="34" t="s">
        <v>1119</v>
      </c>
      <c r="T25" s="34" t="s">
        <v>1119</v>
      </c>
      <c r="U25" s="34" t="s">
        <v>1119</v>
      </c>
      <c r="V25" s="34" t="s">
        <v>1119</v>
      </c>
      <c r="W25" s="34" t="s">
        <v>1119</v>
      </c>
      <c r="X25" s="34" t="s">
        <v>1119</v>
      </c>
      <c r="Y25" s="34" t="s">
        <v>1119</v>
      </c>
      <c r="Z25" s="34" t="s">
        <v>1119</v>
      </c>
      <c r="AA25" s="34" t="s">
        <v>1119</v>
      </c>
      <c r="AB25" s="34" t="s">
        <v>1119</v>
      </c>
      <c r="AC25" s="34" t="s">
        <v>1119</v>
      </c>
      <c r="AD25" s="13"/>
      <c r="AE25" s="34" t="s">
        <v>1119</v>
      </c>
      <c r="AF25" s="34" t="s">
        <v>1119</v>
      </c>
      <c r="AG25" s="34" t="s">
        <v>1119</v>
      </c>
      <c r="AH25" s="13"/>
      <c r="AI25" s="13"/>
      <c r="AJ25" s="13"/>
      <c r="AK25" s="13"/>
      <c r="AL25" s="13"/>
      <c r="AM25" s="13"/>
      <c r="AN25" s="13"/>
      <c r="AO25" s="13"/>
      <c r="AP25" s="13"/>
      <c r="AQ25" s="13"/>
      <c r="AR25" s="13"/>
      <c r="AS25" s="13"/>
      <c r="AT25" s="13"/>
      <c r="AU25" s="13"/>
      <c r="AV25" s="13"/>
      <c r="AW25" s="13"/>
      <c r="AX25" s="13"/>
      <c r="AY25" s="13"/>
      <c r="AZ25" s="13"/>
      <c r="BA25" s="1"/>
      <c r="BB25" s="13"/>
      <c r="BC25" s="13"/>
      <c r="BD25" s="13"/>
      <c r="BE25" s="13"/>
      <c r="BF25" s="13"/>
      <c r="BG25" s="13"/>
      <c r="BH25" s="13"/>
      <c r="BI25" s="13"/>
      <c r="BJ25" s="13"/>
      <c r="BK25" s="13"/>
    </row>
    <row r="26" spans="1:63" ht="22" customHeight="1" x14ac:dyDescent="0.2">
      <c r="A26" s="32" t="s">
        <v>1132</v>
      </c>
      <c r="B26" s="33" t="s">
        <v>1119</v>
      </c>
      <c r="C26" s="34">
        <v>130</v>
      </c>
      <c r="D26" s="34">
        <v>60</v>
      </c>
      <c r="E26" s="34">
        <v>170</v>
      </c>
      <c r="F26" s="34">
        <v>117</v>
      </c>
      <c r="G26" s="34">
        <v>229</v>
      </c>
      <c r="H26" s="34" t="s">
        <v>1119</v>
      </c>
      <c r="I26" s="34">
        <v>90</v>
      </c>
      <c r="J26" s="34">
        <v>100</v>
      </c>
      <c r="K26" s="34" t="s">
        <v>1119</v>
      </c>
      <c r="L26" s="34">
        <v>110</v>
      </c>
      <c r="M26" s="34">
        <v>50</v>
      </c>
      <c r="N26" s="34">
        <v>60</v>
      </c>
      <c r="O26" s="34" t="s">
        <v>1119</v>
      </c>
      <c r="P26" s="34" t="s">
        <v>1119</v>
      </c>
      <c r="Q26" s="34" t="s">
        <v>1119</v>
      </c>
      <c r="R26" s="34">
        <v>70</v>
      </c>
      <c r="S26" s="34" t="s">
        <v>1119</v>
      </c>
      <c r="T26" s="34" t="s">
        <v>1119</v>
      </c>
      <c r="U26" s="34" t="s">
        <v>1119</v>
      </c>
      <c r="V26" s="34" t="s">
        <v>1119</v>
      </c>
      <c r="W26" s="34" t="s">
        <v>1119</v>
      </c>
      <c r="X26" s="34">
        <v>22</v>
      </c>
      <c r="Y26" s="34">
        <v>40</v>
      </c>
      <c r="Z26" s="34">
        <v>30</v>
      </c>
      <c r="AA26" s="34" t="s">
        <v>1119</v>
      </c>
      <c r="AB26" s="34">
        <v>140</v>
      </c>
      <c r="AC26" s="34">
        <v>234</v>
      </c>
      <c r="AD26" s="13"/>
      <c r="AE26" s="34" t="s">
        <v>1119</v>
      </c>
      <c r="AF26" s="34" t="s">
        <v>1119</v>
      </c>
      <c r="AG26" s="34" t="s">
        <v>1119</v>
      </c>
      <c r="AH26" s="13"/>
      <c r="AI26" s="13"/>
      <c r="AJ26" s="13"/>
      <c r="AK26" s="13"/>
      <c r="AL26" s="13"/>
      <c r="AM26" s="13"/>
      <c r="AN26" s="13"/>
      <c r="AO26" s="13"/>
      <c r="AP26" s="13"/>
      <c r="AQ26" s="13"/>
      <c r="AR26" s="13"/>
      <c r="AS26" s="13"/>
      <c r="AT26" s="13"/>
      <c r="AU26" s="13"/>
      <c r="AV26" s="13"/>
      <c r="AW26" s="13"/>
      <c r="AX26" s="13"/>
      <c r="AY26" s="13"/>
      <c r="AZ26" s="13"/>
      <c r="BA26" s="1"/>
      <c r="BB26" s="13"/>
      <c r="BC26" s="13"/>
      <c r="BD26" s="13"/>
      <c r="BE26" s="13"/>
      <c r="BF26" s="13"/>
      <c r="BG26" s="13"/>
      <c r="BH26" s="13"/>
      <c r="BI26" s="13"/>
      <c r="BJ26" s="13"/>
      <c r="BK26" s="13"/>
    </row>
    <row r="27" spans="1:63" ht="22" customHeight="1" x14ac:dyDescent="0.2">
      <c r="A27" s="32" t="s">
        <v>1135</v>
      </c>
      <c r="B27" s="33">
        <v>21</v>
      </c>
      <c r="C27" s="34">
        <v>130</v>
      </c>
      <c r="D27" s="34">
        <v>60</v>
      </c>
      <c r="E27" s="34">
        <v>170</v>
      </c>
      <c r="F27" s="34">
        <v>117</v>
      </c>
      <c r="G27" s="34">
        <v>229</v>
      </c>
      <c r="H27" s="34">
        <v>40</v>
      </c>
      <c r="I27" s="34">
        <f>(90+62)/2</f>
        <v>76</v>
      </c>
      <c r="J27" s="34" t="s">
        <v>1119</v>
      </c>
      <c r="K27" s="34">
        <v>38</v>
      </c>
      <c r="L27" s="34" t="s">
        <v>1119</v>
      </c>
      <c r="M27" s="34">
        <v>50</v>
      </c>
      <c r="N27" s="34">
        <v>60</v>
      </c>
      <c r="O27" s="34">
        <v>110.6</v>
      </c>
      <c r="P27" s="34">
        <v>90</v>
      </c>
      <c r="Q27" s="34">
        <v>72</v>
      </c>
      <c r="R27" s="34">
        <v>70</v>
      </c>
      <c r="S27" s="34">
        <v>26.5</v>
      </c>
      <c r="T27" s="34">
        <v>80</v>
      </c>
      <c r="U27" s="34">
        <v>120</v>
      </c>
      <c r="V27" s="34">
        <v>32</v>
      </c>
      <c r="W27" s="34">
        <f>(29.83+47.114+90)/3</f>
        <v>55.647999999999996</v>
      </c>
      <c r="X27" s="34">
        <v>22</v>
      </c>
      <c r="Y27" s="34">
        <v>40</v>
      </c>
      <c r="Z27" s="34">
        <v>30</v>
      </c>
      <c r="AA27" s="34">
        <v>60</v>
      </c>
      <c r="AB27" s="34" t="s">
        <v>1119</v>
      </c>
      <c r="AC27" s="34">
        <v>234</v>
      </c>
      <c r="AD27" s="13"/>
      <c r="AE27" s="34" t="s">
        <v>1119</v>
      </c>
      <c r="AF27" s="34">
        <v>40</v>
      </c>
      <c r="AG27" s="34">
        <v>178</v>
      </c>
      <c r="AH27" s="13"/>
      <c r="AI27" s="13"/>
      <c r="AJ27" s="13"/>
      <c r="AK27" s="13"/>
      <c r="AL27" s="13"/>
      <c r="AM27" s="13"/>
      <c r="AN27" s="13"/>
      <c r="AO27" s="13"/>
      <c r="AP27" s="13"/>
      <c r="AQ27" s="13"/>
      <c r="AR27" s="13"/>
      <c r="AS27" s="13"/>
      <c r="AT27" s="13"/>
      <c r="AU27" s="13"/>
      <c r="AV27" s="13"/>
      <c r="AW27" s="13"/>
      <c r="AX27" s="13"/>
      <c r="AY27" s="13"/>
      <c r="AZ27" s="13"/>
      <c r="BA27" s="1"/>
      <c r="BB27" s="13"/>
      <c r="BC27" s="13"/>
      <c r="BD27" s="13"/>
      <c r="BE27" s="13"/>
      <c r="BF27" s="13"/>
      <c r="BG27" s="13"/>
      <c r="BH27" s="13"/>
      <c r="BI27" s="13"/>
      <c r="BJ27" s="13"/>
      <c r="BK27" s="13"/>
    </row>
    <row r="28" spans="1:63" ht="22" customHeight="1" x14ac:dyDescent="0.2">
      <c r="A28" s="32" t="s">
        <v>1205</v>
      </c>
      <c r="B28" s="33" t="s">
        <v>1189</v>
      </c>
      <c r="C28" s="34" t="s">
        <v>1189</v>
      </c>
      <c r="D28" s="34" t="s">
        <v>1189</v>
      </c>
      <c r="E28" s="34" t="s">
        <v>1189</v>
      </c>
      <c r="F28" s="34" t="s">
        <v>1189</v>
      </c>
      <c r="G28" s="34" t="s">
        <v>1189</v>
      </c>
      <c r="H28" s="34" t="s">
        <v>1189</v>
      </c>
      <c r="I28" s="34" t="s">
        <v>1189</v>
      </c>
      <c r="J28" s="34" t="s">
        <v>1189</v>
      </c>
      <c r="K28" s="34" t="s">
        <v>1189</v>
      </c>
      <c r="L28" s="34" t="s">
        <v>1189</v>
      </c>
      <c r="M28" s="34" t="s">
        <v>1189</v>
      </c>
      <c r="N28" s="34" t="s">
        <v>1189</v>
      </c>
      <c r="O28" s="34" t="s">
        <v>1189</v>
      </c>
      <c r="P28" s="34" t="s">
        <v>1189</v>
      </c>
      <c r="Q28" s="34" t="s">
        <v>1189</v>
      </c>
      <c r="R28" s="34" t="s">
        <v>1189</v>
      </c>
      <c r="S28" s="34" t="s">
        <v>1189</v>
      </c>
      <c r="T28" s="34" t="s">
        <v>1189</v>
      </c>
      <c r="U28" s="34" t="s">
        <v>1189</v>
      </c>
      <c r="V28" s="34" t="s">
        <v>1189</v>
      </c>
      <c r="W28" s="34" t="s">
        <v>1189</v>
      </c>
      <c r="X28" s="34" t="s">
        <v>1189</v>
      </c>
      <c r="Y28" s="34" t="s">
        <v>1189</v>
      </c>
      <c r="Z28" s="34" t="s">
        <v>1189</v>
      </c>
      <c r="AA28" s="34" t="s">
        <v>1189</v>
      </c>
      <c r="AB28" s="34" t="s">
        <v>1189</v>
      </c>
      <c r="AC28" s="34" t="s">
        <v>1189</v>
      </c>
      <c r="AD28" s="13"/>
      <c r="AE28" s="34" t="s">
        <v>1119</v>
      </c>
      <c r="AF28" s="34" t="s">
        <v>1189</v>
      </c>
      <c r="AG28" s="34" t="s">
        <v>1192</v>
      </c>
      <c r="AH28" s="13"/>
      <c r="AI28" s="13"/>
      <c r="AJ28" s="13"/>
      <c r="AK28" s="13"/>
      <c r="AL28" s="13"/>
      <c r="AM28" s="13"/>
      <c r="AN28" s="13"/>
      <c r="AO28" s="13"/>
      <c r="AP28" s="13"/>
      <c r="AQ28" s="13"/>
      <c r="AR28" s="13"/>
      <c r="AS28" s="13"/>
      <c r="AT28" s="13"/>
      <c r="AU28" s="13"/>
      <c r="AV28" s="13"/>
      <c r="AW28" s="13"/>
      <c r="AX28" s="13"/>
      <c r="AY28" s="13"/>
      <c r="AZ28" s="13"/>
      <c r="BA28" s="1"/>
      <c r="BB28" s="13"/>
      <c r="BC28" s="13"/>
      <c r="BD28" s="13"/>
      <c r="BE28" s="13"/>
      <c r="BF28" s="13"/>
      <c r="BG28" s="13"/>
      <c r="BH28" s="13"/>
      <c r="BI28" s="13"/>
      <c r="BJ28" s="13"/>
      <c r="BK28" s="13"/>
    </row>
    <row r="29" spans="1:63" ht="22" customHeight="1" x14ac:dyDescent="0.2">
      <c r="A29" s="32" t="s">
        <v>1204</v>
      </c>
      <c r="B29" s="33" t="s">
        <v>1195</v>
      </c>
      <c r="C29" s="34" t="s">
        <v>1195</v>
      </c>
      <c r="D29" s="34" t="s">
        <v>1195</v>
      </c>
      <c r="E29" s="34" t="s">
        <v>1195</v>
      </c>
      <c r="F29" s="34" t="s">
        <v>1201</v>
      </c>
      <c r="G29" s="34" t="s">
        <v>1193</v>
      </c>
      <c r="H29" s="34" t="s">
        <v>1195</v>
      </c>
      <c r="I29" s="34" t="s">
        <v>1193</v>
      </c>
      <c r="J29" s="34" t="s">
        <v>1201</v>
      </c>
      <c r="K29" s="34" t="s">
        <v>1193</v>
      </c>
      <c r="L29" s="34" t="s">
        <v>1201</v>
      </c>
      <c r="M29" s="34" t="s">
        <v>1195</v>
      </c>
      <c r="N29" s="34" t="s">
        <v>1195</v>
      </c>
      <c r="O29" s="34" t="s">
        <v>1194</v>
      </c>
      <c r="P29" s="34" t="s">
        <v>1195</v>
      </c>
      <c r="Q29" s="34" t="s">
        <v>1195</v>
      </c>
      <c r="R29" s="34" t="s">
        <v>1201</v>
      </c>
      <c r="S29" s="34" t="s">
        <v>1201</v>
      </c>
      <c r="T29" s="34" t="s">
        <v>1195</v>
      </c>
      <c r="U29" s="34" t="s">
        <v>1193</v>
      </c>
      <c r="V29" s="34" t="s">
        <v>1194</v>
      </c>
      <c r="W29" s="34" t="s">
        <v>1194</v>
      </c>
      <c r="X29" s="34" t="s">
        <v>1195</v>
      </c>
      <c r="Y29" s="34" t="s">
        <v>1195</v>
      </c>
      <c r="Z29" s="34" t="s">
        <v>1195</v>
      </c>
      <c r="AA29" s="34" t="s">
        <v>1195</v>
      </c>
      <c r="AB29" s="34" t="s">
        <v>1201</v>
      </c>
      <c r="AC29" s="34" t="s">
        <v>1195</v>
      </c>
      <c r="AD29" s="13"/>
      <c r="AE29" s="34" t="s">
        <v>1119</v>
      </c>
      <c r="AF29" s="34" t="s">
        <v>1196</v>
      </c>
      <c r="AG29" s="34" t="s">
        <v>1197</v>
      </c>
      <c r="AH29" s="13"/>
      <c r="AI29" s="13"/>
      <c r="AJ29" s="13"/>
      <c r="AK29" s="13"/>
      <c r="AL29" s="13"/>
      <c r="AM29" s="13"/>
      <c r="AN29" s="13"/>
      <c r="AO29" s="13"/>
      <c r="AP29" s="13"/>
      <c r="AQ29" s="13"/>
      <c r="AR29" s="13"/>
      <c r="AS29" s="13"/>
      <c r="AT29" s="13"/>
      <c r="AU29" s="13"/>
      <c r="AV29" s="13"/>
      <c r="AW29" s="13"/>
      <c r="AX29" s="13"/>
      <c r="AY29" s="13"/>
      <c r="AZ29" s="13"/>
      <c r="BA29" s="1"/>
      <c r="BB29" s="13"/>
      <c r="BC29" s="13"/>
      <c r="BD29" s="13"/>
      <c r="BE29" s="13"/>
      <c r="BF29" s="13"/>
      <c r="BG29" s="13"/>
      <c r="BH29" s="13"/>
      <c r="BI29" s="13"/>
      <c r="BJ29" s="13"/>
      <c r="BK29" s="13"/>
    </row>
    <row r="30" spans="1:63" s="84" customFormat="1" ht="22" customHeight="1" x14ac:dyDescent="0.15">
      <c r="A30" s="81" t="s">
        <v>1136</v>
      </c>
      <c r="B30" s="74">
        <f>1-EXP(-B31)</f>
        <v>0.18126924692201818</v>
      </c>
      <c r="C30" s="75">
        <v>0.21</v>
      </c>
      <c r="D30" s="75">
        <v>0.59</v>
      </c>
      <c r="E30" s="75">
        <v>0.2</v>
      </c>
      <c r="F30" s="75">
        <v>0.42</v>
      </c>
      <c r="G30" s="75">
        <v>0.14000000000000001</v>
      </c>
      <c r="H30" s="75">
        <f>1-EXP(-H31)</f>
        <v>0.29531191028128656</v>
      </c>
      <c r="I30" s="75">
        <f t="shared" ref="I30:L30" si="0">1-EXP(-I31)</f>
        <v>0.1219045690794387</v>
      </c>
      <c r="J30" s="75">
        <f t="shared" si="0"/>
        <v>0.82795513617694949</v>
      </c>
      <c r="K30" s="75">
        <f t="shared" si="0"/>
        <v>0.38121660819385916</v>
      </c>
      <c r="L30" s="75">
        <f t="shared" si="0"/>
        <v>0.54615520471764412</v>
      </c>
      <c r="M30" s="75">
        <f>1-EXP(-M31)</f>
        <v>0.54159398869477648</v>
      </c>
      <c r="N30" s="75">
        <f t="shared" ref="N30:Q30" si="1">1-EXP(-N31)</f>
        <v>0.54159398869477648</v>
      </c>
      <c r="O30" s="75">
        <f t="shared" si="1"/>
        <v>0.30926566936264532</v>
      </c>
      <c r="P30" s="75">
        <f t="shared" si="1"/>
        <v>0.42879093615118513</v>
      </c>
      <c r="Q30" s="75">
        <f t="shared" si="1"/>
        <v>0.5595683454940007</v>
      </c>
      <c r="R30" s="75">
        <v>0.34</v>
      </c>
      <c r="S30" s="75">
        <f>1-EXP(-S31)</f>
        <v>0.84276283368637239</v>
      </c>
      <c r="T30" s="75">
        <v>0.45</v>
      </c>
      <c r="U30" s="75">
        <v>0.247</v>
      </c>
      <c r="V30" s="75">
        <v>0.18</v>
      </c>
      <c r="W30" s="75">
        <v>0.56000000000000005</v>
      </c>
      <c r="X30" s="75">
        <f>1-EXP(-X31)</f>
        <v>0.84276283368637239</v>
      </c>
      <c r="Y30" s="75">
        <f t="shared" ref="Y30:AA30" si="2">1-EXP(-Y31)</f>
        <v>0.77909002204062183</v>
      </c>
      <c r="Z30" s="75">
        <f t="shared" si="2"/>
        <v>0.72472921691024772</v>
      </c>
      <c r="AA30" s="75">
        <f t="shared" si="2"/>
        <v>0.55067103588277844</v>
      </c>
      <c r="AB30" s="75">
        <v>0.34</v>
      </c>
      <c r="AC30" s="75">
        <v>0.48</v>
      </c>
      <c r="AD30" s="82"/>
      <c r="AE30" s="75" t="s">
        <v>1119</v>
      </c>
      <c r="AF30" s="75">
        <v>0.26500000000000001</v>
      </c>
      <c r="AG30" s="75">
        <f>1-EXP(-AG31)</f>
        <v>0.82182694822710156</v>
      </c>
      <c r="AH30" s="82"/>
      <c r="AI30" s="82"/>
      <c r="AJ30" s="82"/>
      <c r="AK30" s="82"/>
      <c r="AL30" s="82"/>
      <c r="AM30" s="82"/>
      <c r="AN30" s="82"/>
      <c r="AO30" s="82"/>
      <c r="AP30" s="82"/>
      <c r="AQ30" s="82"/>
      <c r="AR30" s="82"/>
      <c r="AS30" s="82"/>
      <c r="AT30" s="82"/>
      <c r="AU30" s="82"/>
      <c r="AV30" s="82"/>
      <c r="AW30" s="82"/>
      <c r="AX30" s="82"/>
      <c r="AY30" s="82"/>
      <c r="AZ30" s="82"/>
      <c r="BA30" s="82"/>
      <c r="BB30" s="82"/>
      <c r="BC30" s="82"/>
      <c r="BD30" s="82"/>
      <c r="BE30" s="82"/>
      <c r="BF30" s="82"/>
      <c r="BG30" s="82"/>
      <c r="BH30" s="82"/>
      <c r="BI30" s="82"/>
      <c r="BJ30" s="82"/>
      <c r="BK30" s="82"/>
    </row>
    <row r="31" spans="1:63" s="84" customFormat="1" ht="22" customHeight="1" x14ac:dyDescent="0.15">
      <c r="A31" s="81" t="s">
        <v>1137</v>
      </c>
      <c r="B31" s="74">
        <v>0.2</v>
      </c>
      <c r="C31" s="75">
        <f>-LN(1-C30)</f>
        <v>0.23572233352106983</v>
      </c>
      <c r="D31" s="75">
        <f t="shared" ref="D31:G31" si="3">-LN(1-D30)</f>
        <v>0.89159811928378352</v>
      </c>
      <c r="E31" s="75">
        <f t="shared" si="3"/>
        <v>0.22314355131420971</v>
      </c>
      <c r="F31" s="75">
        <f t="shared" si="3"/>
        <v>0.54472717544167193</v>
      </c>
      <c r="G31" s="75">
        <f t="shared" si="3"/>
        <v>0.15082288973458366</v>
      </c>
      <c r="H31" s="75">
        <v>0.35</v>
      </c>
      <c r="I31" s="75">
        <v>0.13</v>
      </c>
      <c r="J31" s="75">
        <v>1.76</v>
      </c>
      <c r="K31" s="75">
        <f>AVERAGE(0.53,0.36,0.55)</f>
        <v>0.48</v>
      </c>
      <c r="L31" s="75">
        <v>0.79</v>
      </c>
      <c r="M31" s="75">
        <v>0.78</v>
      </c>
      <c r="N31" s="75">
        <f>M31</f>
        <v>0.78</v>
      </c>
      <c r="O31" s="75">
        <v>0.37</v>
      </c>
      <c r="P31" s="75">
        <v>0.56000000000000005</v>
      </c>
      <c r="Q31" s="75">
        <v>0.82</v>
      </c>
      <c r="R31" s="75">
        <f>-LN(1-R30)</f>
        <v>0.41551544396166595</v>
      </c>
      <c r="S31" s="75">
        <v>1.85</v>
      </c>
      <c r="T31" s="75">
        <f>-LN(1-T30)</f>
        <v>0.59783700075562041</v>
      </c>
      <c r="U31" s="75">
        <f t="shared" ref="U31:W31" si="4">-LN(1-U30)</f>
        <v>0.2836900511822435</v>
      </c>
      <c r="V31" s="75">
        <f t="shared" si="4"/>
        <v>0.19845093872383818</v>
      </c>
      <c r="W31" s="75">
        <f t="shared" si="4"/>
        <v>0.82098055206983034</v>
      </c>
      <c r="X31" s="75">
        <v>1.85</v>
      </c>
      <c r="Y31" s="75">
        <v>1.51</v>
      </c>
      <c r="Z31" s="75">
        <v>1.29</v>
      </c>
      <c r="AA31" s="75">
        <v>0.8</v>
      </c>
      <c r="AB31" s="75">
        <f>-LN(1-AB30)</f>
        <v>0.41551544396166595</v>
      </c>
      <c r="AC31" s="75">
        <f>-LN(1-AC30)</f>
        <v>0.65392646740666394</v>
      </c>
      <c r="AD31" s="82"/>
      <c r="AE31" s="75" t="s">
        <v>1119</v>
      </c>
      <c r="AF31" s="75">
        <f>-LN(1-AF30)</f>
        <v>0.3078847797693004</v>
      </c>
      <c r="AG31" s="75">
        <f>AVERAGE(1.8,1.65)</f>
        <v>1.7250000000000001</v>
      </c>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82"/>
      <c r="BI31" s="82"/>
      <c r="BJ31" s="82"/>
      <c r="BK31" s="82"/>
    </row>
    <row r="32" spans="1:63" ht="22" customHeight="1" x14ac:dyDescent="0.2">
      <c r="A32" s="32" t="s">
        <v>1144</v>
      </c>
      <c r="B32" s="33">
        <v>31</v>
      </c>
      <c r="C32" s="34">
        <v>31</v>
      </c>
      <c r="D32" s="34">
        <v>35</v>
      </c>
      <c r="E32" s="34">
        <v>53.8</v>
      </c>
      <c r="F32" s="34">
        <v>57.6</v>
      </c>
      <c r="G32" s="34">
        <v>34.299999999999997</v>
      </c>
      <c r="H32" s="34">
        <v>30</v>
      </c>
      <c r="I32" s="34">
        <v>27.7</v>
      </c>
      <c r="J32" s="34">
        <f>(1.3+2)/2</f>
        <v>1.65</v>
      </c>
      <c r="K32" s="34">
        <v>29</v>
      </c>
      <c r="L32" s="34">
        <v>1</v>
      </c>
      <c r="M32" s="34">
        <v>28</v>
      </c>
      <c r="N32" s="34">
        <v>25</v>
      </c>
      <c r="O32" s="34">
        <v>25</v>
      </c>
      <c r="P32" s="34">
        <v>31.4</v>
      </c>
      <c r="Q32" s="34">
        <v>54</v>
      </c>
      <c r="R32" s="34">
        <v>73.900000000000006</v>
      </c>
      <c r="S32" s="34">
        <v>22</v>
      </c>
      <c r="T32" s="34">
        <v>32.200000000000003</v>
      </c>
      <c r="U32" s="34">
        <v>25.2</v>
      </c>
      <c r="V32" s="34">
        <v>1.2</v>
      </c>
      <c r="W32" s="34">
        <v>29.7</v>
      </c>
      <c r="X32" s="34">
        <v>53.8</v>
      </c>
      <c r="Y32" s="34">
        <v>24.5</v>
      </c>
      <c r="Z32" s="34">
        <v>27.5</v>
      </c>
      <c r="AA32" s="34">
        <v>1.2</v>
      </c>
      <c r="AB32" s="34">
        <v>1.2</v>
      </c>
      <c r="AC32" s="34">
        <v>4.5</v>
      </c>
      <c r="AD32" s="13"/>
      <c r="AE32" s="34">
        <v>30</v>
      </c>
      <c r="AF32" s="34">
        <v>180</v>
      </c>
      <c r="AG32" s="34">
        <f>(26+45)/2</f>
        <v>35.5</v>
      </c>
      <c r="AH32" s="13"/>
      <c r="AI32" s="13"/>
      <c r="AJ32" s="13"/>
      <c r="AK32" s="13"/>
      <c r="AL32" s="13"/>
      <c r="AM32" s="13"/>
      <c r="AN32" s="13"/>
      <c r="AO32" s="13"/>
      <c r="AP32" s="13"/>
      <c r="AQ32" s="13"/>
      <c r="AR32" s="13"/>
      <c r="AS32" s="13"/>
      <c r="AT32" s="13"/>
      <c r="AU32" s="13"/>
      <c r="AV32" s="13"/>
      <c r="AW32" s="13"/>
      <c r="AX32" s="13"/>
      <c r="AY32" s="13"/>
      <c r="AZ32" s="13"/>
      <c r="BA32" s="1"/>
      <c r="BB32" s="13"/>
      <c r="BC32" s="13"/>
      <c r="BD32" s="13"/>
      <c r="BE32" s="13"/>
      <c r="BF32" s="13"/>
      <c r="BG32" s="13"/>
      <c r="BH32" s="13"/>
      <c r="BI32" s="13"/>
      <c r="BJ32" s="13"/>
      <c r="BK32" s="13"/>
    </row>
    <row r="33" spans="1:63" ht="22" customHeight="1" x14ac:dyDescent="0.15">
      <c r="A33" s="32" t="s">
        <v>1145</v>
      </c>
      <c r="B33" s="77">
        <f>10^(-3.75+(2.35*LOG10(10*B27)))</f>
        <v>50.958348270198996</v>
      </c>
      <c r="C33" s="76">
        <f>10^(-3.75+(2.35*LOG10(10*C27)))</f>
        <v>3696.2971541466331</v>
      </c>
      <c r="D33" s="76">
        <v>601</v>
      </c>
      <c r="E33" s="76">
        <v>970</v>
      </c>
      <c r="F33" s="76">
        <v>4596</v>
      </c>
      <c r="G33" s="76">
        <f>10^(-3.75+(2.35*LOG10(10*G27)))</f>
        <v>13983.419400085788</v>
      </c>
      <c r="H33" s="76">
        <f t="shared" ref="H33:K33" si="5">10^(-3.75+(2.35*LOG10(10*H27)))</f>
        <v>231.65462728124115</v>
      </c>
      <c r="I33" s="76">
        <f t="shared" si="5"/>
        <v>1046.9162523649693</v>
      </c>
      <c r="J33" s="76">
        <v>1995</v>
      </c>
      <c r="K33" s="76">
        <f t="shared" si="5"/>
        <v>205.34846085880417</v>
      </c>
      <c r="L33" s="34">
        <v>65000</v>
      </c>
      <c r="M33" s="34">
        <v>234</v>
      </c>
      <c r="N33" s="34">
        <v>234</v>
      </c>
      <c r="O33" s="34">
        <f>AVERAGE(1,315)*1000</f>
        <v>158000</v>
      </c>
      <c r="P33" s="34">
        <v>40</v>
      </c>
      <c r="Q33" s="76">
        <f>10^(-3.75+(2.35*LOG10(10*Q27)))</f>
        <v>922.00094591668028</v>
      </c>
      <c r="R33" s="34">
        <v>316</v>
      </c>
      <c r="S33" s="76">
        <f>10^(-3.75+(2.35*LOG10(10*S27)))</f>
        <v>88.029412566074129</v>
      </c>
      <c r="T33" s="76">
        <v>89</v>
      </c>
      <c r="U33" s="34">
        <v>171</v>
      </c>
      <c r="V33" s="34">
        <f>50*1000</f>
        <v>50000</v>
      </c>
      <c r="W33" s="34">
        <v>316</v>
      </c>
      <c r="X33" s="76">
        <f>10^(-3.75+(2.35*LOG10(10*X27)))</f>
        <v>56.845134701169194</v>
      </c>
      <c r="Y33" s="76">
        <v>232</v>
      </c>
      <c r="Z33" s="76">
        <v>118</v>
      </c>
      <c r="AA33" s="76">
        <f>10^(-3.75+(2.35*LOG10(10*AA27)))</f>
        <v>600.69696597657867</v>
      </c>
      <c r="AB33" s="76">
        <v>4399</v>
      </c>
      <c r="AC33" s="76">
        <f t="shared" ref="AC33" si="6">10^(-3.75+(2.35*LOG10(10*AC27)))</f>
        <v>14711.510460677469</v>
      </c>
      <c r="AD33" s="13"/>
      <c r="AE33" s="78">
        <f>AVERAGE(30,67.5)</f>
        <v>48.75</v>
      </c>
      <c r="AF33" s="34">
        <v>250</v>
      </c>
      <c r="AG33" s="34">
        <v>2000</v>
      </c>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row>
    <row r="34" spans="1:63" ht="22" customHeight="1" x14ac:dyDescent="0.15">
      <c r="A34" s="32" t="s">
        <v>1146</v>
      </c>
      <c r="B34" s="33" t="s">
        <v>1119</v>
      </c>
      <c r="C34" s="34" t="s">
        <v>1119</v>
      </c>
      <c r="D34" s="34"/>
      <c r="E34" s="34" t="s">
        <v>1119</v>
      </c>
      <c r="F34" s="34">
        <v>963</v>
      </c>
      <c r="G34" s="34" t="s">
        <v>1119</v>
      </c>
      <c r="H34" s="34" t="s">
        <v>1119</v>
      </c>
      <c r="I34" s="34" t="s">
        <v>1119</v>
      </c>
      <c r="J34" s="34" t="s">
        <v>1119</v>
      </c>
      <c r="K34" s="34" t="s">
        <v>1119</v>
      </c>
      <c r="L34" s="34" t="s">
        <v>1119</v>
      </c>
      <c r="M34" s="34" t="s">
        <v>1119</v>
      </c>
      <c r="N34" s="34" t="s">
        <v>1119</v>
      </c>
      <c r="O34" s="34" t="s">
        <v>1119</v>
      </c>
      <c r="P34" s="34" t="s">
        <v>1119</v>
      </c>
      <c r="Q34" s="34" t="s">
        <v>1119</v>
      </c>
      <c r="R34" s="34" t="s">
        <v>1119</v>
      </c>
      <c r="S34" s="34" t="s">
        <v>1119</v>
      </c>
      <c r="T34" s="34" t="s">
        <v>1119</v>
      </c>
      <c r="U34" s="34" t="s">
        <v>1119</v>
      </c>
      <c r="V34" s="34" t="s">
        <v>1119</v>
      </c>
      <c r="W34" s="34" t="s">
        <v>1119</v>
      </c>
      <c r="X34" s="34" t="s">
        <v>1119</v>
      </c>
      <c r="Y34" s="34" t="s">
        <v>1119</v>
      </c>
      <c r="Z34" s="34" t="s">
        <v>1119</v>
      </c>
      <c r="AA34" s="34" t="s">
        <v>1119</v>
      </c>
      <c r="AB34" s="34" t="s">
        <v>1119</v>
      </c>
      <c r="AC34" s="34" t="s">
        <v>1119</v>
      </c>
      <c r="AD34" s="13"/>
      <c r="AE34" s="34" t="s">
        <v>1119</v>
      </c>
      <c r="AF34" s="34" t="s">
        <v>1119</v>
      </c>
      <c r="AG34" s="34" t="s">
        <v>1119</v>
      </c>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row>
    <row r="35" spans="1:63" s="87" customFormat="1" ht="22" customHeight="1" x14ac:dyDescent="0.15">
      <c r="A35" s="88" t="s">
        <v>1147</v>
      </c>
      <c r="B35" s="74" t="s">
        <v>1119</v>
      </c>
      <c r="C35" s="75">
        <f>AVERAGE(55,65)</f>
        <v>60</v>
      </c>
      <c r="D35" s="75" t="s">
        <v>1119</v>
      </c>
      <c r="E35" s="85">
        <v>60</v>
      </c>
      <c r="F35" s="75">
        <v>35</v>
      </c>
      <c r="G35" s="34" t="s">
        <v>1119</v>
      </c>
      <c r="H35" s="34" t="s">
        <v>1119</v>
      </c>
      <c r="I35" s="75">
        <f>AVERAGE(30.1,47)</f>
        <v>38.549999999999997</v>
      </c>
      <c r="J35" s="34" t="s">
        <v>1119</v>
      </c>
      <c r="K35" s="75">
        <f>AVERAGE(12.5,12.75)</f>
        <v>12.625</v>
      </c>
      <c r="L35" s="75"/>
      <c r="M35" s="75"/>
      <c r="N35" s="75"/>
      <c r="O35" s="75">
        <v>57</v>
      </c>
      <c r="P35" s="75"/>
      <c r="Q35" s="75">
        <f>AVERAGE(111,130)</f>
        <v>120.5</v>
      </c>
      <c r="R35" s="75">
        <f>AVERAGE(37.8,32.8)</f>
        <v>35.299999999999997</v>
      </c>
      <c r="S35" s="75">
        <v>15</v>
      </c>
      <c r="T35" s="75">
        <v>36.6</v>
      </c>
      <c r="U35" s="75"/>
      <c r="V35" s="75"/>
      <c r="W35" s="75"/>
      <c r="X35" s="75">
        <f>AVERAGE(8.8,11)</f>
        <v>9.9</v>
      </c>
      <c r="Y35" s="75">
        <v>25.7</v>
      </c>
      <c r="Z35" s="75"/>
      <c r="AA35" s="75"/>
      <c r="AB35" s="75"/>
      <c r="AC35" s="75"/>
      <c r="AD35" s="86"/>
      <c r="AE35" s="75"/>
      <c r="AF35" s="75">
        <v>8.1999999999999993</v>
      </c>
      <c r="AG35" s="75"/>
      <c r="AH35" s="86"/>
      <c r="AI35" s="86"/>
      <c r="AJ35" s="86"/>
      <c r="AK35" s="86"/>
      <c r="AL35" s="86"/>
      <c r="AM35" s="86"/>
      <c r="AN35" s="86"/>
      <c r="AO35" s="86"/>
      <c r="AP35" s="86"/>
      <c r="AQ35" s="86"/>
      <c r="AR35" s="86"/>
      <c r="AS35" s="86"/>
      <c r="AT35" s="86"/>
      <c r="AU35" s="86"/>
      <c r="AV35" s="86"/>
      <c r="AW35" s="86"/>
      <c r="AX35" s="86"/>
      <c r="AY35" s="86"/>
      <c r="AZ35" s="86"/>
      <c r="BA35" s="86"/>
      <c r="BB35" s="86"/>
      <c r="BC35" s="86"/>
      <c r="BD35" s="86"/>
      <c r="BE35" s="86"/>
      <c r="BF35" s="86"/>
      <c r="BG35" s="86"/>
      <c r="BH35" s="86"/>
      <c r="BI35" s="86"/>
      <c r="BJ35" s="86"/>
      <c r="BK35" s="86"/>
    </row>
    <row r="36" spans="1:63" ht="22" customHeight="1" x14ac:dyDescent="0.15">
      <c r="A36" s="89" t="s">
        <v>1148</v>
      </c>
      <c r="B36" s="33" t="s">
        <v>1119</v>
      </c>
      <c r="C36" s="34" t="s">
        <v>1119</v>
      </c>
      <c r="D36" s="34"/>
      <c r="E36" s="55" t="s">
        <v>1119</v>
      </c>
      <c r="F36" s="34" t="s">
        <v>1119</v>
      </c>
      <c r="G36" s="34" t="s">
        <v>1119</v>
      </c>
      <c r="H36" s="34" t="s">
        <v>1119</v>
      </c>
      <c r="I36" s="34" t="s">
        <v>1119</v>
      </c>
      <c r="J36" s="34" t="s">
        <v>1119</v>
      </c>
      <c r="K36" s="34"/>
      <c r="L36" s="34"/>
      <c r="M36" s="34"/>
      <c r="N36" s="34"/>
      <c r="O36" s="34"/>
      <c r="P36" s="34">
        <v>9.39</v>
      </c>
      <c r="Q36" s="34"/>
      <c r="R36" s="34">
        <v>7.5</v>
      </c>
      <c r="S36" s="34">
        <v>1</v>
      </c>
      <c r="T36" s="34">
        <v>2</v>
      </c>
      <c r="U36" s="34"/>
      <c r="V36" s="34"/>
      <c r="W36" s="34"/>
      <c r="X36" s="34"/>
      <c r="Y36" s="34">
        <v>2.1</v>
      </c>
      <c r="Z36" s="34"/>
      <c r="AA36" s="34"/>
      <c r="AB36" s="34"/>
      <c r="AC36" s="34"/>
      <c r="AD36" s="13"/>
      <c r="AE36" s="34"/>
      <c r="AF36" s="34">
        <v>3</v>
      </c>
      <c r="AG36" s="34"/>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row>
    <row r="37" spans="1:63" ht="22" customHeight="1" x14ac:dyDescent="0.15">
      <c r="A37" s="89" t="s">
        <v>1149</v>
      </c>
      <c r="B37" s="33" t="s">
        <v>1119</v>
      </c>
      <c r="C37" s="75">
        <v>47</v>
      </c>
      <c r="D37" s="34"/>
      <c r="E37" s="55" t="s">
        <v>1119</v>
      </c>
      <c r="F37" s="34" t="s">
        <v>1119</v>
      </c>
      <c r="G37" s="34" t="s">
        <v>1119</v>
      </c>
      <c r="H37" s="34" t="s">
        <v>1119</v>
      </c>
      <c r="I37" s="34">
        <f>AVERAGE(34,50)</f>
        <v>42</v>
      </c>
      <c r="J37" s="34" t="s">
        <v>1119</v>
      </c>
      <c r="K37" s="34"/>
      <c r="L37" s="34"/>
      <c r="M37" s="34"/>
      <c r="N37" s="34"/>
      <c r="O37" s="34">
        <v>49.6</v>
      </c>
      <c r="P37" s="34"/>
      <c r="Q37" s="78">
        <f>AVERAGE(151,170)</f>
        <v>160.5</v>
      </c>
      <c r="R37" s="34">
        <v>28.6</v>
      </c>
      <c r="S37" s="34"/>
      <c r="T37" s="34">
        <v>35</v>
      </c>
      <c r="U37" s="34"/>
      <c r="V37" s="34"/>
      <c r="W37" s="34"/>
      <c r="X37" s="78">
        <f>AVERAGE(8.7,11)</f>
        <v>9.85</v>
      </c>
      <c r="Y37" s="34">
        <v>21.5</v>
      </c>
      <c r="Z37" s="34"/>
      <c r="AA37" s="34"/>
      <c r="AB37" s="34"/>
      <c r="AC37" s="34"/>
      <c r="AD37" s="13"/>
      <c r="AE37" s="34"/>
      <c r="AF37" s="34"/>
      <c r="AG37" s="34"/>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row>
    <row r="38" spans="1:63" ht="22" customHeight="1" x14ac:dyDescent="0.15">
      <c r="A38" s="89" t="s">
        <v>1150</v>
      </c>
      <c r="B38" s="33" t="s">
        <v>1119</v>
      </c>
      <c r="C38" s="34" t="s">
        <v>1119</v>
      </c>
      <c r="D38" s="34"/>
      <c r="E38" s="55" t="s">
        <v>1119</v>
      </c>
      <c r="F38" s="34" t="s">
        <v>1119</v>
      </c>
      <c r="G38" s="34" t="s">
        <v>1119</v>
      </c>
      <c r="H38" s="34" t="s">
        <v>1119</v>
      </c>
      <c r="I38" s="34" t="s">
        <v>1119</v>
      </c>
      <c r="J38" s="34" t="s">
        <v>1119</v>
      </c>
      <c r="K38" s="34"/>
      <c r="L38" s="34"/>
      <c r="M38" s="34"/>
      <c r="N38" s="34"/>
      <c r="O38" s="34"/>
      <c r="P38" s="34">
        <v>1.46</v>
      </c>
      <c r="Q38" s="34"/>
      <c r="R38" s="34">
        <v>4.5</v>
      </c>
      <c r="S38" s="34"/>
      <c r="T38" s="34">
        <v>3</v>
      </c>
      <c r="U38" s="34"/>
      <c r="V38" s="34"/>
      <c r="W38" s="34"/>
      <c r="X38" s="34"/>
      <c r="Y38" s="34">
        <v>1.9</v>
      </c>
      <c r="Z38" s="34"/>
      <c r="AA38" s="34"/>
      <c r="AB38" s="34"/>
      <c r="AC38" s="34"/>
      <c r="AD38" s="13"/>
      <c r="AE38" s="34"/>
      <c r="AF38" s="34"/>
      <c r="AG38" s="34"/>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row>
    <row r="39" spans="1:63" s="84" customFormat="1" ht="22" customHeight="1" x14ac:dyDescent="0.15">
      <c r="A39" s="81" t="s">
        <v>1151</v>
      </c>
      <c r="B39" s="74">
        <v>12</v>
      </c>
      <c r="C39" s="75">
        <f>AVERAGE(60,47)</f>
        <v>53.5</v>
      </c>
      <c r="D39" s="75">
        <v>34.1</v>
      </c>
      <c r="E39" s="75">
        <v>60</v>
      </c>
      <c r="F39" s="75">
        <v>35</v>
      </c>
      <c r="G39" s="75">
        <f>AVERAGE(35,50)</f>
        <v>42.5</v>
      </c>
      <c r="H39" s="75">
        <f>H10*(1-EXP(-H7*(H42-H14)))</f>
        <v>142.96241264225978</v>
      </c>
      <c r="I39" s="75">
        <f>AVERAGE(38.55,42)</f>
        <v>40.274999999999999</v>
      </c>
      <c r="J39" s="75">
        <f>AVERAGE(40,57.5,37.7)</f>
        <v>45.066666666666663</v>
      </c>
      <c r="K39" s="75">
        <v>12.63</v>
      </c>
      <c r="L39" s="75">
        <v>43</v>
      </c>
      <c r="M39" s="75">
        <v>20</v>
      </c>
      <c r="N39" s="75">
        <f>N10*(1-EXP(-N7*(N42-N14)))</f>
        <v>23.751416307912873</v>
      </c>
      <c r="O39" s="75">
        <f>AVERAGE(57,49.6)</f>
        <v>53.3</v>
      </c>
      <c r="P39" s="75">
        <f>P10*(1-EXP(-P7*(P42-P14)))</f>
        <v>53.323594950455579</v>
      </c>
      <c r="Q39" s="75">
        <f>AVERAGE(120.5,161)/10</f>
        <v>14.074999999999999</v>
      </c>
      <c r="R39" s="75">
        <f>AVERAGE(35.3,28.6)</f>
        <v>31.95</v>
      </c>
      <c r="S39" s="75">
        <v>15</v>
      </c>
      <c r="T39" s="75">
        <f>AVERAGE(36.6,35)</f>
        <v>35.799999999999997</v>
      </c>
      <c r="U39" s="75">
        <f>AVERAGE(32,36)</f>
        <v>34</v>
      </c>
      <c r="V39" s="75">
        <f>V10*(1-EXP(-V7*(V42-V14)))</f>
        <v>23.015095931273873</v>
      </c>
      <c r="W39" s="75">
        <v>400</v>
      </c>
      <c r="X39" s="75">
        <f>AVERAGE(8.8,8.7,11,11)</f>
        <v>9.875</v>
      </c>
      <c r="Y39" s="75">
        <f>AVERAGE(25.7,21.5)</f>
        <v>23.6</v>
      </c>
      <c r="Z39" s="75">
        <v>18</v>
      </c>
      <c r="AA39" s="75">
        <f>AA10*(1-EXP(-AA7*(AA42-AA14)))</f>
        <v>27.108170975149676</v>
      </c>
      <c r="AB39" s="75">
        <v>90</v>
      </c>
      <c r="AC39" s="75">
        <v>60.5</v>
      </c>
      <c r="AD39" s="82"/>
      <c r="AE39" s="75" t="s">
        <v>1119</v>
      </c>
      <c r="AF39" s="75">
        <v>66</v>
      </c>
      <c r="AG39" s="75">
        <f>10.11*10</f>
        <v>101.1</v>
      </c>
      <c r="AH39" s="82"/>
      <c r="AI39" s="82"/>
      <c r="AJ39" s="82"/>
      <c r="AK39" s="82"/>
      <c r="AL39" s="82"/>
      <c r="AM39" s="82"/>
      <c r="AN39" s="82"/>
      <c r="AO39" s="82"/>
      <c r="AP39" s="82"/>
      <c r="AQ39" s="82"/>
      <c r="AR39" s="82"/>
      <c r="AS39" s="82"/>
      <c r="AT39" s="82"/>
      <c r="AU39" s="82"/>
      <c r="AV39" s="82"/>
      <c r="AW39" s="82"/>
      <c r="AX39" s="82"/>
      <c r="AY39" s="82"/>
      <c r="AZ39" s="82"/>
      <c r="BA39" s="82"/>
      <c r="BB39" s="82"/>
      <c r="BC39" s="82"/>
      <c r="BD39" s="82"/>
      <c r="BE39" s="82"/>
      <c r="BF39" s="82"/>
      <c r="BG39" s="82"/>
      <c r="BH39" s="82"/>
      <c r="BI39" s="82"/>
      <c r="BJ39" s="82"/>
      <c r="BK39" s="82"/>
    </row>
    <row r="40" spans="1:63" s="84" customFormat="1" ht="22" customHeight="1" x14ac:dyDescent="0.15">
      <c r="A40" s="81" t="s">
        <v>1207</v>
      </c>
      <c r="B40" s="74" t="str">
        <f>B11</f>
        <v>cm</v>
      </c>
      <c r="C40" s="75" t="str">
        <f t="shared" ref="C40:J40" si="7">C11</f>
        <v>cm</v>
      </c>
      <c r="D40" s="75" t="str">
        <f t="shared" si="7"/>
        <v>cm</v>
      </c>
      <c r="E40" s="75" t="str">
        <f t="shared" si="7"/>
        <v>cm</v>
      </c>
      <c r="F40" s="75" t="str">
        <f t="shared" si="7"/>
        <v>cm</v>
      </c>
      <c r="G40" s="75" t="str">
        <f t="shared" si="7"/>
        <v>cm</v>
      </c>
      <c r="H40" s="75" t="str">
        <f t="shared" si="7"/>
        <v>mm</v>
      </c>
      <c r="I40" s="75" t="str">
        <f t="shared" si="7"/>
        <v>cm</v>
      </c>
      <c r="J40" s="75" t="str">
        <f t="shared" si="7"/>
        <v>cm</v>
      </c>
      <c r="K40" s="75" t="str">
        <f t="shared" ref="K40:M41" si="8">K11</f>
        <v>cm</v>
      </c>
      <c r="L40" s="75" t="str">
        <f t="shared" si="8"/>
        <v>cm</v>
      </c>
      <c r="M40" s="75" t="str">
        <f t="shared" si="8"/>
        <v>cm</v>
      </c>
      <c r="N40" s="75" t="s">
        <v>1189</v>
      </c>
      <c r="O40" s="75" t="str">
        <f>O11</f>
        <v>cm</v>
      </c>
      <c r="P40" s="75" t="s">
        <v>1189</v>
      </c>
      <c r="Q40" s="75" t="s">
        <v>1189</v>
      </c>
      <c r="R40" s="75" t="str">
        <f t="shared" ref="R40:U41" si="9">R11</f>
        <v>cm</v>
      </c>
      <c r="S40" s="75" t="str">
        <f t="shared" si="9"/>
        <v>cm</v>
      </c>
      <c r="T40" s="75" t="str">
        <f t="shared" si="9"/>
        <v>cm</v>
      </c>
      <c r="U40" s="75" t="str">
        <f t="shared" si="9"/>
        <v>cm</v>
      </c>
      <c r="V40" s="75" t="s">
        <v>1189</v>
      </c>
      <c r="W40" s="75" t="str">
        <f t="shared" ref="W40:Z41" si="10">W11</f>
        <v>mm</v>
      </c>
      <c r="X40" s="75" t="str">
        <f t="shared" si="10"/>
        <v>cm</v>
      </c>
      <c r="Y40" s="75" t="str">
        <f t="shared" si="10"/>
        <v>cm</v>
      </c>
      <c r="Z40" s="75" t="str">
        <f t="shared" si="10"/>
        <v>cm</v>
      </c>
      <c r="AA40" s="75" t="s">
        <v>1189</v>
      </c>
      <c r="AB40" s="75" t="str">
        <f>AB11</f>
        <v>cm</v>
      </c>
      <c r="AC40" s="75" t="str">
        <f>AC11</f>
        <v>cm</v>
      </c>
      <c r="AD40" s="82"/>
      <c r="AE40" s="75" t="s">
        <v>1119</v>
      </c>
      <c r="AF40" s="75" t="str">
        <f>AF11</f>
        <v>mm</v>
      </c>
      <c r="AG40" s="75" t="str">
        <f>AG11</f>
        <v>mm</v>
      </c>
      <c r="AH40" s="82"/>
      <c r="AI40" s="82"/>
      <c r="AJ40" s="82"/>
      <c r="AK40" s="82"/>
      <c r="AL40" s="82"/>
      <c r="AM40" s="82"/>
      <c r="AN40" s="82"/>
      <c r="AO40" s="82"/>
      <c r="AP40" s="82"/>
      <c r="AQ40" s="82"/>
      <c r="AR40" s="82"/>
      <c r="AS40" s="82"/>
      <c r="AT40" s="82"/>
      <c r="AU40" s="82"/>
      <c r="AV40" s="82"/>
      <c r="AW40" s="82"/>
      <c r="AX40" s="82"/>
      <c r="AY40" s="82"/>
      <c r="AZ40" s="82"/>
      <c r="BA40" s="82"/>
      <c r="BB40" s="82"/>
      <c r="BC40" s="82"/>
      <c r="BD40" s="82"/>
      <c r="BE40" s="82"/>
      <c r="BF40" s="82"/>
      <c r="BG40" s="82"/>
      <c r="BH40" s="82"/>
      <c r="BI40" s="82"/>
      <c r="BJ40" s="82"/>
      <c r="BK40" s="82"/>
    </row>
    <row r="41" spans="1:63" s="84" customFormat="1" ht="22" customHeight="1" x14ac:dyDescent="0.15">
      <c r="A41" s="81" t="s">
        <v>1208</v>
      </c>
      <c r="B41" s="75" t="str">
        <f>B12</f>
        <v>FL</v>
      </c>
      <c r="C41" s="75" t="str">
        <f t="shared" ref="C41:J41" si="11">C12</f>
        <v>xL</v>
      </c>
      <c r="D41" s="75" t="str">
        <f t="shared" si="11"/>
        <v>TL</v>
      </c>
      <c r="E41" s="75" t="str">
        <f t="shared" si="11"/>
        <v>xL</v>
      </c>
      <c r="F41" s="75" t="str">
        <f t="shared" si="11"/>
        <v>xL</v>
      </c>
      <c r="G41" s="75" t="str">
        <f t="shared" si="11"/>
        <v>TL</v>
      </c>
      <c r="H41" s="75" t="str">
        <f t="shared" si="11"/>
        <v>xL</v>
      </c>
      <c r="I41" s="75" t="str">
        <f t="shared" si="11"/>
        <v>xL</v>
      </c>
      <c r="J41" s="75" t="str">
        <f t="shared" si="11"/>
        <v>xL</v>
      </c>
      <c r="K41" s="75" t="str">
        <f t="shared" si="8"/>
        <v>TL</v>
      </c>
      <c r="L41" s="75" t="str">
        <f t="shared" si="8"/>
        <v>xL</v>
      </c>
      <c r="M41" s="75" t="str">
        <f t="shared" si="8"/>
        <v>TL</v>
      </c>
      <c r="N41" s="75" t="s">
        <v>1195</v>
      </c>
      <c r="O41" s="75" t="str">
        <f>O12</f>
        <v>TL</v>
      </c>
      <c r="P41" s="75" t="s">
        <v>1194</v>
      </c>
      <c r="Q41" s="75" t="s">
        <v>1194</v>
      </c>
      <c r="R41" s="75" t="str">
        <f t="shared" si="9"/>
        <v>TL</v>
      </c>
      <c r="S41" s="75" t="str">
        <f t="shared" si="9"/>
        <v>xL</v>
      </c>
      <c r="T41" s="75" t="str">
        <f t="shared" si="9"/>
        <v>xL</v>
      </c>
      <c r="U41" s="75" t="str">
        <f t="shared" si="9"/>
        <v>xL</v>
      </c>
      <c r="V41" s="75" t="s">
        <v>1194</v>
      </c>
      <c r="W41" s="75" t="str">
        <f t="shared" si="10"/>
        <v>xL</v>
      </c>
      <c r="X41" s="75" t="str">
        <f t="shared" si="10"/>
        <v>TL</v>
      </c>
      <c r="Y41" s="75" t="str">
        <f t="shared" si="10"/>
        <v>TL</v>
      </c>
      <c r="Z41" s="75" t="str">
        <f t="shared" si="10"/>
        <v>TL</v>
      </c>
      <c r="AA41" s="75" t="s">
        <v>1195</v>
      </c>
      <c r="AB41" s="75" t="str">
        <f>AB12</f>
        <v>xL</v>
      </c>
      <c r="AC41" s="75" t="str">
        <f>AC12</f>
        <v>TL</v>
      </c>
      <c r="AD41" s="82"/>
      <c r="AE41" s="75" t="s">
        <v>1119</v>
      </c>
      <c r="AF41" s="75" t="str">
        <f>AF12</f>
        <v>CL</v>
      </c>
      <c r="AG41" s="75" t="str">
        <f>AG12</f>
        <v>CW</v>
      </c>
      <c r="AH41" s="82"/>
      <c r="AI41" s="82"/>
      <c r="AJ41" s="82"/>
      <c r="AK41" s="82"/>
      <c r="AL41" s="82"/>
      <c r="AM41" s="82"/>
      <c r="AN41" s="82"/>
      <c r="AO41" s="82"/>
      <c r="AP41" s="82"/>
      <c r="AQ41" s="82"/>
      <c r="AR41" s="82"/>
      <c r="AS41" s="82"/>
      <c r="AT41" s="82"/>
      <c r="AU41" s="82"/>
      <c r="AV41" s="82"/>
      <c r="AW41" s="82"/>
      <c r="AX41" s="82"/>
      <c r="AY41" s="82"/>
      <c r="AZ41" s="82"/>
      <c r="BA41" s="82"/>
      <c r="BB41" s="82"/>
      <c r="BC41" s="82"/>
      <c r="BD41" s="82"/>
      <c r="BE41" s="82"/>
      <c r="BF41" s="82"/>
      <c r="BG41" s="82"/>
      <c r="BH41" s="82"/>
      <c r="BI41" s="82"/>
      <c r="BJ41" s="82"/>
      <c r="BK41" s="82"/>
    </row>
    <row r="42" spans="1:63" s="93" customFormat="1" ht="22" customHeight="1" x14ac:dyDescent="0.15">
      <c r="A42" s="97" t="s">
        <v>1152</v>
      </c>
      <c r="B42" s="78">
        <f>B14+(1/B7)*(LN(B10/(B10-(B39))))</f>
        <v>2.7335870492044743</v>
      </c>
      <c r="C42" s="78">
        <f>C14+(1/C7)*(LN(C10/(C10-(C39))))</f>
        <v>6.1049149324192324</v>
      </c>
      <c r="D42" s="78">
        <f>D14+(1/D7)*(LN(D10/(D10-(D39))))</f>
        <v>2.0630794481419805</v>
      </c>
      <c r="E42" s="78">
        <f>E14+(1/E7)*(LN(E10/(E10-(E39))))</f>
        <v>0.54776259710717223</v>
      </c>
      <c r="F42" s="78">
        <f t="shared" ref="F42" si="12">F14+(1/F7)*(LN(F10/(F10-(F39))))</f>
        <v>2.1021317700956281</v>
      </c>
      <c r="G42" s="78">
        <f>G14+(1/G7)*(LN(G10/(G10-(G39))))</f>
        <v>2.5412743767052008</v>
      </c>
      <c r="H42" s="78">
        <v>1.5</v>
      </c>
      <c r="I42" s="78">
        <f>I14+(1/I7)*(LN(I10/(I10-(I39))))</f>
        <v>6.5780519550278544</v>
      </c>
      <c r="J42" s="78">
        <f>J14+(1/J7)*(LN(J10/(J10-(J39))))</f>
        <v>1.3947233748927632</v>
      </c>
      <c r="K42" s="78">
        <f t="shared" ref="K42:M42" si="13">K14+(1/K7)*(LN(K10/(K10-(K39))))</f>
        <v>0.44250015861685843</v>
      </c>
      <c r="L42" s="78">
        <f t="shared" si="13"/>
        <v>0.97533703523373017</v>
      </c>
      <c r="M42" s="78">
        <f t="shared" si="13"/>
        <v>1.1134661589422208</v>
      </c>
      <c r="N42" s="78">
        <v>2.5</v>
      </c>
      <c r="O42" s="78">
        <f>O14+(1/O7)*(LN(O10/(O10-(O39))))</f>
        <v>3.0989608875954735</v>
      </c>
      <c r="P42" s="78">
        <f>AVERAGE(9.39,1.46)</f>
        <v>5.4250000000000007</v>
      </c>
      <c r="Q42" s="78">
        <f>Q14+(1/Q7)*(LN(Q10/(Q10-(Q39))))</f>
        <v>1.2366754750736559</v>
      </c>
      <c r="R42" s="78">
        <f>R14+(1/R7)*(LN(R10/(R10-(R39))))</f>
        <v>3.7170562751675607</v>
      </c>
      <c r="S42" s="78">
        <f>S14+(1/S7)*(LN(S10/(S10-(S39))))</f>
        <v>1.6986381612811945</v>
      </c>
      <c r="T42" s="78">
        <f>T14+(1/T7)*(LN(T10/(T10-(T39))))</f>
        <v>2.7455523899115746</v>
      </c>
      <c r="U42" s="78">
        <f>U14+(1/U7)*(LN(U10/(U10-(U39))))</f>
        <v>4.4022028284986021</v>
      </c>
      <c r="V42" s="78">
        <v>1.5</v>
      </c>
      <c r="W42" s="78">
        <f>W14+(1/W7)*(LN(W10/(W10-(W39))))</f>
        <v>4.089785001289779</v>
      </c>
      <c r="X42" s="78">
        <f>X14+(1/X7)*(LN(X10/(X10-(X39))))</f>
        <v>0.44778987550123939</v>
      </c>
      <c r="Y42" s="78">
        <f>Y14+(1/Y7)*(LN(Y10/(Y10-(Y39))))</f>
        <v>1.30160481130584</v>
      </c>
      <c r="Z42" s="78">
        <f>Z14+(1/Z7)*(LN(Z10/(Z10-(Z39))))</f>
        <v>0.57283754946844889</v>
      </c>
      <c r="AA42" s="78">
        <v>2.2999999999999998</v>
      </c>
      <c r="AB42" s="78">
        <f>AB14+(1/AB7)*(LN(AB10/(AB10-(AB39))))</f>
        <v>1.8154592365367113</v>
      </c>
      <c r="AC42" s="78">
        <f>AC14+(1/AC7)*(LN(AC10/(AC10-(AC39))))</f>
        <v>1.5023076864203779</v>
      </c>
      <c r="AD42" s="98"/>
      <c r="AE42" s="78">
        <v>1.19</v>
      </c>
      <c r="AF42" s="78">
        <f>AF14+(1/AF7)*(LN(AF10/(AF10-(AF39))))</f>
        <v>2.0756276970891876</v>
      </c>
      <c r="AG42" s="78">
        <f>AG14+(1/AG7)*(LN(AG10/(AG10-(AG39))))</f>
        <v>0.58885498840114592</v>
      </c>
      <c r="AH42" s="98"/>
      <c r="AI42" s="98"/>
      <c r="AJ42" s="98"/>
      <c r="AK42" s="98"/>
      <c r="AL42" s="98"/>
      <c r="AM42" s="98"/>
      <c r="AN42" s="98"/>
      <c r="AO42" s="98"/>
      <c r="AP42" s="98"/>
      <c r="AQ42" s="98"/>
      <c r="AR42" s="98"/>
      <c r="AS42" s="98"/>
      <c r="AT42" s="98"/>
      <c r="AU42" s="98"/>
      <c r="AV42" s="98"/>
      <c r="AW42" s="98"/>
      <c r="AX42" s="98"/>
      <c r="AY42" s="98"/>
      <c r="AZ42" s="98"/>
      <c r="BA42" s="98"/>
      <c r="BB42" s="98"/>
      <c r="BC42" s="98"/>
      <c r="BD42" s="98"/>
      <c r="BE42" s="98"/>
      <c r="BF42" s="98"/>
      <c r="BG42" s="98"/>
      <c r="BH42" s="98"/>
      <c r="BI42" s="98"/>
      <c r="BJ42" s="98"/>
      <c r="BK42" s="98"/>
    </row>
    <row r="43" spans="1:63" s="84" customFormat="1" ht="22" customHeight="1" x14ac:dyDescent="0.15">
      <c r="A43" s="81" t="s">
        <v>1206</v>
      </c>
      <c r="B43" s="33" t="str">
        <f>B8</f>
        <v>yr</v>
      </c>
      <c r="C43" s="75" t="str">
        <f>C8</f>
        <v>yr</v>
      </c>
      <c r="D43" s="75" t="str">
        <f t="shared" ref="D43:J43" si="14">D8</f>
        <v>yr</v>
      </c>
      <c r="E43" s="75" t="str">
        <f t="shared" si="14"/>
        <v>yr</v>
      </c>
      <c r="F43" s="75" t="str">
        <f t="shared" si="14"/>
        <v>yr</v>
      </c>
      <c r="G43" s="75" t="str">
        <f t="shared" si="14"/>
        <v>yr</v>
      </c>
      <c r="H43" s="75" t="str">
        <f t="shared" si="14"/>
        <v>yr</v>
      </c>
      <c r="I43" s="75" t="str">
        <f t="shared" si="14"/>
        <v>yr</v>
      </c>
      <c r="J43" s="75" t="str">
        <f t="shared" si="14"/>
        <v>yr</v>
      </c>
      <c r="K43" s="75" t="s">
        <v>1114</v>
      </c>
      <c r="L43" s="75" t="str">
        <f>L8</f>
        <v>yr</v>
      </c>
      <c r="M43" s="75" t="str">
        <f t="shared" ref="M43:AC43" si="15">M8</f>
        <v>yr</v>
      </c>
      <c r="N43" s="75" t="str">
        <f t="shared" si="15"/>
        <v>yr</v>
      </c>
      <c r="O43" s="75" t="str">
        <f t="shared" si="15"/>
        <v>yr</v>
      </c>
      <c r="P43" s="75" t="s">
        <v>1114</v>
      </c>
      <c r="Q43" s="75" t="str">
        <f t="shared" si="15"/>
        <v>yr</v>
      </c>
      <c r="R43" s="75" t="str">
        <f t="shared" si="15"/>
        <v>yr</v>
      </c>
      <c r="S43" s="75" t="str">
        <f t="shared" si="15"/>
        <v>yr</v>
      </c>
      <c r="T43" s="75" t="str">
        <f t="shared" si="15"/>
        <v>yr</v>
      </c>
      <c r="U43" s="75" t="str">
        <f t="shared" si="15"/>
        <v>yr</v>
      </c>
      <c r="V43" s="75" t="str">
        <f t="shared" si="15"/>
        <v>yr</v>
      </c>
      <c r="W43" s="75" t="str">
        <f t="shared" si="15"/>
        <v>yr</v>
      </c>
      <c r="X43" s="75" t="str">
        <f t="shared" si="15"/>
        <v>yr</v>
      </c>
      <c r="Y43" s="75" t="str">
        <f t="shared" si="15"/>
        <v>yr</v>
      </c>
      <c r="Z43" s="75" t="str">
        <f t="shared" si="15"/>
        <v>yr</v>
      </c>
      <c r="AA43" s="75" t="str">
        <f t="shared" si="15"/>
        <v>yr</v>
      </c>
      <c r="AB43" s="75" t="str">
        <f t="shared" si="15"/>
        <v>yr</v>
      </c>
      <c r="AC43" s="75" t="str">
        <f t="shared" si="15"/>
        <v>yr</v>
      </c>
      <c r="AD43" s="82"/>
      <c r="AE43" s="75" t="str">
        <f>AE45</f>
        <v>yr</v>
      </c>
      <c r="AF43" s="75" t="str">
        <f t="shared" ref="AF43:AG43" si="16">AF8</f>
        <v>yr</v>
      </c>
      <c r="AG43" s="75" t="str">
        <f t="shared" si="16"/>
        <v>yr</v>
      </c>
      <c r="AH43" s="82"/>
      <c r="AI43" s="82"/>
      <c r="AJ43" s="82"/>
      <c r="AK43" s="82"/>
      <c r="AL43" s="82"/>
      <c r="AM43" s="82"/>
      <c r="AN43" s="82"/>
      <c r="AO43" s="82"/>
      <c r="AP43" s="82"/>
      <c r="AQ43" s="82"/>
      <c r="AR43" s="82"/>
      <c r="AS43" s="82"/>
      <c r="AT43" s="82"/>
      <c r="AU43" s="82"/>
      <c r="AV43" s="82"/>
      <c r="AW43" s="82"/>
      <c r="AX43" s="82"/>
      <c r="AY43" s="82"/>
      <c r="AZ43" s="82"/>
      <c r="BA43" s="82"/>
      <c r="BB43" s="82"/>
      <c r="BC43" s="82"/>
      <c r="BD43" s="82"/>
      <c r="BE43" s="82"/>
      <c r="BF43" s="82"/>
      <c r="BG43" s="82"/>
      <c r="BH43" s="82"/>
      <c r="BI43" s="82"/>
      <c r="BJ43" s="82"/>
      <c r="BK43" s="82"/>
    </row>
    <row r="44" spans="1:63" ht="22" customHeight="1" x14ac:dyDescent="0.15">
      <c r="A44" s="89" t="s">
        <v>1187</v>
      </c>
      <c r="B44" s="33">
        <v>2</v>
      </c>
      <c r="C44" s="34"/>
      <c r="D44" s="34"/>
      <c r="F44" s="34">
        <v>2.7</v>
      </c>
      <c r="G44" s="34"/>
      <c r="H44" s="34">
        <v>1.5</v>
      </c>
      <c r="I44" s="34"/>
      <c r="J44" s="34">
        <v>3</v>
      </c>
      <c r="K44" s="34"/>
      <c r="L44" s="34"/>
      <c r="M44" s="34"/>
      <c r="N44" s="34">
        <v>2.5</v>
      </c>
      <c r="O44" s="34"/>
      <c r="P44" s="34">
        <f>AVERAGE(9.39,1.46)</f>
        <v>5.4250000000000007</v>
      </c>
      <c r="Q44" s="34"/>
      <c r="R44" s="34"/>
      <c r="S44" s="34"/>
      <c r="T44" s="34"/>
      <c r="U44" s="34"/>
      <c r="V44" s="34">
        <v>1.5</v>
      </c>
      <c r="W44" s="34"/>
      <c r="X44" s="34"/>
      <c r="Y44" s="34"/>
      <c r="Z44" s="34"/>
      <c r="AA44" s="34">
        <v>2.2999999999999998</v>
      </c>
      <c r="AB44" s="34"/>
      <c r="AC44" s="34"/>
      <c r="AD44" s="13"/>
      <c r="AE44" s="34">
        <v>1.19</v>
      </c>
      <c r="AF44" s="34"/>
      <c r="AG44" s="34"/>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row>
    <row r="45" spans="1:63" ht="22" customHeight="1" x14ac:dyDescent="0.15">
      <c r="A45" s="32" t="s">
        <v>1209</v>
      </c>
      <c r="B45" s="33" t="s">
        <v>1153</v>
      </c>
      <c r="C45" s="34" t="s">
        <v>1120</v>
      </c>
      <c r="D45" s="34" t="s">
        <v>1120</v>
      </c>
      <c r="E45" s="55" t="s">
        <v>1134</v>
      </c>
      <c r="F45" s="34" t="s">
        <v>1154</v>
      </c>
      <c r="G45" s="34" t="s">
        <v>1153</v>
      </c>
      <c r="H45" s="34" t="s">
        <v>1188</v>
      </c>
      <c r="I45" s="34" t="s">
        <v>1133</v>
      </c>
      <c r="J45" s="34" t="s">
        <v>1155</v>
      </c>
      <c r="K45" s="34" t="s">
        <v>1134</v>
      </c>
      <c r="L45" s="34" t="s">
        <v>1133</v>
      </c>
      <c r="M45" s="34" t="s">
        <v>1125</v>
      </c>
      <c r="N45" s="34" t="s">
        <v>1156</v>
      </c>
      <c r="O45" s="34"/>
      <c r="P45" s="34" t="s">
        <v>1153</v>
      </c>
      <c r="Q45" s="34" t="s">
        <v>1234</v>
      </c>
      <c r="R45" s="34"/>
      <c r="S45" s="34" t="s">
        <v>1153</v>
      </c>
      <c r="T45" s="34"/>
      <c r="U45" s="34" t="s">
        <v>1120</v>
      </c>
      <c r="V45" s="34"/>
      <c r="W45" s="34" t="s">
        <v>1189</v>
      </c>
      <c r="X45" s="34" t="s">
        <v>1125</v>
      </c>
      <c r="Y45" s="34" t="s">
        <v>1155</v>
      </c>
      <c r="Z45" s="34" t="s">
        <v>1134</v>
      </c>
      <c r="AA45" s="34" t="s">
        <v>1156</v>
      </c>
      <c r="AB45" s="34" t="s">
        <v>1133</v>
      </c>
      <c r="AC45" s="34" t="s">
        <v>1120</v>
      </c>
      <c r="AD45" s="13"/>
      <c r="AE45" s="34" t="s">
        <v>1114</v>
      </c>
      <c r="AF45" s="34" t="s">
        <v>1157</v>
      </c>
      <c r="AG45" s="34" t="s">
        <v>1161</v>
      </c>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row>
    <row r="46" spans="1:63" ht="22" customHeight="1" x14ac:dyDescent="0.15">
      <c r="A46" s="32" t="s">
        <v>1158</v>
      </c>
      <c r="B46" s="34">
        <v>1</v>
      </c>
      <c r="C46" s="34">
        <v>1</v>
      </c>
      <c r="D46" s="34">
        <v>1</v>
      </c>
      <c r="E46" s="34">
        <v>1</v>
      </c>
      <c r="F46" s="37">
        <v>2.2860000000000002E-9</v>
      </c>
      <c r="G46" s="34">
        <v>1</v>
      </c>
      <c r="H46" s="34">
        <v>1</v>
      </c>
      <c r="I46" s="34">
        <v>1</v>
      </c>
      <c r="J46" s="34" t="s">
        <v>1119</v>
      </c>
      <c r="K46" s="34" t="s">
        <v>1119</v>
      </c>
      <c r="L46" s="34" t="s">
        <v>1119</v>
      </c>
      <c r="M46" s="34" t="s">
        <v>1119</v>
      </c>
      <c r="N46" s="34">
        <v>1</v>
      </c>
      <c r="O46" s="34" t="s">
        <v>1119</v>
      </c>
      <c r="P46" s="34">
        <v>5.4000000000000003E-3</v>
      </c>
      <c r="Q46" s="34" t="s">
        <v>1119</v>
      </c>
      <c r="R46" s="34">
        <v>1</v>
      </c>
      <c r="S46" s="34">
        <f>5*10^-5</f>
        <v>5.0000000000000002E-5</v>
      </c>
      <c r="T46" s="34">
        <v>1</v>
      </c>
      <c r="U46" s="34" t="s">
        <v>1119</v>
      </c>
      <c r="V46" s="34" t="s">
        <v>1119</v>
      </c>
      <c r="W46" s="34">
        <v>1</v>
      </c>
      <c r="X46" s="34">
        <v>1</v>
      </c>
      <c r="Y46" s="34" t="s">
        <v>1218</v>
      </c>
      <c r="Z46" s="34">
        <v>5.3685400000000001E-2</v>
      </c>
      <c r="AA46" s="34">
        <v>1</v>
      </c>
      <c r="AB46" s="34" t="s">
        <v>1119</v>
      </c>
      <c r="AC46" s="34" t="s">
        <v>1119</v>
      </c>
      <c r="AD46" s="13"/>
      <c r="AE46" s="34" t="s">
        <v>1119</v>
      </c>
      <c r="AF46" s="34" t="s">
        <v>1119</v>
      </c>
      <c r="AG46" s="34" t="s">
        <v>1119</v>
      </c>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row>
    <row r="47" spans="1:63" ht="22" customHeight="1" x14ac:dyDescent="0.15">
      <c r="A47" s="32" t="s">
        <v>1159</v>
      </c>
      <c r="B47" s="33">
        <v>3</v>
      </c>
      <c r="C47" s="34">
        <v>3</v>
      </c>
      <c r="D47" s="34">
        <v>3</v>
      </c>
      <c r="E47" s="34">
        <v>3</v>
      </c>
      <c r="F47" s="34">
        <v>5.359</v>
      </c>
      <c r="G47" s="34">
        <v>3</v>
      </c>
      <c r="H47" s="34">
        <v>3</v>
      </c>
      <c r="I47" s="34">
        <v>3</v>
      </c>
      <c r="J47" s="34" t="s">
        <v>1119</v>
      </c>
      <c r="K47" s="34" t="s">
        <v>1119</v>
      </c>
      <c r="L47" s="34" t="s">
        <v>1119</v>
      </c>
      <c r="M47" s="34" t="s">
        <v>1119</v>
      </c>
      <c r="N47" s="34">
        <v>3</v>
      </c>
      <c r="O47" s="34" t="s">
        <v>1119</v>
      </c>
      <c r="P47" s="34">
        <v>5.28</v>
      </c>
      <c r="Q47" s="34" t="s">
        <v>1119</v>
      </c>
      <c r="R47" s="34">
        <v>3</v>
      </c>
      <c r="S47" s="34">
        <v>3.7469999999999999</v>
      </c>
      <c r="T47" s="34">
        <v>3</v>
      </c>
      <c r="U47" s="34" t="s">
        <v>1119</v>
      </c>
      <c r="V47" s="34" t="s">
        <v>1119</v>
      </c>
      <c r="W47" s="34">
        <v>3</v>
      </c>
      <c r="X47" s="34">
        <v>3</v>
      </c>
      <c r="Y47" s="34" t="s">
        <v>1219</v>
      </c>
      <c r="Z47" s="34">
        <v>5.0729199999999999</v>
      </c>
      <c r="AA47" s="34">
        <v>3</v>
      </c>
      <c r="AB47" s="34" t="s">
        <v>1119</v>
      </c>
      <c r="AC47" s="34" t="s">
        <v>1119</v>
      </c>
      <c r="AD47" s="13"/>
      <c r="AE47" s="34" t="s">
        <v>1119</v>
      </c>
      <c r="AF47" s="34" t="s">
        <v>1119</v>
      </c>
      <c r="AG47" s="34" t="s">
        <v>1119</v>
      </c>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row>
    <row r="48" spans="1:63" ht="22" customHeight="1" x14ac:dyDescent="0.15">
      <c r="A48" s="32" t="s">
        <v>1230</v>
      </c>
      <c r="B48" s="33" t="s">
        <v>1119</v>
      </c>
      <c r="C48" s="34" t="s">
        <v>1119</v>
      </c>
      <c r="D48" s="34" t="s">
        <v>1119</v>
      </c>
      <c r="E48" s="34" t="s">
        <v>1119</v>
      </c>
      <c r="F48" s="34" t="s">
        <v>1119</v>
      </c>
      <c r="G48" s="34" t="s">
        <v>1119</v>
      </c>
      <c r="H48" s="34" t="s">
        <v>1119</v>
      </c>
      <c r="I48" s="34" t="s">
        <v>1119</v>
      </c>
      <c r="J48" s="34">
        <f>AVERAGE(210000,680000)</f>
        <v>445000</v>
      </c>
      <c r="K48" s="34">
        <f>AVERAGE(201,3044)</f>
        <v>1622.5</v>
      </c>
      <c r="L48" s="34">
        <f>AVERAGE(8000,1250000)</f>
        <v>629000</v>
      </c>
      <c r="M48" s="76">
        <v>1555196.3549976789</v>
      </c>
      <c r="N48" s="34" t="s">
        <v>1119</v>
      </c>
      <c r="O48" s="76">
        <v>9390492.1149223279</v>
      </c>
      <c r="P48" s="34" t="s">
        <v>1119</v>
      </c>
      <c r="Q48" s="34">
        <f>AVERAGE(46774,130698)</f>
        <v>88736</v>
      </c>
      <c r="R48" s="34" t="s">
        <v>1119</v>
      </c>
      <c r="S48" s="34" t="s">
        <v>1119</v>
      </c>
      <c r="T48" s="34" t="s">
        <v>1119</v>
      </c>
      <c r="U48" s="34">
        <v>410000</v>
      </c>
      <c r="V48" s="34">
        <v>94000</v>
      </c>
      <c r="W48" s="34" t="s">
        <v>1119</v>
      </c>
      <c r="X48" s="34" t="s">
        <v>1119</v>
      </c>
      <c r="Y48" s="34" t="s">
        <v>1119</v>
      </c>
      <c r="Z48" s="34" t="s">
        <v>1119</v>
      </c>
      <c r="AA48" s="34" t="s">
        <v>1119</v>
      </c>
      <c r="AB48" s="34">
        <v>2500000</v>
      </c>
      <c r="AC48" s="34">
        <v>130000</v>
      </c>
      <c r="AD48" s="13"/>
      <c r="AE48" s="34">
        <v>900</v>
      </c>
      <c r="AF48" s="34">
        <v>1500000</v>
      </c>
      <c r="AG48" s="34">
        <f>AVERAGE(68450,324440)</f>
        <v>196445</v>
      </c>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row>
    <row r="49" spans="1:63" ht="22" customHeight="1" x14ac:dyDescent="0.15">
      <c r="A49" s="32" t="s">
        <v>1228</v>
      </c>
      <c r="B49" s="74" t="str">
        <f>B11</f>
        <v>cm</v>
      </c>
      <c r="C49" s="34" t="str">
        <f t="shared" ref="C49:E49" si="17">C11</f>
        <v>cm</v>
      </c>
      <c r="D49" s="34" t="str">
        <f t="shared" si="17"/>
        <v>cm</v>
      </c>
      <c r="E49" s="34" t="str">
        <f t="shared" si="17"/>
        <v>cm</v>
      </c>
      <c r="F49" s="34" t="s">
        <v>1192</v>
      </c>
      <c r="G49" s="75" t="str">
        <f>G11</f>
        <v>cm</v>
      </c>
      <c r="H49" s="75" t="str">
        <f t="shared" ref="H49:I49" si="18">H11</f>
        <v>mm</v>
      </c>
      <c r="I49" s="75" t="str">
        <f t="shared" si="18"/>
        <v>cm</v>
      </c>
      <c r="J49" s="34" t="s">
        <v>1119</v>
      </c>
      <c r="K49" s="34" t="s">
        <v>1119</v>
      </c>
      <c r="L49" s="34" t="s">
        <v>1119</v>
      </c>
      <c r="M49" s="76" t="s">
        <v>1119</v>
      </c>
      <c r="N49" s="75" t="str">
        <f>N11</f>
        <v>cm</v>
      </c>
      <c r="O49" s="76" t="s">
        <v>1119</v>
      </c>
      <c r="P49" s="34" t="s">
        <v>1189</v>
      </c>
      <c r="Q49" s="34" t="s">
        <v>1119</v>
      </c>
      <c r="R49" s="75" t="str">
        <f>R11</f>
        <v>cm</v>
      </c>
      <c r="S49" s="34" t="s">
        <v>1192</v>
      </c>
      <c r="T49" s="75" t="str">
        <f>T11</f>
        <v>cm</v>
      </c>
      <c r="U49" s="34" t="s">
        <v>1119</v>
      </c>
      <c r="V49" s="34" t="s">
        <v>1119</v>
      </c>
      <c r="W49" s="75" t="str">
        <f>W11</f>
        <v>mm</v>
      </c>
      <c r="X49" s="75" t="str">
        <f>X11</f>
        <v>cm</v>
      </c>
      <c r="Y49" s="34" t="s">
        <v>1189</v>
      </c>
      <c r="Z49" s="34" t="s">
        <v>1189</v>
      </c>
      <c r="AA49" s="75" t="str">
        <f>AA11</f>
        <v>cm</v>
      </c>
      <c r="AB49" s="34" t="s">
        <v>1119</v>
      </c>
      <c r="AC49" s="34" t="s">
        <v>1119</v>
      </c>
      <c r="AD49" s="13"/>
      <c r="AE49" s="34" t="s">
        <v>1119</v>
      </c>
      <c r="AF49" s="34" t="s">
        <v>1119</v>
      </c>
      <c r="AG49" s="34" t="s">
        <v>1119</v>
      </c>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row>
    <row r="50" spans="1:63" ht="22" customHeight="1" x14ac:dyDescent="0.15">
      <c r="A50" s="89" t="s">
        <v>1229</v>
      </c>
      <c r="B50" s="33" t="s">
        <v>1202</v>
      </c>
      <c r="C50" s="34" t="s">
        <v>1202</v>
      </c>
      <c r="D50" s="34" t="s">
        <v>1202</v>
      </c>
      <c r="E50" s="34" t="s">
        <v>1202</v>
      </c>
      <c r="F50" s="34" t="s">
        <v>1193</v>
      </c>
      <c r="G50" s="34" t="s">
        <v>1202</v>
      </c>
      <c r="H50" s="34" t="s">
        <v>1202</v>
      </c>
      <c r="I50" s="34" t="s">
        <v>1202</v>
      </c>
      <c r="J50" s="34" t="s">
        <v>1119</v>
      </c>
      <c r="K50" s="34" t="s">
        <v>1119</v>
      </c>
      <c r="L50" s="34" t="s">
        <v>1119</v>
      </c>
      <c r="M50" s="34" t="s">
        <v>1119</v>
      </c>
      <c r="N50" s="34" t="s">
        <v>1202</v>
      </c>
      <c r="O50" s="34" t="s">
        <v>1119</v>
      </c>
      <c r="P50" s="34" t="s">
        <v>1201</v>
      </c>
      <c r="Q50" s="34" t="s">
        <v>1119</v>
      </c>
      <c r="R50" s="34" t="s">
        <v>1202</v>
      </c>
      <c r="S50" s="34" t="s">
        <v>1201</v>
      </c>
      <c r="T50" s="34" t="s">
        <v>1202</v>
      </c>
      <c r="U50" s="34" t="s">
        <v>1119</v>
      </c>
      <c r="V50" s="34" t="s">
        <v>1119</v>
      </c>
      <c r="W50" s="34" t="s">
        <v>1202</v>
      </c>
      <c r="X50" s="34" t="s">
        <v>1202</v>
      </c>
      <c r="Y50" s="34" t="s">
        <v>1201</v>
      </c>
      <c r="Z50" s="34" t="s">
        <v>1201</v>
      </c>
      <c r="AA50" s="34" t="s">
        <v>1202</v>
      </c>
      <c r="AB50" s="34" t="s">
        <v>1119</v>
      </c>
      <c r="AC50" s="34" t="s">
        <v>1119</v>
      </c>
      <c r="AD50" s="13"/>
      <c r="AE50" s="34" t="s">
        <v>1119</v>
      </c>
      <c r="AF50" s="34" t="s">
        <v>1119</v>
      </c>
      <c r="AG50" s="34" t="s">
        <v>1119</v>
      </c>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row>
    <row r="51" spans="1:63" ht="22" customHeight="1" x14ac:dyDescent="0.15">
      <c r="A51" s="32" t="s">
        <v>1224</v>
      </c>
      <c r="B51" s="33">
        <v>1</v>
      </c>
      <c r="C51" s="34">
        <v>1</v>
      </c>
      <c r="D51" s="34">
        <v>1</v>
      </c>
      <c r="E51" s="34">
        <v>1</v>
      </c>
      <c r="F51" s="34">
        <v>1</v>
      </c>
      <c r="G51" s="34">
        <v>1</v>
      </c>
      <c r="H51" s="34">
        <v>1</v>
      </c>
      <c r="I51" s="34">
        <v>1</v>
      </c>
      <c r="J51" s="34">
        <v>1</v>
      </c>
      <c r="K51" s="34">
        <v>1</v>
      </c>
      <c r="L51" s="34">
        <v>4</v>
      </c>
      <c r="M51" s="34">
        <v>1</v>
      </c>
      <c r="N51" s="34">
        <v>1</v>
      </c>
      <c r="O51" s="34">
        <v>1</v>
      </c>
      <c r="P51" s="34">
        <v>1</v>
      </c>
      <c r="Q51" s="34">
        <v>1</v>
      </c>
      <c r="R51" s="34">
        <v>1</v>
      </c>
      <c r="S51" s="34">
        <v>1</v>
      </c>
      <c r="T51" s="34">
        <v>1</v>
      </c>
      <c r="U51" s="34">
        <v>1</v>
      </c>
      <c r="V51" s="34">
        <v>1</v>
      </c>
      <c r="W51" s="34">
        <v>1</v>
      </c>
      <c r="X51" s="34">
        <v>1</v>
      </c>
      <c r="Y51" s="34">
        <v>1</v>
      </c>
      <c r="Z51" s="34">
        <v>1</v>
      </c>
      <c r="AA51" s="34">
        <v>1</v>
      </c>
      <c r="AB51" s="34">
        <v>2</v>
      </c>
      <c r="AC51" s="34">
        <v>1</v>
      </c>
      <c r="AD51" s="13"/>
      <c r="AE51" s="34">
        <v>1</v>
      </c>
      <c r="AF51" s="34">
        <v>1</v>
      </c>
      <c r="AG51" s="34">
        <v>1</v>
      </c>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row>
    <row r="52" spans="1:63" ht="22" customHeight="1" x14ac:dyDescent="0.2">
      <c r="A52" s="32" t="s">
        <v>1113</v>
      </c>
      <c r="B52" s="33">
        <v>0.7</v>
      </c>
      <c r="C52" s="34">
        <v>0.5</v>
      </c>
      <c r="D52" s="34">
        <v>0.7</v>
      </c>
      <c r="E52" s="34">
        <v>0.5</v>
      </c>
      <c r="F52" s="34">
        <v>0.75</v>
      </c>
      <c r="G52" s="34">
        <v>0.5</v>
      </c>
      <c r="H52" s="34">
        <v>0.7</v>
      </c>
      <c r="I52" s="34">
        <v>0.5</v>
      </c>
      <c r="J52" s="34">
        <v>0.7</v>
      </c>
      <c r="K52" s="34">
        <v>0.84</v>
      </c>
      <c r="L52" s="34">
        <v>0.91</v>
      </c>
      <c r="M52" s="34">
        <v>0.7</v>
      </c>
      <c r="N52" s="34">
        <v>0.5</v>
      </c>
      <c r="O52" s="75">
        <f>AVERAGE(0.8,0.9,0.56)</f>
        <v>0.75333333333333341</v>
      </c>
      <c r="P52" s="75">
        <f>AVERAGE(0.8,0.9,0.56)</f>
        <v>0.75333333333333341</v>
      </c>
      <c r="Q52" s="34">
        <v>0.7</v>
      </c>
      <c r="R52" s="34">
        <v>0.5</v>
      </c>
      <c r="S52" s="34">
        <v>0.84</v>
      </c>
      <c r="T52" s="34">
        <v>0.5</v>
      </c>
      <c r="U52" s="34">
        <v>0.5</v>
      </c>
      <c r="V52" s="34">
        <v>0.84</v>
      </c>
      <c r="W52" s="34">
        <v>0.7</v>
      </c>
      <c r="X52" s="34">
        <v>0.84</v>
      </c>
      <c r="Y52" s="34">
        <v>0.84</v>
      </c>
      <c r="Z52" s="34">
        <v>0.84</v>
      </c>
      <c r="AA52" s="34">
        <v>0.7</v>
      </c>
      <c r="AB52" s="34">
        <v>0.7</v>
      </c>
      <c r="AC52" s="34">
        <v>0.7</v>
      </c>
      <c r="AD52" s="13"/>
      <c r="AE52" s="34">
        <v>0.7</v>
      </c>
      <c r="AF52" s="75">
        <f>AVERAGE(0.97,0.713)</f>
        <v>0.84149999999999991</v>
      </c>
      <c r="AG52" s="34">
        <v>0.7</v>
      </c>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
    </row>
    <row r="53" spans="1:63" ht="22" customHeight="1" x14ac:dyDescent="0.15">
      <c r="A53" s="40"/>
      <c r="B53" s="33"/>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13"/>
      <c r="AE53" s="34"/>
      <c r="AF53" s="34"/>
      <c r="AG53" s="34"/>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row>
    <row r="54" spans="1:63" ht="12.75" customHeight="1" x14ac:dyDescent="0.15">
      <c r="A54"/>
      <c r="B54"/>
      <c r="C54"/>
      <c r="D54"/>
      <c r="E54"/>
      <c r="F54"/>
      <c r="G54"/>
      <c r="H54"/>
      <c r="I54"/>
      <c r="J54"/>
      <c r="K54"/>
      <c r="L54"/>
      <c r="M54"/>
      <c r="N54"/>
      <c r="O54"/>
      <c r="P54"/>
      <c r="Q54"/>
      <c r="R54"/>
      <c r="S54"/>
      <c r="T54"/>
      <c r="U54"/>
      <c r="V54"/>
      <c r="W54"/>
      <c r="X54"/>
      <c r="Y54"/>
      <c r="Z54"/>
      <c r="AA54"/>
    </row>
    <row r="55" spans="1:63" ht="12.75" customHeight="1" x14ac:dyDescent="0.15">
      <c r="A55"/>
      <c r="B55"/>
      <c r="C55"/>
      <c r="D55"/>
      <c r="E55"/>
      <c r="F55"/>
      <c r="G55"/>
      <c r="H55"/>
      <c r="I55"/>
      <c r="J55"/>
      <c r="K55"/>
      <c r="L55"/>
      <c r="M55"/>
      <c r="N55"/>
      <c r="O55"/>
      <c r="P55"/>
      <c r="Q55"/>
      <c r="R55"/>
      <c r="S55"/>
      <c r="T55"/>
      <c r="U55"/>
      <c r="V55"/>
      <c r="W55"/>
      <c r="X55"/>
      <c r="Y55"/>
      <c r="Z55"/>
      <c r="AA55"/>
    </row>
    <row r="56" spans="1:63" ht="12.75" customHeight="1" x14ac:dyDescent="0.15">
      <c r="A56"/>
      <c r="B56"/>
      <c r="C56"/>
      <c r="D56"/>
      <c r="E56"/>
      <c r="F56"/>
      <c r="G56"/>
      <c r="H56"/>
      <c r="I56"/>
      <c r="J56"/>
      <c r="K56"/>
      <c r="L56"/>
      <c r="M56"/>
      <c r="N56"/>
      <c r="O56"/>
      <c r="P56"/>
      <c r="Q56"/>
      <c r="R56"/>
      <c r="S56"/>
      <c r="T56"/>
      <c r="U56"/>
      <c r="V56"/>
      <c r="W56"/>
      <c r="X56"/>
      <c r="Y56"/>
      <c r="Z56"/>
      <c r="AA56"/>
    </row>
    <row r="57" spans="1:63" ht="12.75" customHeight="1" x14ac:dyDescent="0.15">
      <c r="A57"/>
      <c r="B57"/>
      <c r="C57"/>
      <c r="D57"/>
      <c r="E57"/>
      <c r="F57"/>
      <c r="G57"/>
      <c r="H57"/>
      <c r="I57"/>
      <c r="J57"/>
      <c r="K57"/>
      <c r="L57"/>
      <c r="M57"/>
      <c r="N57"/>
      <c r="O57"/>
      <c r="P57"/>
      <c r="Q57"/>
      <c r="R57"/>
      <c r="S57"/>
      <c r="T57"/>
      <c r="U57"/>
      <c r="V57"/>
      <c r="W57"/>
      <c r="X57"/>
      <c r="Y57"/>
      <c r="Z57"/>
      <c r="AA57"/>
    </row>
    <row r="58" spans="1:63" ht="12.75" customHeight="1" x14ac:dyDescent="0.15">
      <c r="A58"/>
      <c r="B58"/>
      <c r="C58"/>
      <c r="D58"/>
      <c r="E58"/>
      <c r="F58"/>
      <c r="G58"/>
      <c r="H58"/>
      <c r="I58"/>
      <c r="J58"/>
      <c r="K58"/>
      <c r="L58"/>
      <c r="M58"/>
      <c r="N58"/>
      <c r="O58"/>
      <c r="P58"/>
      <c r="Q58"/>
      <c r="R58"/>
      <c r="S58"/>
      <c r="T58"/>
      <c r="U58"/>
      <c r="V58"/>
      <c r="W58"/>
      <c r="X58"/>
      <c r="Y58"/>
      <c r="Z58"/>
      <c r="AA58"/>
    </row>
    <row r="59" spans="1:63" ht="12.75" customHeight="1" x14ac:dyDescent="0.15">
      <c r="A59"/>
      <c r="B59"/>
      <c r="C59"/>
      <c r="D59"/>
      <c r="E59"/>
      <c r="F59"/>
      <c r="G59"/>
      <c r="H59"/>
      <c r="I59"/>
      <c r="J59"/>
      <c r="K59"/>
      <c r="L59"/>
      <c r="M59"/>
      <c r="N59"/>
      <c r="O59"/>
      <c r="P59"/>
      <c r="Q59"/>
      <c r="R59"/>
      <c r="S59"/>
      <c r="T59"/>
      <c r="U59"/>
      <c r="V59"/>
      <c r="W59"/>
      <c r="X59"/>
      <c r="Y59"/>
      <c r="Z59"/>
      <c r="AA59"/>
    </row>
    <row r="60" spans="1:63" ht="12.75" customHeight="1" x14ac:dyDescent="0.15">
      <c r="A60"/>
      <c r="B60"/>
      <c r="C60"/>
      <c r="D60"/>
      <c r="E60"/>
      <c r="F60"/>
      <c r="G60"/>
      <c r="H60"/>
      <c r="I60"/>
      <c r="J60"/>
      <c r="K60"/>
      <c r="L60"/>
      <c r="M60"/>
      <c r="N60"/>
      <c r="O60"/>
      <c r="P60"/>
      <c r="Q60"/>
      <c r="R60"/>
      <c r="S60"/>
      <c r="T60"/>
      <c r="U60"/>
      <c r="V60"/>
      <c r="W60"/>
      <c r="X60"/>
      <c r="Y60"/>
      <c r="Z60"/>
      <c r="AA60"/>
    </row>
    <row r="61" spans="1:63" ht="12.75" customHeight="1" x14ac:dyDescent="0.15">
      <c r="A61"/>
      <c r="B61"/>
      <c r="C61"/>
      <c r="D61"/>
      <c r="E61"/>
      <c r="F61"/>
      <c r="G61"/>
      <c r="H61"/>
      <c r="I61"/>
      <c r="J61"/>
      <c r="K61"/>
      <c r="L61"/>
      <c r="M61"/>
      <c r="N61"/>
      <c r="O61"/>
      <c r="P61"/>
      <c r="Q61"/>
      <c r="R61"/>
      <c r="S61"/>
      <c r="T61"/>
      <c r="U61"/>
      <c r="V61"/>
      <c r="W61"/>
      <c r="X61"/>
      <c r="Y61"/>
      <c r="Z61"/>
      <c r="AA61"/>
    </row>
    <row r="62" spans="1:63" ht="12.75" customHeight="1" x14ac:dyDescent="0.15">
      <c r="A62"/>
      <c r="B62"/>
      <c r="C62"/>
      <c r="D62"/>
      <c r="E62"/>
      <c r="F62"/>
      <c r="G62"/>
      <c r="H62"/>
      <c r="I62"/>
      <c r="J62"/>
      <c r="K62"/>
      <c r="L62"/>
      <c r="M62"/>
      <c r="N62"/>
      <c r="O62"/>
      <c r="P62"/>
      <c r="Q62"/>
      <c r="R62"/>
      <c r="S62"/>
      <c r="T62"/>
      <c r="U62"/>
      <c r="V62"/>
      <c r="W62"/>
      <c r="X62"/>
      <c r="Y62"/>
      <c r="Z62"/>
      <c r="AA62"/>
    </row>
    <row r="63" spans="1:63" ht="12.75" customHeight="1" x14ac:dyDescent="0.15">
      <c r="A63"/>
      <c r="B63"/>
      <c r="C63"/>
      <c r="D63"/>
      <c r="E63"/>
      <c r="F63"/>
      <c r="G63"/>
      <c r="H63"/>
      <c r="I63"/>
      <c r="J63"/>
      <c r="K63"/>
      <c r="L63"/>
      <c r="M63"/>
      <c r="N63"/>
      <c r="O63"/>
      <c r="P63"/>
      <c r="Q63"/>
      <c r="R63"/>
      <c r="S63"/>
      <c r="T63"/>
      <c r="U63"/>
      <c r="V63"/>
      <c r="W63"/>
      <c r="X63"/>
      <c r="Y63"/>
      <c r="Z63"/>
      <c r="AA63"/>
    </row>
    <row r="64" spans="1:63" ht="12.75" customHeight="1" x14ac:dyDescent="0.15">
      <c r="A64"/>
      <c r="B64"/>
      <c r="C64"/>
      <c r="D64"/>
      <c r="E64"/>
      <c r="F64"/>
      <c r="G64"/>
      <c r="H64"/>
      <c r="I64"/>
      <c r="J64"/>
      <c r="K64"/>
      <c r="L64"/>
      <c r="M64"/>
      <c r="N64"/>
      <c r="O64"/>
      <c r="P64"/>
      <c r="Q64"/>
      <c r="R64"/>
      <c r="S64"/>
      <c r="T64"/>
      <c r="U64"/>
      <c r="V64"/>
      <c r="W64"/>
      <c r="X64"/>
      <c r="Y64"/>
      <c r="Z64"/>
      <c r="AA64"/>
    </row>
    <row r="65" spans="1:27" ht="12.75" customHeight="1" x14ac:dyDescent="0.15">
      <c r="A65"/>
      <c r="B65"/>
      <c r="C65"/>
      <c r="D65"/>
      <c r="E65"/>
      <c r="F65"/>
      <c r="G65"/>
      <c r="H65"/>
      <c r="I65"/>
      <c r="J65"/>
      <c r="K65"/>
      <c r="L65"/>
      <c r="M65"/>
      <c r="N65"/>
      <c r="O65"/>
      <c r="P65"/>
      <c r="Q65"/>
      <c r="R65"/>
      <c r="S65"/>
      <c r="T65"/>
      <c r="U65"/>
      <c r="V65"/>
      <c r="W65"/>
      <c r="X65"/>
      <c r="Y65"/>
      <c r="Z65"/>
      <c r="AA65"/>
    </row>
    <row r="66" spans="1:27" ht="12.75" customHeight="1" x14ac:dyDescent="0.15">
      <c r="A66"/>
      <c r="B66"/>
      <c r="C66"/>
      <c r="D66"/>
      <c r="E66"/>
      <c r="F66"/>
      <c r="G66"/>
      <c r="H66"/>
      <c r="I66"/>
      <c r="J66"/>
      <c r="K66"/>
      <c r="L66"/>
      <c r="M66"/>
      <c r="N66"/>
      <c r="O66"/>
      <c r="P66"/>
      <c r="Q66"/>
      <c r="R66"/>
      <c r="S66"/>
      <c r="T66"/>
      <c r="U66"/>
      <c r="V66"/>
      <c r="W66"/>
      <c r="X66"/>
      <c r="Y66"/>
      <c r="Z66"/>
      <c r="AA66"/>
    </row>
    <row r="67" spans="1:27" ht="12.75" customHeight="1" x14ac:dyDescent="0.15">
      <c r="A67"/>
      <c r="B67"/>
      <c r="C67"/>
      <c r="D67"/>
      <c r="E67"/>
      <c r="F67"/>
      <c r="G67"/>
      <c r="H67"/>
      <c r="I67"/>
      <c r="J67"/>
      <c r="K67"/>
      <c r="L67"/>
      <c r="M67"/>
      <c r="N67"/>
      <c r="O67"/>
      <c r="P67"/>
      <c r="Q67"/>
      <c r="R67"/>
      <c r="S67"/>
      <c r="T67"/>
      <c r="U67"/>
      <c r="V67"/>
      <c r="W67"/>
      <c r="X67"/>
      <c r="Y67"/>
      <c r="Z67"/>
      <c r="AA67"/>
    </row>
    <row r="68" spans="1:27" ht="12.75" customHeight="1" x14ac:dyDescent="0.15">
      <c r="A68"/>
      <c r="B68"/>
      <c r="C68"/>
      <c r="D68"/>
      <c r="E68"/>
      <c r="F68"/>
      <c r="G68"/>
      <c r="H68"/>
      <c r="I68"/>
      <c r="J68"/>
      <c r="K68"/>
      <c r="L68"/>
      <c r="M68"/>
      <c r="N68"/>
      <c r="O68"/>
      <c r="P68"/>
      <c r="Q68"/>
      <c r="R68"/>
      <c r="S68"/>
      <c r="T68"/>
      <c r="U68"/>
      <c r="V68"/>
      <c r="W68"/>
      <c r="X68"/>
      <c r="Y68"/>
      <c r="Z68"/>
      <c r="AA68"/>
    </row>
    <row r="69" spans="1:27" ht="12.75" customHeight="1" x14ac:dyDescent="0.15">
      <c r="A69"/>
      <c r="B69"/>
      <c r="C69"/>
      <c r="D69"/>
      <c r="E69"/>
      <c r="F69"/>
      <c r="G69"/>
      <c r="H69"/>
      <c r="I69"/>
      <c r="J69"/>
      <c r="K69"/>
      <c r="L69"/>
      <c r="M69"/>
      <c r="N69"/>
      <c r="O69"/>
      <c r="P69"/>
      <c r="Q69"/>
      <c r="R69"/>
      <c r="S69"/>
      <c r="T69"/>
      <c r="U69"/>
      <c r="V69"/>
      <c r="W69"/>
      <c r="X69"/>
      <c r="Y69"/>
      <c r="Z69"/>
      <c r="AA69"/>
    </row>
    <row r="70" spans="1:27" ht="12.75" customHeight="1" x14ac:dyDescent="0.15">
      <c r="A70"/>
      <c r="B70"/>
      <c r="C70"/>
      <c r="D70"/>
      <c r="E70"/>
      <c r="F70"/>
      <c r="G70"/>
      <c r="H70"/>
      <c r="I70"/>
      <c r="J70"/>
      <c r="K70"/>
      <c r="L70"/>
      <c r="M70"/>
      <c r="N70"/>
      <c r="O70"/>
      <c r="P70"/>
      <c r="Q70"/>
      <c r="R70"/>
      <c r="S70"/>
      <c r="T70"/>
      <c r="U70"/>
      <c r="V70"/>
      <c r="W70"/>
      <c r="X70"/>
      <c r="Y70"/>
      <c r="Z70"/>
      <c r="AA70"/>
    </row>
    <row r="71" spans="1:27" ht="12.75" customHeight="1" x14ac:dyDescent="0.15">
      <c r="A71"/>
      <c r="B71"/>
      <c r="C71"/>
      <c r="D71"/>
      <c r="E71"/>
      <c r="F71"/>
      <c r="G71"/>
      <c r="H71"/>
      <c r="I71"/>
      <c r="J71"/>
      <c r="K71"/>
      <c r="L71"/>
      <c r="M71"/>
      <c r="N71"/>
      <c r="O71"/>
      <c r="P71"/>
      <c r="Q71"/>
      <c r="R71"/>
      <c r="S71"/>
      <c r="T71"/>
      <c r="U71"/>
      <c r="V71"/>
      <c r="W71"/>
      <c r="X71"/>
      <c r="Y71"/>
      <c r="Z71"/>
      <c r="AA71"/>
    </row>
    <row r="72" spans="1:27" ht="12.75" customHeight="1" x14ac:dyDescent="0.15">
      <c r="A72"/>
      <c r="B72"/>
      <c r="C72"/>
      <c r="D72"/>
      <c r="E72"/>
      <c r="F72"/>
      <c r="G72"/>
      <c r="H72"/>
      <c r="I72"/>
      <c r="J72"/>
      <c r="K72"/>
      <c r="L72"/>
      <c r="M72"/>
      <c r="N72"/>
      <c r="O72"/>
      <c r="P72"/>
      <c r="Q72"/>
      <c r="R72"/>
      <c r="S72"/>
      <c r="T72"/>
      <c r="U72"/>
      <c r="V72"/>
      <c r="W72"/>
      <c r="X72"/>
      <c r="Y72"/>
      <c r="Z72"/>
      <c r="AA72"/>
    </row>
    <row r="73" spans="1:27" ht="12.75" customHeight="1" x14ac:dyDescent="0.15">
      <c r="A73"/>
      <c r="B73"/>
      <c r="C73"/>
      <c r="D73"/>
      <c r="E73"/>
      <c r="F73"/>
      <c r="G73"/>
      <c r="H73"/>
      <c r="I73"/>
      <c r="J73"/>
      <c r="K73"/>
      <c r="L73"/>
      <c r="M73"/>
      <c r="N73"/>
      <c r="O73"/>
      <c r="P73"/>
      <c r="Q73"/>
      <c r="R73"/>
      <c r="S73"/>
      <c r="T73"/>
      <c r="U73"/>
      <c r="V73"/>
      <c r="W73"/>
      <c r="X73"/>
      <c r="Y73"/>
      <c r="Z73"/>
      <c r="AA73"/>
    </row>
    <row r="74" spans="1:27" ht="12.75" customHeight="1" x14ac:dyDescent="0.15">
      <c r="A74"/>
      <c r="B74"/>
      <c r="C74"/>
      <c r="D74"/>
      <c r="E74"/>
      <c r="F74"/>
      <c r="G74"/>
      <c r="H74"/>
      <c r="I74"/>
      <c r="J74"/>
      <c r="K74"/>
      <c r="L74"/>
      <c r="M74"/>
      <c r="N74"/>
      <c r="O74"/>
      <c r="P74"/>
      <c r="Q74"/>
      <c r="R74"/>
      <c r="S74"/>
      <c r="T74"/>
      <c r="U74"/>
      <c r="V74"/>
      <c r="W74"/>
      <c r="X74"/>
      <c r="Y74"/>
      <c r="Z74"/>
      <c r="AA74"/>
    </row>
    <row r="75" spans="1:27" ht="12.75" customHeight="1" x14ac:dyDescent="0.15">
      <c r="A75"/>
      <c r="B75"/>
      <c r="C75"/>
      <c r="D75"/>
      <c r="E75"/>
      <c r="F75"/>
      <c r="G75"/>
      <c r="H75"/>
      <c r="I75"/>
      <c r="J75"/>
      <c r="K75"/>
      <c r="L75"/>
      <c r="M75"/>
      <c r="N75"/>
      <c r="O75"/>
      <c r="P75"/>
      <c r="Q75"/>
      <c r="R75"/>
      <c r="S75"/>
      <c r="T75"/>
      <c r="U75"/>
      <c r="V75"/>
      <c r="W75"/>
      <c r="X75"/>
      <c r="Y75"/>
      <c r="Z75"/>
      <c r="AA75"/>
    </row>
    <row r="76" spans="1:27" ht="12.75" customHeight="1" x14ac:dyDescent="0.15">
      <c r="A76"/>
      <c r="B76"/>
      <c r="C76"/>
      <c r="D76"/>
      <c r="E76"/>
      <c r="F76"/>
      <c r="G76"/>
      <c r="H76"/>
      <c r="I76"/>
      <c r="J76"/>
      <c r="K76"/>
      <c r="L76"/>
      <c r="M76"/>
      <c r="N76"/>
      <c r="O76"/>
      <c r="P76"/>
      <c r="Q76"/>
      <c r="R76"/>
      <c r="S76"/>
      <c r="T76"/>
      <c r="U76"/>
      <c r="V76"/>
      <c r="W76"/>
      <c r="X76"/>
      <c r="Y76"/>
      <c r="Z76"/>
      <c r="AA76"/>
    </row>
    <row r="77" spans="1:27" ht="12.75" customHeight="1" x14ac:dyDescent="0.15">
      <c r="A77"/>
      <c r="B77"/>
      <c r="C77"/>
      <c r="D77"/>
      <c r="E77"/>
      <c r="F77"/>
      <c r="G77"/>
      <c r="H77"/>
      <c r="I77"/>
      <c r="J77"/>
      <c r="K77"/>
      <c r="L77"/>
      <c r="M77"/>
      <c r="N77"/>
      <c r="O77"/>
      <c r="P77"/>
      <c r="Q77"/>
      <c r="R77"/>
      <c r="S77"/>
      <c r="T77"/>
      <c r="U77"/>
      <c r="V77"/>
      <c r="W77"/>
      <c r="X77"/>
      <c r="Y77"/>
      <c r="Z77"/>
      <c r="AA77"/>
    </row>
    <row r="78" spans="1:27" ht="12.75" customHeight="1" x14ac:dyDescent="0.15">
      <c r="A78"/>
      <c r="B78"/>
      <c r="C78"/>
      <c r="D78"/>
      <c r="E78"/>
      <c r="F78"/>
      <c r="G78"/>
      <c r="H78"/>
      <c r="I78"/>
      <c r="J78"/>
      <c r="K78"/>
      <c r="L78"/>
      <c r="M78"/>
      <c r="N78"/>
      <c r="O78"/>
      <c r="P78"/>
      <c r="Q78"/>
      <c r="R78"/>
      <c r="S78"/>
      <c r="T78"/>
      <c r="U78"/>
      <c r="V78"/>
      <c r="W78"/>
      <c r="X78"/>
      <c r="Y78"/>
      <c r="Z78"/>
      <c r="AA78"/>
    </row>
    <row r="79" spans="1:27" ht="12.75" customHeight="1" x14ac:dyDescent="0.15">
      <c r="A79"/>
      <c r="B79"/>
      <c r="C79"/>
      <c r="D79"/>
      <c r="E79"/>
      <c r="F79"/>
      <c r="G79"/>
      <c r="H79"/>
      <c r="I79"/>
      <c r="J79"/>
      <c r="K79"/>
      <c r="L79"/>
      <c r="M79"/>
      <c r="N79"/>
      <c r="O79"/>
      <c r="P79"/>
      <c r="Q79"/>
      <c r="R79"/>
      <c r="S79"/>
      <c r="T79"/>
      <c r="U79"/>
      <c r="V79"/>
      <c r="W79"/>
      <c r="X79"/>
      <c r="Y79"/>
      <c r="Z79"/>
      <c r="AA79"/>
    </row>
    <row r="80" spans="1:27" ht="12.75" customHeight="1" x14ac:dyDescent="0.15">
      <c r="A80"/>
      <c r="B80"/>
      <c r="C80"/>
      <c r="D80"/>
      <c r="E80"/>
      <c r="F80"/>
      <c r="G80"/>
      <c r="H80"/>
      <c r="I80"/>
      <c r="J80"/>
      <c r="K80"/>
      <c r="L80"/>
      <c r="M80"/>
      <c r="N80"/>
      <c r="O80"/>
      <c r="P80"/>
      <c r="Q80"/>
      <c r="R80"/>
      <c r="S80"/>
      <c r="T80"/>
      <c r="U80"/>
      <c r="V80"/>
      <c r="W80"/>
      <c r="X80"/>
      <c r="Y80"/>
      <c r="Z80"/>
      <c r="AA80"/>
    </row>
    <row r="81" spans="1:27" ht="12.75" customHeight="1" x14ac:dyDescent="0.15">
      <c r="A81"/>
      <c r="B81"/>
      <c r="C81"/>
      <c r="D81"/>
      <c r="E81"/>
      <c r="F81"/>
      <c r="G81"/>
      <c r="H81"/>
      <c r="I81"/>
      <c r="J81"/>
      <c r="K81"/>
      <c r="L81"/>
      <c r="M81"/>
      <c r="N81"/>
      <c r="O81"/>
      <c r="P81"/>
      <c r="Q81"/>
      <c r="R81"/>
      <c r="S81"/>
      <c r="T81"/>
      <c r="U81"/>
      <c r="V81"/>
      <c r="W81"/>
      <c r="X81"/>
      <c r="Y81"/>
      <c r="Z81"/>
      <c r="AA81"/>
    </row>
    <row r="82" spans="1:27" ht="12.75" customHeight="1" x14ac:dyDescent="0.15">
      <c r="A82"/>
      <c r="B82"/>
      <c r="C82"/>
      <c r="D82"/>
      <c r="E82"/>
      <c r="F82"/>
      <c r="G82"/>
      <c r="H82"/>
      <c r="I82"/>
      <c r="J82"/>
      <c r="K82"/>
      <c r="L82"/>
      <c r="M82"/>
      <c r="N82"/>
      <c r="O82"/>
      <c r="P82"/>
      <c r="Q82"/>
      <c r="R82"/>
      <c r="S82"/>
      <c r="T82"/>
      <c r="U82"/>
      <c r="V82"/>
      <c r="W82"/>
      <c r="X82"/>
      <c r="Y82"/>
      <c r="Z82"/>
      <c r="AA82"/>
    </row>
    <row r="83" spans="1:27" ht="12.75" customHeight="1" x14ac:dyDescent="0.15">
      <c r="A83"/>
      <c r="B83"/>
      <c r="C83"/>
      <c r="D83"/>
      <c r="E83"/>
      <c r="F83"/>
      <c r="G83"/>
      <c r="H83"/>
      <c r="I83"/>
      <c r="J83"/>
      <c r="K83"/>
      <c r="L83"/>
      <c r="M83"/>
      <c r="N83"/>
      <c r="O83"/>
      <c r="P83"/>
      <c r="Q83"/>
      <c r="R83"/>
      <c r="S83"/>
      <c r="T83"/>
      <c r="U83"/>
      <c r="V83"/>
      <c r="W83"/>
      <c r="X83"/>
      <c r="Y83"/>
      <c r="Z83"/>
      <c r="AA83"/>
    </row>
    <row r="84" spans="1:27" ht="12.75" customHeight="1" x14ac:dyDescent="0.15">
      <c r="A84"/>
      <c r="B84"/>
      <c r="C84"/>
      <c r="D84"/>
      <c r="E84"/>
      <c r="F84"/>
      <c r="G84"/>
      <c r="H84"/>
      <c r="I84"/>
      <c r="J84"/>
      <c r="K84"/>
      <c r="L84"/>
      <c r="M84"/>
      <c r="N84"/>
      <c r="O84"/>
      <c r="P84"/>
      <c r="Q84"/>
      <c r="R84"/>
      <c r="S84"/>
      <c r="T84"/>
      <c r="U84"/>
      <c r="V84"/>
      <c r="W84"/>
      <c r="X84"/>
      <c r="Y84"/>
      <c r="Z84"/>
      <c r="AA84"/>
    </row>
    <row r="85" spans="1:27" ht="12.75" customHeight="1" x14ac:dyDescent="0.15">
      <c r="A85"/>
      <c r="B85"/>
      <c r="C85"/>
      <c r="D85"/>
      <c r="E85"/>
      <c r="F85"/>
      <c r="G85"/>
      <c r="H85"/>
      <c r="I85"/>
      <c r="J85"/>
      <c r="K85"/>
      <c r="L85"/>
      <c r="M85"/>
      <c r="N85"/>
      <c r="O85"/>
      <c r="P85"/>
      <c r="Q85"/>
      <c r="R85"/>
      <c r="S85"/>
      <c r="T85"/>
      <c r="U85"/>
      <c r="V85"/>
      <c r="W85"/>
      <c r="X85"/>
      <c r="Y85"/>
      <c r="Z85"/>
      <c r="AA85"/>
    </row>
    <row r="86" spans="1:27" ht="12.75" customHeight="1" x14ac:dyDescent="0.15">
      <c r="A86"/>
      <c r="B86"/>
      <c r="C86"/>
      <c r="D86"/>
      <c r="E86"/>
      <c r="F86"/>
      <c r="G86"/>
      <c r="H86"/>
      <c r="I86"/>
      <c r="J86"/>
      <c r="K86"/>
      <c r="L86"/>
      <c r="M86"/>
      <c r="N86"/>
      <c r="O86"/>
      <c r="P86"/>
      <c r="Q86"/>
      <c r="R86"/>
      <c r="S86"/>
      <c r="T86"/>
      <c r="U86"/>
      <c r="V86"/>
      <c r="W86"/>
      <c r="X86"/>
      <c r="Y86"/>
      <c r="Z86"/>
      <c r="AA86"/>
    </row>
    <row r="87" spans="1:27" ht="12.75" customHeight="1" x14ac:dyDescent="0.15">
      <c r="A87"/>
      <c r="B87"/>
      <c r="C87"/>
      <c r="D87"/>
      <c r="E87"/>
      <c r="F87"/>
      <c r="G87"/>
      <c r="H87"/>
      <c r="I87"/>
      <c r="J87"/>
      <c r="K87"/>
      <c r="L87"/>
      <c r="M87"/>
      <c r="N87"/>
      <c r="O87"/>
      <c r="P87"/>
      <c r="Q87"/>
      <c r="R87"/>
      <c r="S87"/>
      <c r="T87"/>
      <c r="U87"/>
      <c r="V87"/>
      <c r="W87"/>
      <c r="X87"/>
      <c r="Y87"/>
      <c r="Z87"/>
      <c r="AA87"/>
    </row>
    <row r="88" spans="1:27" ht="12.75" customHeight="1" x14ac:dyDescent="0.15">
      <c r="A88"/>
      <c r="B88"/>
      <c r="C88"/>
      <c r="D88"/>
      <c r="E88"/>
      <c r="F88"/>
      <c r="G88"/>
      <c r="H88"/>
      <c r="I88"/>
      <c r="J88"/>
      <c r="K88"/>
      <c r="L88"/>
      <c r="M88"/>
      <c r="N88"/>
      <c r="O88"/>
      <c r="P88"/>
      <c r="Q88"/>
      <c r="R88"/>
      <c r="S88"/>
      <c r="T88"/>
      <c r="U88"/>
      <c r="V88"/>
      <c r="W88"/>
      <c r="X88"/>
      <c r="Y88"/>
      <c r="Z88"/>
      <c r="AA88"/>
    </row>
    <row r="89" spans="1:27" ht="12.75" customHeight="1" x14ac:dyDescent="0.15">
      <c r="A89"/>
      <c r="B89"/>
      <c r="C89"/>
      <c r="D89"/>
      <c r="E89"/>
      <c r="F89"/>
      <c r="G89"/>
      <c r="H89"/>
      <c r="I89"/>
      <c r="J89"/>
      <c r="K89"/>
      <c r="L89"/>
      <c r="M89"/>
      <c r="N89"/>
      <c r="O89"/>
      <c r="P89"/>
      <c r="Q89"/>
      <c r="R89"/>
      <c r="S89"/>
      <c r="T89"/>
      <c r="U89"/>
      <c r="V89"/>
      <c r="W89"/>
      <c r="X89"/>
      <c r="Y89"/>
      <c r="Z89"/>
      <c r="AA89"/>
    </row>
    <row r="90" spans="1:27" ht="12.75" customHeight="1" x14ac:dyDescent="0.15">
      <c r="A90"/>
      <c r="B90"/>
      <c r="C90"/>
      <c r="D90"/>
      <c r="E90"/>
      <c r="F90"/>
      <c r="G90"/>
      <c r="H90"/>
      <c r="I90"/>
      <c r="J90"/>
      <c r="K90"/>
      <c r="L90"/>
      <c r="M90"/>
      <c r="N90"/>
      <c r="O90"/>
      <c r="P90"/>
      <c r="Q90"/>
      <c r="R90"/>
      <c r="S90"/>
      <c r="T90"/>
      <c r="U90"/>
      <c r="V90"/>
      <c r="W90"/>
      <c r="X90"/>
      <c r="Y90"/>
      <c r="Z90"/>
      <c r="AA90"/>
    </row>
    <row r="91" spans="1:27" ht="12.75" customHeight="1" x14ac:dyDescent="0.15">
      <c r="A91"/>
      <c r="B91"/>
      <c r="C91"/>
      <c r="D91"/>
      <c r="E91"/>
      <c r="F91"/>
      <c r="G91"/>
      <c r="H91"/>
      <c r="I91"/>
      <c r="J91"/>
      <c r="K91"/>
      <c r="L91"/>
      <c r="M91"/>
      <c r="N91"/>
      <c r="O91"/>
      <c r="P91"/>
      <c r="Q91"/>
      <c r="R91"/>
      <c r="S91"/>
      <c r="T91"/>
      <c r="U91"/>
      <c r="V91"/>
      <c r="W91"/>
      <c r="X91"/>
      <c r="Y91"/>
      <c r="Z91"/>
      <c r="AA91"/>
    </row>
    <row r="92" spans="1:27" ht="12.75" customHeight="1" x14ac:dyDescent="0.15">
      <c r="A92"/>
      <c r="B92"/>
      <c r="C92"/>
      <c r="D92"/>
      <c r="E92"/>
      <c r="F92"/>
      <c r="G92"/>
      <c r="H92"/>
      <c r="I92"/>
      <c r="J92"/>
      <c r="K92"/>
      <c r="L92"/>
      <c r="M92"/>
      <c r="N92"/>
      <c r="O92"/>
      <c r="P92"/>
      <c r="Q92"/>
      <c r="R92"/>
      <c r="S92"/>
      <c r="T92"/>
      <c r="U92"/>
      <c r="V92"/>
      <c r="W92"/>
      <c r="X92"/>
      <c r="Y92"/>
      <c r="Z92"/>
      <c r="AA92"/>
    </row>
    <row r="93" spans="1:27" ht="12.75" customHeight="1" x14ac:dyDescent="0.15">
      <c r="A93"/>
      <c r="B93"/>
      <c r="C93"/>
      <c r="D93"/>
      <c r="E93"/>
      <c r="F93"/>
      <c r="G93"/>
      <c r="H93"/>
      <c r="I93"/>
      <c r="J93"/>
      <c r="K93"/>
      <c r="L93"/>
      <c r="M93"/>
      <c r="N93"/>
      <c r="O93"/>
      <c r="P93"/>
      <c r="Q93"/>
      <c r="R93"/>
      <c r="S93"/>
      <c r="T93"/>
      <c r="U93"/>
      <c r="V93"/>
      <c r="W93"/>
      <c r="X93"/>
      <c r="Y93"/>
      <c r="Z93"/>
      <c r="AA93"/>
    </row>
    <row r="94" spans="1:27" ht="12.75" customHeight="1" x14ac:dyDescent="0.15">
      <c r="A94"/>
      <c r="B94"/>
      <c r="C94"/>
      <c r="D94"/>
      <c r="E94"/>
      <c r="F94"/>
      <c r="G94"/>
      <c r="H94"/>
      <c r="I94"/>
      <c r="J94"/>
      <c r="K94"/>
      <c r="L94"/>
      <c r="M94"/>
      <c r="N94"/>
      <c r="O94"/>
      <c r="P94"/>
      <c r="Q94"/>
      <c r="R94"/>
      <c r="S94"/>
      <c r="T94"/>
      <c r="U94"/>
      <c r="V94"/>
      <c r="W94"/>
      <c r="X94"/>
      <c r="Y94"/>
      <c r="Z94"/>
      <c r="AA94"/>
    </row>
    <row r="95" spans="1:27" ht="12.75" customHeight="1" x14ac:dyDescent="0.15">
      <c r="A95"/>
      <c r="B95"/>
      <c r="C95"/>
      <c r="D95"/>
      <c r="E95"/>
      <c r="F95"/>
      <c r="G95"/>
      <c r="H95"/>
      <c r="I95"/>
      <c r="J95"/>
      <c r="K95"/>
      <c r="L95"/>
      <c r="M95"/>
      <c r="N95"/>
      <c r="O95"/>
      <c r="P95"/>
      <c r="Q95"/>
      <c r="R95"/>
      <c r="S95"/>
      <c r="T95"/>
      <c r="U95"/>
      <c r="V95"/>
      <c r="W95"/>
      <c r="X95"/>
      <c r="Y95"/>
      <c r="Z95"/>
      <c r="AA95"/>
    </row>
    <row r="96" spans="1:27" ht="12.75" customHeight="1" x14ac:dyDescent="0.15">
      <c r="A96"/>
      <c r="B96"/>
      <c r="C96"/>
      <c r="D96"/>
      <c r="E96"/>
      <c r="F96"/>
      <c r="G96"/>
      <c r="H96"/>
      <c r="I96"/>
      <c r="J96"/>
      <c r="K96"/>
      <c r="L96"/>
      <c r="M96"/>
      <c r="N96"/>
      <c r="O96"/>
      <c r="P96"/>
      <c r="Q96"/>
      <c r="R96"/>
      <c r="S96"/>
      <c r="T96"/>
      <c r="U96"/>
      <c r="V96"/>
      <c r="W96"/>
      <c r="X96"/>
      <c r="Y96"/>
      <c r="Z96"/>
      <c r="AA96"/>
    </row>
    <row r="97" spans="1:27" ht="12.75" customHeight="1" x14ac:dyDescent="0.15">
      <c r="A97"/>
      <c r="B97"/>
      <c r="C97"/>
      <c r="D97"/>
      <c r="E97"/>
      <c r="F97"/>
      <c r="G97"/>
      <c r="H97"/>
      <c r="I97"/>
      <c r="J97"/>
      <c r="K97"/>
      <c r="L97"/>
      <c r="M97"/>
      <c r="N97"/>
      <c r="O97"/>
      <c r="P97"/>
      <c r="Q97"/>
      <c r="R97"/>
      <c r="S97"/>
      <c r="T97"/>
      <c r="U97"/>
      <c r="V97"/>
      <c r="W97"/>
      <c r="X97"/>
      <c r="Y97"/>
      <c r="Z97"/>
      <c r="AA97"/>
    </row>
    <row r="98" spans="1:27" ht="12.75" customHeight="1" x14ac:dyDescent="0.15">
      <c r="A98"/>
      <c r="B98"/>
      <c r="C98"/>
      <c r="D98"/>
      <c r="E98"/>
      <c r="F98"/>
      <c r="G98"/>
      <c r="H98"/>
      <c r="I98"/>
      <c r="J98"/>
      <c r="K98"/>
      <c r="L98"/>
      <c r="M98"/>
      <c r="N98"/>
      <c r="O98"/>
      <c r="P98"/>
      <c r="Q98"/>
      <c r="R98"/>
      <c r="S98"/>
      <c r="T98"/>
      <c r="U98"/>
      <c r="V98"/>
      <c r="W98"/>
      <c r="X98"/>
      <c r="Y98"/>
      <c r="Z98"/>
      <c r="AA98"/>
    </row>
  </sheetData>
  <pageMargins left="0.79" right="0.79" top="1.03" bottom="1.03" header="0.79" footer="0.79"/>
  <pageSetup scale="65" orientation="portrait" horizontalDpi="300" verticalDpi="300"/>
  <headerFooter>
    <oddHeader>&amp;C&amp;A</oddHeader>
    <oddFooter>&amp;CPage &amp;P</oddFooter>
  </headerFooter>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87"/>
  <sheetViews>
    <sheetView zoomScale="115" zoomScaleNormal="115" zoomScalePageLayoutView="115" workbookViewId="0">
      <pane xSplit="1" topLeftCell="B1" activePane="topRight" state="frozen"/>
      <selection pane="topRight" activeCell="D36" sqref="D36"/>
    </sheetView>
  </sheetViews>
  <sheetFormatPr baseColWidth="10" defaultColWidth="16" defaultRowHeight="12.75" customHeight="1" x14ac:dyDescent="0.15"/>
  <cols>
    <col min="1" max="1" width="13.5" style="2" customWidth="1"/>
    <col min="2" max="2" width="16.6640625" style="54" customWidth="1"/>
    <col min="3" max="4" width="16.6640625" style="2" customWidth="1"/>
    <col min="5" max="6" width="16.6640625" style="55" customWidth="1"/>
    <col min="7" max="11" width="16.6640625" style="2" customWidth="1"/>
    <col min="12" max="12" width="16.6640625" style="56" customWidth="1"/>
    <col min="13" max="33" width="16.6640625" style="2" customWidth="1"/>
    <col min="34" max="63" width="8.1640625" style="2" customWidth="1"/>
  </cols>
  <sheetData>
    <row r="1" spans="1:63" ht="12.75" customHeight="1" x14ac:dyDescent="0.15">
      <c r="B1" s="3"/>
      <c r="C1" s="3"/>
      <c r="D1" s="3"/>
      <c r="E1" s="4"/>
      <c r="F1" s="4"/>
      <c r="G1" s="3"/>
      <c r="H1" s="3"/>
      <c r="I1" s="3"/>
      <c r="J1" s="3"/>
      <c r="K1" s="3"/>
      <c r="L1" s="3"/>
      <c r="M1" s="5"/>
      <c r="N1" s="5"/>
      <c r="O1" s="5"/>
      <c r="P1" s="5"/>
      <c r="Q1" s="6"/>
      <c r="R1" s="5"/>
      <c r="S1" s="5"/>
      <c r="T1" s="5"/>
      <c r="U1" s="5"/>
      <c r="V1" s="7"/>
      <c r="W1" s="7"/>
      <c r="X1" s="9"/>
      <c r="Y1" s="7"/>
      <c r="Z1" s="7"/>
      <c r="AA1" s="7"/>
      <c r="AB1" s="7"/>
      <c r="AC1" s="8"/>
      <c r="AE1" s="5"/>
      <c r="AF1" s="5"/>
      <c r="AG1" s="7"/>
    </row>
    <row r="2" spans="1:63" ht="12.75" customHeight="1" x14ac:dyDescent="0.15">
      <c r="A2" s="10"/>
      <c r="B2" s="11" t="s">
        <v>2</v>
      </c>
      <c r="C2" s="12" t="s">
        <v>3</v>
      </c>
      <c r="D2" s="12" t="s">
        <v>4</v>
      </c>
      <c r="E2" s="12" t="s">
        <v>3</v>
      </c>
      <c r="F2" s="11" t="s">
        <v>4</v>
      </c>
      <c r="G2" s="12" t="s">
        <v>3</v>
      </c>
      <c r="H2" s="11" t="s">
        <v>2</v>
      </c>
      <c r="I2" s="12" t="s">
        <v>3</v>
      </c>
      <c r="J2" s="12" t="s">
        <v>3</v>
      </c>
      <c r="K2" s="11" t="s">
        <v>2</v>
      </c>
      <c r="L2" s="12" t="s">
        <v>3</v>
      </c>
      <c r="M2" s="11" t="s">
        <v>2</v>
      </c>
      <c r="N2" s="11" t="s">
        <v>2</v>
      </c>
      <c r="O2" s="11" t="s">
        <v>2</v>
      </c>
      <c r="P2" s="12" t="s">
        <v>3</v>
      </c>
      <c r="Q2" s="12" t="s">
        <v>3</v>
      </c>
      <c r="R2" s="11" t="s">
        <v>2</v>
      </c>
      <c r="S2" s="11" t="s">
        <v>2</v>
      </c>
      <c r="T2" s="12" t="s">
        <v>3</v>
      </c>
      <c r="U2" s="11" t="s">
        <v>5</v>
      </c>
      <c r="V2" s="12" t="s">
        <v>3</v>
      </c>
      <c r="W2" s="12" t="s">
        <v>3</v>
      </c>
      <c r="X2" s="12" t="s">
        <v>3</v>
      </c>
      <c r="Y2" s="11" t="s">
        <v>2</v>
      </c>
      <c r="Z2" s="11" t="s">
        <v>2</v>
      </c>
      <c r="AA2" s="11" t="s">
        <v>2</v>
      </c>
      <c r="AB2" s="12" t="s">
        <v>3</v>
      </c>
      <c r="AC2" s="11" t="s">
        <v>2</v>
      </c>
      <c r="AD2" s="13"/>
      <c r="AE2" s="11" t="s">
        <v>2</v>
      </c>
      <c r="AF2" s="11" t="s">
        <v>2</v>
      </c>
      <c r="AG2" s="11" t="s">
        <v>2</v>
      </c>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row>
    <row r="3" spans="1:63" s="19" customFormat="1" ht="12.75" customHeight="1" x14ac:dyDescent="0.15">
      <c r="A3" s="15" t="s">
        <v>6</v>
      </c>
      <c r="B3" s="16" t="s">
        <v>7</v>
      </c>
      <c r="C3" s="16" t="s">
        <v>8</v>
      </c>
      <c r="D3" s="16" t="s">
        <v>1176</v>
      </c>
      <c r="E3" s="16" t="s">
        <v>10</v>
      </c>
      <c r="F3" s="16" t="s">
        <v>9</v>
      </c>
      <c r="G3" s="16" t="s">
        <v>11</v>
      </c>
      <c r="H3" s="16" t="s">
        <v>12</v>
      </c>
      <c r="I3" s="16" t="s">
        <v>11</v>
      </c>
      <c r="J3" s="16" t="s">
        <v>8</v>
      </c>
      <c r="K3" s="16" t="s">
        <v>13</v>
      </c>
      <c r="L3" s="16" t="s">
        <v>14</v>
      </c>
      <c r="M3" s="16" t="s">
        <v>15</v>
      </c>
      <c r="N3" s="16" t="s">
        <v>15</v>
      </c>
      <c r="O3" s="16" t="s">
        <v>15</v>
      </c>
      <c r="P3" s="16" t="s">
        <v>16</v>
      </c>
      <c r="Q3" s="16" t="s">
        <v>17</v>
      </c>
      <c r="R3" s="16" t="s">
        <v>18</v>
      </c>
      <c r="S3" s="16" t="s">
        <v>13</v>
      </c>
      <c r="T3" s="16" t="s">
        <v>20</v>
      </c>
      <c r="U3" s="16" t="s">
        <v>21</v>
      </c>
      <c r="V3" s="16" t="s">
        <v>22</v>
      </c>
      <c r="W3" s="16" t="s">
        <v>20</v>
      </c>
      <c r="X3" s="16" t="s">
        <v>11</v>
      </c>
      <c r="Y3" s="16" t="s">
        <v>23</v>
      </c>
      <c r="Z3" s="16" t="s">
        <v>15</v>
      </c>
      <c r="AA3" s="16" t="s">
        <v>13</v>
      </c>
      <c r="AB3" s="16" t="s">
        <v>11</v>
      </c>
      <c r="AC3" s="17" t="s">
        <v>18</v>
      </c>
      <c r="AD3" s="18"/>
      <c r="AE3" s="16" t="s">
        <v>19</v>
      </c>
      <c r="AF3" s="16" t="s">
        <v>18</v>
      </c>
      <c r="AG3" s="16" t="s">
        <v>13</v>
      </c>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row>
    <row r="4" spans="1:63" s="19" customFormat="1" ht="12.75" customHeight="1" x14ac:dyDescent="0.15">
      <c r="A4" s="15" t="s">
        <v>24</v>
      </c>
      <c r="B4" s="20" t="s">
        <v>25</v>
      </c>
      <c r="C4" s="21" t="s">
        <v>26</v>
      </c>
      <c r="D4" s="21" t="s">
        <v>485</v>
      </c>
      <c r="E4" s="22" t="s">
        <v>27</v>
      </c>
      <c r="F4" s="22" t="s">
        <v>27</v>
      </c>
      <c r="G4" s="21" t="s">
        <v>26</v>
      </c>
      <c r="H4" s="22" t="s">
        <v>28</v>
      </c>
      <c r="I4" s="21" t="s">
        <v>29</v>
      </c>
      <c r="J4" s="21" t="s">
        <v>30</v>
      </c>
      <c r="K4" s="22" t="s">
        <v>31</v>
      </c>
      <c r="L4" s="21" t="s">
        <v>30</v>
      </c>
      <c r="M4" s="22" t="s">
        <v>32</v>
      </c>
      <c r="N4" s="22" t="s">
        <v>32</v>
      </c>
      <c r="O4" s="22" t="s">
        <v>33</v>
      </c>
      <c r="P4" s="22" t="s">
        <v>33</v>
      </c>
      <c r="Q4" s="22" t="s">
        <v>33</v>
      </c>
      <c r="R4" s="22" t="s">
        <v>25</v>
      </c>
      <c r="S4" s="22" t="s">
        <v>34</v>
      </c>
      <c r="T4" s="21" t="s">
        <v>29</v>
      </c>
      <c r="U4" s="22" t="s">
        <v>36</v>
      </c>
      <c r="V4" s="21" t="s">
        <v>30</v>
      </c>
      <c r="W4" s="21" t="s">
        <v>28</v>
      </c>
      <c r="X4" s="21" t="s">
        <v>27</v>
      </c>
      <c r="Y4" s="22" t="s">
        <v>37</v>
      </c>
      <c r="Z4" s="22" t="s">
        <v>37</v>
      </c>
      <c r="AA4" s="21" t="s">
        <v>38</v>
      </c>
      <c r="AB4" s="21" t="s">
        <v>30</v>
      </c>
      <c r="AC4" s="21" t="s">
        <v>39</v>
      </c>
      <c r="AD4" s="18"/>
      <c r="AE4" s="22" t="s">
        <v>35</v>
      </c>
      <c r="AF4" s="22" t="s">
        <v>35</v>
      </c>
      <c r="AG4" s="22" t="s">
        <v>35</v>
      </c>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row>
    <row r="5" spans="1:63" s="25" customFormat="1" ht="22.5" customHeight="1" x14ac:dyDescent="0.15">
      <c r="A5" s="23" t="s">
        <v>42</v>
      </c>
      <c r="B5" s="20" t="s">
        <v>43</v>
      </c>
      <c r="C5" s="21" t="s">
        <v>44</v>
      </c>
      <c r="D5" s="21" t="s">
        <v>470</v>
      </c>
      <c r="E5" s="21" t="s">
        <v>46</v>
      </c>
      <c r="F5" s="21" t="s">
        <v>45</v>
      </c>
      <c r="G5" s="21" t="s">
        <v>47</v>
      </c>
      <c r="H5" s="21" t="s">
        <v>48</v>
      </c>
      <c r="I5" s="21" t="s">
        <v>49</v>
      </c>
      <c r="J5" s="21" t="s">
        <v>50</v>
      </c>
      <c r="K5" s="21" t="s">
        <v>51</v>
      </c>
      <c r="L5" s="21" t="s">
        <v>52</v>
      </c>
      <c r="M5" s="21" t="s">
        <v>53</v>
      </c>
      <c r="N5" s="21" t="s">
        <v>54</v>
      </c>
      <c r="O5" s="21" t="s">
        <v>55</v>
      </c>
      <c r="P5" s="21" t="s">
        <v>56</v>
      </c>
      <c r="Q5" s="21" t="s">
        <v>57</v>
      </c>
      <c r="R5" s="21" t="s">
        <v>58</v>
      </c>
      <c r="S5" s="21" t="s">
        <v>59</v>
      </c>
      <c r="T5" s="21" t="s">
        <v>61</v>
      </c>
      <c r="U5" s="21" t="s">
        <v>62</v>
      </c>
      <c r="V5" s="21" t="s">
        <v>64</v>
      </c>
      <c r="W5" s="21" t="s">
        <v>65</v>
      </c>
      <c r="X5" s="21" t="s">
        <v>67</v>
      </c>
      <c r="Y5" s="21" t="s">
        <v>68</v>
      </c>
      <c r="Z5" s="21" t="s">
        <v>69</v>
      </c>
      <c r="AA5" s="21" t="s">
        <v>70</v>
      </c>
      <c r="AB5" s="21" t="s">
        <v>71</v>
      </c>
      <c r="AC5" s="21" t="s">
        <v>72</v>
      </c>
      <c r="AD5" s="24"/>
      <c r="AE5" s="21" t="s">
        <v>60</v>
      </c>
      <c r="AF5" s="21" t="s">
        <v>40</v>
      </c>
      <c r="AG5" s="21" t="s">
        <v>63</v>
      </c>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row>
    <row r="6" spans="1:63" ht="42" customHeight="1" x14ac:dyDescent="0.15">
      <c r="A6" s="26" t="s">
        <v>1240</v>
      </c>
      <c r="B6" s="70" t="s">
        <v>478</v>
      </c>
      <c r="C6" s="71" t="s">
        <v>1178</v>
      </c>
      <c r="D6" s="71" t="s">
        <v>471</v>
      </c>
      <c r="E6" s="71" t="s">
        <v>77</v>
      </c>
      <c r="F6" s="71" t="s">
        <v>76</v>
      </c>
      <c r="G6" s="71" t="s">
        <v>78</v>
      </c>
      <c r="H6" s="71" t="s">
        <v>79</v>
      </c>
      <c r="I6" s="71" t="s">
        <v>80</v>
      </c>
      <c r="J6" s="71" t="s">
        <v>1179</v>
      </c>
      <c r="K6" s="71" t="s">
        <v>82</v>
      </c>
      <c r="L6" s="71" t="s">
        <v>83</v>
      </c>
      <c r="M6" s="71" t="s">
        <v>482</v>
      </c>
      <c r="N6" s="71" t="s">
        <v>1177</v>
      </c>
      <c r="O6" s="71" t="s">
        <v>481</v>
      </c>
      <c r="P6" s="71" t="s">
        <v>87</v>
      </c>
      <c r="Q6" s="71" t="s">
        <v>88</v>
      </c>
      <c r="R6" s="71" t="s">
        <v>1180</v>
      </c>
      <c r="S6" s="71" t="s">
        <v>90</v>
      </c>
      <c r="T6" s="71" t="s">
        <v>93</v>
      </c>
      <c r="U6" s="71" t="s">
        <v>94</v>
      </c>
      <c r="V6" s="71" t="s">
        <v>1102</v>
      </c>
      <c r="W6" s="71" t="s">
        <v>472</v>
      </c>
      <c r="X6" s="71" t="s">
        <v>98</v>
      </c>
      <c r="Y6" s="71" t="s">
        <v>99</v>
      </c>
      <c r="Z6" s="71" t="s">
        <v>480</v>
      </c>
      <c r="AA6" s="71" t="s">
        <v>101</v>
      </c>
      <c r="AB6" s="71" t="s">
        <v>102</v>
      </c>
      <c r="AC6" s="71" t="s">
        <v>103</v>
      </c>
      <c r="AD6" s="13"/>
      <c r="AE6" s="71" t="s">
        <v>91</v>
      </c>
      <c r="AF6" s="71" t="s">
        <v>92</v>
      </c>
      <c r="AG6" s="71" t="s">
        <v>95</v>
      </c>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row>
    <row r="7" spans="1:63" s="84" customFormat="1" ht="32" customHeight="1" x14ac:dyDescent="0.2">
      <c r="A7" s="81" t="s">
        <v>129</v>
      </c>
      <c r="B7" s="74">
        <v>0.56999999999999995</v>
      </c>
      <c r="C7" s="75">
        <v>6.3E-2</v>
      </c>
      <c r="D7" s="75">
        <v>0.32</v>
      </c>
      <c r="E7" s="75">
        <v>0.69</v>
      </c>
      <c r="F7" s="75">
        <v>0.19400000000000001</v>
      </c>
      <c r="G7" s="75">
        <v>0.1</v>
      </c>
      <c r="H7" s="75">
        <f>(1.1+1.15)/2</f>
        <v>1.125</v>
      </c>
      <c r="I7" s="75">
        <f>(0.195+0.18)/2</f>
        <v>0.1875</v>
      </c>
      <c r="J7" s="75">
        <v>0.56000000000000005</v>
      </c>
      <c r="K7" s="75">
        <v>0.53</v>
      </c>
      <c r="L7" s="75">
        <v>0.55000000000000004</v>
      </c>
      <c r="M7" s="75">
        <v>0.47</v>
      </c>
      <c r="N7" s="75">
        <v>0.38</v>
      </c>
      <c r="O7" s="75">
        <v>0.19</v>
      </c>
      <c r="P7" s="75">
        <f>(0.27+0.091)/2</f>
        <v>0.18049999999999999</v>
      </c>
      <c r="Q7" s="75">
        <v>0.31</v>
      </c>
      <c r="R7" s="75">
        <v>0.14000000000000001</v>
      </c>
      <c r="S7" s="75">
        <v>0.25</v>
      </c>
      <c r="T7" s="75">
        <v>0.63500000000000001</v>
      </c>
      <c r="U7" s="75">
        <v>8.7999999999999995E-2</v>
      </c>
      <c r="V7" s="75">
        <f>(0.8+0.64)/2</f>
        <v>0.72</v>
      </c>
      <c r="W7" s="75">
        <v>0.65</v>
      </c>
      <c r="X7" s="75">
        <v>1.1200000000000001</v>
      </c>
      <c r="Y7" s="75">
        <v>0.75</v>
      </c>
      <c r="Z7" s="75">
        <v>1.89</v>
      </c>
      <c r="AA7" s="75">
        <v>0.3</v>
      </c>
      <c r="AB7" s="75">
        <v>0.2011</v>
      </c>
      <c r="AC7" s="75">
        <v>0.34</v>
      </c>
      <c r="AD7" s="82"/>
      <c r="AE7" s="75" t="s">
        <v>1119</v>
      </c>
      <c r="AF7" s="75">
        <v>0.27</v>
      </c>
      <c r="AG7" s="75">
        <f>(1.14+0.97)/2</f>
        <v>1.0549999999999999</v>
      </c>
      <c r="AH7" s="82"/>
      <c r="AI7" s="82"/>
      <c r="AJ7" s="82"/>
      <c r="AK7" s="82"/>
      <c r="AL7" s="82"/>
      <c r="AM7" s="82"/>
      <c r="AN7" s="82"/>
      <c r="AO7" s="82"/>
      <c r="AP7" s="82"/>
      <c r="AQ7" s="82"/>
      <c r="AR7" s="82"/>
      <c r="AS7" s="82"/>
      <c r="AT7" s="82"/>
      <c r="AU7" s="82"/>
      <c r="AV7" s="82"/>
      <c r="AW7" s="82"/>
      <c r="AX7" s="82"/>
      <c r="AY7" s="82"/>
      <c r="AZ7" s="82"/>
      <c r="BA7" s="83"/>
      <c r="BB7" s="82"/>
      <c r="BC7" s="82"/>
      <c r="BD7" s="82"/>
      <c r="BE7" s="82"/>
      <c r="BF7" s="82"/>
      <c r="BG7" s="82"/>
      <c r="BH7" s="82"/>
      <c r="BI7" s="82"/>
      <c r="BJ7" s="82"/>
      <c r="BK7" s="82"/>
    </row>
    <row r="8" spans="1:63" ht="22" customHeight="1" x14ac:dyDescent="0.2">
      <c r="A8" s="32" t="s">
        <v>1116</v>
      </c>
      <c r="B8" s="33" t="s">
        <v>1114</v>
      </c>
      <c r="C8" s="34" t="s">
        <v>1114</v>
      </c>
      <c r="D8" s="34" t="s">
        <v>1114</v>
      </c>
      <c r="E8" s="34" t="s">
        <v>1114</v>
      </c>
      <c r="F8" s="34" t="s">
        <v>1114</v>
      </c>
      <c r="G8" s="34" t="s">
        <v>1114</v>
      </c>
      <c r="H8" s="34" t="s">
        <v>1114</v>
      </c>
      <c r="I8" s="34" t="s">
        <v>1114</v>
      </c>
      <c r="J8" s="34" t="s">
        <v>1114</v>
      </c>
      <c r="K8" s="34" t="s">
        <v>1114</v>
      </c>
      <c r="L8" s="34" t="s">
        <v>1114</v>
      </c>
      <c r="M8" s="34" t="s">
        <v>1114</v>
      </c>
      <c r="N8" s="34" t="s">
        <v>1114</v>
      </c>
      <c r="O8" s="34" t="s">
        <v>1114</v>
      </c>
      <c r="P8" s="34" t="s">
        <v>1114</v>
      </c>
      <c r="Q8" s="34" t="s">
        <v>1114</v>
      </c>
      <c r="R8" s="34" t="s">
        <v>1114</v>
      </c>
      <c r="S8" s="34" t="s">
        <v>1114</v>
      </c>
      <c r="T8" s="34" t="s">
        <v>1114</v>
      </c>
      <c r="U8" s="34" t="s">
        <v>1114</v>
      </c>
      <c r="V8" s="34" t="s">
        <v>1114</v>
      </c>
      <c r="W8" s="34" t="s">
        <v>1114</v>
      </c>
      <c r="X8" s="34" t="s">
        <v>1114</v>
      </c>
      <c r="Y8" s="34" t="s">
        <v>1114</v>
      </c>
      <c r="Z8" s="34" t="s">
        <v>1114</v>
      </c>
      <c r="AA8" s="34" t="s">
        <v>1114</v>
      </c>
      <c r="AB8" s="34" t="s">
        <v>1114</v>
      </c>
      <c r="AC8" s="34" t="s">
        <v>1114</v>
      </c>
      <c r="AD8" s="13"/>
      <c r="AE8" s="37" t="s">
        <v>1119</v>
      </c>
      <c r="AF8" s="34" t="s">
        <v>1114</v>
      </c>
      <c r="AG8" s="34" t="s">
        <v>1114</v>
      </c>
      <c r="AH8" s="13"/>
      <c r="AI8" s="13"/>
      <c r="AJ8" s="13"/>
      <c r="AK8" s="13"/>
      <c r="AL8" s="13"/>
      <c r="AM8" s="13"/>
      <c r="AN8" s="13"/>
      <c r="AO8" s="13"/>
      <c r="AP8" s="13"/>
      <c r="AQ8" s="13"/>
      <c r="AR8" s="13"/>
      <c r="AS8" s="13"/>
      <c r="AT8" s="13"/>
      <c r="AU8" s="13"/>
      <c r="AV8" s="13"/>
      <c r="AW8" s="13"/>
      <c r="AX8" s="13"/>
      <c r="AY8" s="13"/>
      <c r="AZ8" s="13"/>
      <c r="BA8" s="1"/>
      <c r="BB8" s="13"/>
      <c r="BC8" s="13"/>
      <c r="BD8" s="13"/>
      <c r="BE8" s="13"/>
      <c r="BF8" s="13"/>
      <c r="BG8" s="13"/>
      <c r="BH8" s="13"/>
      <c r="BI8" s="13"/>
      <c r="BJ8" s="13"/>
      <c r="BK8" s="13"/>
    </row>
    <row r="9" spans="1:63" ht="22" customHeight="1" x14ac:dyDescent="0.2">
      <c r="A9" s="32" t="s">
        <v>1117</v>
      </c>
      <c r="B9" s="33" t="s">
        <v>1119</v>
      </c>
      <c r="C9" s="34" t="s">
        <v>1119</v>
      </c>
      <c r="D9" s="34" t="s">
        <v>1119</v>
      </c>
      <c r="E9" s="34" t="s">
        <v>1119</v>
      </c>
      <c r="F9" s="34" t="s">
        <v>1119</v>
      </c>
      <c r="G9" s="34" t="s">
        <v>1119</v>
      </c>
      <c r="H9" s="34">
        <f>(0.49+0.33)/2</f>
        <v>0.41000000000000003</v>
      </c>
      <c r="I9" s="34" t="s">
        <v>1119</v>
      </c>
      <c r="J9" s="34" t="s">
        <v>1119</v>
      </c>
      <c r="K9" s="34" t="s">
        <v>1119</v>
      </c>
      <c r="L9" s="34" t="s">
        <v>1119</v>
      </c>
      <c r="M9" s="34" t="s">
        <v>1122</v>
      </c>
      <c r="N9" s="34" t="s">
        <v>1119</v>
      </c>
      <c r="O9" s="34" t="s">
        <v>1119</v>
      </c>
      <c r="P9" s="34" t="s">
        <v>1119</v>
      </c>
      <c r="Q9" s="34" t="s">
        <v>1119</v>
      </c>
      <c r="R9" s="34" t="s">
        <v>1119</v>
      </c>
      <c r="S9" s="34">
        <v>0.05</v>
      </c>
      <c r="T9" s="34" t="s">
        <v>1119</v>
      </c>
      <c r="U9" s="34" t="s">
        <v>1119</v>
      </c>
      <c r="V9" s="34" t="s">
        <v>1119</v>
      </c>
      <c r="W9" s="34" t="s">
        <v>1119</v>
      </c>
      <c r="X9" s="34" t="s">
        <v>1119</v>
      </c>
      <c r="Y9" s="34" t="s">
        <v>1119</v>
      </c>
      <c r="Z9" s="34" t="s">
        <v>1119</v>
      </c>
      <c r="AA9" s="34" t="s">
        <v>1119</v>
      </c>
      <c r="AB9" s="34" t="s">
        <v>1119</v>
      </c>
      <c r="AC9" s="34" t="s">
        <v>1119</v>
      </c>
      <c r="AD9" s="13"/>
      <c r="AE9" s="37" t="s">
        <v>1119</v>
      </c>
      <c r="AF9" s="34" t="s">
        <v>1119</v>
      </c>
      <c r="AG9" s="34" t="s">
        <v>1119</v>
      </c>
      <c r="AH9" s="13"/>
      <c r="AI9" s="13"/>
      <c r="AJ9" s="13"/>
      <c r="AK9" s="13"/>
      <c r="AL9" s="13"/>
      <c r="AM9" s="13"/>
      <c r="AN9" s="13"/>
      <c r="AO9" s="13"/>
      <c r="AP9" s="13"/>
      <c r="AQ9" s="13"/>
      <c r="AR9" s="13"/>
      <c r="AS9" s="13"/>
      <c r="AT9" s="13"/>
      <c r="AU9" s="13"/>
      <c r="AV9" s="13"/>
      <c r="AW9" s="13"/>
      <c r="AX9" s="13"/>
      <c r="AY9" s="13"/>
      <c r="AZ9" s="13"/>
      <c r="BA9" s="1"/>
      <c r="BB9" s="13"/>
      <c r="BC9" s="13"/>
      <c r="BD9" s="13"/>
      <c r="BE9" s="13"/>
      <c r="BF9" s="13"/>
      <c r="BG9" s="13"/>
      <c r="BH9" s="13"/>
      <c r="BI9" s="13"/>
      <c r="BJ9" s="13"/>
      <c r="BK9" s="13"/>
    </row>
    <row r="10" spans="1:63" s="84" customFormat="1" ht="22" customHeight="1" x14ac:dyDescent="0.2">
      <c r="A10" s="81" t="s">
        <v>599</v>
      </c>
      <c r="B10" s="74">
        <v>15.2</v>
      </c>
      <c r="C10" s="75">
        <v>157.75</v>
      </c>
      <c r="D10" s="75">
        <v>62.2</v>
      </c>
      <c r="E10" s="75">
        <v>184</v>
      </c>
      <c r="F10" s="75">
        <v>97.3</v>
      </c>
      <c r="G10" s="75">
        <v>138</v>
      </c>
      <c r="H10" s="75">
        <f>(192.61+158.21)/2</f>
        <v>175.41000000000003</v>
      </c>
      <c r="I10" s="75">
        <f>(53.7+57.9)/2</f>
        <v>55.8</v>
      </c>
      <c r="J10" s="75">
        <v>81.92</v>
      </c>
      <c r="K10" s="75">
        <v>39.700000000000003</v>
      </c>
      <c r="L10" s="75">
        <v>102</v>
      </c>
      <c r="M10" s="75">
        <v>40.799999999999997</v>
      </c>
      <c r="N10" s="75">
        <v>35.5</v>
      </c>
      <c r="O10" s="75">
        <v>105</v>
      </c>
      <c r="P10" s="75">
        <f>(81.7+63.06)/2</f>
        <v>72.38</v>
      </c>
      <c r="Q10" s="75">
        <v>44.2</v>
      </c>
      <c r="R10" s="75">
        <v>66.3</v>
      </c>
      <c r="S10" s="75">
        <v>41.9</v>
      </c>
      <c r="T10" s="75">
        <v>45.48</v>
      </c>
      <c r="U10" s="75">
        <v>63.012999999999998</v>
      </c>
      <c r="V10" s="75">
        <f>(38+31.7)/2</f>
        <v>34.85</v>
      </c>
      <c r="W10" s="75">
        <v>428.7</v>
      </c>
      <c r="X10" s="75">
        <v>20</v>
      </c>
      <c r="Y10" s="75">
        <v>34.799999999999997</v>
      </c>
      <c r="Z10" s="75">
        <v>25.2</v>
      </c>
      <c r="AA10" s="75">
        <v>44.6</v>
      </c>
      <c r="AB10" s="75">
        <v>208.7</v>
      </c>
      <c r="AC10" s="75">
        <v>131</v>
      </c>
      <c r="AD10" s="82"/>
      <c r="AE10" s="75" t="s">
        <v>1119</v>
      </c>
      <c r="AF10" s="75">
        <v>144.69999999999999</v>
      </c>
      <c r="AG10" s="75">
        <f>(211+204)/2</f>
        <v>207.5</v>
      </c>
      <c r="AH10" s="82"/>
      <c r="AI10" s="82"/>
      <c r="AJ10" s="82"/>
      <c r="AK10" s="82"/>
      <c r="AL10" s="82"/>
      <c r="AM10" s="82"/>
      <c r="AN10" s="82"/>
      <c r="AO10" s="82"/>
      <c r="AP10" s="82"/>
      <c r="AQ10" s="82"/>
      <c r="AR10" s="82"/>
      <c r="AS10" s="82"/>
      <c r="AT10" s="82"/>
      <c r="AU10" s="82"/>
      <c r="AV10" s="82"/>
      <c r="AW10" s="82"/>
      <c r="AX10" s="82"/>
      <c r="AY10" s="82"/>
      <c r="AZ10" s="82"/>
      <c r="BA10" s="83"/>
      <c r="BB10" s="82"/>
      <c r="BC10" s="82"/>
      <c r="BD10" s="82"/>
      <c r="BE10" s="82"/>
      <c r="BF10" s="82"/>
      <c r="BG10" s="82"/>
      <c r="BH10" s="82"/>
      <c r="BI10" s="82"/>
      <c r="BJ10" s="82"/>
      <c r="BK10" s="82"/>
    </row>
    <row r="11" spans="1:63" s="84" customFormat="1" ht="22" customHeight="1" x14ac:dyDescent="0.2">
      <c r="A11" s="81" t="s">
        <v>1190</v>
      </c>
      <c r="B11" s="74" t="s">
        <v>1189</v>
      </c>
      <c r="C11" s="75" t="s">
        <v>1189</v>
      </c>
      <c r="D11" s="75" t="s">
        <v>1189</v>
      </c>
      <c r="E11" s="75" t="s">
        <v>1189</v>
      </c>
      <c r="F11" s="75" t="s">
        <v>1189</v>
      </c>
      <c r="G11" s="75" t="s">
        <v>1189</v>
      </c>
      <c r="H11" s="75" t="s">
        <v>1192</v>
      </c>
      <c r="I11" s="75" t="s">
        <v>1189</v>
      </c>
      <c r="J11" s="75" t="s">
        <v>1189</v>
      </c>
      <c r="K11" s="75" t="s">
        <v>1189</v>
      </c>
      <c r="L11" s="75" t="s">
        <v>1189</v>
      </c>
      <c r="M11" s="75" t="s">
        <v>1189</v>
      </c>
      <c r="N11" s="75" t="s">
        <v>1189</v>
      </c>
      <c r="O11" s="75" t="s">
        <v>1189</v>
      </c>
      <c r="P11" s="75" t="s">
        <v>1189</v>
      </c>
      <c r="Q11" s="75" t="s">
        <v>1189</v>
      </c>
      <c r="R11" s="75" t="s">
        <v>1189</v>
      </c>
      <c r="S11" s="75" t="s">
        <v>1189</v>
      </c>
      <c r="T11" s="75" t="s">
        <v>1189</v>
      </c>
      <c r="U11" s="75" t="s">
        <v>1189</v>
      </c>
      <c r="V11" s="75" t="s">
        <v>1189</v>
      </c>
      <c r="W11" s="75" t="s">
        <v>1192</v>
      </c>
      <c r="X11" s="75" t="s">
        <v>1189</v>
      </c>
      <c r="Y11" s="75" t="s">
        <v>1189</v>
      </c>
      <c r="Z11" s="75" t="s">
        <v>1189</v>
      </c>
      <c r="AA11" s="75" t="s">
        <v>1189</v>
      </c>
      <c r="AB11" s="75" t="s">
        <v>1189</v>
      </c>
      <c r="AC11" s="75" t="s">
        <v>1189</v>
      </c>
      <c r="AD11" s="82"/>
      <c r="AE11" s="75" t="s">
        <v>1119</v>
      </c>
      <c r="AF11" s="75" t="s">
        <v>1192</v>
      </c>
      <c r="AG11" s="75" t="s">
        <v>1192</v>
      </c>
      <c r="AH11" s="82"/>
      <c r="AI11" s="82"/>
      <c r="AJ11" s="82"/>
      <c r="AK11" s="82"/>
      <c r="AL11" s="82"/>
      <c r="AM11" s="82"/>
      <c r="AN11" s="82"/>
      <c r="AO11" s="82"/>
      <c r="AP11" s="82"/>
      <c r="AQ11" s="82"/>
      <c r="AR11" s="82"/>
      <c r="AS11" s="82"/>
      <c r="AT11" s="82"/>
      <c r="AU11" s="82"/>
      <c r="AV11" s="82"/>
      <c r="AW11" s="82"/>
      <c r="AX11" s="82"/>
      <c r="AY11" s="82"/>
      <c r="AZ11" s="82"/>
      <c r="BA11" s="83"/>
      <c r="BB11" s="82"/>
      <c r="BC11" s="82"/>
      <c r="BD11" s="82"/>
      <c r="BE11" s="82"/>
      <c r="BF11" s="82"/>
      <c r="BG11" s="82"/>
      <c r="BH11" s="82"/>
      <c r="BI11" s="82"/>
      <c r="BJ11" s="82"/>
      <c r="BK11" s="82"/>
    </row>
    <row r="12" spans="1:63" ht="22" customHeight="1" x14ac:dyDescent="0.15">
      <c r="A12" s="32" t="s">
        <v>1191</v>
      </c>
      <c r="B12" s="33" t="s">
        <v>1201</v>
      </c>
      <c r="C12" s="34" t="s">
        <v>1194</v>
      </c>
      <c r="D12" s="34" t="s">
        <v>1195</v>
      </c>
      <c r="E12" s="34" t="s">
        <v>1194</v>
      </c>
      <c r="F12" s="34" t="s">
        <v>1194</v>
      </c>
      <c r="G12" s="34" t="s">
        <v>1195</v>
      </c>
      <c r="H12" s="34" t="s">
        <v>1194</v>
      </c>
      <c r="I12" s="73" t="s">
        <v>1194</v>
      </c>
      <c r="J12" s="73" t="s">
        <v>1194</v>
      </c>
      <c r="K12" s="73" t="s">
        <v>1195</v>
      </c>
      <c r="L12" s="73" t="s">
        <v>1194</v>
      </c>
      <c r="M12" s="34" t="s">
        <v>1195</v>
      </c>
      <c r="N12" s="34" t="s">
        <v>1195</v>
      </c>
      <c r="O12" s="34" t="s">
        <v>1195</v>
      </c>
      <c r="P12" s="73" t="s">
        <v>1194</v>
      </c>
      <c r="Q12" s="73" t="s">
        <v>1201</v>
      </c>
      <c r="R12" s="34" t="s">
        <v>1195</v>
      </c>
      <c r="S12" s="73" t="s">
        <v>1194</v>
      </c>
      <c r="T12" s="73" t="s">
        <v>1194</v>
      </c>
      <c r="U12" s="73" t="s">
        <v>1194</v>
      </c>
      <c r="V12" s="73" t="s">
        <v>1194</v>
      </c>
      <c r="W12" s="73" t="s">
        <v>1194</v>
      </c>
      <c r="X12" s="34" t="s">
        <v>1195</v>
      </c>
      <c r="Y12" s="34" t="s">
        <v>1195</v>
      </c>
      <c r="Z12" s="34" t="s">
        <v>1195</v>
      </c>
      <c r="AA12" s="34" t="s">
        <v>1195</v>
      </c>
      <c r="AB12" s="73" t="s">
        <v>1194</v>
      </c>
      <c r="AC12" s="34" t="s">
        <v>1195</v>
      </c>
      <c r="AD12" s="13"/>
      <c r="AE12" s="37" t="s">
        <v>1119</v>
      </c>
      <c r="AF12" s="34" t="s">
        <v>1196</v>
      </c>
      <c r="AG12" s="34" t="s">
        <v>1197</v>
      </c>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row>
    <row r="13" spans="1:63" ht="22" customHeight="1" x14ac:dyDescent="0.2">
      <c r="A13" s="32" t="s">
        <v>1121</v>
      </c>
      <c r="B13" s="33" t="s">
        <v>1119</v>
      </c>
      <c r="C13" s="34" t="s">
        <v>1119</v>
      </c>
      <c r="D13" s="34" t="s">
        <v>1119</v>
      </c>
      <c r="E13" s="34" t="s">
        <v>1119</v>
      </c>
      <c r="F13" s="34" t="s">
        <v>1119</v>
      </c>
      <c r="G13" s="34" t="s">
        <v>1119</v>
      </c>
      <c r="H13" s="34">
        <f>(4.41+3.88)/2</f>
        <v>4.1449999999999996</v>
      </c>
      <c r="I13" s="34" t="s">
        <v>1119</v>
      </c>
      <c r="J13" s="34" t="s">
        <v>1119</v>
      </c>
      <c r="K13" s="34" t="s">
        <v>1119</v>
      </c>
      <c r="L13" s="34" t="s">
        <v>1119</v>
      </c>
      <c r="M13" s="34" t="s">
        <v>1119</v>
      </c>
      <c r="N13" s="34" t="s">
        <v>1119</v>
      </c>
      <c r="O13" s="34" t="s">
        <v>1119</v>
      </c>
      <c r="P13" s="34" t="s">
        <v>1119</v>
      </c>
      <c r="Q13" s="34" t="s">
        <v>1119</v>
      </c>
      <c r="R13" s="34" t="s">
        <v>1119</v>
      </c>
      <c r="S13" s="34">
        <v>3.6</v>
      </c>
      <c r="T13" s="34" t="s">
        <v>1119</v>
      </c>
      <c r="U13" s="34" t="s">
        <v>1119</v>
      </c>
      <c r="V13" s="34" t="s">
        <v>1119</v>
      </c>
      <c r="W13" s="34" t="s">
        <v>1119</v>
      </c>
      <c r="X13" s="34" t="s">
        <v>1119</v>
      </c>
      <c r="Y13" s="34" t="s">
        <v>1119</v>
      </c>
      <c r="Z13" s="34" t="s">
        <v>1119</v>
      </c>
      <c r="AA13" s="34" t="s">
        <v>1119</v>
      </c>
      <c r="AB13" s="34" t="s">
        <v>1119</v>
      </c>
      <c r="AC13" s="34" t="s">
        <v>1119</v>
      </c>
      <c r="AD13" s="13"/>
      <c r="AE13" s="37" t="s">
        <v>1119</v>
      </c>
      <c r="AF13" s="34" t="s">
        <v>1119</v>
      </c>
      <c r="AG13" s="34" t="s">
        <v>1119</v>
      </c>
      <c r="AH13" s="13"/>
      <c r="AI13" s="13"/>
      <c r="AJ13" s="13"/>
      <c r="AK13" s="13"/>
      <c r="AL13" s="13"/>
      <c r="AM13" s="13"/>
      <c r="AN13" s="13"/>
      <c r="AO13" s="13"/>
      <c r="AP13" s="13"/>
      <c r="AQ13" s="13"/>
      <c r="AR13" s="13"/>
      <c r="AS13" s="13"/>
      <c r="AT13" s="13"/>
      <c r="AU13" s="13"/>
      <c r="AV13" s="13"/>
      <c r="AW13" s="13"/>
      <c r="AX13" s="13"/>
      <c r="AY13" s="13"/>
      <c r="AZ13" s="13"/>
      <c r="BA13" s="1"/>
      <c r="BB13" s="13"/>
      <c r="BC13" s="13"/>
      <c r="BD13" s="13"/>
      <c r="BE13" s="13"/>
      <c r="BF13" s="13"/>
      <c r="BG13" s="13"/>
      <c r="BH13" s="13"/>
      <c r="BI13" s="13"/>
      <c r="BJ13" s="13"/>
      <c r="BK13" s="13"/>
    </row>
    <row r="14" spans="1:63" s="84" customFormat="1" ht="22" customHeight="1" x14ac:dyDescent="0.15">
      <c r="A14" s="81" t="s">
        <v>183</v>
      </c>
      <c r="B14" s="74">
        <v>0</v>
      </c>
      <c r="C14" s="75">
        <v>-0.47</v>
      </c>
      <c r="D14" s="34">
        <v>-0.42</v>
      </c>
      <c r="E14" s="75">
        <v>-2.4199999999999999E-2</v>
      </c>
      <c r="F14" s="75">
        <v>-0.19600000000000001</v>
      </c>
      <c r="G14" s="75">
        <v>-1.1399999999999999</v>
      </c>
      <c r="H14" s="75">
        <v>0</v>
      </c>
      <c r="I14" s="75">
        <v>-0.245</v>
      </c>
      <c r="J14" s="75">
        <v>-3.1699999999999999E-2</v>
      </c>
      <c r="K14" s="75">
        <v>-0.28000000000000003</v>
      </c>
      <c r="L14" s="75">
        <v>-0.02</v>
      </c>
      <c r="M14" s="75">
        <v>-0.32</v>
      </c>
      <c r="N14" s="75">
        <v>-0.41</v>
      </c>
      <c r="O14" s="75">
        <v>-0.63</v>
      </c>
      <c r="P14" s="75">
        <f>(0.013+-3.95)/2</f>
        <v>-1.9685000000000001</v>
      </c>
      <c r="Q14" s="75">
        <v>0</v>
      </c>
      <c r="R14" s="75">
        <v>-0.98</v>
      </c>
      <c r="S14" s="75">
        <v>-7.3999999999999996E-2</v>
      </c>
      <c r="T14" s="75">
        <v>0.309</v>
      </c>
      <c r="U14" s="75">
        <v>-4.4114000000000004</v>
      </c>
      <c r="V14" s="75">
        <v>0</v>
      </c>
      <c r="W14" s="75">
        <v>-7.0000000000000007E-2</v>
      </c>
      <c r="X14" s="75">
        <v>-0.16</v>
      </c>
      <c r="Y14" s="75">
        <v>-0.21</v>
      </c>
      <c r="Z14" s="75">
        <v>-0.09</v>
      </c>
      <c r="AA14" s="75">
        <v>-0.82</v>
      </c>
      <c r="AB14" s="75">
        <v>-0.99060000000000004</v>
      </c>
      <c r="AC14" s="75">
        <v>-0.32</v>
      </c>
      <c r="AD14" s="82"/>
      <c r="AE14" s="75" t="s">
        <v>1119</v>
      </c>
      <c r="AF14" s="75">
        <v>-0.18</v>
      </c>
      <c r="AG14" s="75">
        <f>(-0.0194+-0.0691)/2</f>
        <v>-4.4249999999999998E-2</v>
      </c>
      <c r="AH14" s="82"/>
      <c r="AI14" s="82"/>
      <c r="AJ14" s="82"/>
      <c r="AK14" s="82"/>
      <c r="AL14" s="82"/>
      <c r="AM14" s="82"/>
      <c r="AN14" s="82"/>
      <c r="AO14" s="82"/>
      <c r="AP14" s="82"/>
      <c r="AQ14" s="82"/>
      <c r="AR14" s="82"/>
      <c r="AS14" s="82"/>
      <c r="AT14" s="82"/>
      <c r="AU14" s="82"/>
      <c r="AV14" s="82"/>
      <c r="AW14" s="82"/>
      <c r="AX14" s="82"/>
      <c r="AY14" s="82"/>
      <c r="AZ14" s="82"/>
      <c r="BA14" s="82"/>
      <c r="BB14" s="82"/>
      <c r="BC14" s="82"/>
      <c r="BD14" s="82"/>
      <c r="BE14" s="82"/>
      <c r="BF14" s="82"/>
      <c r="BG14" s="82"/>
      <c r="BH14" s="82"/>
      <c r="BI14" s="82"/>
      <c r="BJ14" s="82"/>
      <c r="BK14" s="82"/>
    </row>
    <row r="15" spans="1:63" ht="22" customHeight="1" x14ac:dyDescent="0.15">
      <c r="A15" s="32" t="s">
        <v>1118</v>
      </c>
      <c r="B15" s="33" t="s">
        <v>1119</v>
      </c>
      <c r="C15" s="34" t="s">
        <v>1119</v>
      </c>
      <c r="D15" s="34" t="s">
        <v>1119</v>
      </c>
      <c r="E15" s="34" t="s">
        <v>1119</v>
      </c>
      <c r="F15" s="34" t="s">
        <v>1119</v>
      </c>
      <c r="G15" s="34" t="s">
        <v>1119</v>
      </c>
      <c r="H15" s="34" t="s">
        <v>1119</v>
      </c>
      <c r="I15" s="34" t="s">
        <v>1119</v>
      </c>
      <c r="J15" s="34" t="s">
        <v>1119</v>
      </c>
      <c r="K15" s="34" t="s">
        <v>1119</v>
      </c>
      <c r="L15" s="34" t="s">
        <v>1119</v>
      </c>
      <c r="M15" s="34" t="s">
        <v>1119</v>
      </c>
      <c r="N15" s="34" t="s">
        <v>1119</v>
      </c>
      <c r="O15" s="34" t="s">
        <v>1119</v>
      </c>
      <c r="P15" s="34" t="s">
        <v>1119</v>
      </c>
      <c r="Q15" s="34" t="s">
        <v>1119</v>
      </c>
      <c r="R15" s="34" t="s">
        <v>1119</v>
      </c>
      <c r="S15" s="35">
        <v>0.14000000000000001</v>
      </c>
      <c r="T15" s="34" t="s">
        <v>1119</v>
      </c>
      <c r="U15" s="34" t="s">
        <v>1119</v>
      </c>
      <c r="V15" s="34" t="s">
        <v>1119</v>
      </c>
      <c r="W15" s="34" t="s">
        <v>1119</v>
      </c>
      <c r="X15" s="34" t="s">
        <v>1119</v>
      </c>
      <c r="Y15" s="34" t="s">
        <v>1119</v>
      </c>
      <c r="Z15" s="34" t="s">
        <v>1119</v>
      </c>
      <c r="AA15" s="34" t="s">
        <v>1119</v>
      </c>
      <c r="AB15" s="34" t="s">
        <v>1119</v>
      </c>
      <c r="AC15" s="34" t="s">
        <v>1119</v>
      </c>
      <c r="AD15" s="13"/>
      <c r="AE15" s="37" t="s">
        <v>1119</v>
      </c>
      <c r="AF15" s="34" t="s">
        <v>1119</v>
      </c>
      <c r="AG15" s="34" t="s">
        <v>1119</v>
      </c>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row>
    <row r="16" spans="1:63" s="92" customFormat="1" ht="22" customHeight="1" x14ac:dyDescent="0.2">
      <c r="A16" s="106" t="s">
        <v>1123</v>
      </c>
      <c r="B16" s="105">
        <v>2.3800000000000002E-2</v>
      </c>
      <c r="C16" s="104">
        <v>1.3070000000000002E-2</v>
      </c>
      <c r="D16" s="104">
        <v>1.374E-2</v>
      </c>
      <c r="E16" s="104">
        <v>2.0200000000000003E-2</v>
      </c>
      <c r="F16" s="104">
        <v>1.9130000000000001E-2</v>
      </c>
      <c r="G16" s="104">
        <v>2.3178000000000004E-5</v>
      </c>
      <c r="H16" s="104">
        <f>1.82*10^-3</f>
        <v>1.82E-3</v>
      </c>
      <c r="I16" s="104">
        <v>1.24E-2</v>
      </c>
      <c r="J16" s="104">
        <v>1.064E-2</v>
      </c>
      <c r="K16" s="104">
        <v>6.9999999999999999E-4</v>
      </c>
      <c r="L16" s="104">
        <v>7.6475099999999999E-6</v>
      </c>
      <c r="M16" s="104">
        <v>1.7000000000000001E-2</v>
      </c>
      <c r="N16" s="104">
        <v>1.7299999999999999E-2</v>
      </c>
      <c r="O16" s="104">
        <v>2.8000000000000001E-2</v>
      </c>
      <c r="P16" s="104">
        <v>1.6199999999999999E-2</v>
      </c>
      <c r="Q16" s="104">
        <v>2.1000000000000001E-2</v>
      </c>
      <c r="R16" s="104">
        <v>2.2800000000000001E-2</v>
      </c>
      <c r="S16" s="104">
        <v>7.9000000000000001E-4</v>
      </c>
      <c r="T16" s="104">
        <v>2.9138E-6</v>
      </c>
      <c r="U16" s="104">
        <v>9.0000000000000002E-6</v>
      </c>
      <c r="V16" s="104">
        <v>1.78E-2</v>
      </c>
      <c r="W16" s="104">
        <v>2.3300000000000001E-2</v>
      </c>
      <c r="X16" s="104">
        <v>3.1400000000000004E-2</v>
      </c>
      <c r="Y16" s="104">
        <v>1.3100000000000001E-2</v>
      </c>
      <c r="Z16" s="104">
        <v>1.2E-2</v>
      </c>
      <c r="AA16" s="104">
        <v>4.4000000000000003E-3</v>
      </c>
      <c r="AB16" s="104">
        <v>3.0000000000000004E-5</v>
      </c>
      <c r="AC16" s="104">
        <v>2.0000000000000001E-4</v>
      </c>
      <c r="AD16" s="101"/>
      <c r="AE16" s="104" t="s">
        <v>1119</v>
      </c>
      <c r="AF16" s="104">
        <v>1E-3</v>
      </c>
      <c r="AG16" s="103">
        <v>7.6639999999999998E-6</v>
      </c>
      <c r="AH16" s="101"/>
      <c r="AI16" s="101"/>
      <c r="AJ16" s="101"/>
      <c r="AK16" s="101"/>
      <c r="AL16" s="101"/>
      <c r="AM16" s="101"/>
      <c r="AN16" s="101"/>
      <c r="AO16" s="101"/>
      <c r="AP16" s="101"/>
      <c r="AQ16" s="101"/>
      <c r="AR16" s="101"/>
      <c r="AS16" s="101"/>
      <c r="AT16" s="101"/>
      <c r="AU16" s="101"/>
      <c r="AV16" s="101"/>
      <c r="AW16" s="101"/>
      <c r="AX16" s="101"/>
      <c r="AY16" s="101"/>
      <c r="AZ16" s="101"/>
      <c r="BA16" s="102"/>
      <c r="BB16" s="101"/>
      <c r="BC16" s="101"/>
      <c r="BD16" s="101"/>
      <c r="BE16" s="101"/>
      <c r="BF16" s="101"/>
      <c r="BG16" s="101"/>
      <c r="BH16" s="101"/>
      <c r="BI16" s="101"/>
      <c r="BJ16" s="101"/>
      <c r="BK16" s="101"/>
    </row>
    <row r="17" spans="1:63" s="84" customFormat="1" ht="22" customHeight="1" x14ac:dyDescent="0.2">
      <c r="A17" s="81" t="s">
        <v>1124</v>
      </c>
      <c r="B17" s="74">
        <v>2.97</v>
      </c>
      <c r="C17" s="75">
        <v>3.05</v>
      </c>
      <c r="D17" s="75">
        <v>3</v>
      </c>
      <c r="E17" s="75">
        <v>3</v>
      </c>
      <c r="F17" s="75">
        <v>2.94</v>
      </c>
      <c r="G17" s="75">
        <v>2.9588999999999999</v>
      </c>
      <c r="H17" s="75">
        <v>3.15</v>
      </c>
      <c r="I17" s="75">
        <v>3.0569999999999999</v>
      </c>
      <c r="J17" s="75">
        <v>3.06</v>
      </c>
      <c r="K17" s="75">
        <v>3.5750000000000002</v>
      </c>
      <c r="L17" s="75">
        <v>3.24281</v>
      </c>
      <c r="M17" s="75">
        <v>3.0422600000000002</v>
      </c>
      <c r="N17" s="75">
        <v>3.02583</v>
      </c>
      <c r="O17" s="75">
        <v>2.8442600000000002</v>
      </c>
      <c r="P17" s="75">
        <v>3.01</v>
      </c>
      <c r="Q17" s="75">
        <v>2.996</v>
      </c>
      <c r="R17" s="75">
        <v>2.9220000000000002</v>
      </c>
      <c r="S17" s="75">
        <v>3.2509999999999999</v>
      </c>
      <c r="T17" s="75">
        <v>3.2696999999999998</v>
      </c>
      <c r="U17" s="75">
        <v>3.2063999999999999</v>
      </c>
      <c r="V17" s="75">
        <v>2.7967499999999998</v>
      </c>
      <c r="W17" s="75">
        <v>2.919</v>
      </c>
      <c r="X17" s="75" t="s">
        <v>234</v>
      </c>
      <c r="Y17" s="75">
        <v>3.0880000000000001</v>
      </c>
      <c r="Z17" s="75">
        <v>3.0110000000000001</v>
      </c>
      <c r="AA17" s="75">
        <v>3.0830000000000002</v>
      </c>
      <c r="AB17" s="75">
        <v>2.9278</v>
      </c>
      <c r="AC17" s="75">
        <v>3.26</v>
      </c>
      <c r="AD17" s="82"/>
      <c r="AE17" s="75" t="s">
        <v>1119</v>
      </c>
      <c r="AF17" s="75">
        <v>2.98</v>
      </c>
      <c r="AG17" s="100">
        <v>3.4380000000000002</v>
      </c>
      <c r="AH17" s="82"/>
      <c r="AI17" s="82"/>
      <c r="AJ17" s="82"/>
      <c r="AK17" s="82"/>
      <c r="AL17" s="82"/>
      <c r="AM17" s="82"/>
      <c r="AN17" s="82"/>
      <c r="AO17" s="82"/>
      <c r="AP17" s="82"/>
      <c r="AQ17" s="82"/>
      <c r="AR17" s="82"/>
      <c r="AS17" s="82"/>
      <c r="AT17" s="82"/>
      <c r="AU17" s="82"/>
      <c r="AV17" s="82"/>
      <c r="AW17" s="82"/>
      <c r="AX17" s="82"/>
      <c r="AY17" s="82"/>
      <c r="AZ17" s="82"/>
      <c r="BA17" s="83"/>
      <c r="BB17" s="82"/>
      <c r="BC17" s="82"/>
      <c r="BD17" s="82"/>
      <c r="BE17" s="82"/>
      <c r="BF17" s="82"/>
      <c r="BG17" s="82"/>
      <c r="BH17" s="82"/>
      <c r="BI17" s="82"/>
      <c r="BJ17" s="82"/>
      <c r="BK17" s="82"/>
    </row>
    <row r="18" spans="1:63" ht="22" customHeight="1" x14ac:dyDescent="0.2">
      <c r="A18" s="32" t="s">
        <v>1198</v>
      </c>
      <c r="B18" s="33" t="s">
        <v>1189</v>
      </c>
      <c r="C18" s="34" t="s">
        <v>1189</v>
      </c>
      <c r="D18" s="34" t="s">
        <v>1189</v>
      </c>
      <c r="E18" s="34" t="s">
        <v>1189</v>
      </c>
      <c r="F18" s="34" t="s">
        <v>1189</v>
      </c>
      <c r="G18" s="34" t="s">
        <v>1192</v>
      </c>
      <c r="H18" s="34" t="s">
        <v>1192</v>
      </c>
      <c r="I18" s="34" t="s">
        <v>1189</v>
      </c>
      <c r="J18" s="34" t="s">
        <v>1189</v>
      </c>
      <c r="K18" s="34" t="s">
        <v>1189</v>
      </c>
      <c r="L18" s="34" t="s">
        <v>1189</v>
      </c>
      <c r="M18" s="34" t="s">
        <v>1189</v>
      </c>
      <c r="N18" s="34" t="s">
        <v>1189</v>
      </c>
      <c r="O18" s="34" t="s">
        <v>1189</v>
      </c>
      <c r="P18" s="34" t="s">
        <v>1189</v>
      </c>
      <c r="Q18" s="34" t="s">
        <v>1189</v>
      </c>
      <c r="R18" s="34" t="s">
        <v>1189</v>
      </c>
      <c r="S18" s="34" t="s">
        <v>1189</v>
      </c>
      <c r="T18" s="34" t="s">
        <v>1192</v>
      </c>
      <c r="U18" s="34" t="s">
        <v>1192</v>
      </c>
      <c r="V18" s="34" t="s">
        <v>1189</v>
      </c>
      <c r="W18" s="34" t="s">
        <v>1189</v>
      </c>
      <c r="X18" s="34" t="s">
        <v>1189</v>
      </c>
      <c r="Y18" s="34" t="s">
        <v>1189</v>
      </c>
      <c r="Z18" s="34" t="s">
        <v>1189</v>
      </c>
      <c r="AA18" s="34" t="s">
        <v>1189</v>
      </c>
      <c r="AB18" s="34" t="s">
        <v>1189</v>
      </c>
      <c r="AC18" s="34" t="s">
        <v>1189</v>
      </c>
      <c r="AD18" s="13"/>
      <c r="AE18" s="37" t="s">
        <v>1119</v>
      </c>
      <c r="AF18" s="34" t="s">
        <v>1189</v>
      </c>
      <c r="AG18" s="39" t="s">
        <v>1192</v>
      </c>
      <c r="AH18" s="13"/>
      <c r="AI18" s="13"/>
      <c r="AJ18" s="13"/>
      <c r="AK18" s="13"/>
      <c r="AL18" s="13"/>
      <c r="AM18" s="13"/>
      <c r="AN18" s="13"/>
      <c r="AO18" s="13"/>
      <c r="AP18" s="13"/>
      <c r="AQ18" s="13"/>
      <c r="AR18" s="13"/>
      <c r="AS18" s="13"/>
      <c r="AT18" s="13"/>
      <c r="AU18" s="13"/>
      <c r="AV18" s="13"/>
      <c r="AW18" s="13"/>
      <c r="AX18" s="13"/>
      <c r="AY18" s="13"/>
      <c r="AZ18" s="13"/>
      <c r="BA18" s="1"/>
      <c r="BB18" s="13"/>
      <c r="BC18" s="13"/>
      <c r="BD18" s="13"/>
      <c r="BE18" s="13"/>
      <c r="BF18" s="13"/>
      <c r="BG18" s="13"/>
      <c r="BH18" s="13"/>
      <c r="BI18" s="13"/>
      <c r="BJ18" s="13"/>
      <c r="BK18" s="13"/>
    </row>
    <row r="19" spans="1:63" ht="22" customHeight="1" x14ac:dyDescent="0.2">
      <c r="A19" s="32" t="s">
        <v>1199</v>
      </c>
      <c r="B19" s="33" t="s">
        <v>1201</v>
      </c>
      <c r="C19" s="34" t="s">
        <v>1194</v>
      </c>
      <c r="D19" s="34" t="s">
        <v>1195</v>
      </c>
      <c r="E19" s="34" t="s">
        <v>1201</v>
      </c>
      <c r="F19" s="34" t="s">
        <v>1194</v>
      </c>
      <c r="G19" s="34" t="s">
        <v>1195</v>
      </c>
      <c r="H19" s="34" t="s">
        <v>1201</v>
      </c>
      <c r="I19" s="34" t="s">
        <v>1195</v>
      </c>
      <c r="J19" s="34" t="s">
        <v>1194</v>
      </c>
      <c r="K19" s="34" t="s">
        <v>1194</v>
      </c>
      <c r="L19" s="34" t="s">
        <v>1201</v>
      </c>
      <c r="M19" s="34" t="s">
        <v>1201</v>
      </c>
      <c r="N19" s="34" t="s">
        <v>1201</v>
      </c>
      <c r="O19" s="34" t="s">
        <v>1201</v>
      </c>
      <c r="P19" s="34" t="s">
        <v>1201</v>
      </c>
      <c r="Q19" s="34" t="s">
        <v>1201</v>
      </c>
      <c r="R19" s="34" t="s">
        <v>1195</v>
      </c>
      <c r="S19" s="34" t="s">
        <v>1201</v>
      </c>
      <c r="T19" s="34" t="s">
        <v>1201</v>
      </c>
      <c r="U19" s="34" t="s">
        <v>1201</v>
      </c>
      <c r="V19" s="34" t="s">
        <v>1194</v>
      </c>
      <c r="W19" s="34" t="s">
        <v>1195</v>
      </c>
      <c r="X19" s="34" t="s">
        <v>1193</v>
      </c>
      <c r="Y19" s="34" t="s">
        <v>1201</v>
      </c>
      <c r="Z19" s="34" t="s">
        <v>1195</v>
      </c>
      <c r="AA19" s="34" t="s">
        <v>1201</v>
      </c>
      <c r="AB19" s="34" t="s">
        <v>1201</v>
      </c>
      <c r="AC19" s="34" t="s">
        <v>1195</v>
      </c>
      <c r="AD19" s="13"/>
      <c r="AE19" s="37" t="s">
        <v>1119</v>
      </c>
      <c r="AF19" s="34" t="s">
        <v>1196</v>
      </c>
      <c r="AG19" s="39" t="s">
        <v>1197</v>
      </c>
      <c r="AH19" s="13"/>
      <c r="AI19" s="13"/>
      <c r="AJ19" s="13"/>
      <c r="AK19" s="13"/>
      <c r="AL19" s="13"/>
      <c r="AM19" s="13"/>
      <c r="AN19" s="13"/>
      <c r="AO19" s="13"/>
      <c r="AP19" s="13"/>
      <c r="AQ19" s="13"/>
      <c r="AR19" s="13"/>
      <c r="AS19" s="13"/>
      <c r="AT19" s="13"/>
      <c r="AU19" s="13"/>
      <c r="AV19" s="13"/>
      <c r="AW19" s="13"/>
      <c r="AX19" s="13"/>
      <c r="AY19" s="13"/>
      <c r="AZ19" s="13"/>
      <c r="BA19" s="1"/>
      <c r="BB19" s="13"/>
      <c r="BC19" s="13"/>
      <c r="BD19" s="13"/>
      <c r="BE19" s="13"/>
      <c r="BF19" s="13"/>
      <c r="BG19" s="13"/>
      <c r="BH19" s="13"/>
      <c r="BI19" s="13"/>
      <c r="BJ19" s="13"/>
      <c r="BK19" s="13"/>
    </row>
    <row r="20" spans="1:63" ht="22" customHeight="1" x14ac:dyDescent="0.2">
      <c r="A20" s="32" t="s">
        <v>1200</v>
      </c>
      <c r="B20" s="33" t="s">
        <v>1202</v>
      </c>
      <c r="C20" s="34" t="s">
        <v>1202</v>
      </c>
      <c r="D20" s="34" t="s">
        <v>1202</v>
      </c>
      <c r="E20" s="34" t="s">
        <v>1202</v>
      </c>
      <c r="F20" s="34" t="s">
        <v>1202</v>
      </c>
      <c r="G20" s="34" t="s">
        <v>1202</v>
      </c>
      <c r="H20" s="34" t="s">
        <v>1202</v>
      </c>
      <c r="I20" s="34" t="s">
        <v>1202</v>
      </c>
      <c r="J20" s="34" t="s">
        <v>1202</v>
      </c>
      <c r="K20" s="34" t="s">
        <v>1202</v>
      </c>
      <c r="L20" s="34" t="s">
        <v>1203</v>
      </c>
      <c r="M20" s="34" t="s">
        <v>1202</v>
      </c>
      <c r="N20" s="34" t="s">
        <v>1202</v>
      </c>
      <c r="O20" s="34" t="s">
        <v>1202</v>
      </c>
      <c r="P20" s="34" t="s">
        <v>1202</v>
      </c>
      <c r="Q20" s="34" t="s">
        <v>1202</v>
      </c>
      <c r="R20" s="34" t="s">
        <v>1202</v>
      </c>
      <c r="S20" s="34" t="s">
        <v>1202</v>
      </c>
      <c r="T20" s="34" t="s">
        <v>1202</v>
      </c>
      <c r="U20" s="34" t="s">
        <v>1202</v>
      </c>
      <c r="V20" s="34" t="s">
        <v>1202</v>
      </c>
      <c r="W20" s="34" t="s">
        <v>1202</v>
      </c>
      <c r="X20" s="34" t="s">
        <v>1202</v>
      </c>
      <c r="Y20" s="34" t="s">
        <v>1202</v>
      </c>
      <c r="Z20" s="34" t="s">
        <v>1202</v>
      </c>
      <c r="AA20" s="34" t="s">
        <v>1202</v>
      </c>
      <c r="AB20" s="34" t="s">
        <v>1203</v>
      </c>
      <c r="AC20" s="34" t="s">
        <v>1202</v>
      </c>
      <c r="AD20" s="13"/>
      <c r="AE20" s="37" t="s">
        <v>1119</v>
      </c>
      <c r="AF20" s="34" t="s">
        <v>1202</v>
      </c>
      <c r="AG20" s="39" t="s">
        <v>1202</v>
      </c>
      <c r="AH20" s="13"/>
      <c r="AI20" s="13"/>
      <c r="AJ20" s="13"/>
      <c r="AK20" s="13"/>
      <c r="AL20" s="13"/>
      <c r="AM20" s="13"/>
      <c r="AN20" s="13"/>
      <c r="AO20" s="13"/>
      <c r="AP20" s="13"/>
      <c r="AQ20" s="13"/>
      <c r="AR20" s="13"/>
      <c r="AS20" s="13"/>
      <c r="AT20" s="13"/>
      <c r="AU20" s="13"/>
      <c r="AV20" s="13"/>
      <c r="AW20" s="13"/>
      <c r="AX20" s="13"/>
      <c r="AY20" s="13"/>
      <c r="AZ20" s="13"/>
      <c r="BA20" s="1"/>
      <c r="BB20" s="13"/>
      <c r="BC20" s="13"/>
      <c r="BD20" s="13"/>
      <c r="BE20" s="13"/>
      <c r="BF20" s="13"/>
      <c r="BG20" s="13"/>
      <c r="BH20" s="13"/>
      <c r="BI20" s="13"/>
      <c r="BJ20" s="13"/>
      <c r="BK20" s="13"/>
    </row>
    <row r="21" spans="1:63" ht="22" customHeight="1" x14ac:dyDescent="0.2">
      <c r="A21" s="32" t="s">
        <v>1127</v>
      </c>
      <c r="B21" s="33">
        <v>16</v>
      </c>
      <c r="C21" s="34">
        <v>40</v>
      </c>
      <c r="D21" s="34">
        <v>9</v>
      </c>
      <c r="E21" s="34">
        <v>26.3</v>
      </c>
      <c r="F21" s="34">
        <v>12.5</v>
      </c>
      <c r="G21" s="34">
        <f>(30+25)/2</f>
        <v>27.5</v>
      </c>
      <c r="H21" s="34">
        <v>9</v>
      </c>
      <c r="I21" s="34">
        <v>31</v>
      </c>
      <c r="J21" s="34">
        <v>8</v>
      </c>
      <c r="K21" s="34">
        <f>(3+8.5)/2</f>
        <v>5.75</v>
      </c>
      <c r="L21" s="34">
        <v>12</v>
      </c>
      <c r="M21" s="34">
        <v>15</v>
      </c>
      <c r="N21" s="34">
        <v>14</v>
      </c>
      <c r="O21" s="34">
        <v>31</v>
      </c>
      <c r="P21" s="34">
        <v>55</v>
      </c>
      <c r="Q21" s="34">
        <f>(24+21+18)/3</f>
        <v>21</v>
      </c>
      <c r="R21" s="34">
        <f>(38+50)/2</f>
        <v>44</v>
      </c>
      <c r="S21" s="34">
        <f>(10+5)/2</f>
        <v>7.5</v>
      </c>
      <c r="T21" s="34">
        <v>12</v>
      </c>
      <c r="U21" s="34">
        <f>(26+6+10)/3</f>
        <v>14</v>
      </c>
      <c r="V21" s="34">
        <f>(4.91+6+7)/3</f>
        <v>5.97</v>
      </c>
      <c r="W21" s="34">
        <v>13</v>
      </c>
      <c r="X21" s="34">
        <v>2.5</v>
      </c>
      <c r="Y21" s="34">
        <v>2</v>
      </c>
      <c r="Z21" s="34">
        <v>7.8</v>
      </c>
      <c r="AA21" s="34">
        <v>5</v>
      </c>
      <c r="AB21" s="34">
        <v>9</v>
      </c>
      <c r="AC21" s="34">
        <v>15</v>
      </c>
      <c r="AD21" s="13"/>
      <c r="AE21" s="34">
        <v>15</v>
      </c>
      <c r="AF21" s="34">
        <v>14</v>
      </c>
      <c r="AG21" s="34">
        <v>3</v>
      </c>
      <c r="AH21" s="13"/>
      <c r="AI21" s="13"/>
      <c r="AJ21" s="13"/>
      <c r="AK21" s="13"/>
      <c r="AL21" s="13"/>
      <c r="AM21" s="13"/>
      <c r="AN21" s="13"/>
      <c r="AO21" s="13"/>
      <c r="AP21" s="13"/>
      <c r="AQ21" s="13"/>
      <c r="AR21" s="13"/>
      <c r="AS21" s="13"/>
      <c r="AT21" s="13"/>
      <c r="AU21" s="13"/>
      <c r="AV21" s="13"/>
      <c r="AW21" s="13"/>
      <c r="AX21" s="13"/>
      <c r="AY21" s="13"/>
      <c r="AZ21" s="13"/>
      <c r="BA21" s="1"/>
      <c r="BB21" s="13"/>
      <c r="BC21" s="13"/>
      <c r="BD21" s="13"/>
      <c r="BE21" s="13"/>
      <c r="BF21" s="13"/>
      <c r="BG21" s="13"/>
      <c r="BH21" s="13"/>
      <c r="BI21" s="13"/>
      <c r="BJ21" s="13"/>
      <c r="BK21" s="13"/>
    </row>
    <row r="22" spans="1:63" ht="22" customHeight="1" x14ac:dyDescent="0.2">
      <c r="A22" s="32" t="s">
        <v>1130</v>
      </c>
      <c r="B22" s="33" t="s">
        <v>1114</v>
      </c>
      <c r="C22" s="34" t="s">
        <v>1114</v>
      </c>
      <c r="D22" s="34" t="s">
        <v>1114</v>
      </c>
      <c r="E22" s="34" t="s">
        <v>1114</v>
      </c>
      <c r="F22" s="34" t="s">
        <v>1114</v>
      </c>
      <c r="G22" s="34" t="s">
        <v>1114</v>
      </c>
      <c r="H22" s="34" t="s">
        <v>1114</v>
      </c>
      <c r="I22" s="34" t="s">
        <v>1114</v>
      </c>
      <c r="J22" s="34" t="s">
        <v>1114</v>
      </c>
      <c r="K22" s="34" t="s">
        <v>1114</v>
      </c>
      <c r="L22" s="34" t="s">
        <v>1114</v>
      </c>
      <c r="M22" s="34" t="s">
        <v>1114</v>
      </c>
      <c r="N22" s="34" t="s">
        <v>1114</v>
      </c>
      <c r="O22" s="34" t="s">
        <v>1114</v>
      </c>
      <c r="P22" s="34" t="s">
        <v>1114</v>
      </c>
      <c r="Q22" s="34" t="s">
        <v>1114</v>
      </c>
      <c r="R22" s="34" t="s">
        <v>1114</v>
      </c>
      <c r="S22" s="34" t="s">
        <v>1114</v>
      </c>
      <c r="T22" s="34" t="s">
        <v>1114</v>
      </c>
      <c r="U22" s="34" t="s">
        <v>1114</v>
      </c>
      <c r="V22" s="34" t="s">
        <v>1114</v>
      </c>
      <c r="W22" s="34" t="s">
        <v>1114</v>
      </c>
      <c r="X22" s="34" t="s">
        <v>1114</v>
      </c>
      <c r="Y22" s="34" t="s">
        <v>1114</v>
      </c>
      <c r="Z22" s="34" t="s">
        <v>1114</v>
      </c>
      <c r="AA22" s="34" t="s">
        <v>1114</v>
      </c>
      <c r="AB22" s="34" t="s">
        <v>1114</v>
      </c>
      <c r="AC22" s="34" t="s">
        <v>1114</v>
      </c>
      <c r="AD22" s="13"/>
      <c r="AE22" s="34" t="s">
        <v>1115</v>
      </c>
      <c r="AF22" s="34" t="s">
        <v>1114</v>
      </c>
      <c r="AG22" s="34" t="s">
        <v>1114</v>
      </c>
      <c r="AH22" s="13"/>
      <c r="AI22" s="13"/>
      <c r="AJ22" s="13"/>
      <c r="AK22" s="13"/>
      <c r="AL22" s="13"/>
      <c r="AM22" s="13"/>
      <c r="AN22" s="13"/>
      <c r="AO22" s="13"/>
      <c r="AP22" s="13"/>
      <c r="AQ22" s="13"/>
      <c r="AR22" s="13"/>
      <c r="AS22" s="13"/>
      <c r="AT22" s="13"/>
      <c r="AU22" s="13"/>
      <c r="AV22" s="13"/>
      <c r="AW22" s="13"/>
      <c r="AX22" s="13"/>
      <c r="AY22" s="13"/>
      <c r="AZ22" s="13"/>
      <c r="BA22" s="1"/>
      <c r="BB22" s="13"/>
      <c r="BC22" s="13"/>
      <c r="BD22" s="13"/>
      <c r="BE22" s="13"/>
      <c r="BF22" s="13"/>
      <c r="BG22" s="13"/>
      <c r="BH22" s="13"/>
      <c r="BI22" s="13"/>
      <c r="BJ22" s="13"/>
      <c r="BK22" s="13"/>
    </row>
    <row r="23" spans="1:63" s="84" customFormat="1" ht="22" customHeight="1" x14ac:dyDescent="0.2">
      <c r="A23" s="81" t="s">
        <v>1135</v>
      </c>
      <c r="B23" s="74">
        <v>21</v>
      </c>
      <c r="C23" s="75">
        <v>130</v>
      </c>
      <c r="D23" s="75">
        <v>60</v>
      </c>
      <c r="E23" s="75">
        <v>170</v>
      </c>
      <c r="F23" s="75">
        <v>117</v>
      </c>
      <c r="G23" s="75">
        <v>229</v>
      </c>
      <c r="H23" s="75">
        <v>40</v>
      </c>
      <c r="I23" s="75">
        <f>(90+62)/2</f>
        <v>76</v>
      </c>
      <c r="J23" s="75" t="s">
        <v>1119</v>
      </c>
      <c r="K23" s="75">
        <v>38</v>
      </c>
      <c r="L23" s="75" t="s">
        <v>1119</v>
      </c>
      <c r="M23" s="75">
        <v>50</v>
      </c>
      <c r="N23" s="75">
        <v>60</v>
      </c>
      <c r="O23" s="75">
        <v>110.6</v>
      </c>
      <c r="P23" s="75">
        <v>90</v>
      </c>
      <c r="Q23" s="75">
        <v>72</v>
      </c>
      <c r="R23" s="75">
        <v>70</v>
      </c>
      <c r="S23" s="75">
        <v>26.5</v>
      </c>
      <c r="T23" s="75">
        <v>80</v>
      </c>
      <c r="U23" s="75">
        <v>120</v>
      </c>
      <c r="V23" s="75">
        <v>32</v>
      </c>
      <c r="W23" s="75">
        <f>(29.83+47.114+90)/3</f>
        <v>55.647999999999996</v>
      </c>
      <c r="X23" s="75">
        <v>22</v>
      </c>
      <c r="Y23" s="75">
        <v>40</v>
      </c>
      <c r="Z23" s="75">
        <v>30</v>
      </c>
      <c r="AA23" s="75">
        <v>60</v>
      </c>
      <c r="AB23" s="75" t="s">
        <v>1119</v>
      </c>
      <c r="AC23" s="75">
        <v>234</v>
      </c>
      <c r="AD23" s="82"/>
      <c r="AE23" s="75" t="s">
        <v>1119</v>
      </c>
      <c r="AF23" s="75">
        <v>40</v>
      </c>
      <c r="AG23" s="75">
        <v>178</v>
      </c>
      <c r="AH23" s="82"/>
      <c r="AI23" s="82"/>
      <c r="AJ23" s="82"/>
      <c r="AK23" s="82"/>
      <c r="AL23" s="82"/>
      <c r="AM23" s="82"/>
      <c r="AN23" s="82"/>
      <c r="AO23" s="82"/>
      <c r="AP23" s="82"/>
      <c r="AQ23" s="82"/>
      <c r="AR23" s="82"/>
      <c r="AS23" s="82"/>
      <c r="AT23" s="82"/>
      <c r="AU23" s="82"/>
      <c r="AV23" s="82"/>
      <c r="AW23" s="82"/>
      <c r="AX23" s="82"/>
      <c r="AY23" s="82"/>
      <c r="AZ23" s="82"/>
      <c r="BA23" s="83"/>
      <c r="BB23" s="82"/>
      <c r="BC23" s="82"/>
      <c r="BD23" s="82"/>
      <c r="BE23" s="82"/>
      <c r="BF23" s="82"/>
      <c r="BG23" s="82"/>
      <c r="BH23" s="82"/>
      <c r="BI23" s="82"/>
      <c r="BJ23" s="82"/>
      <c r="BK23" s="82"/>
    </row>
    <row r="24" spans="1:63" ht="22" customHeight="1" x14ac:dyDescent="0.2">
      <c r="A24" s="32" t="s">
        <v>1205</v>
      </c>
      <c r="B24" s="33" t="s">
        <v>1189</v>
      </c>
      <c r="C24" s="34" t="s">
        <v>1189</v>
      </c>
      <c r="D24" s="34" t="s">
        <v>1189</v>
      </c>
      <c r="E24" s="34" t="s">
        <v>1189</v>
      </c>
      <c r="F24" s="34" t="s">
        <v>1189</v>
      </c>
      <c r="G24" s="34" t="s">
        <v>1189</v>
      </c>
      <c r="H24" s="34" t="s">
        <v>1189</v>
      </c>
      <c r="I24" s="34" t="s">
        <v>1189</v>
      </c>
      <c r="J24" s="34" t="s">
        <v>1189</v>
      </c>
      <c r="K24" s="34" t="s">
        <v>1189</v>
      </c>
      <c r="L24" s="34" t="s">
        <v>1189</v>
      </c>
      <c r="M24" s="34" t="s">
        <v>1189</v>
      </c>
      <c r="N24" s="34" t="s">
        <v>1189</v>
      </c>
      <c r="O24" s="34" t="s">
        <v>1189</v>
      </c>
      <c r="P24" s="34" t="s">
        <v>1189</v>
      </c>
      <c r="Q24" s="34" t="s">
        <v>1189</v>
      </c>
      <c r="R24" s="34" t="s">
        <v>1189</v>
      </c>
      <c r="S24" s="34" t="s">
        <v>1189</v>
      </c>
      <c r="T24" s="34" t="s">
        <v>1189</v>
      </c>
      <c r="U24" s="34" t="s">
        <v>1189</v>
      </c>
      <c r="V24" s="34" t="s">
        <v>1189</v>
      </c>
      <c r="W24" s="34" t="s">
        <v>1189</v>
      </c>
      <c r="X24" s="34" t="s">
        <v>1189</v>
      </c>
      <c r="Y24" s="34" t="s">
        <v>1189</v>
      </c>
      <c r="Z24" s="34" t="s">
        <v>1189</v>
      </c>
      <c r="AA24" s="34" t="s">
        <v>1189</v>
      </c>
      <c r="AB24" s="34" t="s">
        <v>1189</v>
      </c>
      <c r="AC24" s="34" t="s">
        <v>1189</v>
      </c>
      <c r="AD24" s="13"/>
      <c r="AE24" s="34" t="s">
        <v>1119</v>
      </c>
      <c r="AF24" s="34" t="s">
        <v>1189</v>
      </c>
      <c r="AG24" s="34" t="s">
        <v>1192</v>
      </c>
      <c r="AH24" s="13"/>
      <c r="AI24" s="13"/>
      <c r="AJ24" s="13"/>
      <c r="AK24" s="13"/>
      <c r="AL24" s="13"/>
      <c r="AM24" s="13"/>
      <c r="AN24" s="13"/>
      <c r="AO24" s="13"/>
      <c r="AP24" s="13"/>
      <c r="AQ24" s="13"/>
      <c r="AR24" s="13"/>
      <c r="AS24" s="13"/>
      <c r="AT24" s="13"/>
      <c r="AU24" s="13"/>
      <c r="AV24" s="13"/>
      <c r="AW24" s="13"/>
      <c r="AX24" s="13"/>
      <c r="AY24" s="13"/>
      <c r="AZ24" s="13"/>
      <c r="BA24" s="1"/>
      <c r="BB24" s="13"/>
      <c r="BC24" s="13"/>
      <c r="BD24" s="13"/>
      <c r="BE24" s="13"/>
      <c r="BF24" s="13"/>
      <c r="BG24" s="13"/>
      <c r="BH24" s="13"/>
      <c r="BI24" s="13"/>
      <c r="BJ24" s="13"/>
      <c r="BK24" s="13"/>
    </row>
    <row r="25" spans="1:63" ht="22" customHeight="1" x14ac:dyDescent="0.2">
      <c r="A25" s="32" t="s">
        <v>1204</v>
      </c>
      <c r="B25" s="33" t="s">
        <v>1195</v>
      </c>
      <c r="C25" s="34" t="s">
        <v>1195</v>
      </c>
      <c r="D25" s="34" t="s">
        <v>1195</v>
      </c>
      <c r="E25" s="34" t="s">
        <v>1195</v>
      </c>
      <c r="F25" s="34" t="s">
        <v>1201</v>
      </c>
      <c r="G25" s="34" t="s">
        <v>1193</v>
      </c>
      <c r="H25" s="34" t="s">
        <v>1195</v>
      </c>
      <c r="I25" s="34" t="s">
        <v>1193</v>
      </c>
      <c r="J25" s="34" t="s">
        <v>1201</v>
      </c>
      <c r="K25" s="34" t="s">
        <v>1193</v>
      </c>
      <c r="L25" s="34" t="s">
        <v>1201</v>
      </c>
      <c r="M25" s="34" t="s">
        <v>1195</v>
      </c>
      <c r="N25" s="34" t="s">
        <v>1195</v>
      </c>
      <c r="O25" s="34" t="s">
        <v>1194</v>
      </c>
      <c r="P25" s="34" t="s">
        <v>1195</v>
      </c>
      <c r="Q25" s="34" t="s">
        <v>1195</v>
      </c>
      <c r="R25" s="34" t="s">
        <v>1201</v>
      </c>
      <c r="S25" s="34" t="s">
        <v>1201</v>
      </c>
      <c r="T25" s="34" t="s">
        <v>1195</v>
      </c>
      <c r="U25" s="34" t="s">
        <v>1193</v>
      </c>
      <c r="V25" s="34" t="s">
        <v>1194</v>
      </c>
      <c r="W25" s="34" t="s">
        <v>1194</v>
      </c>
      <c r="X25" s="34" t="s">
        <v>1195</v>
      </c>
      <c r="Y25" s="34" t="s">
        <v>1195</v>
      </c>
      <c r="Z25" s="34" t="s">
        <v>1195</v>
      </c>
      <c r="AA25" s="34" t="s">
        <v>1195</v>
      </c>
      <c r="AB25" s="34" t="s">
        <v>1201</v>
      </c>
      <c r="AC25" s="34" t="s">
        <v>1195</v>
      </c>
      <c r="AD25" s="13"/>
      <c r="AE25" s="34" t="s">
        <v>1119</v>
      </c>
      <c r="AF25" s="34" t="s">
        <v>1196</v>
      </c>
      <c r="AG25" s="34" t="s">
        <v>1197</v>
      </c>
      <c r="AH25" s="13"/>
      <c r="AI25" s="13"/>
      <c r="AJ25" s="13"/>
      <c r="AK25" s="13"/>
      <c r="AL25" s="13"/>
      <c r="AM25" s="13"/>
      <c r="AN25" s="13"/>
      <c r="AO25" s="13"/>
      <c r="AP25" s="13"/>
      <c r="AQ25" s="13"/>
      <c r="AR25" s="13"/>
      <c r="AS25" s="13"/>
      <c r="AT25" s="13"/>
      <c r="AU25" s="13"/>
      <c r="AV25" s="13"/>
      <c r="AW25" s="13"/>
      <c r="AX25" s="13"/>
      <c r="AY25" s="13"/>
      <c r="AZ25" s="13"/>
      <c r="BA25" s="1"/>
      <c r="BB25" s="13"/>
      <c r="BC25" s="13"/>
      <c r="BD25" s="13"/>
      <c r="BE25" s="13"/>
      <c r="BF25" s="13"/>
      <c r="BG25" s="13"/>
      <c r="BH25" s="13"/>
      <c r="BI25" s="13"/>
      <c r="BJ25" s="13"/>
      <c r="BK25" s="13"/>
    </row>
    <row r="26" spans="1:63" s="84" customFormat="1" ht="22" customHeight="1" x14ac:dyDescent="0.15">
      <c r="A26" s="81" t="s">
        <v>1136</v>
      </c>
      <c r="B26" s="74">
        <f>1-EXP(-B27)</f>
        <v>0.18126924692201818</v>
      </c>
      <c r="C26" s="75">
        <v>0.21</v>
      </c>
      <c r="D26" s="75">
        <v>0.59</v>
      </c>
      <c r="E26" s="75">
        <v>0.2</v>
      </c>
      <c r="F26" s="75">
        <v>0.42</v>
      </c>
      <c r="G26" s="75">
        <v>0.14000000000000001</v>
      </c>
      <c r="H26" s="75">
        <f t="shared" ref="H26:Q26" si="0">1-EXP(-H27)</f>
        <v>0.29531191028128656</v>
      </c>
      <c r="I26" s="75">
        <f t="shared" si="0"/>
        <v>0.1219045690794387</v>
      </c>
      <c r="J26" s="75">
        <f t="shared" si="0"/>
        <v>0.82795513617694949</v>
      </c>
      <c r="K26" s="75">
        <f t="shared" si="0"/>
        <v>0.38121660819385916</v>
      </c>
      <c r="L26" s="75">
        <f t="shared" si="0"/>
        <v>0.54615520471764412</v>
      </c>
      <c r="M26" s="75">
        <f t="shared" si="0"/>
        <v>0.54159398869477648</v>
      </c>
      <c r="N26" s="75">
        <f t="shared" si="0"/>
        <v>0.54159398869477648</v>
      </c>
      <c r="O26" s="75">
        <f t="shared" si="0"/>
        <v>0.30926566936264532</v>
      </c>
      <c r="P26" s="75">
        <f t="shared" si="0"/>
        <v>0.42879093615118513</v>
      </c>
      <c r="Q26" s="75">
        <f t="shared" si="0"/>
        <v>0.5595683454940007</v>
      </c>
      <c r="R26" s="75">
        <v>0.34</v>
      </c>
      <c r="S26" s="75">
        <f>1-EXP(-S27)</f>
        <v>0.84276283368637239</v>
      </c>
      <c r="T26" s="75">
        <v>0.45</v>
      </c>
      <c r="U26" s="75">
        <v>0.247</v>
      </c>
      <c r="V26" s="75">
        <v>0.18</v>
      </c>
      <c r="W26" s="75">
        <v>0.56000000000000005</v>
      </c>
      <c r="X26" s="75">
        <f>1-EXP(-X27)</f>
        <v>0.84276283368637239</v>
      </c>
      <c r="Y26" s="75">
        <f>1-EXP(-Y27)</f>
        <v>0.77909002204062183</v>
      </c>
      <c r="Z26" s="75">
        <f>1-EXP(-Z27)</f>
        <v>0.72472921691024772</v>
      </c>
      <c r="AA26" s="75">
        <f>1-EXP(-AA27)</f>
        <v>0.55067103588277844</v>
      </c>
      <c r="AB26" s="75">
        <v>0.34</v>
      </c>
      <c r="AC26" s="75">
        <v>0.48</v>
      </c>
      <c r="AD26" s="82"/>
      <c r="AE26" s="75" t="s">
        <v>1119</v>
      </c>
      <c r="AF26" s="75">
        <v>0.26500000000000001</v>
      </c>
      <c r="AG26" s="75">
        <f>1-EXP(-AG27)</f>
        <v>0.82182694822710156</v>
      </c>
      <c r="AH26" s="82"/>
      <c r="AI26" s="82"/>
      <c r="AJ26" s="82"/>
      <c r="AK26" s="82"/>
      <c r="AL26" s="82"/>
      <c r="AM26" s="82"/>
      <c r="AN26" s="82"/>
      <c r="AO26" s="82"/>
      <c r="AP26" s="82"/>
      <c r="AQ26" s="82"/>
      <c r="AR26" s="82"/>
      <c r="AS26" s="82"/>
      <c r="AT26" s="82"/>
      <c r="AU26" s="82"/>
      <c r="AV26" s="82"/>
      <c r="AW26" s="82"/>
      <c r="AX26" s="82"/>
      <c r="AY26" s="82"/>
      <c r="AZ26" s="82"/>
      <c r="BA26" s="82"/>
      <c r="BB26" s="82"/>
      <c r="BC26" s="82"/>
      <c r="BD26" s="82"/>
      <c r="BE26" s="82"/>
      <c r="BF26" s="82"/>
      <c r="BG26" s="82"/>
      <c r="BH26" s="82"/>
      <c r="BI26" s="82"/>
      <c r="BJ26" s="82"/>
      <c r="BK26" s="82"/>
    </row>
    <row r="27" spans="1:63" s="84" customFormat="1" ht="22" customHeight="1" x14ac:dyDescent="0.15">
      <c r="A27" s="81" t="s">
        <v>1137</v>
      </c>
      <c r="B27" s="74">
        <v>0.2</v>
      </c>
      <c r="C27" s="75">
        <f>-LN(1-C26)</f>
        <v>0.23572233352106983</v>
      </c>
      <c r="D27" s="75">
        <f>-LN(1-D26)</f>
        <v>0.89159811928378352</v>
      </c>
      <c r="E27" s="75">
        <f>-LN(1-E26)</f>
        <v>0.22314355131420971</v>
      </c>
      <c r="F27" s="75">
        <f>-LN(1-F26)</f>
        <v>0.54472717544167193</v>
      </c>
      <c r="G27" s="75">
        <f>-LN(1-G26)</f>
        <v>0.15082288973458366</v>
      </c>
      <c r="H27" s="75">
        <v>0.35</v>
      </c>
      <c r="I27" s="75">
        <v>0.13</v>
      </c>
      <c r="J27" s="75">
        <v>1.76</v>
      </c>
      <c r="K27" s="75">
        <f>AVERAGE(0.53,0.36,0.55)</f>
        <v>0.48</v>
      </c>
      <c r="L27" s="75">
        <v>0.79</v>
      </c>
      <c r="M27" s="75">
        <v>0.78</v>
      </c>
      <c r="N27" s="75">
        <f>M27</f>
        <v>0.78</v>
      </c>
      <c r="O27" s="75">
        <v>0.37</v>
      </c>
      <c r="P27" s="75">
        <v>0.56000000000000005</v>
      </c>
      <c r="Q27" s="75">
        <v>0.82</v>
      </c>
      <c r="R27" s="75">
        <f>-LN(1-R26)</f>
        <v>0.41551544396166595</v>
      </c>
      <c r="S27" s="75">
        <v>1.85</v>
      </c>
      <c r="T27" s="75">
        <f>-LN(1-T26)</f>
        <v>0.59783700075562041</v>
      </c>
      <c r="U27" s="75">
        <f>-LN(1-U26)</f>
        <v>0.2836900511822435</v>
      </c>
      <c r="V27" s="75">
        <f>-LN(1-V26)</f>
        <v>0.19845093872383818</v>
      </c>
      <c r="W27" s="75">
        <f>-LN(1-W26)</f>
        <v>0.82098055206983034</v>
      </c>
      <c r="X27" s="75">
        <v>1.85</v>
      </c>
      <c r="Y27" s="75">
        <v>1.51</v>
      </c>
      <c r="Z27" s="75">
        <v>1.29</v>
      </c>
      <c r="AA27" s="75">
        <v>0.8</v>
      </c>
      <c r="AB27" s="75">
        <f>-LN(1-AB26)</f>
        <v>0.41551544396166595</v>
      </c>
      <c r="AC27" s="75">
        <f>-LN(1-AC26)</f>
        <v>0.65392646740666394</v>
      </c>
      <c r="AD27" s="82"/>
      <c r="AE27" s="75" t="s">
        <v>1119</v>
      </c>
      <c r="AF27" s="75">
        <f>-LN(1-AF26)</f>
        <v>0.3078847797693004</v>
      </c>
      <c r="AG27" s="75">
        <f>AVERAGE(1.8,1.65)</f>
        <v>1.7250000000000001</v>
      </c>
      <c r="AH27" s="82"/>
      <c r="AI27" s="82"/>
      <c r="AJ27" s="82"/>
      <c r="AK27" s="82"/>
      <c r="AL27" s="82"/>
      <c r="AM27" s="82"/>
      <c r="AN27" s="82"/>
      <c r="AO27" s="82"/>
      <c r="AP27" s="82"/>
      <c r="AQ27" s="82"/>
      <c r="AR27" s="82"/>
      <c r="AS27" s="82"/>
      <c r="AT27" s="82"/>
      <c r="AU27" s="82"/>
      <c r="AV27" s="82"/>
      <c r="AW27" s="82"/>
      <c r="AX27" s="82"/>
      <c r="AY27" s="82"/>
      <c r="AZ27" s="82"/>
      <c r="BA27" s="82"/>
      <c r="BB27" s="82"/>
      <c r="BC27" s="82"/>
      <c r="BD27" s="82"/>
      <c r="BE27" s="82"/>
      <c r="BF27" s="82"/>
      <c r="BG27" s="82"/>
      <c r="BH27" s="82"/>
      <c r="BI27" s="82"/>
      <c r="BJ27" s="82"/>
      <c r="BK27" s="82"/>
    </row>
    <row r="28" spans="1:63" ht="22" customHeight="1" x14ac:dyDescent="0.2">
      <c r="A28" s="32" t="s">
        <v>1144</v>
      </c>
      <c r="B28" s="33">
        <v>31</v>
      </c>
      <c r="C28" s="34">
        <v>31</v>
      </c>
      <c r="D28" s="34">
        <v>35</v>
      </c>
      <c r="E28" s="34">
        <v>53.8</v>
      </c>
      <c r="F28" s="34">
        <v>57.6</v>
      </c>
      <c r="G28" s="34">
        <v>34.299999999999997</v>
      </c>
      <c r="H28" s="34">
        <v>30</v>
      </c>
      <c r="I28" s="34">
        <v>27.7</v>
      </c>
      <c r="J28" s="34">
        <f>(1.3+2)/2</f>
        <v>1.65</v>
      </c>
      <c r="K28" s="34">
        <v>29</v>
      </c>
      <c r="L28" s="34">
        <v>1</v>
      </c>
      <c r="M28" s="34">
        <v>28</v>
      </c>
      <c r="N28" s="34">
        <v>25</v>
      </c>
      <c r="O28" s="34">
        <v>25</v>
      </c>
      <c r="P28" s="34">
        <v>31.4</v>
      </c>
      <c r="Q28" s="34">
        <v>54</v>
      </c>
      <c r="R28" s="34">
        <v>73.900000000000006</v>
      </c>
      <c r="S28" s="34">
        <v>22</v>
      </c>
      <c r="T28" s="34">
        <v>32.200000000000003</v>
      </c>
      <c r="U28" s="34">
        <v>25.2</v>
      </c>
      <c r="V28" s="34">
        <v>1.2</v>
      </c>
      <c r="W28" s="34">
        <v>29.7</v>
      </c>
      <c r="X28" s="34">
        <v>53.8</v>
      </c>
      <c r="Y28" s="34">
        <v>24.5</v>
      </c>
      <c r="Z28" s="34">
        <v>27.5</v>
      </c>
      <c r="AA28" s="34">
        <v>1.2</v>
      </c>
      <c r="AB28" s="34">
        <v>1.2</v>
      </c>
      <c r="AC28" s="34">
        <v>4.5</v>
      </c>
      <c r="AD28" s="13"/>
      <c r="AE28" s="34">
        <v>30</v>
      </c>
      <c r="AF28" s="34">
        <v>180</v>
      </c>
      <c r="AG28" s="34">
        <f>(26+45)/2</f>
        <v>35.5</v>
      </c>
      <c r="AH28" s="13"/>
      <c r="AI28" s="13"/>
      <c r="AJ28" s="13"/>
      <c r="AK28" s="13"/>
      <c r="AL28" s="13"/>
      <c r="AM28" s="13"/>
      <c r="AN28" s="13"/>
      <c r="AO28" s="13"/>
      <c r="AP28" s="13"/>
      <c r="AQ28" s="13"/>
      <c r="AR28" s="13"/>
      <c r="AS28" s="13"/>
      <c r="AT28" s="13"/>
      <c r="AU28" s="13"/>
      <c r="AV28" s="13"/>
      <c r="AW28" s="13"/>
      <c r="AX28" s="13"/>
      <c r="AY28" s="13"/>
      <c r="AZ28" s="13"/>
      <c r="BA28" s="1"/>
      <c r="BB28" s="13"/>
      <c r="BC28" s="13"/>
      <c r="BD28" s="13"/>
      <c r="BE28" s="13"/>
      <c r="BF28" s="13"/>
      <c r="BG28" s="13"/>
      <c r="BH28" s="13"/>
      <c r="BI28" s="13"/>
      <c r="BJ28" s="13"/>
      <c r="BK28" s="13"/>
    </row>
    <row r="29" spans="1:63" ht="22" customHeight="1" x14ac:dyDescent="0.15">
      <c r="A29" s="32" t="s">
        <v>1145</v>
      </c>
      <c r="B29" s="77">
        <f>10^(-3.75+(2.35*LOG10(10*B23)))</f>
        <v>50.958348270198996</v>
      </c>
      <c r="C29" s="76">
        <f>10^(-3.75+(2.35*LOG10(10*C23)))</f>
        <v>3696.2971541466331</v>
      </c>
      <c r="D29" s="76">
        <v>601</v>
      </c>
      <c r="E29" s="76">
        <v>970</v>
      </c>
      <c r="F29" s="76">
        <v>4596</v>
      </c>
      <c r="G29" s="76">
        <f>10^(-3.75+(2.35*LOG10(10*G23)))</f>
        <v>13983.419400085788</v>
      </c>
      <c r="H29" s="76">
        <f>10^(-3.75+(2.35*LOG10(10*H23)))</f>
        <v>231.65462728124115</v>
      </c>
      <c r="I29" s="76">
        <f>10^(-3.75+(2.35*LOG10(10*I23)))</f>
        <v>1046.9162523649693</v>
      </c>
      <c r="J29" s="76">
        <v>1995</v>
      </c>
      <c r="K29" s="76">
        <f>10^(-3.75+(2.35*LOG10(10*K23)))</f>
        <v>205.34846085880417</v>
      </c>
      <c r="L29" s="34">
        <v>65000</v>
      </c>
      <c r="M29" s="34">
        <v>234</v>
      </c>
      <c r="N29" s="34">
        <v>234</v>
      </c>
      <c r="O29" s="34">
        <f>AVERAGE(1,315)*1000</f>
        <v>158000</v>
      </c>
      <c r="P29" s="34">
        <v>40</v>
      </c>
      <c r="Q29" s="76">
        <f>10^(-3.75+(2.35*LOG10(10*Q23)))</f>
        <v>922.00094591668028</v>
      </c>
      <c r="R29" s="34">
        <v>316</v>
      </c>
      <c r="S29" s="76">
        <f>10^(-3.75+(2.35*LOG10(10*S23)))</f>
        <v>88.029412566074129</v>
      </c>
      <c r="T29" s="76">
        <v>89</v>
      </c>
      <c r="U29" s="34">
        <v>171</v>
      </c>
      <c r="V29" s="34">
        <f>50*1000</f>
        <v>50000</v>
      </c>
      <c r="W29" s="34">
        <v>316</v>
      </c>
      <c r="X29" s="76">
        <f>10^(-3.75+(2.35*LOG10(10*X23)))</f>
        <v>56.845134701169194</v>
      </c>
      <c r="Y29" s="76">
        <v>232</v>
      </c>
      <c r="Z29" s="76">
        <v>118</v>
      </c>
      <c r="AA29" s="76">
        <f>10^(-3.75+(2.35*LOG10(10*AA23)))</f>
        <v>600.69696597657867</v>
      </c>
      <c r="AB29" s="76">
        <v>4399</v>
      </c>
      <c r="AC29" s="76">
        <f>10^(-3.75+(2.35*LOG10(10*AC23)))</f>
        <v>14711.510460677469</v>
      </c>
      <c r="AD29" s="13"/>
      <c r="AE29" s="78">
        <f>AVERAGE(30,67.5)</f>
        <v>48.75</v>
      </c>
      <c r="AF29" s="34">
        <v>250</v>
      </c>
      <c r="AG29" s="34">
        <v>2000</v>
      </c>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row>
    <row r="30" spans="1:63" ht="22" customHeight="1" x14ac:dyDescent="0.15">
      <c r="A30" s="32" t="s">
        <v>1146</v>
      </c>
      <c r="B30" s="33" t="s">
        <v>1119</v>
      </c>
      <c r="C30" s="34" t="s">
        <v>1119</v>
      </c>
      <c r="D30" s="34" t="s">
        <v>1119</v>
      </c>
      <c r="E30" s="34" t="s">
        <v>1119</v>
      </c>
      <c r="F30" s="34">
        <v>963</v>
      </c>
      <c r="G30" s="34" t="s">
        <v>1119</v>
      </c>
      <c r="H30" s="34" t="s">
        <v>1119</v>
      </c>
      <c r="I30" s="34" t="s">
        <v>1119</v>
      </c>
      <c r="J30" s="34" t="s">
        <v>1119</v>
      </c>
      <c r="K30" s="34" t="s">
        <v>1119</v>
      </c>
      <c r="L30" s="34" t="s">
        <v>1119</v>
      </c>
      <c r="M30" s="34" t="s">
        <v>1119</v>
      </c>
      <c r="N30" s="34" t="s">
        <v>1119</v>
      </c>
      <c r="O30" s="34" t="s">
        <v>1119</v>
      </c>
      <c r="P30" s="34" t="s">
        <v>1119</v>
      </c>
      <c r="Q30" s="34" t="s">
        <v>1119</v>
      </c>
      <c r="R30" s="34" t="s">
        <v>1119</v>
      </c>
      <c r="S30" s="34" t="s">
        <v>1119</v>
      </c>
      <c r="T30" s="34" t="s">
        <v>1119</v>
      </c>
      <c r="U30" s="34" t="s">
        <v>1119</v>
      </c>
      <c r="V30" s="34" t="s">
        <v>1119</v>
      </c>
      <c r="W30" s="34" t="s">
        <v>1119</v>
      </c>
      <c r="X30" s="34" t="s">
        <v>1119</v>
      </c>
      <c r="Y30" s="34" t="s">
        <v>1119</v>
      </c>
      <c r="Z30" s="34" t="s">
        <v>1119</v>
      </c>
      <c r="AA30" s="34" t="s">
        <v>1119</v>
      </c>
      <c r="AB30" s="34" t="s">
        <v>1119</v>
      </c>
      <c r="AC30" s="34" t="s">
        <v>1119</v>
      </c>
      <c r="AD30" s="13"/>
      <c r="AE30" s="34" t="s">
        <v>1119</v>
      </c>
      <c r="AF30" s="34" t="s">
        <v>1119</v>
      </c>
      <c r="AG30" s="34" t="s">
        <v>1119</v>
      </c>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row>
    <row r="31" spans="1:63" s="84" customFormat="1" ht="22" customHeight="1" x14ac:dyDescent="0.15">
      <c r="A31" s="81" t="s">
        <v>1151</v>
      </c>
      <c r="B31" s="74">
        <v>12</v>
      </c>
      <c r="C31" s="75">
        <f>AVERAGE(60,47)</f>
        <v>53.5</v>
      </c>
      <c r="D31" s="75">
        <v>34.1</v>
      </c>
      <c r="E31" s="75">
        <v>60</v>
      </c>
      <c r="F31" s="75">
        <v>35</v>
      </c>
      <c r="G31" s="75">
        <f>AVERAGE(35,50)</f>
        <v>42.5</v>
      </c>
      <c r="H31" s="75">
        <f>H10*(1-EXP(-H7*(H34-H14)))</f>
        <v>142.96241264225978</v>
      </c>
      <c r="I31" s="75">
        <f>AVERAGE(38.55,42)</f>
        <v>40.274999999999999</v>
      </c>
      <c r="J31" s="75">
        <f>AVERAGE(40,57.5,37.7)</f>
        <v>45.066666666666663</v>
      </c>
      <c r="K31" s="75">
        <v>12.63</v>
      </c>
      <c r="L31" s="75">
        <v>43</v>
      </c>
      <c r="M31" s="75">
        <v>20</v>
      </c>
      <c r="N31" s="75">
        <f>N10*(1-EXP(-N7*(N34-N14)))</f>
        <v>23.751416307912873</v>
      </c>
      <c r="O31" s="75">
        <f>AVERAGE(57,49.6)</f>
        <v>53.3</v>
      </c>
      <c r="P31" s="75">
        <f>P10*(1-EXP(-P7*(P34-P14)))</f>
        <v>53.323594950455579</v>
      </c>
      <c r="Q31" s="75">
        <f>AVERAGE(120.5,161)/10</f>
        <v>14.074999999999999</v>
      </c>
      <c r="R31" s="75">
        <f>AVERAGE(35.3,28.6)</f>
        <v>31.95</v>
      </c>
      <c r="S31" s="75">
        <v>15</v>
      </c>
      <c r="T31" s="75">
        <f>AVERAGE(36.6,35)</f>
        <v>35.799999999999997</v>
      </c>
      <c r="U31" s="75">
        <f>AVERAGE(32,36)</f>
        <v>34</v>
      </c>
      <c r="V31" s="75">
        <f>V10*(1-EXP(-V7*(V34-V14)))</f>
        <v>23.015095931273873</v>
      </c>
      <c r="W31" s="75">
        <v>400</v>
      </c>
      <c r="X31" s="75">
        <f>AVERAGE(8.8,8.7,11,11)</f>
        <v>9.875</v>
      </c>
      <c r="Y31" s="75">
        <f>AVERAGE(25.7,21.5)</f>
        <v>23.6</v>
      </c>
      <c r="Z31" s="75">
        <v>18</v>
      </c>
      <c r="AA31" s="75">
        <f>AA10*(1-EXP(-AA7*(AA34-AA14)))</f>
        <v>27.108170975149676</v>
      </c>
      <c r="AB31" s="75">
        <v>90</v>
      </c>
      <c r="AC31" s="75">
        <v>60.5</v>
      </c>
      <c r="AD31" s="82"/>
      <c r="AE31" s="75" t="s">
        <v>1119</v>
      </c>
      <c r="AF31" s="75">
        <v>66</v>
      </c>
      <c r="AG31" s="75">
        <f>10.11*10</f>
        <v>101.1</v>
      </c>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82"/>
      <c r="BI31" s="82"/>
      <c r="BJ31" s="82"/>
      <c r="BK31" s="82"/>
    </row>
    <row r="32" spans="1:63" s="84" customFormat="1" ht="22" customHeight="1" x14ac:dyDescent="0.15">
      <c r="A32" s="81" t="s">
        <v>1207</v>
      </c>
      <c r="B32" s="74" t="str">
        <f t="shared" ref="B32:M32" si="1">B11</f>
        <v>cm</v>
      </c>
      <c r="C32" s="75" t="str">
        <f t="shared" si="1"/>
        <v>cm</v>
      </c>
      <c r="D32" s="75" t="str">
        <f t="shared" si="1"/>
        <v>cm</v>
      </c>
      <c r="E32" s="75" t="str">
        <f t="shared" si="1"/>
        <v>cm</v>
      </c>
      <c r="F32" s="75" t="str">
        <f t="shared" si="1"/>
        <v>cm</v>
      </c>
      <c r="G32" s="75" t="str">
        <f t="shared" si="1"/>
        <v>cm</v>
      </c>
      <c r="H32" s="75" t="str">
        <f t="shared" si="1"/>
        <v>mm</v>
      </c>
      <c r="I32" s="75" t="str">
        <f t="shared" si="1"/>
        <v>cm</v>
      </c>
      <c r="J32" s="75" t="str">
        <f t="shared" si="1"/>
        <v>cm</v>
      </c>
      <c r="K32" s="75" t="str">
        <f t="shared" si="1"/>
        <v>cm</v>
      </c>
      <c r="L32" s="75" t="str">
        <f t="shared" si="1"/>
        <v>cm</v>
      </c>
      <c r="M32" s="75" t="str">
        <f t="shared" si="1"/>
        <v>cm</v>
      </c>
      <c r="N32" s="75" t="s">
        <v>1189</v>
      </c>
      <c r="O32" s="75" t="str">
        <f>O11</f>
        <v>cm</v>
      </c>
      <c r="P32" s="75" t="s">
        <v>1189</v>
      </c>
      <c r="Q32" s="75" t="s">
        <v>1189</v>
      </c>
      <c r="R32" s="75" t="str">
        <f t="shared" ref="R32:U33" si="2">R11</f>
        <v>cm</v>
      </c>
      <c r="S32" s="75" t="str">
        <f t="shared" si="2"/>
        <v>cm</v>
      </c>
      <c r="T32" s="75" t="str">
        <f t="shared" si="2"/>
        <v>cm</v>
      </c>
      <c r="U32" s="75" t="str">
        <f t="shared" si="2"/>
        <v>cm</v>
      </c>
      <c r="V32" s="75" t="s">
        <v>1189</v>
      </c>
      <c r="W32" s="75" t="str">
        <f t="shared" ref="W32:Z33" si="3">W11</f>
        <v>mm</v>
      </c>
      <c r="X32" s="75" t="str">
        <f t="shared" si="3"/>
        <v>cm</v>
      </c>
      <c r="Y32" s="75" t="str">
        <f t="shared" si="3"/>
        <v>cm</v>
      </c>
      <c r="Z32" s="75" t="str">
        <f t="shared" si="3"/>
        <v>cm</v>
      </c>
      <c r="AA32" s="75" t="s">
        <v>1189</v>
      </c>
      <c r="AB32" s="75" t="str">
        <f>AB11</f>
        <v>cm</v>
      </c>
      <c r="AC32" s="75" t="str">
        <f>AC11</f>
        <v>cm</v>
      </c>
      <c r="AD32" s="82"/>
      <c r="AE32" s="75" t="s">
        <v>1119</v>
      </c>
      <c r="AF32" s="75" t="str">
        <f>AF11</f>
        <v>mm</v>
      </c>
      <c r="AG32" s="75" t="str">
        <f>AG11</f>
        <v>mm</v>
      </c>
      <c r="AH32" s="82"/>
      <c r="AI32" s="82"/>
      <c r="AJ32" s="82"/>
      <c r="AK32" s="82"/>
      <c r="AL32" s="82"/>
      <c r="AM32" s="82"/>
      <c r="AN32" s="82"/>
      <c r="AO32" s="82"/>
      <c r="AP32" s="82"/>
      <c r="AQ32" s="82"/>
      <c r="AR32" s="82"/>
      <c r="AS32" s="82"/>
      <c r="AT32" s="82"/>
      <c r="AU32" s="82"/>
      <c r="AV32" s="82"/>
      <c r="AW32" s="82"/>
      <c r="AX32" s="82"/>
      <c r="AY32" s="82"/>
      <c r="AZ32" s="82"/>
      <c r="BA32" s="82"/>
      <c r="BB32" s="82"/>
      <c r="BC32" s="82"/>
      <c r="BD32" s="82"/>
      <c r="BE32" s="82"/>
      <c r="BF32" s="82"/>
      <c r="BG32" s="82"/>
      <c r="BH32" s="82"/>
      <c r="BI32" s="82"/>
      <c r="BJ32" s="82"/>
      <c r="BK32" s="82"/>
    </row>
    <row r="33" spans="1:63" s="84" customFormat="1" ht="22" customHeight="1" x14ac:dyDescent="0.15">
      <c r="A33" s="81" t="s">
        <v>1208</v>
      </c>
      <c r="B33" s="75" t="str">
        <f t="shared" ref="B33:M33" si="4">B12</f>
        <v>FL</v>
      </c>
      <c r="C33" s="75" t="str">
        <f t="shared" si="4"/>
        <v>xL</v>
      </c>
      <c r="D33" s="75" t="str">
        <f t="shared" si="4"/>
        <v>TL</v>
      </c>
      <c r="E33" s="75" t="str">
        <f t="shared" si="4"/>
        <v>xL</v>
      </c>
      <c r="F33" s="75" t="str">
        <f t="shared" si="4"/>
        <v>xL</v>
      </c>
      <c r="G33" s="75" t="str">
        <f t="shared" si="4"/>
        <v>TL</v>
      </c>
      <c r="H33" s="75" t="str">
        <f t="shared" si="4"/>
        <v>xL</v>
      </c>
      <c r="I33" s="75" t="str">
        <f t="shared" si="4"/>
        <v>xL</v>
      </c>
      <c r="J33" s="75" t="str">
        <f t="shared" si="4"/>
        <v>xL</v>
      </c>
      <c r="K33" s="75" t="str">
        <f t="shared" si="4"/>
        <v>TL</v>
      </c>
      <c r="L33" s="75" t="str">
        <f t="shared" si="4"/>
        <v>xL</v>
      </c>
      <c r="M33" s="75" t="str">
        <f t="shared" si="4"/>
        <v>TL</v>
      </c>
      <c r="N33" s="75" t="s">
        <v>1195</v>
      </c>
      <c r="O33" s="75" t="str">
        <f>O12</f>
        <v>TL</v>
      </c>
      <c r="P33" s="75" t="s">
        <v>1194</v>
      </c>
      <c r="Q33" s="75" t="s">
        <v>1194</v>
      </c>
      <c r="R33" s="75" t="str">
        <f t="shared" si="2"/>
        <v>TL</v>
      </c>
      <c r="S33" s="75" t="str">
        <f t="shared" si="2"/>
        <v>xL</v>
      </c>
      <c r="T33" s="75" t="str">
        <f t="shared" si="2"/>
        <v>xL</v>
      </c>
      <c r="U33" s="75" t="str">
        <f t="shared" si="2"/>
        <v>xL</v>
      </c>
      <c r="V33" s="75" t="s">
        <v>1194</v>
      </c>
      <c r="W33" s="75" t="str">
        <f t="shared" si="3"/>
        <v>xL</v>
      </c>
      <c r="X33" s="75" t="str">
        <f t="shared" si="3"/>
        <v>TL</v>
      </c>
      <c r="Y33" s="75" t="str">
        <f t="shared" si="3"/>
        <v>TL</v>
      </c>
      <c r="Z33" s="75" t="str">
        <f t="shared" si="3"/>
        <v>TL</v>
      </c>
      <c r="AA33" s="75" t="s">
        <v>1195</v>
      </c>
      <c r="AB33" s="75" t="str">
        <f>AB12</f>
        <v>xL</v>
      </c>
      <c r="AC33" s="75" t="str">
        <f>AC12</f>
        <v>TL</v>
      </c>
      <c r="AD33" s="82"/>
      <c r="AE33" s="75" t="s">
        <v>1119</v>
      </c>
      <c r="AF33" s="75" t="str">
        <f>AF12</f>
        <v>CL</v>
      </c>
      <c r="AG33" s="75" t="str">
        <f>AG12</f>
        <v>CW</v>
      </c>
      <c r="AH33" s="82"/>
      <c r="AI33" s="82"/>
      <c r="AJ33" s="82"/>
      <c r="AK33" s="82"/>
      <c r="AL33" s="82"/>
      <c r="AM33" s="82"/>
      <c r="AN33" s="82"/>
      <c r="AO33" s="82"/>
      <c r="AP33" s="82"/>
      <c r="AQ33" s="82"/>
      <c r="AR33" s="82"/>
      <c r="AS33" s="82"/>
      <c r="AT33" s="82"/>
      <c r="AU33" s="82"/>
      <c r="AV33" s="82"/>
      <c r="AW33" s="82"/>
      <c r="AX33" s="82"/>
      <c r="AY33" s="82"/>
      <c r="AZ33" s="82"/>
      <c r="BA33" s="82"/>
      <c r="BB33" s="82"/>
      <c r="BC33" s="82"/>
      <c r="BD33" s="82"/>
      <c r="BE33" s="82"/>
      <c r="BF33" s="82"/>
      <c r="BG33" s="82"/>
      <c r="BH33" s="82"/>
      <c r="BI33" s="82"/>
      <c r="BJ33" s="82"/>
      <c r="BK33" s="82"/>
    </row>
    <row r="34" spans="1:63" s="93" customFormat="1" ht="22" customHeight="1" x14ac:dyDescent="0.15">
      <c r="A34" s="97" t="s">
        <v>1152</v>
      </c>
      <c r="B34" s="78">
        <f t="shared" ref="B34:G34" si="5">B14+(1/B7)*(LN(B10/(B10-(B31))))</f>
        <v>2.7335870492044743</v>
      </c>
      <c r="C34" s="78">
        <f t="shared" si="5"/>
        <v>6.1049149324192324</v>
      </c>
      <c r="D34" s="78">
        <f t="shared" si="5"/>
        <v>2.0630794481419805</v>
      </c>
      <c r="E34" s="78">
        <f t="shared" si="5"/>
        <v>0.54776259710717223</v>
      </c>
      <c r="F34" s="78">
        <f t="shared" si="5"/>
        <v>2.1021317700956281</v>
      </c>
      <c r="G34" s="78">
        <f t="shared" si="5"/>
        <v>2.5412743767052008</v>
      </c>
      <c r="H34" s="78">
        <v>1.5</v>
      </c>
      <c r="I34" s="78">
        <f>I14+(1/I7)*(LN(I10/(I10-(I31))))</f>
        <v>6.5780519550278544</v>
      </c>
      <c r="J34" s="78">
        <f>J14+(1/J7)*(LN(J10/(J10-(J31))))</f>
        <v>1.3947233748927632</v>
      </c>
      <c r="K34" s="78">
        <f>K14+(1/K7)*(LN(K10/(K10-(K31))))</f>
        <v>0.44250015861685843</v>
      </c>
      <c r="L34" s="78">
        <f>L14+(1/L7)*(LN(L10/(L10-(L31))))</f>
        <v>0.97533703523373017</v>
      </c>
      <c r="M34" s="78">
        <f>M14+(1/M7)*(LN(M10/(M10-(M31))))</f>
        <v>1.1134661589422208</v>
      </c>
      <c r="N34" s="78">
        <v>2.5</v>
      </c>
      <c r="O34" s="78">
        <f>O14+(1/O7)*(LN(O10/(O10-(O31))))</f>
        <v>3.0989608875954735</v>
      </c>
      <c r="P34" s="78">
        <f>AVERAGE(9.39,1.46)</f>
        <v>5.4250000000000007</v>
      </c>
      <c r="Q34" s="78">
        <f>Q14+(1/Q7)*(LN(Q10/(Q10-(Q31))))</f>
        <v>1.2366754750736559</v>
      </c>
      <c r="R34" s="78">
        <f>R14+(1/R7)*(LN(R10/(R10-(R31))))</f>
        <v>3.7170562751675607</v>
      </c>
      <c r="S34" s="78">
        <f>S14+(1/S7)*(LN(S10/(S10-(S31))))</f>
        <v>1.6986381612811945</v>
      </c>
      <c r="T34" s="78">
        <f>T14+(1/T7)*(LN(T10/(T10-(T31))))</f>
        <v>2.7455523899115746</v>
      </c>
      <c r="U34" s="78">
        <f>U14+(1/U7)*(LN(U10/(U10-(U31))))</f>
        <v>4.4022028284986021</v>
      </c>
      <c r="V34" s="78">
        <v>1.5</v>
      </c>
      <c r="W34" s="78">
        <f>W14+(1/W7)*(LN(W10/(W10-(W31))))</f>
        <v>4.089785001289779</v>
      </c>
      <c r="X34" s="78">
        <f>X14+(1/X7)*(LN(X10/(X10-(X31))))</f>
        <v>0.44778987550123939</v>
      </c>
      <c r="Y34" s="78">
        <f>Y14+(1/Y7)*(LN(Y10/(Y10-(Y31))))</f>
        <v>1.30160481130584</v>
      </c>
      <c r="Z34" s="78">
        <f>Z14+(1/Z7)*(LN(Z10/(Z10-(Z31))))</f>
        <v>0.57283754946844889</v>
      </c>
      <c r="AA34" s="78">
        <v>2.2999999999999998</v>
      </c>
      <c r="AB34" s="78">
        <f>AB14+(1/AB7)*(LN(AB10/(AB10-(AB31))))</f>
        <v>1.8154592365367113</v>
      </c>
      <c r="AC34" s="78">
        <f>AC14+(1/AC7)*(LN(AC10/(AC10-(AC31))))</f>
        <v>1.5023076864203779</v>
      </c>
      <c r="AD34" s="98"/>
      <c r="AE34" s="78">
        <v>1.19</v>
      </c>
      <c r="AF34" s="78">
        <f>AF14+(1/AF7)*(LN(AF10/(AF10-(AF31))))</f>
        <v>2.0756276970891876</v>
      </c>
      <c r="AG34" s="78">
        <f>AG14+(1/AG7)*(LN(AG10/(AG10-(AG31))))</f>
        <v>0.58885498840114592</v>
      </c>
      <c r="AH34" s="98"/>
      <c r="AI34" s="98"/>
      <c r="AJ34" s="98"/>
      <c r="AK34" s="98"/>
      <c r="AL34" s="98"/>
      <c r="AM34" s="98"/>
      <c r="AN34" s="98"/>
      <c r="AO34" s="98"/>
      <c r="AP34" s="98"/>
      <c r="AQ34" s="98"/>
      <c r="AR34" s="98"/>
      <c r="AS34" s="98"/>
      <c r="AT34" s="98"/>
      <c r="AU34" s="98"/>
      <c r="AV34" s="98"/>
      <c r="AW34" s="98"/>
      <c r="AX34" s="98"/>
      <c r="AY34" s="98"/>
      <c r="AZ34" s="98"/>
      <c r="BA34" s="98"/>
      <c r="BB34" s="98"/>
      <c r="BC34" s="98"/>
      <c r="BD34" s="98"/>
      <c r="BE34" s="98"/>
      <c r="BF34" s="98"/>
      <c r="BG34" s="98"/>
      <c r="BH34" s="98"/>
      <c r="BI34" s="98"/>
      <c r="BJ34" s="98"/>
      <c r="BK34" s="98"/>
    </row>
    <row r="35" spans="1:63" s="84" customFormat="1" ht="22" customHeight="1" x14ac:dyDescent="0.15">
      <c r="A35" s="81" t="s">
        <v>1206</v>
      </c>
      <c r="B35" s="33" t="str">
        <f t="shared" ref="B35:J35" si="6">B8</f>
        <v>yr</v>
      </c>
      <c r="C35" s="75" t="str">
        <f t="shared" si="6"/>
        <v>yr</v>
      </c>
      <c r="D35" s="75" t="str">
        <f t="shared" si="6"/>
        <v>yr</v>
      </c>
      <c r="E35" s="75" t="str">
        <f t="shared" si="6"/>
        <v>yr</v>
      </c>
      <c r="F35" s="75" t="str">
        <f t="shared" si="6"/>
        <v>yr</v>
      </c>
      <c r="G35" s="75" t="str">
        <f t="shared" si="6"/>
        <v>yr</v>
      </c>
      <c r="H35" s="75" t="str">
        <f t="shared" si="6"/>
        <v>yr</v>
      </c>
      <c r="I35" s="75" t="str">
        <f t="shared" si="6"/>
        <v>yr</v>
      </c>
      <c r="J35" s="75" t="str">
        <f t="shared" si="6"/>
        <v>yr</v>
      </c>
      <c r="K35" s="75" t="s">
        <v>1114</v>
      </c>
      <c r="L35" s="75" t="str">
        <f>L8</f>
        <v>yr</v>
      </c>
      <c r="M35" s="75" t="str">
        <f>M8</f>
        <v>yr</v>
      </c>
      <c r="N35" s="75" t="str">
        <f>N8</f>
        <v>yr</v>
      </c>
      <c r="O35" s="75" t="str">
        <f>O8</f>
        <v>yr</v>
      </c>
      <c r="P35" s="75" t="s">
        <v>1114</v>
      </c>
      <c r="Q35" s="75" t="str">
        <f t="shared" ref="Q35:AC35" si="7">Q8</f>
        <v>yr</v>
      </c>
      <c r="R35" s="75" t="str">
        <f t="shared" si="7"/>
        <v>yr</v>
      </c>
      <c r="S35" s="75" t="str">
        <f t="shared" si="7"/>
        <v>yr</v>
      </c>
      <c r="T35" s="75" t="str">
        <f t="shared" si="7"/>
        <v>yr</v>
      </c>
      <c r="U35" s="75" t="str">
        <f t="shared" si="7"/>
        <v>yr</v>
      </c>
      <c r="V35" s="75" t="str">
        <f t="shared" si="7"/>
        <v>yr</v>
      </c>
      <c r="W35" s="75" t="str">
        <f t="shared" si="7"/>
        <v>yr</v>
      </c>
      <c r="X35" s="75" t="str">
        <f t="shared" si="7"/>
        <v>yr</v>
      </c>
      <c r="Y35" s="75" t="str">
        <f t="shared" si="7"/>
        <v>yr</v>
      </c>
      <c r="Z35" s="75" t="str">
        <f t="shared" si="7"/>
        <v>yr</v>
      </c>
      <c r="AA35" s="75" t="str">
        <f t="shared" si="7"/>
        <v>yr</v>
      </c>
      <c r="AB35" s="75" t="str">
        <f t="shared" si="7"/>
        <v>yr</v>
      </c>
      <c r="AC35" s="75" t="str">
        <f t="shared" si="7"/>
        <v>yr</v>
      </c>
      <c r="AD35" s="82"/>
      <c r="AE35" s="75" t="s">
        <v>1114</v>
      </c>
      <c r="AF35" s="75" t="str">
        <f>AF8</f>
        <v>yr</v>
      </c>
      <c r="AG35" s="75" t="str">
        <f>AG8</f>
        <v>yr</v>
      </c>
      <c r="AH35" s="82"/>
      <c r="AI35" s="82"/>
      <c r="AJ35" s="82"/>
      <c r="AK35" s="82"/>
      <c r="AL35" s="82"/>
      <c r="AM35" s="82"/>
      <c r="AN35" s="82"/>
      <c r="AO35" s="82"/>
      <c r="AP35" s="82"/>
      <c r="AQ35" s="82"/>
      <c r="AR35" s="82"/>
      <c r="AS35" s="82"/>
      <c r="AT35" s="82"/>
      <c r="AU35" s="82"/>
      <c r="AV35" s="82"/>
      <c r="AW35" s="82"/>
      <c r="AX35" s="82"/>
      <c r="AY35" s="82"/>
      <c r="AZ35" s="82"/>
      <c r="BA35" s="82"/>
      <c r="BB35" s="82"/>
      <c r="BC35" s="82"/>
      <c r="BD35" s="82"/>
      <c r="BE35" s="82"/>
      <c r="BF35" s="82"/>
      <c r="BG35" s="82"/>
      <c r="BH35" s="82"/>
      <c r="BI35" s="82"/>
      <c r="BJ35" s="82"/>
      <c r="BK35" s="82"/>
    </row>
    <row r="36" spans="1:63" ht="22" customHeight="1" x14ac:dyDescent="0.15">
      <c r="A36" s="32" t="s">
        <v>1158</v>
      </c>
      <c r="B36" s="34">
        <v>1</v>
      </c>
      <c r="C36" s="34">
        <v>1</v>
      </c>
      <c r="D36" s="34">
        <v>1</v>
      </c>
      <c r="E36" s="34">
        <v>1</v>
      </c>
      <c r="F36" s="99">
        <v>2.2860000000000002E-9</v>
      </c>
      <c r="G36" s="34">
        <v>1</v>
      </c>
      <c r="H36" s="34">
        <v>1</v>
      </c>
      <c r="I36" s="34">
        <v>1</v>
      </c>
      <c r="J36" s="34" t="s">
        <v>1119</v>
      </c>
      <c r="K36" s="34" t="s">
        <v>1119</v>
      </c>
      <c r="L36" s="34" t="s">
        <v>1119</v>
      </c>
      <c r="M36" s="34" t="s">
        <v>1119</v>
      </c>
      <c r="N36" s="34">
        <v>1</v>
      </c>
      <c r="O36" s="34" t="s">
        <v>1119</v>
      </c>
      <c r="P36" s="34">
        <v>5.4000000000000003E-3</v>
      </c>
      <c r="Q36" s="34" t="s">
        <v>1119</v>
      </c>
      <c r="R36" s="34">
        <v>1</v>
      </c>
      <c r="S36" s="34">
        <f>5*10^-5</f>
        <v>5.0000000000000002E-5</v>
      </c>
      <c r="T36" s="34">
        <v>1</v>
      </c>
      <c r="U36" s="34" t="s">
        <v>1119</v>
      </c>
      <c r="V36" s="34" t="s">
        <v>1119</v>
      </c>
      <c r="W36" s="34">
        <v>1</v>
      </c>
      <c r="X36" s="34">
        <v>1</v>
      </c>
      <c r="Y36" s="34">
        <v>5.3685400000000001E-2</v>
      </c>
      <c r="Z36" s="34">
        <v>5.3685400000000001E-2</v>
      </c>
      <c r="AA36" s="34">
        <v>1</v>
      </c>
      <c r="AB36" s="34" t="s">
        <v>1119</v>
      </c>
      <c r="AC36" s="34" t="s">
        <v>1119</v>
      </c>
      <c r="AD36" s="13"/>
      <c r="AE36" s="34" t="s">
        <v>1119</v>
      </c>
      <c r="AF36" s="34" t="s">
        <v>1119</v>
      </c>
      <c r="AG36" s="34" t="s">
        <v>1119</v>
      </c>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row>
    <row r="37" spans="1:63" ht="22" customHeight="1" x14ac:dyDescent="0.15">
      <c r="A37" s="32" t="s">
        <v>1159</v>
      </c>
      <c r="B37" s="33">
        <v>3</v>
      </c>
      <c r="C37" s="34">
        <v>3</v>
      </c>
      <c r="D37" s="34">
        <v>3</v>
      </c>
      <c r="E37" s="34">
        <v>3</v>
      </c>
      <c r="F37" s="34">
        <v>5.359</v>
      </c>
      <c r="G37" s="34">
        <v>3</v>
      </c>
      <c r="H37" s="34">
        <v>3</v>
      </c>
      <c r="I37" s="34">
        <v>3</v>
      </c>
      <c r="J37" s="34" t="s">
        <v>1119</v>
      </c>
      <c r="K37" s="34" t="s">
        <v>1119</v>
      </c>
      <c r="L37" s="34" t="s">
        <v>1119</v>
      </c>
      <c r="M37" s="34" t="s">
        <v>1119</v>
      </c>
      <c r="N37" s="34">
        <v>3</v>
      </c>
      <c r="O37" s="34" t="s">
        <v>1119</v>
      </c>
      <c r="P37" s="34">
        <v>5.28</v>
      </c>
      <c r="Q37" s="34" t="s">
        <v>1119</v>
      </c>
      <c r="R37" s="34">
        <v>3</v>
      </c>
      <c r="S37" s="34">
        <v>3.7469999999999999</v>
      </c>
      <c r="T37" s="34">
        <v>3</v>
      </c>
      <c r="U37" s="34" t="s">
        <v>1119</v>
      </c>
      <c r="V37" s="34" t="s">
        <v>1119</v>
      </c>
      <c r="W37" s="34">
        <v>3</v>
      </c>
      <c r="X37" s="34">
        <v>3</v>
      </c>
      <c r="Y37" s="34">
        <v>5.0729199999999999</v>
      </c>
      <c r="Z37" s="34">
        <v>5.0729199999999999</v>
      </c>
      <c r="AA37" s="34">
        <v>3</v>
      </c>
      <c r="AB37" s="34" t="s">
        <v>1119</v>
      </c>
      <c r="AC37" s="34" t="s">
        <v>1119</v>
      </c>
      <c r="AD37" s="13"/>
      <c r="AE37" s="34" t="s">
        <v>1119</v>
      </c>
      <c r="AF37" s="34" t="s">
        <v>1119</v>
      </c>
      <c r="AG37" s="34" t="s">
        <v>1119</v>
      </c>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row>
    <row r="38" spans="1:63" ht="22" customHeight="1" x14ac:dyDescent="0.15">
      <c r="A38" s="32" t="s">
        <v>1230</v>
      </c>
      <c r="B38" s="33" t="s">
        <v>1119</v>
      </c>
      <c r="C38" s="34" t="s">
        <v>1119</v>
      </c>
      <c r="D38" s="34" t="s">
        <v>1119</v>
      </c>
      <c r="E38" s="34" t="s">
        <v>1119</v>
      </c>
      <c r="F38" s="34" t="s">
        <v>1119</v>
      </c>
      <c r="G38" s="34" t="s">
        <v>1119</v>
      </c>
      <c r="H38" s="34" t="s">
        <v>1119</v>
      </c>
      <c r="I38" s="34" t="s">
        <v>1119</v>
      </c>
      <c r="J38" s="34">
        <f>AVERAGE(210000,680000)</f>
        <v>445000</v>
      </c>
      <c r="K38" s="34">
        <f>AVERAGE(201,3044)</f>
        <v>1622.5</v>
      </c>
      <c r="L38" s="34">
        <f>AVERAGE(8000,1250000)</f>
        <v>629000</v>
      </c>
      <c r="M38" s="76">
        <v>1555196.3549976789</v>
      </c>
      <c r="N38" s="34" t="s">
        <v>1119</v>
      </c>
      <c r="O38" s="76">
        <v>9390492.1149223279</v>
      </c>
      <c r="P38" s="34" t="s">
        <v>1119</v>
      </c>
      <c r="Q38" s="34">
        <f>AVERAGE(46774,130698)</f>
        <v>88736</v>
      </c>
      <c r="R38" s="34" t="s">
        <v>1119</v>
      </c>
      <c r="S38" s="34" t="s">
        <v>1119</v>
      </c>
      <c r="T38" s="34" t="s">
        <v>1119</v>
      </c>
      <c r="U38" s="34">
        <v>410000</v>
      </c>
      <c r="V38" s="34">
        <v>94000</v>
      </c>
      <c r="W38" s="34" t="s">
        <v>1119</v>
      </c>
      <c r="X38" s="34" t="s">
        <v>1119</v>
      </c>
      <c r="Y38" s="34" t="s">
        <v>1119</v>
      </c>
      <c r="Z38" s="34" t="s">
        <v>1119</v>
      </c>
      <c r="AA38" s="34" t="s">
        <v>1119</v>
      </c>
      <c r="AB38" s="34">
        <v>2500000</v>
      </c>
      <c r="AC38" s="34">
        <v>130000</v>
      </c>
      <c r="AD38" s="13"/>
      <c r="AE38" s="34">
        <v>900</v>
      </c>
      <c r="AF38" s="34">
        <v>1500000</v>
      </c>
      <c r="AG38" s="34">
        <f>AVERAGE(68450,324440)</f>
        <v>196445</v>
      </c>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row>
    <row r="39" spans="1:63" ht="22" customHeight="1" x14ac:dyDescent="0.15">
      <c r="A39" s="32" t="s">
        <v>1228</v>
      </c>
      <c r="B39" s="33" t="s">
        <v>1202</v>
      </c>
      <c r="C39" s="34" t="s">
        <v>1202</v>
      </c>
      <c r="D39" s="34" t="s">
        <v>1202</v>
      </c>
      <c r="E39" s="34" t="s">
        <v>1202</v>
      </c>
      <c r="F39" s="34" t="s">
        <v>1192</v>
      </c>
      <c r="G39" s="34" t="s">
        <v>1202</v>
      </c>
      <c r="H39" s="34" t="s">
        <v>1202</v>
      </c>
      <c r="I39" s="34" t="s">
        <v>1202</v>
      </c>
      <c r="J39" s="34" t="s">
        <v>1119</v>
      </c>
      <c r="K39" s="34" t="s">
        <v>1119</v>
      </c>
      <c r="L39" s="34" t="s">
        <v>1119</v>
      </c>
      <c r="M39" s="76" t="s">
        <v>1119</v>
      </c>
      <c r="N39" s="34" t="s">
        <v>1202</v>
      </c>
      <c r="O39" s="76" t="s">
        <v>1119</v>
      </c>
      <c r="P39" s="34" t="s">
        <v>1189</v>
      </c>
      <c r="Q39" s="34" t="s">
        <v>1119</v>
      </c>
      <c r="R39" s="34" t="s">
        <v>1202</v>
      </c>
      <c r="S39" s="34" t="s">
        <v>1192</v>
      </c>
      <c r="T39" s="34" t="s">
        <v>1202</v>
      </c>
      <c r="U39" s="34" t="s">
        <v>1119</v>
      </c>
      <c r="V39" s="34" t="s">
        <v>1119</v>
      </c>
      <c r="W39" s="34" t="s">
        <v>1202</v>
      </c>
      <c r="X39" s="34" t="s">
        <v>1202</v>
      </c>
      <c r="Y39" s="34" t="s">
        <v>1189</v>
      </c>
      <c r="Z39" s="34" t="s">
        <v>1189</v>
      </c>
      <c r="AA39" s="34" t="s">
        <v>1202</v>
      </c>
      <c r="AB39" s="34" t="s">
        <v>1119</v>
      </c>
      <c r="AC39" s="34" t="s">
        <v>1119</v>
      </c>
      <c r="AD39" s="13"/>
      <c r="AE39" s="34" t="s">
        <v>1119</v>
      </c>
      <c r="AF39" s="34" t="s">
        <v>1119</v>
      </c>
      <c r="AG39" s="34" t="s">
        <v>1119</v>
      </c>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row>
    <row r="40" spans="1:63" ht="22" customHeight="1" x14ac:dyDescent="0.15">
      <c r="A40" s="32" t="s">
        <v>1224</v>
      </c>
      <c r="B40" s="33">
        <v>1</v>
      </c>
      <c r="C40" s="34">
        <v>1</v>
      </c>
      <c r="D40" s="34">
        <v>1</v>
      </c>
      <c r="E40" s="34">
        <v>1</v>
      </c>
      <c r="F40" s="34">
        <v>1</v>
      </c>
      <c r="G40" s="34">
        <v>1</v>
      </c>
      <c r="H40" s="34">
        <v>1</v>
      </c>
      <c r="I40" s="34">
        <v>1</v>
      </c>
      <c r="J40" s="34">
        <v>1</v>
      </c>
      <c r="K40" s="34">
        <v>1</v>
      </c>
      <c r="L40" s="34">
        <v>4</v>
      </c>
      <c r="M40" s="34">
        <v>1</v>
      </c>
      <c r="N40" s="34">
        <v>1</v>
      </c>
      <c r="O40" s="34">
        <v>1</v>
      </c>
      <c r="P40" s="34">
        <v>1</v>
      </c>
      <c r="Q40" s="34">
        <v>1</v>
      </c>
      <c r="R40" s="34">
        <v>1</v>
      </c>
      <c r="S40" s="34">
        <v>1</v>
      </c>
      <c r="T40" s="34">
        <v>1</v>
      </c>
      <c r="U40" s="34">
        <v>1</v>
      </c>
      <c r="V40" s="34">
        <v>1</v>
      </c>
      <c r="W40" s="34">
        <v>1</v>
      </c>
      <c r="X40" s="34">
        <v>1</v>
      </c>
      <c r="Y40" s="34">
        <v>1</v>
      </c>
      <c r="Z40" s="34">
        <v>1</v>
      </c>
      <c r="AA40" s="34">
        <v>1</v>
      </c>
      <c r="AB40" s="34">
        <v>2</v>
      </c>
      <c r="AC40" s="34">
        <v>1</v>
      </c>
      <c r="AD40" s="13"/>
      <c r="AE40" s="34">
        <v>1</v>
      </c>
      <c r="AF40" s="34">
        <v>1</v>
      </c>
      <c r="AG40" s="34">
        <v>1</v>
      </c>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row>
    <row r="41" spans="1:63" ht="22" customHeight="1" x14ac:dyDescent="0.2">
      <c r="A41" s="32" t="s">
        <v>1113</v>
      </c>
      <c r="B41" s="33">
        <v>0.7</v>
      </c>
      <c r="C41" s="34">
        <v>0.5</v>
      </c>
      <c r="D41" s="34">
        <v>0.7</v>
      </c>
      <c r="E41" s="34">
        <v>0.5</v>
      </c>
      <c r="F41" s="34">
        <v>0.75</v>
      </c>
      <c r="G41" s="34">
        <v>0.5</v>
      </c>
      <c r="H41" s="34">
        <v>0.7</v>
      </c>
      <c r="I41" s="34">
        <v>0.5</v>
      </c>
      <c r="J41" s="34">
        <v>0.7</v>
      </c>
      <c r="K41" s="34">
        <v>0.84</v>
      </c>
      <c r="L41" s="34">
        <v>0.91</v>
      </c>
      <c r="M41" s="34">
        <v>0.7</v>
      </c>
      <c r="N41" s="34">
        <v>0.5</v>
      </c>
      <c r="O41" s="75">
        <f>AVERAGE(0.8,0.9,0.56)</f>
        <v>0.75333333333333341</v>
      </c>
      <c r="P41" s="75">
        <f>AVERAGE(0.8,0.9,0.56)</f>
        <v>0.75333333333333341</v>
      </c>
      <c r="Q41" s="34">
        <v>0.7</v>
      </c>
      <c r="R41" s="34">
        <v>0.5</v>
      </c>
      <c r="S41" s="34">
        <v>0.84</v>
      </c>
      <c r="T41" s="34">
        <v>0.5</v>
      </c>
      <c r="U41" s="34">
        <v>0.5</v>
      </c>
      <c r="V41" s="34">
        <v>0.84</v>
      </c>
      <c r="W41" s="34">
        <v>0.7</v>
      </c>
      <c r="X41" s="34">
        <v>0.84</v>
      </c>
      <c r="Y41" s="34">
        <v>0.84</v>
      </c>
      <c r="Z41" s="34">
        <v>0.84</v>
      </c>
      <c r="AA41" s="34">
        <v>0.7</v>
      </c>
      <c r="AB41" s="34">
        <v>0.7</v>
      </c>
      <c r="AC41" s="34">
        <v>0.7</v>
      </c>
      <c r="AD41" s="13"/>
      <c r="AE41" s="34">
        <v>0.7</v>
      </c>
      <c r="AF41" s="75">
        <f>AVERAGE(0.97,0.713)</f>
        <v>0.84149999999999991</v>
      </c>
      <c r="AG41" s="34">
        <v>0.7</v>
      </c>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
    </row>
    <row r="42" spans="1:63" ht="22" customHeight="1" x14ac:dyDescent="0.15">
      <c r="A42" s="40"/>
      <c r="B42" s="33"/>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13"/>
      <c r="AE42" s="34"/>
      <c r="AF42" s="34"/>
      <c r="AG42" s="34"/>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row>
    <row r="43" spans="1:63" ht="12.75" customHeight="1" x14ac:dyDescent="0.15">
      <c r="A43"/>
      <c r="B43"/>
      <c r="C43"/>
      <c r="D43"/>
      <c r="E43"/>
      <c r="F43"/>
      <c r="G43"/>
      <c r="H43"/>
      <c r="I43"/>
      <c r="J43"/>
      <c r="K43"/>
      <c r="L43"/>
      <c r="M43"/>
      <c r="N43"/>
      <c r="O43"/>
      <c r="P43"/>
      <c r="Q43"/>
      <c r="R43"/>
      <c r="S43"/>
      <c r="T43"/>
      <c r="U43"/>
      <c r="V43"/>
      <c r="W43"/>
      <c r="X43"/>
      <c r="Y43"/>
      <c r="Z43"/>
      <c r="AA43"/>
    </row>
    <row r="44" spans="1:63" ht="12.75" customHeight="1" x14ac:dyDescent="0.15">
      <c r="A44"/>
      <c r="B44"/>
      <c r="C44"/>
      <c r="D44"/>
      <c r="E44"/>
      <c r="F44"/>
      <c r="G44"/>
      <c r="H44"/>
      <c r="I44"/>
      <c r="J44"/>
      <c r="K44"/>
      <c r="L44"/>
      <c r="M44"/>
      <c r="N44"/>
      <c r="O44"/>
      <c r="P44"/>
      <c r="Q44"/>
      <c r="R44"/>
      <c r="S44"/>
      <c r="T44"/>
      <c r="U44"/>
      <c r="V44"/>
      <c r="W44"/>
      <c r="X44"/>
      <c r="Y44"/>
      <c r="Z44"/>
      <c r="AA44"/>
    </row>
    <row r="45" spans="1:63" ht="12.75" customHeight="1" x14ac:dyDescent="0.15">
      <c r="A45"/>
      <c r="B45"/>
      <c r="C45"/>
      <c r="D45"/>
      <c r="E45"/>
      <c r="F45"/>
      <c r="G45"/>
      <c r="H45"/>
      <c r="I45"/>
      <c r="J45"/>
      <c r="K45"/>
      <c r="L45"/>
      <c r="M45"/>
      <c r="N45"/>
      <c r="O45"/>
      <c r="P45"/>
      <c r="Q45"/>
      <c r="R45"/>
      <c r="S45"/>
      <c r="T45"/>
      <c r="U45"/>
      <c r="V45"/>
      <c r="W45"/>
      <c r="X45"/>
      <c r="Y45"/>
      <c r="Z45"/>
      <c r="AA45"/>
    </row>
    <row r="46" spans="1:63" ht="12.75" customHeight="1" x14ac:dyDescent="0.15">
      <c r="A46"/>
      <c r="B46"/>
      <c r="C46"/>
      <c r="D46"/>
      <c r="E46"/>
      <c r="F46"/>
      <c r="G46"/>
      <c r="H46"/>
      <c r="I46"/>
      <c r="J46"/>
      <c r="K46"/>
      <c r="L46"/>
      <c r="M46"/>
      <c r="N46"/>
      <c r="O46"/>
      <c r="P46"/>
      <c r="Q46"/>
      <c r="R46"/>
      <c r="S46"/>
      <c r="T46"/>
      <c r="U46"/>
      <c r="V46"/>
      <c r="W46"/>
      <c r="X46"/>
      <c r="Y46"/>
      <c r="Z46"/>
      <c r="AA46"/>
    </row>
    <row r="47" spans="1:63" ht="12.75" customHeight="1" x14ac:dyDescent="0.15">
      <c r="A47"/>
      <c r="B47"/>
      <c r="C47"/>
      <c r="D47"/>
      <c r="E47"/>
      <c r="F47"/>
      <c r="G47"/>
      <c r="H47"/>
      <c r="I47"/>
      <c r="J47"/>
      <c r="K47"/>
      <c r="L47"/>
      <c r="M47"/>
      <c r="N47"/>
      <c r="O47"/>
      <c r="P47"/>
      <c r="Q47"/>
      <c r="R47"/>
      <c r="S47"/>
      <c r="T47"/>
      <c r="U47"/>
      <c r="V47"/>
      <c r="W47"/>
      <c r="X47"/>
      <c r="Y47"/>
      <c r="Z47"/>
      <c r="AA47"/>
    </row>
    <row r="48" spans="1:63" ht="12.75" customHeight="1" x14ac:dyDescent="0.15">
      <c r="A48"/>
      <c r="B48"/>
      <c r="C48"/>
      <c r="D48"/>
      <c r="E48"/>
      <c r="F48"/>
      <c r="G48"/>
      <c r="H48"/>
      <c r="I48"/>
      <c r="J48"/>
      <c r="K48"/>
      <c r="L48"/>
      <c r="M48"/>
      <c r="N48"/>
      <c r="O48"/>
      <c r="P48"/>
      <c r="Q48"/>
      <c r="R48"/>
      <c r="S48"/>
      <c r="T48"/>
      <c r="U48"/>
      <c r="V48"/>
      <c r="W48"/>
      <c r="X48"/>
      <c r="Y48"/>
      <c r="Z48"/>
      <c r="AA48"/>
    </row>
    <row r="49" spans="1:27" ht="12.75" customHeight="1" x14ac:dyDescent="0.15">
      <c r="A49"/>
      <c r="B49"/>
      <c r="C49"/>
      <c r="D49"/>
      <c r="E49"/>
      <c r="F49"/>
      <c r="G49"/>
      <c r="H49"/>
      <c r="I49"/>
      <c r="J49"/>
      <c r="K49"/>
      <c r="L49"/>
      <c r="M49"/>
      <c r="N49"/>
      <c r="O49"/>
      <c r="P49"/>
      <c r="Q49"/>
      <c r="R49"/>
      <c r="S49"/>
      <c r="T49"/>
      <c r="U49"/>
      <c r="V49"/>
      <c r="W49"/>
      <c r="X49"/>
      <c r="Y49"/>
      <c r="Z49"/>
      <c r="AA49"/>
    </row>
    <row r="50" spans="1:27" ht="12.75" customHeight="1" x14ac:dyDescent="0.15">
      <c r="A50"/>
      <c r="B50"/>
      <c r="C50"/>
      <c r="D50"/>
      <c r="E50"/>
      <c r="F50"/>
      <c r="G50"/>
      <c r="H50"/>
      <c r="I50"/>
      <c r="J50"/>
      <c r="K50"/>
      <c r="L50"/>
      <c r="M50"/>
      <c r="N50"/>
      <c r="O50"/>
      <c r="P50"/>
      <c r="Q50"/>
      <c r="R50"/>
      <c r="S50"/>
      <c r="T50"/>
      <c r="U50"/>
      <c r="V50"/>
      <c r="W50"/>
      <c r="X50"/>
      <c r="Y50"/>
      <c r="Z50"/>
      <c r="AA50"/>
    </row>
    <row r="51" spans="1:27" ht="12.75" customHeight="1" x14ac:dyDescent="0.15">
      <c r="A51"/>
      <c r="B51"/>
      <c r="C51"/>
      <c r="D51"/>
      <c r="E51"/>
      <c r="F51"/>
      <c r="G51"/>
      <c r="H51"/>
      <c r="I51"/>
      <c r="J51"/>
      <c r="K51"/>
      <c r="L51"/>
      <c r="M51"/>
      <c r="N51"/>
      <c r="O51"/>
      <c r="P51"/>
      <c r="Q51"/>
      <c r="R51"/>
      <c r="S51"/>
      <c r="T51"/>
      <c r="U51"/>
      <c r="V51"/>
      <c r="W51"/>
      <c r="X51"/>
      <c r="Y51"/>
      <c r="Z51"/>
      <c r="AA51"/>
    </row>
    <row r="52" spans="1:27" ht="12.75" customHeight="1" x14ac:dyDescent="0.15">
      <c r="A52"/>
      <c r="B52"/>
      <c r="C52"/>
      <c r="D52"/>
      <c r="E52"/>
      <c r="F52"/>
      <c r="G52"/>
      <c r="H52"/>
      <c r="I52"/>
      <c r="J52"/>
      <c r="K52"/>
      <c r="L52"/>
      <c r="M52"/>
      <c r="N52"/>
      <c r="O52"/>
      <c r="P52"/>
      <c r="Q52"/>
      <c r="R52"/>
      <c r="S52"/>
      <c r="T52"/>
      <c r="U52"/>
      <c r="V52"/>
      <c r="W52"/>
      <c r="X52"/>
      <c r="Y52"/>
      <c r="Z52"/>
      <c r="AA52"/>
    </row>
    <row r="53" spans="1:27" ht="12.75" customHeight="1" x14ac:dyDescent="0.15">
      <c r="A53"/>
      <c r="B53"/>
      <c r="C53"/>
      <c r="D53"/>
      <c r="E53"/>
      <c r="F53"/>
      <c r="G53"/>
      <c r="H53"/>
      <c r="I53"/>
      <c r="J53"/>
      <c r="K53"/>
      <c r="L53"/>
      <c r="M53"/>
      <c r="N53"/>
      <c r="O53"/>
      <c r="P53"/>
      <c r="Q53"/>
      <c r="R53"/>
      <c r="S53"/>
      <c r="T53"/>
      <c r="U53"/>
      <c r="V53"/>
      <c r="W53"/>
      <c r="X53"/>
      <c r="Y53"/>
      <c r="Z53"/>
      <c r="AA53"/>
    </row>
    <row r="54" spans="1:27" s="2" customFormat="1" ht="12.75" customHeight="1" x14ac:dyDescent="0.15">
      <c r="A54"/>
      <c r="B54"/>
      <c r="C54"/>
      <c r="D54"/>
      <c r="E54"/>
      <c r="F54"/>
      <c r="G54"/>
      <c r="H54"/>
      <c r="I54"/>
      <c r="J54"/>
      <c r="K54"/>
      <c r="L54"/>
      <c r="M54"/>
      <c r="N54"/>
      <c r="O54"/>
      <c r="P54"/>
      <c r="Q54"/>
      <c r="R54"/>
      <c r="S54"/>
      <c r="T54"/>
      <c r="U54"/>
      <c r="V54"/>
      <c r="W54"/>
      <c r="X54"/>
      <c r="Y54"/>
      <c r="Z54"/>
      <c r="AA54"/>
    </row>
    <row r="55" spans="1:27" s="2" customFormat="1" ht="12.75" customHeight="1" x14ac:dyDescent="0.15">
      <c r="A55"/>
      <c r="B55"/>
      <c r="C55"/>
      <c r="D55"/>
      <c r="E55"/>
      <c r="F55"/>
      <c r="G55"/>
      <c r="H55"/>
      <c r="I55"/>
      <c r="J55"/>
      <c r="K55"/>
      <c r="L55"/>
      <c r="M55"/>
      <c r="N55"/>
      <c r="O55"/>
      <c r="P55"/>
      <c r="Q55"/>
      <c r="R55"/>
      <c r="S55"/>
      <c r="T55"/>
      <c r="U55"/>
      <c r="V55"/>
      <c r="W55"/>
      <c r="X55"/>
      <c r="Y55"/>
      <c r="Z55"/>
      <c r="AA55"/>
    </row>
    <row r="56" spans="1:27" s="2" customFormat="1" ht="12.75" customHeight="1" x14ac:dyDescent="0.15">
      <c r="A56"/>
      <c r="B56"/>
      <c r="C56"/>
      <c r="D56"/>
      <c r="E56"/>
      <c r="F56"/>
      <c r="G56"/>
      <c r="H56"/>
      <c r="I56"/>
      <c r="J56"/>
      <c r="K56"/>
      <c r="L56"/>
      <c r="M56"/>
      <c r="N56"/>
      <c r="O56"/>
      <c r="P56"/>
      <c r="Q56"/>
      <c r="R56"/>
      <c r="S56"/>
      <c r="T56"/>
      <c r="U56"/>
      <c r="V56"/>
      <c r="W56"/>
      <c r="X56"/>
      <c r="Y56"/>
      <c r="Z56"/>
      <c r="AA56"/>
    </row>
    <row r="57" spans="1:27" s="2" customFormat="1" ht="12.75" customHeight="1" x14ac:dyDescent="0.15">
      <c r="A57"/>
      <c r="B57"/>
      <c r="C57"/>
      <c r="D57"/>
      <c r="E57"/>
      <c r="F57"/>
      <c r="G57"/>
      <c r="H57"/>
      <c r="I57"/>
      <c r="J57"/>
      <c r="K57"/>
      <c r="L57"/>
      <c r="M57"/>
      <c r="N57"/>
      <c r="O57"/>
      <c r="P57"/>
      <c r="Q57"/>
      <c r="R57"/>
      <c r="S57"/>
      <c r="T57"/>
      <c r="U57"/>
      <c r="V57"/>
      <c r="W57"/>
      <c r="X57"/>
      <c r="Y57"/>
      <c r="Z57"/>
      <c r="AA57"/>
    </row>
    <row r="58" spans="1:27" s="2" customFormat="1" ht="12.75" customHeight="1" x14ac:dyDescent="0.15">
      <c r="A58"/>
      <c r="B58"/>
      <c r="C58"/>
      <c r="D58"/>
      <c r="E58"/>
      <c r="F58"/>
      <c r="G58"/>
      <c r="H58"/>
      <c r="I58"/>
      <c r="J58"/>
      <c r="K58"/>
      <c r="L58"/>
      <c r="M58"/>
      <c r="N58"/>
      <c r="O58"/>
      <c r="P58"/>
      <c r="Q58"/>
      <c r="R58"/>
      <c r="S58"/>
      <c r="T58"/>
      <c r="U58"/>
      <c r="V58"/>
      <c r="W58"/>
      <c r="X58"/>
      <c r="Y58"/>
      <c r="Z58"/>
      <c r="AA58"/>
    </row>
    <row r="59" spans="1:27" s="2" customFormat="1" ht="12.75" customHeight="1" x14ac:dyDescent="0.15">
      <c r="A59"/>
      <c r="B59"/>
      <c r="C59"/>
      <c r="D59"/>
      <c r="E59"/>
      <c r="F59"/>
      <c r="G59"/>
      <c r="H59"/>
      <c r="I59"/>
      <c r="J59"/>
      <c r="K59"/>
      <c r="L59"/>
      <c r="M59"/>
      <c r="N59"/>
      <c r="O59"/>
      <c r="P59"/>
      <c r="Q59"/>
      <c r="R59"/>
      <c r="S59"/>
      <c r="T59"/>
      <c r="U59"/>
      <c r="V59"/>
      <c r="W59"/>
      <c r="X59"/>
      <c r="Y59"/>
      <c r="Z59"/>
      <c r="AA59"/>
    </row>
    <row r="60" spans="1:27" s="2" customFormat="1" ht="12.75" customHeight="1" x14ac:dyDescent="0.15">
      <c r="A60"/>
      <c r="B60"/>
      <c r="C60"/>
      <c r="D60"/>
      <c r="E60"/>
      <c r="F60"/>
      <c r="G60"/>
      <c r="H60"/>
      <c r="I60"/>
      <c r="J60"/>
      <c r="K60"/>
      <c r="L60"/>
      <c r="M60"/>
      <c r="N60"/>
      <c r="O60"/>
      <c r="P60"/>
      <c r="Q60"/>
      <c r="R60"/>
      <c r="S60"/>
      <c r="T60"/>
      <c r="U60"/>
      <c r="V60"/>
      <c r="W60"/>
      <c r="X60"/>
      <c r="Y60"/>
      <c r="Z60"/>
      <c r="AA60"/>
    </row>
    <row r="61" spans="1:27" s="2" customFormat="1" ht="12.75" customHeight="1" x14ac:dyDescent="0.15">
      <c r="A61"/>
      <c r="B61"/>
      <c r="C61"/>
      <c r="D61"/>
      <c r="E61"/>
      <c r="F61"/>
      <c r="G61"/>
      <c r="H61"/>
      <c r="I61"/>
      <c r="J61"/>
      <c r="K61"/>
      <c r="L61"/>
      <c r="M61"/>
      <c r="N61"/>
      <c r="O61"/>
      <c r="P61"/>
      <c r="Q61"/>
      <c r="R61"/>
      <c r="S61"/>
      <c r="T61"/>
      <c r="U61"/>
      <c r="V61"/>
      <c r="W61"/>
      <c r="X61"/>
      <c r="Y61"/>
      <c r="Z61"/>
      <c r="AA61"/>
    </row>
    <row r="62" spans="1:27" s="2" customFormat="1" ht="12.75" customHeight="1" x14ac:dyDescent="0.15">
      <c r="A62"/>
      <c r="B62"/>
      <c r="C62"/>
      <c r="D62"/>
      <c r="E62"/>
      <c r="F62"/>
      <c r="G62"/>
      <c r="H62"/>
      <c r="I62"/>
      <c r="J62"/>
      <c r="K62"/>
      <c r="L62"/>
      <c r="M62"/>
      <c r="N62"/>
      <c r="O62"/>
      <c r="P62"/>
      <c r="Q62"/>
      <c r="R62"/>
      <c r="S62"/>
      <c r="T62"/>
      <c r="U62"/>
      <c r="V62"/>
      <c r="W62"/>
      <c r="X62"/>
      <c r="Y62"/>
      <c r="Z62"/>
      <c r="AA62"/>
    </row>
    <row r="63" spans="1:27" s="2" customFormat="1" ht="12.75" customHeight="1" x14ac:dyDescent="0.15">
      <c r="A63"/>
      <c r="B63"/>
      <c r="C63"/>
      <c r="D63"/>
      <c r="E63"/>
      <c r="F63"/>
      <c r="G63"/>
      <c r="H63"/>
      <c r="I63"/>
      <c r="J63"/>
      <c r="K63"/>
      <c r="L63"/>
      <c r="M63"/>
      <c r="N63"/>
      <c r="O63"/>
      <c r="P63"/>
      <c r="Q63"/>
      <c r="R63"/>
      <c r="S63"/>
      <c r="T63"/>
      <c r="U63"/>
      <c r="V63"/>
      <c r="W63"/>
      <c r="X63"/>
      <c r="Y63"/>
      <c r="Z63"/>
      <c r="AA63"/>
    </row>
    <row r="64" spans="1:27" s="2" customFormat="1" ht="12.75" customHeight="1" x14ac:dyDescent="0.15">
      <c r="A64"/>
      <c r="B64"/>
      <c r="C64"/>
      <c r="D64"/>
      <c r="E64"/>
      <c r="F64"/>
      <c r="G64"/>
      <c r="H64"/>
      <c r="I64"/>
      <c r="J64"/>
      <c r="K64"/>
      <c r="L64"/>
      <c r="M64"/>
      <c r="N64"/>
      <c r="O64"/>
      <c r="P64"/>
      <c r="Q64"/>
      <c r="R64"/>
      <c r="S64"/>
      <c r="T64"/>
      <c r="U64"/>
      <c r="V64"/>
      <c r="W64"/>
      <c r="X64"/>
      <c r="Y64"/>
      <c r="Z64"/>
      <c r="AA64"/>
    </row>
    <row r="65" spans="1:27" s="2" customFormat="1" ht="12.75" customHeight="1" x14ac:dyDescent="0.15">
      <c r="A65"/>
      <c r="B65"/>
      <c r="C65"/>
      <c r="D65"/>
      <c r="E65"/>
      <c r="F65"/>
      <c r="G65"/>
      <c r="H65"/>
      <c r="I65"/>
      <c r="J65"/>
      <c r="K65"/>
      <c r="L65"/>
      <c r="M65"/>
      <c r="N65"/>
      <c r="O65"/>
      <c r="P65"/>
      <c r="Q65"/>
      <c r="R65"/>
      <c r="S65"/>
      <c r="T65"/>
      <c r="U65"/>
      <c r="V65"/>
      <c r="W65"/>
      <c r="X65"/>
      <c r="Y65"/>
      <c r="Z65"/>
      <c r="AA65"/>
    </row>
    <row r="66" spans="1:27" s="2" customFormat="1" ht="12.75" customHeight="1" x14ac:dyDescent="0.15">
      <c r="A66"/>
      <c r="B66"/>
      <c r="C66"/>
      <c r="D66"/>
      <c r="E66"/>
      <c r="F66"/>
      <c r="G66"/>
      <c r="H66"/>
      <c r="I66"/>
      <c r="J66"/>
      <c r="K66"/>
      <c r="L66"/>
      <c r="M66"/>
      <c r="N66"/>
      <c r="O66"/>
      <c r="P66"/>
      <c r="Q66"/>
      <c r="R66"/>
      <c r="S66"/>
      <c r="T66"/>
      <c r="U66"/>
      <c r="V66"/>
      <c r="W66"/>
      <c r="X66"/>
      <c r="Y66"/>
      <c r="Z66"/>
      <c r="AA66"/>
    </row>
    <row r="67" spans="1:27" s="2" customFormat="1" ht="12.75" customHeight="1" x14ac:dyDescent="0.15">
      <c r="A67"/>
      <c r="B67"/>
      <c r="C67"/>
      <c r="D67"/>
      <c r="E67"/>
      <c r="F67"/>
      <c r="G67"/>
      <c r="H67"/>
      <c r="I67"/>
      <c r="J67"/>
      <c r="K67"/>
      <c r="L67"/>
      <c r="M67"/>
      <c r="N67"/>
      <c r="O67"/>
      <c r="P67"/>
      <c r="Q67"/>
      <c r="R67"/>
      <c r="S67"/>
      <c r="T67"/>
      <c r="U67"/>
      <c r="V67"/>
      <c r="W67"/>
      <c r="X67"/>
      <c r="Y67"/>
      <c r="Z67"/>
      <c r="AA67"/>
    </row>
    <row r="68" spans="1:27" s="2" customFormat="1" ht="12.75" customHeight="1" x14ac:dyDescent="0.15">
      <c r="A68"/>
      <c r="B68"/>
      <c r="C68"/>
      <c r="D68"/>
      <c r="E68"/>
      <c r="F68"/>
      <c r="G68"/>
      <c r="H68"/>
      <c r="I68"/>
      <c r="J68"/>
      <c r="K68"/>
      <c r="L68"/>
      <c r="M68"/>
      <c r="N68"/>
      <c r="O68"/>
      <c r="P68"/>
      <c r="Q68"/>
      <c r="R68"/>
      <c r="S68"/>
      <c r="T68"/>
      <c r="U68"/>
      <c r="V68"/>
      <c r="W68"/>
      <c r="X68"/>
      <c r="Y68"/>
      <c r="Z68"/>
      <c r="AA68"/>
    </row>
    <row r="69" spans="1:27" s="2" customFormat="1" ht="12.75" customHeight="1" x14ac:dyDescent="0.15">
      <c r="A69"/>
      <c r="B69"/>
      <c r="C69"/>
      <c r="D69"/>
      <c r="E69"/>
      <c r="F69"/>
      <c r="G69"/>
      <c r="H69"/>
      <c r="I69"/>
      <c r="J69"/>
      <c r="K69"/>
      <c r="L69"/>
      <c r="M69"/>
      <c r="N69"/>
      <c r="O69"/>
      <c r="P69"/>
      <c r="Q69"/>
      <c r="R69"/>
      <c r="S69"/>
      <c r="T69"/>
      <c r="U69"/>
      <c r="V69"/>
      <c r="W69"/>
      <c r="X69"/>
      <c r="Y69"/>
      <c r="Z69"/>
      <c r="AA69"/>
    </row>
    <row r="70" spans="1:27" s="2" customFormat="1" ht="12.75" customHeight="1" x14ac:dyDescent="0.15">
      <c r="A70"/>
      <c r="B70"/>
      <c r="C70"/>
      <c r="D70"/>
      <c r="E70"/>
      <c r="F70"/>
      <c r="G70"/>
      <c r="H70"/>
      <c r="I70"/>
      <c r="J70"/>
      <c r="K70"/>
      <c r="L70"/>
      <c r="M70"/>
      <c r="N70"/>
      <c r="O70"/>
      <c r="P70"/>
      <c r="Q70"/>
      <c r="R70"/>
      <c r="S70"/>
      <c r="T70"/>
      <c r="U70"/>
      <c r="V70"/>
      <c r="W70"/>
      <c r="X70"/>
      <c r="Y70"/>
      <c r="Z70"/>
      <c r="AA70"/>
    </row>
    <row r="71" spans="1:27" s="2" customFormat="1" ht="12.75" customHeight="1" x14ac:dyDescent="0.15">
      <c r="A71"/>
      <c r="B71"/>
      <c r="C71"/>
      <c r="D71"/>
      <c r="E71"/>
      <c r="F71"/>
      <c r="G71"/>
      <c r="H71"/>
      <c r="I71"/>
      <c r="J71"/>
      <c r="K71"/>
      <c r="L71"/>
      <c r="M71"/>
      <c r="N71"/>
      <c r="O71"/>
      <c r="P71"/>
      <c r="Q71"/>
      <c r="R71"/>
      <c r="S71"/>
      <c r="T71"/>
      <c r="U71"/>
      <c r="V71"/>
      <c r="W71"/>
      <c r="X71"/>
      <c r="Y71"/>
      <c r="Z71"/>
      <c r="AA71"/>
    </row>
    <row r="72" spans="1:27" s="2" customFormat="1" ht="12.75" customHeight="1" x14ac:dyDescent="0.15">
      <c r="A72"/>
      <c r="B72"/>
      <c r="C72"/>
      <c r="D72"/>
      <c r="E72"/>
      <c r="F72"/>
      <c r="G72"/>
      <c r="H72"/>
      <c r="I72"/>
      <c r="J72"/>
      <c r="K72"/>
      <c r="L72"/>
      <c r="M72"/>
      <c r="N72"/>
      <c r="O72"/>
      <c r="P72"/>
      <c r="Q72"/>
      <c r="R72"/>
      <c r="S72"/>
      <c r="T72"/>
      <c r="U72"/>
      <c r="V72"/>
      <c r="W72"/>
      <c r="X72"/>
      <c r="Y72"/>
      <c r="Z72"/>
      <c r="AA72"/>
    </row>
    <row r="73" spans="1:27" s="2" customFormat="1" ht="12.75" customHeight="1" x14ac:dyDescent="0.15">
      <c r="A73"/>
      <c r="B73"/>
      <c r="C73"/>
      <c r="D73"/>
      <c r="E73"/>
      <c r="F73"/>
      <c r="G73"/>
      <c r="H73"/>
      <c r="I73"/>
      <c r="J73"/>
      <c r="K73"/>
      <c r="L73"/>
      <c r="M73"/>
      <c r="N73"/>
      <c r="O73"/>
      <c r="P73"/>
      <c r="Q73"/>
      <c r="R73"/>
      <c r="S73"/>
      <c r="T73"/>
      <c r="U73"/>
      <c r="V73"/>
      <c r="W73"/>
      <c r="X73"/>
      <c r="Y73"/>
      <c r="Z73"/>
      <c r="AA73"/>
    </row>
    <row r="74" spans="1:27" s="2" customFormat="1" ht="12.75" customHeight="1" x14ac:dyDescent="0.15">
      <c r="A74"/>
      <c r="B74"/>
      <c r="C74"/>
      <c r="D74"/>
      <c r="E74"/>
      <c r="F74"/>
      <c r="G74"/>
      <c r="H74"/>
      <c r="I74"/>
      <c r="J74"/>
      <c r="K74"/>
      <c r="L74"/>
      <c r="M74"/>
      <c r="N74"/>
      <c r="O74"/>
      <c r="P74"/>
      <c r="Q74"/>
      <c r="R74"/>
      <c r="S74"/>
      <c r="T74"/>
      <c r="U74"/>
      <c r="V74"/>
      <c r="W74"/>
      <c r="X74"/>
      <c r="Y74"/>
      <c r="Z74"/>
      <c r="AA74"/>
    </row>
    <row r="75" spans="1:27" s="2" customFormat="1" ht="12.75" customHeight="1" x14ac:dyDescent="0.15">
      <c r="A75"/>
      <c r="B75"/>
      <c r="C75"/>
      <c r="D75"/>
      <c r="E75"/>
      <c r="F75"/>
      <c r="G75"/>
      <c r="H75"/>
      <c r="I75"/>
      <c r="J75"/>
      <c r="K75"/>
      <c r="L75"/>
      <c r="M75"/>
      <c r="N75"/>
      <c r="O75"/>
      <c r="P75"/>
      <c r="Q75"/>
      <c r="R75"/>
      <c r="S75"/>
      <c r="T75"/>
      <c r="U75"/>
      <c r="V75"/>
      <c r="W75"/>
      <c r="X75"/>
      <c r="Y75"/>
      <c r="Z75"/>
      <c r="AA75"/>
    </row>
    <row r="76" spans="1:27" s="2" customFormat="1" ht="12.75" customHeight="1" x14ac:dyDescent="0.15">
      <c r="A76"/>
      <c r="B76"/>
      <c r="C76"/>
      <c r="D76"/>
      <c r="E76"/>
      <c r="F76"/>
      <c r="G76"/>
      <c r="H76"/>
      <c r="I76"/>
      <c r="J76"/>
      <c r="K76"/>
      <c r="L76"/>
      <c r="M76"/>
      <c r="N76"/>
      <c r="O76"/>
      <c r="P76"/>
      <c r="Q76"/>
      <c r="R76"/>
      <c r="S76"/>
      <c r="T76"/>
      <c r="U76"/>
      <c r="V76"/>
      <c r="W76"/>
      <c r="X76"/>
      <c r="Y76"/>
      <c r="Z76"/>
      <c r="AA76"/>
    </row>
    <row r="77" spans="1:27" s="2" customFormat="1" ht="12.75" customHeight="1" x14ac:dyDescent="0.15">
      <c r="A77"/>
      <c r="B77"/>
      <c r="C77"/>
      <c r="D77"/>
      <c r="E77"/>
      <c r="F77"/>
      <c r="G77"/>
      <c r="H77"/>
      <c r="I77"/>
      <c r="J77"/>
      <c r="K77"/>
      <c r="L77"/>
      <c r="M77"/>
      <c r="N77"/>
      <c r="O77"/>
      <c r="P77"/>
      <c r="Q77"/>
      <c r="R77"/>
      <c r="S77"/>
      <c r="T77"/>
      <c r="U77"/>
      <c r="V77"/>
      <c r="W77"/>
      <c r="X77"/>
      <c r="Y77"/>
      <c r="Z77"/>
      <c r="AA77"/>
    </row>
    <row r="78" spans="1:27" s="2" customFormat="1" ht="12.75" customHeight="1" x14ac:dyDescent="0.15">
      <c r="A78"/>
      <c r="B78"/>
      <c r="C78"/>
      <c r="D78"/>
      <c r="E78"/>
      <c r="F78"/>
      <c r="G78"/>
      <c r="H78"/>
      <c r="I78"/>
      <c r="J78"/>
      <c r="K78"/>
      <c r="L78"/>
      <c r="M78"/>
      <c r="N78"/>
      <c r="O78"/>
      <c r="P78"/>
      <c r="Q78"/>
      <c r="R78"/>
      <c r="S78"/>
      <c r="T78"/>
      <c r="U78"/>
      <c r="V78"/>
      <c r="W78"/>
      <c r="X78"/>
      <c r="Y78"/>
      <c r="Z78"/>
      <c r="AA78"/>
    </row>
    <row r="79" spans="1:27" s="2" customFormat="1" ht="12.75" customHeight="1" x14ac:dyDescent="0.15">
      <c r="A79"/>
      <c r="B79"/>
      <c r="C79"/>
      <c r="D79"/>
      <c r="E79"/>
      <c r="F79"/>
      <c r="G79"/>
      <c r="H79"/>
      <c r="I79"/>
      <c r="J79"/>
      <c r="K79"/>
      <c r="L79"/>
      <c r="M79"/>
      <c r="N79"/>
      <c r="O79"/>
      <c r="P79"/>
      <c r="Q79"/>
      <c r="R79"/>
      <c r="S79"/>
      <c r="T79"/>
      <c r="U79"/>
      <c r="V79"/>
      <c r="W79"/>
      <c r="X79"/>
      <c r="Y79"/>
      <c r="Z79"/>
      <c r="AA79"/>
    </row>
    <row r="80" spans="1:27" s="2" customFormat="1" ht="12.75" customHeight="1" x14ac:dyDescent="0.15">
      <c r="A80"/>
      <c r="B80"/>
      <c r="C80"/>
      <c r="D80"/>
      <c r="E80"/>
      <c r="F80"/>
      <c r="G80"/>
      <c r="H80"/>
      <c r="I80"/>
      <c r="J80"/>
      <c r="K80"/>
      <c r="L80"/>
      <c r="M80"/>
      <c r="N80"/>
      <c r="O80"/>
      <c r="P80"/>
      <c r="Q80"/>
      <c r="R80"/>
      <c r="S80"/>
      <c r="T80"/>
      <c r="U80"/>
      <c r="V80"/>
      <c r="W80"/>
      <c r="X80"/>
      <c r="Y80"/>
      <c r="Z80"/>
      <c r="AA80"/>
    </row>
    <row r="81" spans="1:27" s="2" customFormat="1" ht="12.75" customHeight="1" x14ac:dyDescent="0.15">
      <c r="A81"/>
      <c r="B81"/>
      <c r="C81"/>
      <c r="D81"/>
      <c r="E81"/>
      <c r="F81"/>
      <c r="G81"/>
      <c r="H81"/>
      <c r="I81"/>
      <c r="J81"/>
      <c r="K81"/>
      <c r="L81"/>
      <c r="M81"/>
      <c r="N81"/>
      <c r="O81"/>
      <c r="P81"/>
      <c r="Q81"/>
      <c r="R81"/>
      <c r="S81"/>
      <c r="T81"/>
      <c r="U81"/>
      <c r="V81"/>
      <c r="W81"/>
      <c r="X81"/>
      <c r="Y81"/>
      <c r="Z81"/>
      <c r="AA81"/>
    </row>
    <row r="82" spans="1:27" s="2" customFormat="1" ht="12.75" customHeight="1" x14ac:dyDescent="0.15">
      <c r="A82"/>
      <c r="B82"/>
      <c r="C82"/>
      <c r="D82"/>
      <c r="E82"/>
      <c r="F82"/>
      <c r="G82"/>
      <c r="H82"/>
      <c r="I82"/>
      <c r="J82"/>
      <c r="K82"/>
      <c r="L82"/>
      <c r="M82"/>
      <c r="N82"/>
      <c r="O82"/>
      <c r="P82"/>
      <c r="Q82"/>
      <c r="R82"/>
      <c r="S82"/>
      <c r="T82"/>
      <c r="U82"/>
      <c r="V82"/>
      <c r="W82"/>
      <c r="X82"/>
      <c r="Y82"/>
      <c r="Z82"/>
      <c r="AA82"/>
    </row>
    <row r="83" spans="1:27" s="2" customFormat="1" ht="12.75" customHeight="1" x14ac:dyDescent="0.15">
      <c r="A83"/>
      <c r="B83"/>
      <c r="C83"/>
      <c r="D83"/>
      <c r="E83"/>
      <c r="F83"/>
      <c r="G83"/>
      <c r="H83"/>
      <c r="I83"/>
      <c r="J83"/>
      <c r="K83"/>
      <c r="L83"/>
      <c r="M83"/>
      <c r="N83"/>
      <c r="O83"/>
      <c r="P83"/>
      <c r="Q83"/>
      <c r="R83"/>
      <c r="S83"/>
      <c r="T83"/>
      <c r="U83"/>
      <c r="V83"/>
      <c r="W83"/>
      <c r="X83"/>
      <c r="Y83"/>
      <c r="Z83"/>
      <c r="AA83"/>
    </row>
    <row r="84" spans="1:27" s="2" customFormat="1" ht="12.75" customHeight="1" x14ac:dyDescent="0.15">
      <c r="A84"/>
      <c r="B84"/>
      <c r="C84"/>
      <c r="D84"/>
      <c r="E84"/>
      <c r="F84"/>
      <c r="G84"/>
      <c r="H84"/>
      <c r="I84"/>
      <c r="J84"/>
      <c r="K84"/>
      <c r="L84"/>
      <c r="M84"/>
      <c r="N84"/>
      <c r="O84"/>
      <c r="P84"/>
      <c r="Q84"/>
      <c r="R84"/>
      <c r="S84"/>
      <c r="T84"/>
      <c r="U84"/>
      <c r="V84"/>
      <c r="W84"/>
      <c r="X84"/>
      <c r="Y84"/>
      <c r="Z84"/>
      <c r="AA84"/>
    </row>
    <row r="85" spans="1:27" s="2" customFormat="1" ht="12.75" customHeight="1" x14ac:dyDescent="0.15">
      <c r="A85"/>
      <c r="B85"/>
      <c r="C85"/>
      <c r="D85"/>
      <c r="E85"/>
      <c r="F85"/>
      <c r="G85"/>
      <c r="H85"/>
      <c r="I85"/>
      <c r="J85"/>
      <c r="K85"/>
      <c r="L85"/>
      <c r="M85"/>
      <c r="N85"/>
      <c r="O85"/>
      <c r="P85"/>
      <c r="Q85"/>
      <c r="R85"/>
      <c r="S85"/>
      <c r="T85"/>
      <c r="U85"/>
      <c r="V85"/>
      <c r="W85"/>
      <c r="X85"/>
      <c r="Y85"/>
      <c r="Z85"/>
      <c r="AA85"/>
    </row>
    <row r="86" spans="1:27" s="2" customFormat="1" ht="12.75" customHeight="1" x14ac:dyDescent="0.15">
      <c r="A86"/>
      <c r="B86"/>
      <c r="C86"/>
      <c r="D86"/>
      <c r="E86"/>
      <c r="F86"/>
      <c r="G86"/>
      <c r="H86"/>
      <c r="I86"/>
      <c r="J86"/>
      <c r="K86"/>
      <c r="L86"/>
      <c r="M86"/>
      <c r="N86"/>
      <c r="O86"/>
      <c r="P86"/>
      <c r="Q86"/>
      <c r="R86"/>
      <c r="S86"/>
      <c r="T86"/>
      <c r="U86"/>
      <c r="V86"/>
      <c r="W86"/>
      <c r="X86"/>
      <c r="Y86"/>
      <c r="Z86"/>
      <c r="AA86"/>
    </row>
    <row r="87" spans="1:27" s="2" customFormat="1" ht="12.75" customHeight="1" x14ac:dyDescent="0.15">
      <c r="A87"/>
      <c r="B87"/>
      <c r="C87"/>
      <c r="D87"/>
      <c r="E87"/>
      <c r="F87"/>
      <c r="G87"/>
      <c r="H87"/>
      <c r="I87"/>
      <c r="J87"/>
      <c r="K87"/>
      <c r="L87"/>
      <c r="M87"/>
      <c r="N87"/>
      <c r="O87"/>
      <c r="P87"/>
      <c r="Q87"/>
      <c r="R87"/>
      <c r="S87"/>
      <c r="T87"/>
      <c r="U87"/>
      <c r="V87"/>
      <c r="W87"/>
      <c r="X87"/>
      <c r="Y87"/>
      <c r="Z87"/>
      <c r="AA87"/>
    </row>
  </sheetData>
  <pageMargins left="0.79" right="0.79" top="1.03" bottom="1.03" header="0.79" footer="0.79"/>
  <pageSetup scale="65"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ReadMe</vt:lpstr>
      <vt:lpstr>Metadata</vt:lpstr>
      <vt:lpstr>CleanParams_All</vt:lpstr>
      <vt:lpstr>CleanParams_IndoPacific</vt:lpstr>
      <vt:lpstr>CleanParams_Belize</vt:lpstr>
      <vt:lpstr>RawParams</vt:lpstr>
      <vt:lpstr>References</vt:lpstr>
      <vt:lpstr>Raw to Clean1</vt:lpstr>
      <vt:lpstr>Raw to Clean2</vt:lpstr>
      <vt:lpstr>Raw to Clean_Belize</vt:lpstr>
      <vt:lpstr>FecundityCalcs</vt:lpstr>
      <vt:lpstr>Origianl RawParams Belize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Kiya Gornik</dc:creator>
  <cp:lastModifiedBy>Microsoft Office User</cp:lastModifiedBy>
  <dcterms:created xsi:type="dcterms:W3CDTF">2013-09-17T23:43:41Z</dcterms:created>
  <dcterms:modified xsi:type="dcterms:W3CDTF">2017-07-12T18:00:12Z</dcterms:modified>
</cp:coreProperties>
</file>