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User\Desktop\"/>
    </mc:Choice>
  </mc:AlternateContent>
  <xr:revisionPtr revIDLastSave="0" documentId="13_ncr:1_{F861319F-EA51-4FC4-A01F-8148FA4BFD6B}" xr6:coauthVersionLast="47" xr6:coauthVersionMax="47" xr10:uidLastSave="{00000000-0000-0000-0000-000000000000}"/>
  <bookViews>
    <workbookView xWindow="-120" yWindow="-120" windowWidth="20730" windowHeight="11160" tabRatio="851" activeTab="2" xr2:uid="{46FE0F6B-DB83-40BF-BD13-18DCF5147D72}"/>
  </bookViews>
  <sheets>
    <sheet name="Dashboard" sheetId="8" r:id="rId1"/>
    <sheet name="Custo de investimento" sheetId="1" r:id="rId2"/>
    <sheet name="Custos Fixos" sheetId="3" r:id="rId3"/>
    <sheet name="Custos Mao de obra" sheetId="4" r:id="rId4"/>
    <sheet name="Outros Custos" sheetId="7" r:id="rId5"/>
    <sheet name="Cotação Materia Prima" sheetId="15" r:id="rId6"/>
    <sheet name="Fralda M - FM-003-M" sheetId="9" r:id="rId7"/>
    <sheet name="Fralda G - FM-002-G" sheetId="10" r:id="rId8"/>
    <sheet name="Fralda EG - FM-001-EG" sheetId="11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7" l="1"/>
  <c r="N10" i="7"/>
  <c r="N11" i="7"/>
  <c r="N12" i="7"/>
  <c r="L22" i="9"/>
  <c r="H10" i="9"/>
  <c r="R101" i="15"/>
  <c r="R102" i="15"/>
  <c r="R103" i="15"/>
  <c r="R104" i="15"/>
  <c r="R105" i="15"/>
  <c r="R106" i="15"/>
  <c r="R107" i="15"/>
  <c r="R108" i="15"/>
  <c r="R109" i="15"/>
  <c r="R110" i="15"/>
  <c r="R111" i="15"/>
  <c r="R112" i="15"/>
  <c r="R113" i="15"/>
  <c r="R114" i="15"/>
  <c r="R115" i="15"/>
  <c r="R116" i="15"/>
  <c r="R117" i="15"/>
  <c r="R118" i="15"/>
  <c r="R119" i="15"/>
  <c r="R120" i="15"/>
  <c r="R121" i="15"/>
  <c r="R122" i="15"/>
  <c r="R100" i="15"/>
  <c r="S100" i="15"/>
  <c r="L21" i="11"/>
  <c r="L21" i="10"/>
  <c r="J29" i="4"/>
  <c r="J32" i="4" s="1"/>
  <c r="J31" i="4"/>
  <c r="P26" i="4"/>
  <c r="N21" i="11"/>
  <c r="N21" i="10"/>
  <c r="N21" i="9"/>
  <c r="N16" i="11"/>
  <c r="N16" i="10"/>
  <c r="N16" i="9"/>
  <c r="N26" i="11"/>
  <c r="N25" i="11"/>
  <c r="N24" i="11"/>
  <c r="N23" i="11"/>
  <c r="N22" i="11"/>
  <c r="N20" i="11"/>
  <c r="N19" i="11"/>
  <c r="N18" i="11"/>
  <c r="N17" i="11"/>
  <c r="N15" i="11"/>
  <c r="N14" i="11"/>
  <c r="N13" i="11"/>
  <c r="N26" i="9"/>
  <c r="N25" i="9"/>
  <c r="N24" i="9"/>
  <c r="N23" i="9"/>
  <c r="N22" i="9"/>
  <c r="N20" i="9"/>
  <c r="N19" i="9"/>
  <c r="N18" i="9"/>
  <c r="N17" i="9"/>
  <c r="N15" i="9"/>
  <c r="N14" i="9"/>
  <c r="N13" i="9"/>
  <c r="N26" i="10"/>
  <c r="N25" i="10"/>
  <c r="N24" i="10"/>
  <c r="N23" i="10"/>
  <c r="N22" i="10"/>
  <c r="N20" i="10"/>
  <c r="N19" i="10"/>
  <c r="N18" i="10"/>
  <c r="N17" i="10"/>
  <c r="N15" i="10"/>
  <c r="N14" i="10"/>
  <c r="N13" i="10"/>
  <c r="A98" i="15"/>
  <c r="A67" i="15"/>
  <c r="A38" i="15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22" i="8"/>
  <c r="O6" i="8"/>
  <c r="O7" i="8"/>
  <c r="O8" i="8"/>
  <c r="A7" i="11" l="1"/>
  <c r="A7" i="10"/>
  <c r="A7" i="9"/>
  <c r="D7" i="11"/>
  <c r="D7" i="10"/>
  <c r="D7" i="9"/>
  <c r="Z70" i="15"/>
  <c r="Z71" i="15"/>
  <c r="Z72" i="15"/>
  <c r="Z73" i="15"/>
  <c r="Z74" i="15"/>
  <c r="Z75" i="15"/>
  <c r="Z76" i="15"/>
  <c r="Z77" i="15"/>
  <c r="Z78" i="15"/>
  <c r="Z79" i="15"/>
  <c r="Z80" i="15"/>
  <c r="Z81" i="15"/>
  <c r="Z82" i="15"/>
  <c r="Z83" i="15"/>
  <c r="Z84" i="15"/>
  <c r="Z85" i="15"/>
  <c r="Z86" i="15"/>
  <c r="Z87" i="15"/>
  <c r="Z88" i="15"/>
  <c r="Z89" i="15"/>
  <c r="Z90" i="15"/>
  <c r="Z91" i="15"/>
  <c r="Z92" i="15"/>
  <c r="Z93" i="15"/>
  <c r="Y70" i="15"/>
  <c r="Y71" i="15"/>
  <c r="Y72" i="15"/>
  <c r="Y73" i="15"/>
  <c r="Y74" i="15"/>
  <c r="Y75" i="15"/>
  <c r="Y76" i="15"/>
  <c r="Y77" i="15"/>
  <c r="Y78" i="15"/>
  <c r="Y79" i="15"/>
  <c r="Y80" i="15"/>
  <c r="Y81" i="15"/>
  <c r="Y82" i="15"/>
  <c r="Y83" i="15"/>
  <c r="Y84" i="15"/>
  <c r="Y85" i="15"/>
  <c r="Y86" i="15"/>
  <c r="Y87" i="15"/>
  <c r="Y88" i="15"/>
  <c r="Y89" i="15"/>
  <c r="Y90" i="15"/>
  <c r="Y91" i="15"/>
  <c r="Y92" i="15"/>
  <c r="Y93" i="15"/>
  <c r="X70" i="15"/>
  <c r="X71" i="15"/>
  <c r="X72" i="15"/>
  <c r="X73" i="15"/>
  <c r="X74" i="15"/>
  <c r="X75" i="15"/>
  <c r="X76" i="15"/>
  <c r="X77" i="15"/>
  <c r="X78" i="15"/>
  <c r="X79" i="15"/>
  <c r="X80" i="15"/>
  <c r="X81" i="15"/>
  <c r="X82" i="15"/>
  <c r="X83" i="15"/>
  <c r="X84" i="15"/>
  <c r="X85" i="15"/>
  <c r="X86" i="15"/>
  <c r="X87" i="15"/>
  <c r="X88" i="15"/>
  <c r="X89" i="15"/>
  <c r="X90" i="15"/>
  <c r="X91" i="15"/>
  <c r="X92" i="15"/>
  <c r="X93" i="15"/>
  <c r="W70" i="15"/>
  <c r="W71" i="15"/>
  <c r="W72" i="15"/>
  <c r="W73" i="15"/>
  <c r="W74" i="15"/>
  <c r="W75" i="15"/>
  <c r="W76" i="15"/>
  <c r="W77" i="15"/>
  <c r="W78" i="15"/>
  <c r="W79" i="15"/>
  <c r="W80" i="15"/>
  <c r="W81" i="15"/>
  <c r="W82" i="15"/>
  <c r="W83" i="15"/>
  <c r="W84" i="15"/>
  <c r="W85" i="15"/>
  <c r="W86" i="15"/>
  <c r="W87" i="15"/>
  <c r="W88" i="15"/>
  <c r="W89" i="15"/>
  <c r="W90" i="15"/>
  <c r="W91" i="15"/>
  <c r="W92" i="15"/>
  <c r="W93" i="15"/>
  <c r="V70" i="15"/>
  <c r="AA70" i="15" s="1"/>
  <c r="V71" i="15"/>
  <c r="AA71" i="15" s="1"/>
  <c r="V72" i="15"/>
  <c r="AA72" i="15" s="1"/>
  <c r="V73" i="15"/>
  <c r="AA73" i="15" s="1"/>
  <c r="V74" i="15"/>
  <c r="AA74" i="15" s="1"/>
  <c r="V75" i="15"/>
  <c r="AA75" i="15" s="1"/>
  <c r="V76" i="15"/>
  <c r="AA76" i="15" s="1"/>
  <c r="V77" i="15"/>
  <c r="AA77" i="15" s="1"/>
  <c r="V78" i="15"/>
  <c r="AA78" i="15" s="1"/>
  <c r="V79" i="15"/>
  <c r="AA79" i="15" s="1"/>
  <c r="V80" i="15"/>
  <c r="AA80" i="15" s="1"/>
  <c r="V81" i="15"/>
  <c r="AA81" i="15" s="1"/>
  <c r="V82" i="15"/>
  <c r="AA82" i="15" s="1"/>
  <c r="V83" i="15"/>
  <c r="AA83" i="15" s="1"/>
  <c r="V84" i="15"/>
  <c r="AA84" i="15" s="1"/>
  <c r="V85" i="15"/>
  <c r="AA85" i="15" s="1"/>
  <c r="V86" i="15"/>
  <c r="AA86" i="15" s="1"/>
  <c r="V87" i="15"/>
  <c r="AA87" i="15" s="1"/>
  <c r="V88" i="15"/>
  <c r="AA88" i="15" s="1"/>
  <c r="V89" i="15"/>
  <c r="AA89" i="15" s="1"/>
  <c r="V90" i="15"/>
  <c r="AA90" i="15" s="1"/>
  <c r="V91" i="15"/>
  <c r="AA91" i="15" s="1"/>
  <c r="V92" i="15"/>
  <c r="AA92" i="15" s="1"/>
  <c r="V93" i="15"/>
  <c r="AA93" i="15" s="1"/>
  <c r="Z41" i="15"/>
  <c r="Z42" i="15"/>
  <c r="Z43" i="15"/>
  <c r="Z44" i="15"/>
  <c r="Z45" i="15"/>
  <c r="Z46" i="15"/>
  <c r="Z47" i="15"/>
  <c r="Z48" i="15"/>
  <c r="Z49" i="15"/>
  <c r="Z50" i="15"/>
  <c r="Z51" i="15"/>
  <c r="Z52" i="15"/>
  <c r="Z53" i="15"/>
  <c r="Z54" i="15"/>
  <c r="Z55" i="15"/>
  <c r="Z56" i="15"/>
  <c r="Z57" i="15"/>
  <c r="Z58" i="15"/>
  <c r="Z59" i="15"/>
  <c r="Z60" i="15"/>
  <c r="Z61" i="15"/>
  <c r="Z62" i="15"/>
  <c r="Z63" i="15"/>
  <c r="Z64" i="15"/>
  <c r="Y41" i="15"/>
  <c r="Y42" i="15"/>
  <c r="Y43" i="15"/>
  <c r="Y44" i="15"/>
  <c r="Y45" i="15"/>
  <c r="Y46" i="15"/>
  <c r="Y47" i="15"/>
  <c r="Y48" i="15"/>
  <c r="Y49" i="15"/>
  <c r="Y50" i="15"/>
  <c r="Y51" i="15"/>
  <c r="Y52" i="15"/>
  <c r="Y53" i="15"/>
  <c r="Y54" i="15"/>
  <c r="Y55" i="15"/>
  <c r="Y56" i="15"/>
  <c r="Y57" i="15"/>
  <c r="Y58" i="15"/>
  <c r="Y59" i="15"/>
  <c r="Y60" i="15"/>
  <c r="Y61" i="15"/>
  <c r="Y62" i="15"/>
  <c r="Y63" i="15"/>
  <c r="Y64" i="15"/>
  <c r="X41" i="15"/>
  <c r="X42" i="15"/>
  <c r="X43" i="15"/>
  <c r="X44" i="15"/>
  <c r="X45" i="15"/>
  <c r="X46" i="15"/>
  <c r="X47" i="15"/>
  <c r="X48" i="15"/>
  <c r="X49" i="15"/>
  <c r="X50" i="15"/>
  <c r="X51" i="15"/>
  <c r="X52" i="15"/>
  <c r="X53" i="15"/>
  <c r="X54" i="15"/>
  <c r="X55" i="15"/>
  <c r="X56" i="15"/>
  <c r="X57" i="15"/>
  <c r="X58" i="15"/>
  <c r="X59" i="15"/>
  <c r="X60" i="15"/>
  <c r="X61" i="15"/>
  <c r="X62" i="15"/>
  <c r="X63" i="15"/>
  <c r="X64" i="15"/>
  <c r="W41" i="15"/>
  <c r="W42" i="15"/>
  <c r="W43" i="15"/>
  <c r="W44" i="15"/>
  <c r="W45" i="15"/>
  <c r="W46" i="15"/>
  <c r="W47" i="15"/>
  <c r="W48" i="15"/>
  <c r="W49" i="15"/>
  <c r="W50" i="15"/>
  <c r="W51" i="15"/>
  <c r="W52" i="15"/>
  <c r="W53" i="15"/>
  <c r="W54" i="15"/>
  <c r="W55" i="15"/>
  <c r="W56" i="15"/>
  <c r="W57" i="15"/>
  <c r="W58" i="15"/>
  <c r="W59" i="15"/>
  <c r="W60" i="15"/>
  <c r="W61" i="15"/>
  <c r="W62" i="15"/>
  <c r="W63" i="15"/>
  <c r="W64" i="15"/>
  <c r="V47" i="15"/>
  <c r="V48" i="15"/>
  <c r="AA48" i="15" s="1"/>
  <c r="V50" i="15"/>
  <c r="AA50" i="15" s="1"/>
  <c r="V51" i="15"/>
  <c r="V52" i="15"/>
  <c r="AA52" i="15" s="1"/>
  <c r="V53" i="15"/>
  <c r="AA53" i="15" s="1"/>
  <c r="V54" i="15"/>
  <c r="AA54" i="15" s="1"/>
  <c r="V55" i="15"/>
  <c r="V58" i="15"/>
  <c r="AA58" i="15" s="1"/>
  <c r="V59" i="15"/>
  <c r="AA59" i="15" s="1"/>
  <c r="V60" i="15"/>
  <c r="AA60" i="15" s="1"/>
  <c r="V61" i="15"/>
  <c r="AA61" i="15" s="1"/>
  <c r="V62" i="15"/>
  <c r="AA62" i="15" s="1"/>
  <c r="V63" i="15"/>
  <c r="AA63" i="15" s="1"/>
  <c r="V64" i="15"/>
  <c r="AA64" i="15" s="1"/>
  <c r="AG12" i="15"/>
  <c r="AG13" i="15"/>
  <c r="AG14" i="15"/>
  <c r="AG15" i="15"/>
  <c r="AG16" i="15"/>
  <c r="AG17" i="15"/>
  <c r="AG18" i="15"/>
  <c r="AG19" i="15"/>
  <c r="AG20" i="15"/>
  <c r="AG21" i="15"/>
  <c r="AG22" i="15"/>
  <c r="AG23" i="15"/>
  <c r="AG24" i="15"/>
  <c r="AG25" i="15"/>
  <c r="AG26" i="15"/>
  <c r="AG27" i="15"/>
  <c r="AG28" i="15"/>
  <c r="AG29" i="15"/>
  <c r="AG30" i="15"/>
  <c r="AG31" i="15"/>
  <c r="AG32" i="15"/>
  <c r="AG33" i="15"/>
  <c r="AG34" i="15"/>
  <c r="AG35" i="15"/>
  <c r="AF12" i="15"/>
  <c r="AF13" i="15"/>
  <c r="AF14" i="15"/>
  <c r="AF15" i="15"/>
  <c r="AF16" i="15"/>
  <c r="AF17" i="15"/>
  <c r="AF18" i="15"/>
  <c r="AF19" i="15"/>
  <c r="AF20" i="15"/>
  <c r="AF21" i="15"/>
  <c r="AF22" i="15"/>
  <c r="AF23" i="15"/>
  <c r="AF24" i="15"/>
  <c r="AF25" i="15"/>
  <c r="AF26" i="15"/>
  <c r="AF27" i="15"/>
  <c r="AF28" i="15"/>
  <c r="AF29" i="15"/>
  <c r="AF30" i="15"/>
  <c r="AF31" i="15"/>
  <c r="AF32" i="15"/>
  <c r="AF33" i="15"/>
  <c r="AF34" i="15"/>
  <c r="AF35" i="15"/>
  <c r="AE12" i="15"/>
  <c r="AE13" i="15"/>
  <c r="AE14" i="15"/>
  <c r="AE15" i="15"/>
  <c r="AE16" i="15"/>
  <c r="AE17" i="15"/>
  <c r="AE18" i="15"/>
  <c r="AE19" i="15"/>
  <c r="AE20" i="15"/>
  <c r="AE21" i="15"/>
  <c r="AE22" i="15"/>
  <c r="AE23" i="15"/>
  <c r="AE24" i="15"/>
  <c r="AE25" i="15"/>
  <c r="AE26" i="15"/>
  <c r="AE27" i="15"/>
  <c r="AE28" i="15"/>
  <c r="AE29" i="15"/>
  <c r="AE30" i="15"/>
  <c r="AE31" i="15"/>
  <c r="AE32" i="15"/>
  <c r="AE33" i="15"/>
  <c r="AE34" i="15"/>
  <c r="AE35" i="15"/>
  <c r="AD12" i="15"/>
  <c r="AD13" i="15"/>
  <c r="AD14" i="15"/>
  <c r="AD15" i="15"/>
  <c r="AD16" i="15"/>
  <c r="AD17" i="15"/>
  <c r="AD18" i="15"/>
  <c r="AD19" i="15"/>
  <c r="AD20" i="15"/>
  <c r="AD21" i="15"/>
  <c r="AD22" i="15"/>
  <c r="AD23" i="15"/>
  <c r="AD24" i="15"/>
  <c r="AD25" i="15"/>
  <c r="AD26" i="15"/>
  <c r="AD27" i="15"/>
  <c r="AD28" i="15"/>
  <c r="AD29" i="15"/>
  <c r="AD30" i="15"/>
  <c r="AD31" i="15"/>
  <c r="AD32" i="15"/>
  <c r="AD33" i="15"/>
  <c r="AD34" i="15"/>
  <c r="AD35" i="15"/>
  <c r="AC12" i="15"/>
  <c r="AH12" i="15" s="1"/>
  <c r="AC13" i="15"/>
  <c r="AH13" i="15" s="1"/>
  <c r="AC14" i="15"/>
  <c r="AH14" i="15" s="1"/>
  <c r="AC15" i="15"/>
  <c r="AH15" i="15" s="1"/>
  <c r="AC16" i="15"/>
  <c r="AH16" i="15" s="1"/>
  <c r="AC17" i="15"/>
  <c r="AH17" i="15" s="1"/>
  <c r="AC18" i="15"/>
  <c r="AH18" i="15" s="1"/>
  <c r="AC19" i="15"/>
  <c r="AH19" i="15" s="1"/>
  <c r="AC20" i="15"/>
  <c r="AH20" i="15" s="1"/>
  <c r="AC21" i="15"/>
  <c r="AH21" i="15" s="1"/>
  <c r="AC22" i="15"/>
  <c r="AH22" i="15" s="1"/>
  <c r="AC23" i="15"/>
  <c r="AH23" i="15" s="1"/>
  <c r="AC24" i="15"/>
  <c r="AH24" i="15" s="1"/>
  <c r="AC25" i="15"/>
  <c r="AH25" i="15" s="1"/>
  <c r="AC26" i="15"/>
  <c r="AH26" i="15" s="1"/>
  <c r="AC27" i="15"/>
  <c r="AH27" i="15" s="1"/>
  <c r="AC28" i="15"/>
  <c r="AH28" i="15" s="1"/>
  <c r="AC29" i="15"/>
  <c r="AH29" i="15" s="1"/>
  <c r="AC30" i="15"/>
  <c r="AH30" i="15" s="1"/>
  <c r="AC31" i="15"/>
  <c r="AH31" i="15" s="1"/>
  <c r="AC32" i="15"/>
  <c r="AH32" i="15" s="1"/>
  <c r="AC33" i="15"/>
  <c r="AH33" i="15" s="1"/>
  <c r="AC34" i="15"/>
  <c r="AH34" i="15" s="1"/>
  <c r="AC35" i="15"/>
  <c r="AH35" i="15" s="1"/>
  <c r="Z12" i="15"/>
  <c r="Z13" i="15"/>
  <c r="Z14" i="15"/>
  <c r="Z15" i="15"/>
  <c r="Z16" i="15"/>
  <c r="Z17" i="15"/>
  <c r="Z19" i="15"/>
  <c r="Z20" i="15"/>
  <c r="Z21" i="15"/>
  <c r="Z22" i="15"/>
  <c r="Z23" i="15"/>
  <c r="Z24" i="15"/>
  <c r="Z25" i="15"/>
  <c r="Z26" i="15"/>
  <c r="Z27" i="15"/>
  <c r="Z28" i="15"/>
  <c r="Z29" i="15"/>
  <c r="Z30" i="15"/>
  <c r="Z31" i="15"/>
  <c r="Z32" i="15"/>
  <c r="Z33" i="15"/>
  <c r="Z34" i="15"/>
  <c r="Z35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Y24" i="15"/>
  <c r="Y25" i="15"/>
  <c r="Y26" i="15"/>
  <c r="Y27" i="15"/>
  <c r="Y28" i="15"/>
  <c r="Y29" i="15"/>
  <c r="Y30" i="15"/>
  <c r="Y31" i="15"/>
  <c r="Y32" i="15"/>
  <c r="Y33" i="15"/>
  <c r="Y34" i="15"/>
  <c r="Y35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X24" i="15"/>
  <c r="X25" i="15"/>
  <c r="X26" i="15"/>
  <c r="X27" i="15"/>
  <c r="X28" i="15"/>
  <c r="X29" i="15"/>
  <c r="X30" i="15"/>
  <c r="X31" i="15"/>
  <c r="X32" i="15"/>
  <c r="X33" i="15"/>
  <c r="X34" i="15"/>
  <c r="X35" i="15"/>
  <c r="W12" i="15"/>
  <c r="W13" i="15"/>
  <c r="W14" i="15"/>
  <c r="W15" i="15"/>
  <c r="W16" i="15"/>
  <c r="W17" i="15"/>
  <c r="W18" i="15"/>
  <c r="W19" i="15"/>
  <c r="W20" i="15"/>
  <c r="W21" i="15"/>
  <c r="W22" i="15"/>
  <c r="W23" i="15"/>
  <c r="W24" i="15"/>
  <c r="W25" i="15"/>
  <c r="W26" i="15"/>
  <c r="W27" i="15"/>
  <c r="W28" i="15"/>
  <c r="W29" i="15"/>
  <c r="W30" i="15"/>
  <c r="W31" i="15"/>
  <c r="W32" i="15"/>
  <c r="W33" i="15"/>
  <c r="W34" i="15"/>
  <c r="W35" i="15"/>
  <c r="V18" i="15"/>
  <c r="V19" i="15"/>
  <c r="V29" i="15"/>
  <c r="AA29" i="15" s="1"/>
  <c r="V30" i="15"/>
  <c r="V31" i="15"/>
  <c r="AA31" i="15" s="1"/>
  <c r="V32" i="15"/>
  <c r="AA32" i="15" s="1"/>
  <c r="V33" i="15"/>
  <c r="AA33" i="15" s="1"/>
  <c r="V34" i="15"/>
  <c r="V35" i="15"/>
  <c r="AA35" i="15" s="1"/>
  <c r="S29" i="15"/>
  <c r="F41" i="15"/>
  <c r="V41" i="15" s="1"/>
  <c r="AA41" i="15" s="1"/>
  <c r="F42" i="15"/>
  <c r="V42" i="15" s="1"/>
  <c r="AA42" i="15" s="1"/>
  <c r="F43" i="15"/>
  <c r="V43" i="15" s="1"/>
  <c r="AA43" i="15" s="1"/>
  <c r="F44" i="15"/>
  <c r="V44" i="15" s="1"/>
  <c r="AA44" i="15" s="1"/>
  <c r="F45" i="15"/>
  <c r="V45" i="15" s="1"/>
  <c r="AA45" i="15" s="1"/>
  <c r="F46" i="15"/>
  <c r="V46" i="15" s="1"/>
  <c r="AA46" i="15" s="1"/>
  <c r="F47" i="15"/>
  <c r="Z18" i="15" s="1"/>
  <c r="F48" i="15"/>
  <c r="F49" i="15"/>
  <c r="V49" i="15" s="1"/>
  <c r="AA49" i="15" s="1"/>
  <c r="F50" i="15"/>
  <c r="V21" i="15" s="1"/>
  <c r="AA21" i="15" s="1"/>
  <c r="F51" i="15"/>
  <c r="V22" i="15" s="1"/>
  <c r="AA22" i="15" s="1"/>
  <c r="F52" i="15"/>
  <c r="V23" i="15" s="1"/>
  <c r="AA23" i="15" s="1"/>
  <c r="F53" i="15"/>
  <c r="V24" i="15" s="1"/>
  <c r="AA24" i="15" s="1"/>
  <c r="F54" i="15"/>
  <c r="V25" i="15" s="1"/>
  <c r="AA25" i="15" s="1"/>
  <c r="F55" i="15"/>
  <c r="V26" i="15" s="1"/>
  <c r="AA26" i="15" s="1"/>
  <c r="F56" i="15"/>
  <c r="V56" i="15" s="1"/>
  <c r="AA56" i="15" s="1"/>
  <c r="F57" i="15"/>
  <c r="V28" i="15" s="1"/>
  <c r="AA28" i="15" s="1"/>
  <c r="F58" i="15"/>
  <c r="F59" i="15"/>
  <c r="F60" i="15"/>
  <c r="F61" i="15"/>
  <c r="F62" i="15"/>
  <c r="F63" i="15"/>
  <c r="F64" i="15"/>
  <c r="F40" i="15"/>
  <c r="V11" i="15" s="1"/>
  <c r="AA19" i="15" l="1"/>
  <c r="V14" i="15"/>
  <c r="AA14" i="15" s="1"/>
  <c r="AA55" i="15"/>
  <c r="AA51" i="15"/>
  <c r="AA34" i="15"/>
  <c r="AA30" i="15"/>
  <c r="AA18" i="15"/>
  <c r="AA47" i="15"/>
  <c r="V17" i="15"/>
  <c r="AA17" i="15" s="1"/>
  <c r="V13" i="15"/>
  <c r="AA13" i="15" s="1"/>
  <c r="S26" i="15"/>
  <c r="J14" i="11" s="1"/>
  <c r="V20" i="15"/>
  <c r="AA20" i="15" s="1"/>
  <c r="V16" i="15"/>
  <c r="AA16" i="15" s="1"/>
  <c r="V12" i="15"/>
  <c r="AA12" i="15" s="1"/>
  <c r="V57" i="15"/>
  <c r="AA57" i="15" s="1"/>
  <c r="V27" i="15"/>
  <c r="V15" i="15"/>
  <c r="AA15" i="15" s="1"/>
  <c r="S28" i="15"/>
  <c r="S27" i="15" l="1"/>
  <c r="S116" i="15" s="1"/>
  <c r="AA27" i="15"/>
  <c r="J26" i="11"/>
  <c r="J26" i="10"/>
  <c r="AG11" i="15"/>
  <c r="AF11" i="15"/>
  <c r="AE11" i="15"/>
  <c r="AD11" i="15"/>
  <c r="AC11" i="15"/>
  <c r="S31" i="15"/>
  <c r="S120" i="15" s="1"/>
  <c r="S32" i="15"/>
  <c r="S121" i="15" s="1"/>
  <c r="S33" i="15"/>
  <c r="S122" i="15" s="1"/>
  <c r="S34" i="15"/>
  <c r="V69" i="15"/>
  <c r="R59" i="15"/>
  <c r="S59" i="15" s="1"/>
  <c r="R61" i="15"/>
  <c r="S61" i="15" s="1"/>
  <c r="X40" i="15"/>
  <c r="Y40" i="15"/>
  <c r="R63" i="15"/>
  <c r="S63" i="15" s="1"/>
  <c r="F93" i="15"/>
  <c r="F122" i="15" s="1"/>
  <c r="F92" i="15"/>
  <c r="F121" i="15" s="1"/>
  <c r="F91" i="15"/>
  <c r="F120" i="15" s="1"/>
  <c r="B91" i="15"/>
  <c r="B120" i="15" s="1"/>
  <c r="F90" i="15"/>
  <c r="F119" i="15" s="1"/>
  <c r="F89" i="15"/>
  <c r="F118" i="15" s="1"/>
  <c r="F88" i="15"/>
  <c r="F117" i="15" s="1"/>
  <c r="F87" i="15"/>
  <c r="F116" i="15" s="1"/>
  <c r="G84" i="15"/>
  <c r="G113" i="15" s="1"/>
  <c r="F83" i="15"/>
  <c r="F112" i="15" s="1"/>
  <c r="F82" i="15"/>
  <c r="F111" i="15" s="1"/>
  <c r="G80" i="15"/>
  <c r="G109" i="15" s="1"/>
  <c r="G75" i="15"/>
  <c r="G104" i="15" s="1"/>
  <c r="G72" i="15"/>
  <c r="G101" i="15" s="1"/>
  <c r="G71" i="15"/>
  <c r="G100" i="15" s="1"/>
  <c r="F71" i="15"/>
  <c r="F100" i="15" s="1"/>
  <c r="A41" i="15"/>
  <c r="A70" i="15" s="1"/>
  <c r="A42" i="15"/>
  <c r="A71" i="15" s="1"/>
  <c r="A100" i="15" s="1"/>
  <c r="A43" i="15"/>
  <c r="A72" i="15" s="1"/>
  <c r="A101" i="15" s="1"/>
  <c r="A44" i="15"/>
  <c r="A73" i="15" s="1"/>
  <c r="A102" i="15" s="1"/>
  <c r="A45" i="15"/>
  <c r="A74" i="15" s="1"/>
  <c r="A103" i="15" s="1"/>
  <c r="A46" i="15"/>
  <c r="A75" i="15" s="1"/>
  <c r="A104" i="15" s="1"/>
  <c r="A47" i="15"/>
  <c r="A76" i="15" s="1"/>
  <c r="A105" i="15" s="1"/>
  <c r="A48" i="15"/>
  <c r="A77" i="15" s="1"/>
  <c r="A106" i="15" s="1"/>
  <c r="A49" i="15"/>
  <c r="A78" i="15" s="1"/>
  <c r="A107" i="15" s="1"/>
  <c r="A50" i="15"/>
  <c r="A79" i="15" s="1"/>
  <c r="A108" i="15" s="1"/>
  <c r="A51" i="15"/>
  <c r="A80" i="15" s="1"/>
  <c r="A109" i="15" s="1"/>
  <c r="A52" i="15"/>
  <c r="A81" i="15" s="1"/>
  <c r="A110" i="15" s="1"/>
  <c r="A53" i="15"/>
  <c r="A82" i="15" s="1"/>
  <c r="A111" i="15" s="1"/>
  <c r="A54" i="15"/>
  <c r="A83" i="15" s="1"/>
  <c r="A112" i="15" s="1"/>
  <c r="A55" i="15"/>
  <c r="A84" i="15" s="1"/>
  <c r="A113" i="15" s="1"/>
  <c r="A56" i="15"/>
  <c r="A85" i="15" s="1"/>
  <c r="A114" i="15" s="1"/>
  <c r="A57" i="15"/>
  <c r="A86" i="15" s="1"/>
  <c r="A115" i="15" s="1"/>
  <c r="A58" i="15"/>
  <c r="A87" i="15" s="1"/>
  <c r="A116" i="15" s="1"/>
  <c r="A59" i="15"/>
  <c r="A88" i="15" s="1"/>
  <c r="A117" i="15" s="1"/>
  <c r="A60" i="15"/>
  <c r="A89" i="15" s="1"/>
  <c r="A118" i="15" s="1"/>
  <c r="A61" i="15"/>
  <c r="A90" i="15" s="1"/>
  <c r="A119" i="15" s="1"/>
  <c r="A62" i="15"/>
  <c r="A91" i="15" s="1"/>
  <c r="A120" i="15" s="1"/>
  <c r="A63" i="15"/>
  <c r="A92" i="15" s="1"/>
  <c r="A121" i="15" s="1"/>
  <c r="A64" i="15"/>
  <c r="A93" i="15" s="1"/>
  <c r="A122" i="15" s="1"/>
  <c r="A40" i="15"/>
  <c r="A69" i="15" s="1"/>
  <c r="G41" i="15"/>
  <c r="G70" i="15" s="1"/>
  <c r="G42" i="15"/>
  <c r="G43" i="15"/>
  <c r="G44" i="15"/>
  <c r="G73" i="15" s="1"/>
  <c r="G102" i="15" s="1"/>
  <c r="G45" i="15"/>
  <c r="G74" i="15" s="1"/>
  <c r="G103" i="15" s="1"/>
  <c r="G46" i="15"/>
  <c r="G47" i="15"/>
  <c r="G76" i="15" s="1"/>
  <c r="G105" i="15" s="1"/>
  <c r="G48" i="15"/>
  <c r="G77" i="15" s="1"/>
  <c r="G106" i="15" s="1"/>
  <c r="G49" i="15"/>
  <c r="G78" i="15" s="1"/>
  <c r="G107" i="15" s="1"/>
  <c r="G50" i="15"/>
  <c r="G79" i="15" s="1"/>
  <c r="G108" i="15" s="1"/>
  <c r="G51" i="15"/>
  <c r="G52" i="15"/>
  <c r="G81" i="15" s="1"/>
  <c r="G110" i="15" s="1"/>
  <c r="G53" i="15"/>
  <c r="G82" i="15" s="1"/>
  <c r="G111" i="15" s="1"/>
  <c r="G54" i="15"/>
  <c r="G83" i="15" s="1"/>
  <c r="G112" i="15" s="1"/>
  <c r="G55" i="15"/>
  <c r="G56" i="15"/>
  <c r="G85" i="15" s="1"/>
  <c r="G114" i="15" s="1"/>
  <c r="G57" i="15"/>
  <c r="G86" i="15" s="1"/>
  <c r="G115" i="15" s="1"/>
  <c r="G58" i="15"/>
  <c r="G87" i="15" s="1"/>
  <c r="G116" i="15" s="1"/>
  <c r="G59" i="15"/>
  <c r="G88" i="15" s="1"/>
  <c r="G117" i="15" s="1"/>
  <c r="G60" i="15"/>
  <c r="G89" i="15" s="1"/>
  <c r="G118" i="15" s="1"/>
  <c r="G61" i="15"/>
  <c r="G90" i="15" s="1"/>
  <c r="G119" i="15" s="1"/>
  <c r="G62" i="15"/>
  <c r="G91" i="15" s="1"/>
  <c r="G120" i="15" s="1"/>
  <c r="G63" i="15"/>
  <c r="G92" i="15" s="1"/>
  <c r="G121" i="15" s="1"/>
  <c r="G64" i="15"/>
  <c r="G93" i="15" s="1"/>
  <c r="G122" i="15" s="1"/>
  <c r="G40" i="15"/>
  <c r="G69" i="15" s="1"/>
  <c r="B41" i="15"/>
  <c r="B70" i="15" s="1"/>
  <c r="B42" i="15"/>
  <c r="B71" i="15" s="1"/>
  <c r="B100" i="15" s="1"/>
  <c r="B43" i="15"/>
  <c r="B72" i="15" s="1"/>
  <c r="B101" i="15" s="1"/>
  <c r="B44" i="15"/>
  <c r="B73" i="15" s="1"/>
  <c r="B102" i="15" s="1"/>
  <c r="B45" i="15"/>
  <c r="B74" i="15" s="1"/>
  <c r="B103" i="15" s="1"/>
  <c r="B46" i="15"/>
  <c r="B75" i="15" s="1"/>
  <c r="B104" i="15" s="1"/>
  <c r="B47" i="15"/>
  <c r="B76" i="15" s="1"/>
  <c r="B105" i="15" s="1"/>
  <c r="B48" i="15"/>
  <c r="B77" i="15" s="1"/>
  <c r="B106" i="15" s="1"/>
  <c r="B49" i="15"/>
  <c r="B78" i="15" s="1"/>
  <c r="B107" i="15" s="1"/>
  <c r="B50" i="15"/>
  <c r="B79" i="15" s="1"/>
  <c r="B108" i="15" s="1"/>
  <c r="B51" i="15"/>
  <c r="B80" i="15" s="1"/>
  <c r="B109" i="15" s="1"/>
  <c r="B52" i="15"/>
  <c r="B81" i="15" s="1"/>
  <c r="B110" i="15" s="1"/>
  <c r="B53" i="15"/>
  <c r="B82" i="15" s="1"/>
  <c r="B111" i="15" s="1"/>
  <c r="B54" i="15"/>
  <c r="B83" i="15" s="1"/>
  <c r="B112" i="15" s="1"/>
  <c r="B55" i="15"/>
  <c r="B84" i="15" s="1"/>
  <c r="B113" i="15" s="1"/>
  <c r="B56" i="15"/>
  <c r="B85" i="15" s="1"/>
  <c r="B114" i="15" s="1"/>
  <c r="B57" i="15"/>
  <c r="B86" i="15" s="1"/>
  <c r="B115" i="15" s="1"/>
  <c r="B58" i="15"/>
  <c r="B87" i="15" s="1"/>
  <c r="B116" i="15" s="1"/>
  <c r="B59" i="15"/>
  <c r="B88" i="15" s="1"/>
  <c r="B117" i="15" s="1"/>
  <c r="B60" i="15"/>
  <c r="B89" i="15" s="1"/>
  <c r="B118" i="15" s="1"/>
  <c r="B61" i="15"/>
  <c r="B90" i="15" s="1"/>
  <c r="B119" i="15" s="1"/>
  <c r="B62" i="15"/>
  <c r="B63" i="15"/>
  <c r="B92" i="15" s="1"/>
  <c r="B121" i="15" s="1"/>
  <c r="B64" i="15"/>
  <c r="B93" i="15" s="1"/>
  <c r="B122" i="15" s="1"/>
  <c r="B40" i="15"/>
  <c r="B69" i="15" s="1"/>
  <c r="F69" i="15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P26" i="11"/>
  <c r="A16" i="9"/>
  <c r="A17" i="9"/>
  <c r="A18" i="9"/>
  <c r="A19" i="9"/>
  <c r="A20" i="9"/>
  <c r="A21" i="9"/>
  <c r="A22" i="9"/>
  <c r="A23" i="9"/>
  <c r="A24" i="9"/>
  <c r="A25" i="9"/>
  <c r="A26" i="9"/>
  <c r="A15" i="9"/>
  <c r="A14" i="9"/>
  <c r="A13" i="9"/>
  <c r="A14" i="11"/>
  <c r="A13" i="11"/>
  <c r="B14" i="11"/>
  <c r="B13" i="11"/>
  <c r="A36" i="11"/>
  <c r="A37" i="11"/>
  <c r="A27" i="11"/>
  <c r="A28" i="11"/>
  <c r="A29" i="11"/>
  <c r="A30" i="11"/>
  <c r="A31" i="11"/>
  <c r="A32" i="11"/>
  <c r="A33" i="11"/>
  <c r="A34" i="11"/>
  <c r="A35" i="11"/>
  <c r="B26" i="10"/>
  <c r="B25" i="10"/>
  <c r="B26" i="9"/>
  <c r="B25" i="9"/>
  <c r="B14" i="10"/>
  <c r="B13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B13" i="9"/>
  <c r="B14" i="9"/>
  <c r="B16" i="9"/>
  <c r="B17" i="9"/>
  <c r="B18" i="9"/>
  <c r="B19" i="9"/>
  <c r="B20" i="9"/>
  <c r="B21" i="9"/>
  <c r="B22" i="9"/>
  <c r="B23" i="9"/>
  <c r="B24" i="9"/>
  <c r="B15" i="9"/>
  <c r="A36" i="9"/>
  <c r="A37" i="9"/>
  <c r="A27" i="9"/>
  <c r="A28" i="9"/>
  <c r="A29" i="9"/>
  <c r="A30" i="9"/>
  <c r="A31" i="9"/>
  <c r="A32" i="9"/>
  <c r="A33" i="9"/>
  <c r="A34" i="9"/>
  <c r="A35" i="9"/>
  <c r="P114" i="15"/>
  <c r="P115" i="15"/>
  <c r="P116" i="15"/>
  <c r="P117" i="15"/>
  <c r="P118" i="15"/>
  <c r="P119" i="15"/>
  <c r="P120" i="15"/>
  <c r="P121" i="15"/>
  <c r="P122" i="15"/>
  <c r="N114" i="15"/>
  <c r="N115" i="15"/>
  <c r="N116" i="15"/>
  <c r="N117" i="15"/>
  <c r="N118" i="15"/>
  <c r="N119" i="15"/>
  <c r="N120" i="15"/>
  <c r="N121" i="15"/>
  <c r="N122" i="15"/>
  <c r="L114" i="15"/>
  <c r="L115" i="15"/>
  <c r="L116" i="15"/>
  <c r="L117" i="15"/>
  <c r="L118" i="15"/>
  <c r="L119" i="15"/>
  <c r="L120" i="15"/>
  <c r="L121" i="15"/>
  <c r="L122" i="15"/>
  <c r="J114" i="15"/>
  <c r="J115" i="15"/>
  <c r="J116" i="15"/>
  <c r="J117" i="15"/>
  <c r="J118" i="15"/>
  <c r="J119" i="15"/>
  <c r="J120" i="15"/>
  <c r="J121" i="15"/>
  <c r="J122" i="15"/>
  <c r="H114" i="15"/>
  <c r="H115" i="15"/>
  <c r="H116" i="15"/>
  <c r="H117" i="15"/>
  <c r="H118" i="15"/>
  <c r="H119" i="15"/>
  <c r="H120" i="15"/>
  <c r="H121" i="15"/>
  <c r="H122" i="15"/>
  <c r="F70" i="15"/>
  <c r="F72" i="15"/>
  <c r="F101" i="15" s="1"/>
  <c r="F73" i="15"/>
  <c r="F102" i="15" s="1"/>
  <c r="F74" i="15"/>
  <c r="F103" i="15" s="1"/>
  <c r="F76" i="15"/>
  <c r="F105" i="15" s="1"/>
  <c r="F77" i="15"/>
  <c r="F106" i="15" s="1"/>
  <c r="F78" i="15"/>
  <c r="F107" i="15" s="1"/>
  <c r="F79" i="15"/>
  <c r="F108" i="15" s="1"/>
  <c r="F80" i="15"/>
  <c r="F109" i="15" s="1"/>
  <c r="F81" i="15"/>
  <c r="F110" i="15" s="1"/>
  <c r="F84" i="15"/>
  <c r="F113" i="15" s="1"/>
  <c r="F85" i="15"/>
  <c r="F114" i="15" s="1"/>
  <c r="F86" i="15"/>
  <c r="F115" i="15" s="1"/>
  <c r="S115" i="15"/>
  <c r="S117" i="15"/>
  <c r="S118" i="15"/>
  <c r="S30" i="15"/>
  <c r="S119" i="15" s="1"/>
  <c r="R26" i="15"/>
  <c r="R27" i="15"/>
  <c r="R28" i="15"/>
  <c r="R29" i="15"/>
  <c r="R30" i="15"/>
  <c r="R31" i="15"/>
  <c r="R32" i="15"/>
  <c r="R33" i="15"/>
  <c r="R34" i="15"/>
  <c r="R35" i="15"/>
  <c r="S21" i="15"/>
  <c r="S110" i="15" s="1"/>
  <c r="Z69" i="15"/>
  <c r="Y69" i="15"/>
  <c r="X69" i="15"/>
  <c r="W69" i="15"/>
  <c r="Z68" i="15"/>
  <c r="Y68" i="15"/>
  <c r="X68" i="15"/>
  <c r="W68" i="15"/>
  <c r="V68" i="15"/>
  <c r="V39" i="15"/>
  <c r="Z39" i="15"/>
  <c r="Y39" i="15"/>
  <c r="X39" i="15"/>
  <c r="W39" i="15"/>
  <c r="P38" i="15"/>
  <c r="N38" i="15"/>
  <c r="L38" i="15"/>
  <c r="J38" i="15"/>
  <c r="H38" i="15"/>
  <c r="AH11" i="15" l="1"/>
  <c r="S7" i="15" s="1"/>
  <c r="J25" i="10"/>
  <c r="P25" i="10" s="1"/>
  <c r="J25" i="11"/>
  <c r="R62" i="15"/>
  <c r="S62" i="15" s="1"/>
  <c r="R64" i="15"/>
  <c r="S64" i="15" s="1"/>
  <c r="R60" i="15"/>
  <c r="S60" i="15" s="1"/>
  <c r="R58" i="15"/>
  <c r="S58" i="15" s="1"/>
  <c r="S20" i="15"/>
  <c r="R56" i="15"/>
  <c r="S56" i="15" s="1"/>
  <c r="S25" i="15"/>
  <c r="R48" i="15"/>
  <c r="S48" i="15" s="1"/>
  <c r="S17" i="15"/>
  <c r="R45" i="15"/>
  <c r="S45" i="15" s="1"/>
  <c r="R55" i="15"/>
  <c r="S55" i="15" s="1"/>
  <c r="R57" i="15"/>
  <c r="S57" i="15" s="1"/>
  <c r="R54" i="15"/>
  <c r="S54" i="15" s="1"/>
  <c r="R53" i="15"/>
  <c r="S53" i="15" s="1"/>
  <c r="R52" i="15"/>
  <c r="S52" i="15" s="1"/>
  <c r="R51" i="15"/>
  <c r="S51" i="15" s="1"/>
  <c r="R50" i="15"/>
  <c r="S50" i="15" s="1"/>
  <c r="R49" i="15"/>
  <c r="S49" i="15" s="1"/>
  <c r="R47" i="15"/>
  <c r="S47" i="15" s="1"/>
  <c r="F75" i="15"/>
  <c r="F104" i="15" s="1"/>
  <c r="R46" i="15"/>
  <c r="S46" i="15" s="1"/>
  <c r="S13" i="15"/>
  <c r="R42" i="15"/>
  <c r="S42" i="15" s="1"/>
  <c r="W40" i="15"/>
  <c r="V40" i="15"/>
  <c r="X11" i="15"/>
  <c r="Z40" i="15"/>
  <c r="S35" i="15"/>
  <c r="R44" i="15"/>
  <c r="S44" i="15" s="1"/>
  <c r="R85" i="15"/>
  <c r="R92" i="15"/>
  <c r="S92" i="15" s="1"/>
  <c r="T122" i="15"/>
  <c r="R91" i="15"/>
  <c r="S91" i="15" s="1"/>
  <c r="R93" i="15"/>
  <c r="S93" i="15" s="1"/>
  <c r="T120" i="15"/>
  <c r="R84" i="15"/>
  <c r="R89" i="15"/>
  <c r="S89" i="15" s="1"/>
  <c r="R88" i="15"/>
  <c r="S88" i="15" s="1"/>
  <c r="R83" i="15"/>
  <c r="R87" i="15"/>
  <c r="S87" i="15" s="1"/>
  <c r="R90" i="15"/>
  <c r="S90" i="15" s="1"/>
  <c r="R86" i="15"/>
  <c r="Z11" i="15"/>
  <c r="T35" i="15"/>
  <c r="W11" i="15"/>
  <c r="Y11" i="15"/>
  <c r="AA69" i="15"/>
  <c r="R79" i="15"/>
  <c r="R75" i="15"/>
  <c r="R71" i="15"/>
  <c r="S16" i="15"/>
  <c r="S12" i="15"/>
  <c r="R69" i="15"/>
  <c r="R80" i="15"/>
  <c r="R76" i="15"/>
  <c r="S76" i="15" s="1"/>
  <c r="R72" i="15"/>
  <c r="R82" i="15"/>
  <c r="R78" i="15"/>
  <c r="R70" i="15"/>
  <c r="R74" i="15"/>
  <c r="R73" i="15"/>
  <c r="R77" i="15"/>
  <c r="S77" i="15" s="1"/>
  <c r="R81" i="15"/>
  <c r="S109" i="15" l="1"/>
  <c r="J24" i="10"/>
  <c r="J24" i="11"/>
  <c r="S106" i="15"/>
  <c r="J21" i="11"/>
  <c r="J21" i="10"/>
  <c r="H21" i="10" s="1"/>
  <c r="S101" i="15"/>
  <c r="J16" i="10"/>
  <c r="J16" i="11"/>
  <c r="S114" i="15"/>
  <c r="J14" i="10"/>
  <c r="S105" i="15"/>
  <c r="J20" i="10"/>
  <c r="J20" i="11"/>
  <c r="S102" i="15"/>
  <c r="J17" i="11"/>
  <c r="J17" i="10"/>
  <c r="H17" i="10" s="1"/>
  <c r="R43" i="15"/>
  <c r="S43" i="15" s="1"/>
  <c r="AA40" i="15"/>
  <c r="S24" i="15"/>
  <c r="S113" i="15" s="1"/>
  <c r="S23" i="15"/>
  <c r="S22" i="15"/>
  <c r="S19" i="15"/>
  <c r="S18" i="15"/>
  <c r="S15" i="15"/>
  <c r="S14" i="15"/>
  <c r="R40" i="15"/>
  <c r="S40" i="15" s="1"/>
  <c r="R41" i="15"/>
  <c r="S41" i="15" s="1"/>
  <c r="S11" i="15"/>
  <c r="T33" i="15"/>
  <c r="J24" i="9"/>
  <c r="J21" i="9"/>
  <c r="L21" i="9" s="1"/>
  <c r="J17" i="9"/>
  <c r="T29" i="15"/>
  <c r="T118" i="15"/>
  <c r="T30" i="15"/>
  <c r="T119" i="15"/>
  <c r="J13" i="9"/>
  <c r="P13" i="9" s="1"/>
  <c r="J26" i="9"/>
  <c r="H14" i="10"/>
  <c r="J16" i="9"/>
  <c r="T32" i="15"/>
  <c r="T121" i="15"/>
  <c r="T34" i="15"/>
  <c r="J20" i="9"/>
  <c r="J25" i="9"/>
  <c r="L14" i="11"/>
  <c r="T31" i="15"/>
  <c r="S112" i="15" l="1"/>
  <c r="J13" i="11"/>
  <c r="P13" i="11" s="1"/>
  <c r="H34" i="8" s="1"/>
  <c r="S107" i="15"/>
  <c r="J22" i="11"/>
  <c r="J22" i="10"/>
  <c r="H22" i="10" s="1"/>
  <c r="J15" i="11"/>
  <c r="P15" i="11" s="1"/>
  <c r="J15" i="10"/>
  <c r="P15" i="10" s="1"/>
  <c r="J23" i="10"/>
  <c r="P23" i="10" s="1"/>
  <c r="J23" i="11"/>
  <c r="P23" i="11" s="1"/>
  <c r="S104" i="15"/>
  <c r="J19" i="10"/>
  <c r="L19" i="10" s="1"/>
  <c r="J19" i="11"/>
  <c r="P19" i="11" s="1"/>
  <c r="S103" i="15"/>
  <c r="J18" i="11"/>
  <c r="L18" i="11" s="1"/>
  <c r="J18" i="10"/>
  <c r="H18" i="10" s="1"/>
  <c r="S111" i="15"/>
  <c r="J13" i="10"/>
  <c r="P13" i="10" s="1"/>
  <c r="H33" i="8" s="1"/>
  <c r="J14" i="9"/>
  <c r="H16" i="10"/>
  <c r="H16" i="11"/>
  <c r="H24" i="10"/>
  <c r="L24" i="11"/>
  <c r="S108" i="15"/>
  <c r="J23" i="9"/>
  <c r="J18" i="9"/>
  <c r="P14" i="10"/>
  <c r="H36" i="8" s="1"/>
  <c r="L20" i="11"/>
  <c r="J22" i="9"/>
  <c r="L14" i="10"/>
  <c r="P17" i="11"/>
  <c r="J19" i="9"/>
  <c r="L26" i="10"/>
  <c r="P26" i="10"/>
  <c r="J15" i="9"/>
  <c r="H14" i="11"/>
  <c r="P14" i="11"/>
  <c r="H37" i="8" s="1"/>
  <c r="P20" i="10"/>
  <c r="L17" i="10"/>
  <c r="L15" i="11"/>
  <c r="P17" i="10"/>
  <c r="P21" i="10"/>
  <c r="L25" i="11"/>
  <c r="H25" i="11"/>
  <c r="H21" i="11"/>
  <c r="P21" i="11"/>
  <c r="H23" i="11" l="1"/>
  <c r="L19" i="11"/>
  <c r="H23" i="10"/>
  <c r="L23" i="11"/>
  <c r="L22" i="10"/>
  <c r="P18" i="11"/>
  <c r="L23" i="10"/>
  <c r="H19" i="11"/>
  <c r="P22" i="10"/>
  <c r="L15" i="10"/>
  <c r="L18" i="10"/>
  <c r="H15" i="11"/>
  <c r="H18" i="11"/>
  <c r="H19" i="10"/>
  <c r="L22" i="11"/>
  <c r="P22" i="11"/>
  <c r="P19" i="10"/>
  <c r="H15" i="10"/>
  <c r="H22" i="11"/>
  <c r="P18" i="10"/>
  <c r="P16" i="10"/>
  <c r="L24" i="10"/>
  <c r="L16" i="10"/>
  <c r="P24" i="10"/>
  <c r="P16" i="11"/>
  <c r="H20" i="11"/>
  <c r="L16" i="11"/>
  <c r="P24" i="11"/>
  <c r="H24" i="11"/>
  <c r="H17" i="11"/>
  <c r="L17" i="11"/>
  <c r="L13" i="10"/>
  <c r="H13" i="10"/>
  <c r="P20" i="11"/>
  <c r="H20" i="10"/>
  <c r="L20" i="10"/>
  <c r="L13" i="11"/>
  <c r="H13" i="11"/>
  <c r="L26" i="11"/>
  <c r="H26" i="11"/>
  <c r="H7" i="11" l="1"/>
  <c r="P25" i="11"/>
  <c r="P38" i="11" s="1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H10" i="10"/>
  <c r="A26" i="11"/>
  <c r="A25" i="11"/>
  <c r="A24" i="11"/>
  <c r="A23" i="11"/>
  <c r="A22" i="11"/>
  <c r="A21" i="11"/>
  <c r="A20" i="11"/>
  <c r="A19" i="11"/>
  <c r="A18" i="11"/>
  <c r="A17" i="11"/>
  <c r="A16" i="11"/>
  <c r="A15" i="11"/>
  <c r="H10" i="11"/>
  <c r="P101" i="15"/>
  <c r="P102" i="15"/>
  <c r="P103" i="15"/>
  <c r="P104" i="15"/>
  <c r="P105" i="15"/>
  <c r="P106" i="15"/>
  <c r="P107" i="15"/>
  <c r="P108" i="15"/>
  <c r="P109" i="15"/>
  <c r="P110" i="15"/>
  <c r="P111" i="15"/>
  <c r="P112" i="15"/>
  <c r="P113" i="15"/>
  <c r="P100" i="15"/>
  <c r="L101" i="15"/>
  <c r="L102" i="15"/>
  <c r="L103" i="15"/>
  <c r="L104" i="15"/>
  <c r="L105" i="15"/>
  <c r="L106" i="15"/>
  <c r="L107" i="15"/>
  <c r="L108" i="15"/>
  <c r="L109" i="15"/>
  <c r="L110" i="15"/>
  <c r="L111" i="15"/>
  <c r="L112" i="15"/>
  <c r="L113" i="15"/>
  <c r="L100" i="15"/>
  <c r="N101" i="15"/>
  <c r="N102" i="15"/>
  <c r="N103" i="15"/>
  <c r="N104" i="15"/>
  <c r="N105" i="15"/>
  <c r="N106" i="15"/>
  <c r="N107" i="15"/>
  <c r="N108" i="15"/>
  <c r="N109" i="15"/>
  <c r="N110" i="15"/>
  <c r="N111" i="15"/>
  <c r="N112" i="15"/>
  <c r="N113" i="15"/>
  <c r="N100" i="15"/>
  <c r="J101" i="15"/>
  <c r="J102" i="15"/>
  <c r="J103" i="15"/>
  <c r="J104" i="15"/>
  <c r="J105" i="15"/>
  <c r="J106" i="15"/>
  <c r="J107" i="15"/>
  <c r="J108" i="15"/>
  <c r="J109" i="15"/>
  <c r="J110" i="15"/>
  <c r="J111" i="15"/>
  <c r="J112" i="15"/>
  <c r="J113" i="15"/>
  <c r="J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00" i="15"/>
  <c r="G47" i="11" l="1"/>
  <c r="L7" i="11"/>
  <c r="E11" i="8" s="1"/>
  <c r="P98" i="15"/>
  <c r="N98" i="15"/>
  <c r="L98" i="15"/>
  <c r="J98" i="15"/>
  <c r="H98" i="15"/>
  <c r="P67" i="15"/>
  <c r="N67" i="15"/>
  <c r="L67" i="15"/>
  <c r="J67" i="15"/>
  <c r="H67" i="15"/>
  <c r="Z9" i="15"/>
  <c r="AG9" i="15" s="1"/>
  <c r="Y9" i="15"/>
  <c r="AF9" i="15" s="1"/>
  <c r="X9" i="15"/>
  <c r="AE9" i="15" s="1"/>
  <c r="W9" i="15"/>
  <c r="AD9" i="15" s="1"/>
  <c r="V9" i="15"/>
  <c r="R12" i="15"/>
  <c r="R13" i="15"/>
  <c r="R14" i="15"/>
  <c r="R15" i="15"/>
  <c r="R16" i="15"/>
  <c r="R17" i="15"/>
  <c r="R18" i="15"/>
  <c r="R19" i="15"/>
  <c r="R20" i="15"/>
  <c r="R21" i="15"/>
  <c r="R22" i="15"/>
  <c r="R23" i="15"/>
  <c r="R24" i="15"/>
  <c r="R25" i="15"/>
  <c r="R11" i="15"/>
  <c r="S78" i="15" l="1"/>
  <c r="S74" i="15"/>
  <c r="S85" i="15"/>
  <c r="S70" i="15"/>
  <c r="S84" i="15"/>
  <c r="S72" i="15"/>
  <c r="S82" i="15"/>
  <c r="S81" i="15"/>
  <c r="S83" i="15"/>
  <c r="S75" i="15"/>
  <c r="S80" i="15"/>
  <c r="S71" i="15"/>
  <c r="S86" i="15"/>
  <c r="S79" i="15"/>
  <c r="S73" i="15"/>
  <c r="AC9" i="15"/>
  <c r="T21" i="15"/>
  <c r="T117" i="15"/>
  <c r="T114" i="15"/>
  <c r="T20" i="15"/>
  <c r="T115" i="15"/>
  <c r="T28" i="15"/>
  <c r="T27" i="15"/>
  <c r="T26" i="15"/>
  <c r="T116" i="15"/>
  <c r="T19" i="15"/>
  <c r="T15" i="15"/>
  <c r="T22" i="15"/>
  <c r="T12" i="15"/>
  <c r="T18" i="15"/>
  <c r="T16" i="15"/>
  <c r="T13" i="15"/>
  <c r="T17" i="15"/>
  <c r="T14" i="15"/>
  <c r="T23" i="15"/>
  <c r="T24" i="15"/>
  <c r="T25" i="15"/>
  <c r="S69" i="15"/>
  <c r="L24" i="9"/>
  <c r="L20" i="9"/>
  <c r="L17" i="9"/>
  <c r="L26" i="9" l="1"/>
  <c r="L13" i="9"/>
  <c r="T113" i="15"/>
  <c r="T108" i="15"/>
  <c r="P14" i="9"/>
  <c r="H35" i="8" s="1"/>
  <c r="AA11" i="15"/>
  <c r="T11" i="15" s="1"/>
  <c r="H16" i="9"/>
  <c r="H17" i="9"/>
  <c r="H24" i="9"/>
  <c r="H20" i="9"/>
  <c r="L19" i="9"/>
  <c r="L18" i="9"/>
  <c r="L23" i="9"/>
  <c r="H15" i="9"/>
  <c r="H32" i="8" l="1"/>
  <c r="L25" i="9"/>
  <c r="T112" i="15"/>
  <c r="H14" i="9"/>
  <c r="H22" i="9"/>
  <c r="H18" i="9"/>
  <c r="H23" i="9"/>
  <c r="P21" i="9"/>
  <c r="H28" i="8" s="1"/>
  <c r="H21" i="9"/>
  <c r="H19" i="9"/>
  <c r="H26" i="9"/>
  <c r="P26" i="9"/>
  <c r="H39" i="8" s="1"/>
  <c r="T101" i="15"/>
  <c r="T109" i="15"/>
  <c r="T103" i="15"/>
  <c r="T107" i="15"/>
  <c r="T105" i="15"/>
  <c r="T104" i="15"/>
  <c r="T102" i="15"/>
  <c r="T110" i="15"/>
  <c r="T106" i="15"/>
  <c r="T111" i="15"/>
  <c r="T100" i="15"/>
  <c r="H13" i="9"/>
  <c r="L16" i="9"/>
  <c r="P24" i="9"/>
  <c r="H31" i="8" s="1"/>
  <c r="P17" i="9"/>
  <c r="H24" i="8" s="1"/>
  <c r="P16" i="9"/>
  <c r="H23" i="8" s="1"/>
  <c r="P20" i="9"/>
  <c r="H27" i="8" s="1"/>
  <c r="L14" i="9"/>
  <c r="P22" i="9"/>
  <c r="H29" i="8" s="1"/>
  <c r="P18" i="9"/>
  <c r="H25" i="8" s="1"/>
  <c r="L15" i="9"/>
  <c r="P15" i="9"/>
  <c r="H22" i="8" s="1"/>
  <c r="P23" i="9"/>
  <c r="H30" i="8" s="1"/>
  <c r="P19" i="9"/>
  <c r="H26" i="8" s="1"/>
  <c r="H7" i="9" l="1"/>
  <c r="H25" i="9"/>
  <c r="P25" i="9"/>
  <c r="P38" i="9" s="1"/>
  <c r="L25" i="10"/>
  <c r="H7" i="10" s="1"/>
  <c r="H25" i="10"/>
  <c r="N14" i="1"/>
  <c r="N8" i="4"/>
  <c r="N12" i="1"/>
  <c r="N13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11" i="1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5" i="3"/>
  <c r="E6" i="8" l="1"/>
  <c r="P43" i="9"/>
  <c r="P43" i="10"/>
  <c r="P43" i="11"/>
  <c r="G47" i="9"/>
  <c r="H38" i="8"/>
  <c r="P38" i="10"/>
  <c r="J28" i="4"/>
  <c r="J30" i="4"/>
  <c r="N37" i="7"/>
  <c r="E8" i="8" s="1"/>
  <c r="N39" i="1"/>
  <c r="L7" i="10" l="1"/>
  <c r="E10" i="8" s="1"/>
  <c r="G47" i="10"/>
  <c r="E12" i="8" s="1"/>
  <c r="P45" i="10"/>
  <c r="P45" i="9"/>
  <c r="P45" i="11"/>
  <c r="P42" i="10"/>
  <c r="P42" i="11"/>
  <c r="P42" i="9"/>
  <c r="N35" i="4"/>
  <c r="L7" i="9"/>
  <c r="E9" i="8" s="1"/>
  <c r="E7" i="8" l="1"/>
  <c r="P44" i="10"/>
  <c r="R42" i="10" s="1"/>
  <c r="P44" i="11"/>
  <c r="R42" i="11" s="1"/>
  <c r="P44" i="9"/>
  <c r="R42" i="9" s="1"/>
  <c r="L10" i="11" l="1"/>
  <c r="P48" i="9"/>
  <c r="L10" i="10"/>
  <c r="P48" i="11"/>
  <c r="G48" i="11" s="1"/>
  <c r="L10" i="9"/>
  <c r="P48" i="10"/>
  <c r="G48" i="10" s="1"/>
  <c r="G48" i="9" l="1"/>
  <c r="P49" i="9"/>
  <c r="O7" i="9" s="1"/>
  <c r="P49" i="10"/>
  <c r="O7" i="10" s="1"/>
  <c r="P49" i="11"/>
  <c r="O7" i="11" s="1"/>
</calcChain>
</file>

<file path=xl/sharedStrings.xml><?xml version="1.0" encoding="utf-8"?>
<sst xmlns="http://schemas.openxmlformats.org/spreadsheetml/2006/main" count="479" uniqueCount="182">
  <si>
    <t>Planilha cálculo custo Produção</t>
  </si>
  <si>
    <t>Aluguel</t>
  </si>
  <si>
    <t>Descrição</t>
  </si>
  <si>
    <t>Custo unitário</t>
  </si>
  <si>
    <t>Quantidade</t>
  </si>
  <si>
    <t>Sub Total</t>
  </si>
  <si>
    <t>Água</t>
  </si>
  <si>
    <t>Seguro</t>
  </si>
  <si>
    <t>Função</t>
  </si>
  <si>
    <t>Salário</t>
  </si>
  <si>
    <t>Quantidade Func.</t>
  </si>
  <si>
    <t>Despesas trabalhistas</t>
  </si>
  <si>
    <t>Fundo de Garantia (FGTS)</t>
  </si>
  <si>
    <t>13 Salário</t>
  </si>
  <si>
    <t>Férias + 1/3 Férias</t>
  </si>
  <si>
    <t>Valor</t>
  </si>
  <si>
    <t>Investimento Total</t>
  </si>
  <si>
    <t>Custos por Unidade</t>
  </si>
  <si>
    <t>Custos mão de obra por unidade</t>
  </si>
  <si>
    <t>Outros Custos por unidade</t>
  </si>
  <si>
    <t>Custos Total</t>
  </si>
  <si>
    <t>Custo Total</t>
  </si>
  <si>
    <t>computador</t>
  </si>
  <si>
    <t>mesa escritorio</t>
  </si>
  <si>
    <t>cadeiras</t>
  </si>
  <si>
    <t>maquina confecçao fraldas</t>
  </si>
  <si>
    <t>Contabilidade</t>
  </si>
  <si>
    <t>Fardo</t>
  </si>
  <si>
    <t>Passagem</t>
  </si>
  <si>
    <t>Vivo fixo +0800</t>
  </si>
  <si>
    <t>Vivo linhas telefonicas</t>
  </si>
  <si>
    <t>Alimentação</t>
  </si>
  <si>
    <t>Material limpeza</t>
  </si>
  <si>
    <t>material de escritorio</t>
  </si>
  <si>
    <t>Fralda Geriátrica Abifral Tamanho M</t>
  </si>
  <si>
    <t>PA00004</t>
  </si>
  <si>
    <t>Produto:</t>
  </si>
  <si>
    <t>FM-003-M</t>
  </si>
  <si>
    <t>TNT (Barreira - Tecido Não Tecido)</t>
  </si>
  <si>
    <t>Gel Superrabisorvente (SAP)</t>
  </si>
  <si>
    <t>Celulose Fluff</t>
  </si>
  <si>
    <t>Elásticos (Laterais e Cintura)</t>
  </si>
  <si>
    <t>Fitas Adesivas</t>
  </si>
  <si>
    <t>Adesivo Construção</t>
  </si>
  <si>
    <t>Tinta do Indicador de Umidade</t>
  </si>
  <si>
    <t>Tinta Datadora de Lote</t>
  </si>
  <si>
    <t>Adesivo Elástico</t>
  </si>
  <si>
    <t>Composição por Fralda</t>
  </si>
  <si>
    <r>
      <t>m</t>
    </r>
    <r>
      <rPr>
        <sz val="10"/>
        <color theme="1"/>
        <rFont val="Calibri"/>
        <family val="2"/>
      </rPr>
      <t>²/Fralda</t>
    </r>
  </si>
  <si>
    <t>TNT (Tecido Não Tecido) Trasnfer</t>
  </si>
  <si>
    <t>m²/Fralda</t>
  </si>
  <si>
    <t>g/Fralda</t>
  </si>
  <si>
    <t>ml/Fralda</t>
  </si>
  <si>
    <t>Cotação Dolar:</t>
  </si>
  <si>
    <t>Unidades</t>
  </si>
  <si>
    <t>Data Cotação</t>
  </si>
  <si>
    <t>Valor em Dolar</t>
  </si>
  <si>
    <t>Valor em Reais</t>
  </si>
  <si>
    <t>kg</t>
  </si>
  <si>
    <r>
      <t>m</t>
    </r>
    <r>
      <rPr>
        <sz val="10"/>
        <color theme="1"/>
        <rFont val="Calibri"/>
        <family val="2"/>
      </rPr>
      <t>²</t>
    </r>
  </si>
  <si>
    <t>m²</t>
  </si>
  <si>
    <t>Litro</t>
  </si>
  <si>
    <t>Valor por Fralda</t>
  </si>
  <si>
    <t>Gasto M.P</t>
  </si>
  <si>
    <t>Custo M.P.</t>
  </si>
  <si>
    <t>-</t>
  </si>
  <si>
    <t>Produto</t>
  </si>
  <si>
    <t>KG</t>
  </si>
  <si>
    <t>Litros</t>
  </si>
  <si>
    <t>M²</t>
  </si>
  <si>
    <t>PRODHIGI</t>
  </si>
  <si>
    <t>GAMA</t>
  </si>
  <si>
    <t>FRETE</t>
  </si>
  <si>
    <t>Data Cotação:</t>
  </si>
  <si>
    <t>Fralda Geriátrica Abifral Tamanho G</t>
  </si>
  <si>
    <t>PA00005</t>
  </si>
  <si>
    <t>FM-002-G</t>
  </si>
  <si>
    <t>Fralda Geriátrica Abifral Tamanho EG</t>
  </si>
  <si>
    <t>FM-001-EG</t>
  </si>
  <si>
    <t>TNT (Tecido Não Tecido) Trasnfer  - M²</t>
  </si>
  <si>
    <t>TNT (Barreira - Tecido Não Tecido) - M²</t>
  </si>
  <si>
    <t>Gel Superrabisorvente (SAP) - KG</t>
  </si>
  <si>
    <t>Elásticos (Laterais e Cintura) - KG</t>
  </si>
  <si>
    <t>Fitas Adesivas - M²</t>
  </si>
  <si>
    <t>Celulose Fluff  - KG</t>
  </si>
  <si>
    <t>Tinta do Indicador de Umidade - Litro</t>
  </si>
  <si>
    <t>Tinta Datadora de Lote - Litro</t>
  </si>
  <si>
    <t>Adesivo Elástico - KG</t>
  </si>
  <si>
    <t>Quatidade a Comprar</t>
  </si>
  <si>
    <t>Exaustores</t>
  </si>
  <si>
    <t>impressora e indicadora de umidade suzuki</t>
  </si>
  <si>
    <t>Relogio de parede digital</t>
  </si>
  <si>
    <t>LIXEIRA 100 LITROS BRANCA BRALIMPIA</t>
  </si>
  <si>
    <t xml:space="preserve">pa dobravel </t>
  </si>
  <si>
    <t>FILTRO DE MANGA</t>
  </si>
  <si>
    <t xml:space="preserve">seladora manual 70cm </t>
  </si>
  <si>
    <t>CADEIRA SECRETARIA FIXA</t>
  </si>
  <si>
    <t>PALLET PLASTICO</t>
  </si>
  <si>
    <t>BALANCA ELETRONICA DIGITAL PLUS 6KG</t>
  </si>
  <si>
    <t>SELADORA ROADPRESS PE G3 AC EPOXI</t>
  </si>
  <si>
    <t>BALANÇA DE PLATAFORMA DIGITAL 400k</t>
  </si>
  <si>
    <t>COMPRESSOR</t>
  </si>
  <si>
    <t>SECADOR DE AR SMC IDF22E 20 220V</t>
  </si>
  <si>
    <t>SEPARADOR DE CONDENSADO VERTICAL</t>
  </si>
  <si>
    <t>Totais de folha de pagamento</t>
  </si>
  <si>
    <t>Unidade</t>
  </si>
  <si>
    <t>MENOR VALOR COM IMPOSTOS</t>
  </si>
  <si>
    <t>Adesivo Construção - KG</t>
  </si>
  <si>
    <t>TOTAL DE CUSTOS POR FRALDA</t>
  </si>
  <si>
    <t>COMPRAR</t>
  </si>
  <si>
    <t>Quantidade Programada</t>
  </si>
  <si>
    <t>Quantidade Produzida</t>
  </si>
  <si>
    <t>Cotaçao Dolar</t>
  </si>
  <si>
    <t>CUSTO FINAL POR FRALDA</t>
  </si>
  <si>
    <t>Custos a Recuperar</t>
  </si>
  <si>
    <t>Perda por Unidade</t>
  </si>
  <si>
    <t>Dados embalagem e Fardo</t>
  </si>
  <si>
    <t>Unidades por embalagem</t>
  </si>
  <si>
    <t>Unidades por Fardo</t>
  </si>
  <si>
    <t>Fardos</t>
  </si>
  <si>
    <t>Embalagens</t>
  </si>
  <si>
    <t>Impostos por produto / Fornecedor em Porcentagem</t>
  </si>
  <si>
    <t>PRIME</t>
  </si>
  <si>
    <t>NOVA EMBALAGENS</t>
  </si>
  <si>
    <t>MAGSAC</t>
  </si>
  <si>
    <t>Locação indicadora de umidade e datadora</t>
  </si>
  <si>
    <t>MENOR FRETE</t>
  </si>
  <si>
    <t>MENOR IMPOSTO</t>
  </si>
  <si>
    <t>MENOR VALOR</t>
  </si>
  <si>
    <t>Embalagem</t>
  </si>
  <si>
    <t>Fralda M - Polietileno (Filme eterno) - 600mm- kG</t>
  </si>
  <si>
    <t>Fralda G - Polietileno (Filme eterno) - 660mm - kG</t>
  </si>
  <si>
    <t>Fralda EG - Polietileno (Filme eterno) - 750mm- kG</t>
  </si>
  <si>
    <t>Custo por fralda sem perda</t>
  </si>
  <si>
    <t>MENOR VALOR COM FRETE E IMPOSTOS</t>
  </si>
  <si>
    <t>IDENTIFICAR MENOR VALOR UNITARIO COM FRETE E IMPOSTOS</t>
  </si>
  <si>
    <t>IDENTIFICAR MENOR VALOR TOTAL COM FRETE E IMPOSTOS</t>
  </si>
  <si>
    <r>
      <t>Fralda M - TNT (Cobertura - Tecido Não Tecido) - 600mm  - M</t>
    </r>
    <r>
      <rPr>
        <sz val="14"/>
        <color theme="1"/>
        <rFont val="Calibri"/>
        <family val="2"/>
      </rPr>
      <t>²</t>
    </r>
  </si>
  <si>
    <t>Fralda g - TNT (Cobertura - Tecido Não Tecido) - 650mm - M²</t>
  </si>
  <si>
    <t>Fralda EG - TNT (Cobertura - Tecido Não Tecido) - 750mm - M²</t>
  </si>
  <si>
    <t>Custo total do Pedido com frete e impostos</t>
  </si>
  <si>
    <t>Sesi</t>
  </si>
  <si>
    <t>Custos Fixos</t>
  </si>
  <si>
    <t>Custos Mão de Obra</t>
  </si>
  <si>
    <t>Custo Materia Prima Fralda M</t>
  </si>
  <si>
    <t>Custo Materia Prima Fralda G</t>
  </si>
  <si>
    <t>Custo Materia Prima Fralda EG</t>
  </si>
  <si>
    <t>Perda Materia Prima</t>
  </si>
  <si>
    <t>Fraldas Tamanho M</t>
  </si>
  <si>
    <t>Fraldas Tamanho G</t>
  </si>
  <si>
    <t>Fraldas Tamanho EG</t>
  </si>
  <si>
    <t>Custos Fixos por unidade Produzidas no Mês</t>
  </si>
  <si>
    <t>Custo Investimento por unidade (Depreciação) em 10 Anos</t>
  </si>
  <si>
    <t>Fórmula Mestra Tamanho M</t>
  </si>
  <si>
    <t>Fórmula Mestra Tamanho G</t>
  </si>
  <si>
    <t>Fórmula Mestra Tamanho EG</t>
  </si>
  <si>
    <t>CUSTO MATÉRIA PRIMA POR FRALDA</t>
  </si>
  <si>
    <t>CUSTO TOTAL MATÉRIA PRIMA</t>
  </si>
  <si>
    <r>
      <t>N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 fórmula Mestra</t>
    </r>
  </si>
  <si>
    <t>Código Interno:</t>
  </si>
  <si>
    <t>Deficit de Produção</t>
  </si>
  <si>
    <t>PRUDUÇÃO PREVISTA 10 ANOS</t>
  </si>
  <si>
    <t>Previdência Social (INSS)</t>
  </si>
  <si>
    <t>Código Interno</t>
  </si>
  <si>
    <t>Cotação Matéria Prima</t>
  </si>
  <si>
    <t>COTAÇÃO EM DÓLAR</t>
  </si>
  <si>
    <t>Cotação Dólar</t>
  </si>
  <si>
    <t>Perda Total em Matéria Prima Direta baseado no percentual estipulado</t>
  </si>
  <si>
    <t>Perda total Matéria Prima + Custos Operacionais baseado no percentual estipulado</t>
  </si>
  <si>
    <t>MENOR VALOR UNITÁRIO</t>
  </si>
  <si>
    <t>FORNECEDOR</t>
  </si>
  <si>
    <t>MENOR VALOR COM FRETE</t>
  </si>
  <si>
    <t>COMPRAR COM</t>
  </si>
  <si>
    <t>Giro ar</t>
  </si>
  <si>
    <t>Elite residuos coleta de sacos de refugo</t>
  </si>
  <si>
    <t>EXTIMBRAS extintores</t>
  </si>
  <si>
    <t>Kg</t>
  </si>
  <si>
    <t>Outros Custos</t>
  </si>
  <si>
    <t>Multa Recisória 50%</t>
  </si>
  <si>
    <t>IPTU / Cemig</t>
  </si>
  <si>
    <t>Custo Unitário</t>
  </si>
  <si>
    <t>Internet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</si>
</sst>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&quot;R$&quot;\ * #,##0.00_-;\-&quot;R$&quot;\ * #,##0.00_-;_-&quot;R$&quot;\ * &quot;-&quot;??_-;_-@_-"/>
    <numFmt numFmtId="164" formatCode="&quot;R$&quot;\ #,##0.00"/>
    <numFmt numFmtId="165" formatCode="#,##0.0000000000"/>
    <numFmt numFmtId="166" formatCode="&quot;R$&quot;\ #,##0.0000000000"/>
    <numFmt numFmtId="167" formatCode="[$$-540A]#,##0.00"/>
    <numFmt numFmtId="168" formatCode="0.0000"/>
    <numFmt numFmtId="169" formatCode="&quot;R$&quot;\ #,##0.0000"/>
    <numFmt numFmtId="170" formatCode="0.0000000"/>
    <numFmt numFmtId="171" formatCode="[$$-409]#,##0.0000000000"/>
    <numFmt numFmtId="172" formatCode="&quot;R$&quot;\ #,##0.0000000000;\-&quot;R$&quot;\ #,##0.0000000000"/>
  </numFmts>
  <fonts count="24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4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32"/>
      <color theme="1"/>
      <name val="Calibri"/>
      <family val="2"/>
      <scheme val="minor"/>
    </font>
    <font>
      <sz val="14"/>
      <color theme="1"/>
      <name val="Calibri"/>
      <family val="2"/>
    </font>
    <font>
      <sz val="2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theme="9" tint="0.39994506668294322"/>
      </left>
      <right/>
      <top/>
      <bottom/>
      <diagonal/>
    </border>
    <border>
      <left style="hair">
        <color theme="9" tint="0.39994506668294322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theme="9" tint="0.39994506668294322"/>
      </right>
      <top style="hair">
        <color indexed="64"/>
      </top>
      <bottom style="hair">
        <color indexed="64"/>
      </bottom>
      <diagonal/>
    </border>
    <border>
      <left style="hair">
        <color theme="9" tint="0.39994506668294322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theme="9" tint="0.39994506668294322"/>
      </right>
      <top style="hair">
        <color indexed="64"/>
      </top>
      <bottom/>
      <diagonal/>
    </border>
    <border>
      <left/>
      <right style="hair">
        <color theme="9" tint="0.39994506668294322"/>
      </right>
      <top/>
      <bottom/>
      <diagonal/>
    </border>
    <border>
      <left style="hair">
        <color theme="9" tint="0.39994506668294322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theme="9" tint="0.39994506668294322"/>
      </right>
      <top/>
      <bottom style="hair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</borders>
  <cellStyleXfs count="2">
    <xf numFmtId="0" fontId="0" fillId="0" borderId="0"/>
    <xf numFmtId="44" fontId="20" fillId="0" borderId="0" applyFont="0" applyFill="0" applyBorder="0" applyAlignment="0" applyProtection="0"/>
  </cellStyleXfs>
  <cellXfs count="217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166" fontId="0" fillId="0" borderId="0" xfId="0" applyNumberFormat="1"/>
    <xf numFmtId="3" fontId="0" fillId="0" borderId="0" xfId="0" applyNumberFormat="1"/>
    <xf numFmtId="168" fontId="0" fillId="0" borderId="0" xfId="1" applyNumberFormat="1" applyFont="1"/>
    <xf numFmtId="168" fontId="0" fillId="0" borderId="0" xfId="0" applyNumberFormat="1"/>
    <xf numFmtId="0" fontId="5" fillId="3" borderId="1" xfId="0" applyFont="1" applyFill="1" applyBorder="1" applyAlignment="1" applyProtection="1">
      <alignment horizontal="right"/>
      <protection locked="0"/>
    </xf>
    <xf numFmtId="0" fontId="5" fillId="4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 applyAlignment="1" applyProtection="1">
      <alignment horizontal="center"/>
      <protection locked="0"/>
    </xf>
    <xf numFmtId="0" fontId="5" fillId="4" borderId="11" xfId="0" applyFont="1" applyFill="1" applyBorder="1"/>
    <xf numFmtId="0" fontId="0" fillId="4" borderId="1" xfId="0" applyFill="1" applyBorder="1"/>
    <xf numFmtId="0" fontId="5" fillId="4" borderId="1" xfId="0" applyFont="1" applyFill="1" applyBorder="1"/>
    <xf numFmtId="0" fontId="5" fillId="4" borderId="11" xfId="0" applyFont="1" applyFill="1" applyBorder="1" applyProtection="1">
      <protection locked="0"/>
    </xf>
    <xf numFmtId="0" fontId="0" fillId="4" borderId="1" xfId="0" applyFill="1" applyBorder="1" applyAlignment="1" applyProtection="1">
      <alignment horizontal="left"/>
      <protection locked="0"/>
    </xf>
    <xf numFmtId="169" fontId="0" fillId="0" borderId="0" xfId="0" applyNumberFormat="1"/>
    <xf numFmtId="170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66" fontId="0" fillId="4" borderId="1" xfId="0" applyNumberFormat="1" applyFill="1" applyBorder="1" applyAlignment="1">
      <alignment horizontal="center"/>
    </xf>
    <xf numFmtId="171" fontId="0" fillId="4" borderId="1" xfId="0" applyNumberForma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164" fontId="0" fillId="0" borderId="0" xfId="0" applyNumberFormat="1" applyAlignment="1">
      <alignment horizontal="left"/>
    </xf>
    <xf numFmtId="0" fontId="0" fillId="4" borderId="8" xfId="0" applyFill="1" applyBorder="1"/>
    <xf numFmtId="0" fontId="0" fillId="0" borderId="0" xfId="0"/>
    <xf numFmtId="164" fontId="0" fillId="0" borderId="0" xfId="0" applyNumberFormat="1"/>
    <xf numFmtId="0" fontId="14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4" fontId="0" fillId="3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9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44" fontId="0" fillId="3" borderId="7" xfId="0" applyNumberFormat="1" applyFill="1" applyBorder="1" applyAlignment="1">
      <alignment horizontal="center"/>
    </xf>
    <xf numFmtId="164" fontId="0" fillId="4" borderId="7" xfId="0" applyNumberFormat="1" applyFill="1" applyBorder="1" applyAlignment="1">
      <alignment horizontal="center"/>
    </xf>
    <xf numFmtId="164" fontId="0" fillId="4" borderId="4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164" fontId="0" fillId="4" borderId="2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4" borderId="6" xfId="0" applyFill="1" applyBorder="1" applyAlignment="1">
      <alignment horizontal="right"/>
    </xf>
    <xf numFmtId="0" fontId="0" fillId="2" borderId="7" xfId="0" applyFill="1" applyBorder="1" applyAlignment="1">
      <alignment horizontal="center"/>
    </xf>
    <xf numFmtId="4" fontId="0" fillId="3" borderId="1" xfId="0" applyNumberFormat="1" applyFill="1" applyBorder="1" applyAlignment="1">
      <alignment horizontal="center"/>
    </xf>
    <xf numFmtId="4" fontId="0" fillId="4" borderId="6" xfId="0" applyNumberFormat="1" applyFill="1" applyBorder="1" applyAlignment="1">
      <alignment horizontal="center"/>
    </xf>
    <xf numFmtId="4" fontId="0" fillId="4" borderId="2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4" borderId="8" xfId="0" applyFill="1" applyBorder="1"/>
    <xf numFmtId="0" fontId="0" fillId="4" borderId="1" xfId="0" applyFill="1" applyBorder="1"/>
    <xf numFmtId="166" fontId="0" fillId="3" borderId="1" xfId="0" applyNumberFormat="1" applyFill="1" applyBorder="1" applyAlignment="1" applyProtection="1">
      <alignment horizontal="center"/>
      <protection locked="0"/>
    </xf>
    <xf numFmtId="165" fontId="5" fillId="3" borderId="1" xfId="0" applyNumberFormat="1" applyFont="1" applyFill="1" applyBorder="1" applyAlignment="1" applyProtection="1">
      <alignment horizontal="center"/>
      <protection locked="0"/>
    </xf>
    <xf numFmtId="10" fontId="0" fillId="3" borderId="1" xfId="0" applyNumberFormat="1" applyFill="1" applyBorder="1" applyAlignment="1" applyProtection="1">
      <alignment horizontal="center"/>
      <protection locked="0"/>
    </xf>
    <xf numFmtId="0" fontId="1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71" fontId="0" fillId="4" borderId="1" xfId="0" applyNumberFormat="1" applyFill="1" applyBorder="1" applyAlignment="1" applyProtection="1">
      <alignment horizontal="center"/>
      <protection locked="0"/>
    </xf>
    <xf numFmtId="0" fontId="5" fillId="4" borderId="1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/>
    </xf>
    <xf numFmtId="0" fontId="19" fillId="4" borderId="12" xfId="0" applyFon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12" fillId="2" borderId="5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right"/>
    </xf>
    <xf numFmtId="0" fontId="5" fillId="4" borderId="1" xfId="0" applyFont="1" applyFill="1" applyBorder="1" applyAlignment="1" applyProtection="1">
      <alignment horizontal="right"/>
      <protection locked="0"/>
    </xf>
    <xf numFmtId="0" fontId="16" fillId="2" borderId="13" xfId="0" applyFont="1" applyFill="1" applyBorder="1" applyAlignment="1">
      <alignment horizontal="center"/>
    </xf>
    <xf numFmtId="0" fontId="16" fillId="2" borderId="14" xfId="0" applyFont="1" applyFill="1" applyBorder="1" applyAlignment="1">
      <alignment horizontal="center"/>
    </xf>
    <xf numFmtId="0" fontId="16" fillId="2" borderId="15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6" fillId="2" borderId="16" xfId="0" applyFont="1" applyFill="1" applyBorder="1" applyAlignment="1">
      <alignment horizontal="center"/>
    </xf>
    <xf numFmtId="0" fontId="16" fillId="2" borderId="17" xfId="0" applyFont="1" applyFill="1" applyBorder="1" applyAlignment="1">
      <alignment horizontal="center"/>
    </xf>
    <xf numFmtId="0" fontId="16" fillId="2" borderId="18" xfId="0" applyFont="1" applyFill="1" applyBorder="1" applyAlignment="1">
      <alignment horizontal="center"/>
    </xf>
    <xf numFmtId="0" fontId="16" fillId="2" borderId="19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49" fontId="10" fillId="2" borderId="1" xfId="0" applyNumberFormat="1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164" fontId="18" fillId="3" borderId="1" xfId="0" applyNumberFormat="1" applyFont="1" applyFill="1" applyBorder="1" applyAlignment="1" applyProtection="1">
      <alignment horizontal="left"/>
      <protection locked="0"/>
    </xf>
    <xf numFmtId="0" fontId="0" fillId="2" borderId="20" xfId="0" applyFill="1" applyBorder="1" applyAlignment="1">
      <alignment horizontal="center"/>
    </xf>
    <xf numFmtId="14" fontId="18" fillId="3" borderId="1" xfId="0" applyNumberFormat="1" applyFont="1" applyFill="1" applyBorder="1" applyAlignment="1" applyProtection="1">
      <alignment horizontal="left"/>
      <protection locked="0"/>
    </xf>
    <xf numFmtId="0" fontId="18" fillId="3" borderId="1" xfId="0" applyFont="1" applyFill="1" applyBorder="1" applyAlignment="1" applyProtection="1">
      <alignment horizontal="left"/>
      <protection locked="0"/>
    </xf>
    <xf numFmtId="165" fontId="5" fillId="3" borderId="9" xfId="0" applyNumberFormat="1" applyFont="1" applyFill="1" applyBorder="1" applyAlignment="1" applyProtection="1">
      <alignment horizontal="center"/>
      <protection locked="0"/>
    </xf>
    <xf numFmtId="165" fontId="5" fillId="3" borderId="8" xfId="0" applyNumberFormat="1" applyFont="1" applyFill="1" applyBorder="1" applyAlignment="1" applyProtection="1">
      <alignment horizontal="center"/>
      <protection locked="0"/>
    </xf>
    <xf numFmtId="3" fontId="18" fillId="2" borderId="20" xfId="0" applyNumberFormat="1" applyFont="1" applyFill="1" applyBorder="1" applyAlignment="1">
      <alignment horizontal="right"/>
    </xf>
    <xf numFmtId="3" fontId="18" fillId="2" borderId="8" xfId="0" applyNumberFormat="1" applyFont="1" applyFill="1" applyBorder="1" applyAlignment="1">
      <alignment horizontal="right"/>
    </xf>
    <xf numFmtId="164" fontId="18" fillId="2" borderId="9" xfId="0" applyNumberFormat="1" applyFont="1" applyFill="1" applyBorder="1" applyAlignment="1">
      <alignment horizontal="right"/>
    </xf>
    <xf numFmtId="164" fontId="18" fillId="2" borderId="20" xfId="0" applyNumberFormat="1" applyFont="1" applyFill="1" applyBorder="1" applyAlignment="1">
      <alignment horizontal="right"/>
    </xf>
    <xf numFmtId="164" fontId="18" fillId="2" borderId="8" xfId="0" applyNumberFormat="1" applyFont="1" applyFill="1" applyBorder="1" applyAlignment="1">
      <alignment horizontal="right"/>
    </xf>
    <xf numFmtId="0" fontId="21" fillId="2" borderId="9" xfId="0" applyFont="1" applyFill="1" applyBorder="1" applyAlignment="1">
      <alignment horizontal="right"/>
    </xf>
    <xf numFmtId="0" fontId="21" fillId="2" borderId="20" xfId="0" applyFont="1" applyFill="1" applyBorder="1" applyAlignment="1">
      <alignment horizontal="right"/>
    </xf>
    <xf numFmtId="0" fontId="21" fillId="2" borderId="8" xfId="0" applyFont="1" applyFill="1" applyBorder="1" applyAlignment="1">
      <alignment horizontal="right"/>
    </xf>
    <xf numFmtId="0" fontId="10" fillId="2" borderId="12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7" fillId="2" borderId="12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4" fontId="18" fillId="0" borderId="10" xfId="0" applyNumberFormat="1" applyFont="1" applyBorder="1" applyAlignment="1">
      <alignment horizontal="center"/>
    </xf>
    <xf numFmtId="4" fontId="18" fillId="0" borderId="0" xfId="0" applyNumberFormat="1" applyFont="1" applyAlignment="1">
      <alignment horizontal="center"/>
    </xf>
    <xf numFmtId="0" fontId="18" fillId="0" borderId="10" xfId="0" applyFont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164" fontId="21" fillId="2" borderId="9" xfId="0" applyNumberFormat="1" applyFont="1" applyFill="1" applyBorder="1" applyAlignment="1">
      <alignment horizontal="left"/>
    </xf>
    <xf numFmtId="164" fontId="21" fillId="2" borderId="20" xfId="0" applyNumberFormat="1" applyFont="1" applyFill="1" applyBorder="1" applyAlignment="1">
      <alignment horizontal="left"/>
    </xf>
    <xf numFmtId="0" fontId="0" fillId="4" borderId="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6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0" fillId="2" borderId="1" xfId="0" applyFill="1" applyBorder="1"/>
    <xf numFmtId="0" fontId="19" fillId="2" borderId="1" xfId="0" applyFont="1" applyFill="1" applyBorder="1"/>
    <xf numFmtId="0" fontId="19" fillId="2" borderId="1" xfId="0" applyFont="1" applyFill="1" applyBorder="1" applyAlignment="1">
      <alignment horizontal="center" vertical="center"/>
    </xf>
    <xf numFmtId="167" fontId="19" fillId="3" borderId="1" xfId="0" applyNumberFormat="1" applyFont="1" applyFill="1" applyBorder="1" applyAlignment="1">
      <alignment horizontal="center"/>
    </xf>
    <xf numFmtId="14" fontId="19" fillId="3" borderId="1" xfId="0" applyNumberFormat="1" applyFont="1" applyFill="1" applyBorder="1" applyAlignment="1" applyProtection="1">
      <alignment horizontal="center"/>
      <protection locked="0"/>
    </xf>
    <xf numFmtId="165" fontId="19" fillId="2" borderId="1" xfId="0" applyNumberFormat="1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/>
    </xf>
    <xf numFmtId="3" fontId="0" fillId="2" borderId="1" xfId="0" applyNumberFormat="1" applyFill="1" applyBorder="1" applyAlignment="1">
      <alignment horizontal="center"/>
    </xf>
    <xf numFmtId="3" fontId="19" fillId="3" borderId="1" xfId="0" applyNumberFormat="1" applyFont="1" applyFill="1" applyBorder="1"/>
    <xf numFmtId="3" fontId="19" fillId="2" borderId="1" xfId="0" applyNumberFormat="1" applyFont="1" applyFill="1" applyBorder="1"/>
    <xf numFmtId="3" fontId="19" fillId="3" borderId="1" xfId="0" applyNumberFormat="1" applyFont="1" applyFill="1" applyBorder="1" applyAlignment="1">
      <alignment horizontal="center"/>
    </xf>
    <xf numFmtId="3" fontId="19" fillId="2" borderId="1" xfId="0" applyNumberFormat="1" applyFont="1" applyFill="1" applyBorder="1" applyAlignment="1">
      <alignment horizontal="right"/>
    </xf>
    <xf numFmtId="166" fontId="19" fillId="2" borderId="1" xfId="0" applyNumberFormat="1" applyFont="1" applyFill="1" applyBorder="1" applyAlignment="1">
      <alignment horizontal="center"/>
    </xf>
    <xf numFmtId="0" fontId="10" fillId="2" borderId="1" xfId="0" applyFont="1" applyFill="1" applyBorder="1"/>
    <xf numFmtId="0" fontId="8" fillId="4" borderId="1" xfId="0" applyFont="1" applyFill="1" applyBorder="1" applyAlignment="1">
      <alignment horizontal="left"/>
    </xf>
    <xf numFmtId="171" fontId="0" fillId="4" borderId="1" xfId="0" applyNumberFormat="1" applyFill="1" applyBorder="1" applyAlignment="1">
      <alignment horizontal="left"/>
    </xf>
    <xf numFmtId="172" fontId="0" fillId="4" borderId="1" xfId="1" applyNumberFormat="1" applyFont="1" applyFill="1" applyBorder="1" applyAlignment="1">
      <alignment horizontal="left"/>
    </xf>
    <xf numFmtId="166" fontId="0" fillId="4" borderId="1" xfId="0" applyNumberFormat="1" applyFill="1" applyBorder="1" applyAlignment="1">
      <alignment horizontal="left"/>
    </xf>
    <xf numFmtId="4" fontId="0" fillId="4" borderId="1" xfId="0" applyNumberFormat="1" applyFill="1" applyBorder="1"/>
    <xf numFmtId="0" fontId="9" fillId="4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164" fontId="0" fillId="4" borderId="1" xfId="0" applyNumberFormat="1" applyFill="1" applyBorder="1"/>
    <xf numFmtId="0" fontId="2" fillId="2" borderId="1" xfId="0" applyFont="1" applyFill="1" applyBorder="1" applyAlignment="1">
      <alignment horizontal="center"/>
    </xf>
    <xf numFmtId="0" fontId="0" fillId="3" borderId="1" xfId="0" applyFill="1" applyBorder="1"/>
    <xf numFmtId="165" fontId="0" fillId="4" borderId="1" xfId="0" applyNumberFormat="1" applyFill="1" applyBorder="1" applyAlignment="1">
      <alignment horizontal="center"/>
    </xf>
    <xf numFmtId="166" fontId="0" fillId="4" borderId="1" xfId="0" applyNumberFormat="1" applyFill="1" applyBorder="1" applyAlignment="1">
      <alignment horizontal="center"/>
    </xf>
    <xf numFmtId="10" fontId="0" fillId="3" borderId="1" xfId="0" applyNumberFormat="1" applyFill="1" applyBorder="1"/>
    <xf numFmtId="0" fontId="18" fillId="4" borderId="1" xfId="0" applyFont="1" applyFill="1" applyBorder="1" applyAlignment="1">
      <alignment horizontal="right"/>
    </xf>
    <xf numFmtId="0" fontId="0" fillId="4" borderId="9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19" fillId="2" borderId="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19" fillId="2" borderId="8" xfId="0" applyFont="1" applyFill="1" applyBorder="1" applyAlignment="1">
      <alignment horizontal="center"/>
    </xf>
    <xf numFmtId="166" fontId="6" fillId="2" borderId="9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19" fillId="2" borderId="6" xfId="0" applyFont="1" applyFill="1" applyBorder="1" applyAlignment="1">
      <alignment horizontal="center"/>
    </xf>
    <xf numFmtId="0" fontId="19" fillId="2" borderId="7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left"/>
    </xf>
    <xf numFmtId="167" fontId="19" fillId="3" borderId="8" xfId="0" applyNumberFormat="1" applyFont="1" applyFill="1" applyBorder="1" applyAlignment="1">
      <alignment horizontal="center"/>
    </xf>
    <xf numFmtId="3" fontId="0" fillId="2" borderId="8" xfId="0" applyNumberFormat="1" applyFill="1" applyBorder="1" applyAlignment="1">
      <alignment horizontal="center"/>
    </xf>
    <xf numFmtId="3" fontId="0" fillId="2" borderId="9" xfId="0" applyNumberFormat="1" applyFill="1" applyBorder="1" applyAlignment="1">
      <alignment horizontal="center"/>
    </xf>
    <xf numFmtId="3" fontId="19" fillId="3" borderId="8" xfId="0" applyNumberFormat="1" applyFont="1" applyFill="1" applyBorder="1"/>
    <xf numFmtId="3" fontId="19" fillId="2" borderId="1" xfId="0" applyNumberFormat="1" applyFont="1" applyFill="1" applyBorder="1" applyAlignment="1">
      <alignment horizontal="center"/>
    </xf>
    <xf numFmtId="0" fontId="19" fillId="2" borderId="9" xfId="0" applyFont="1" applyFill="1" applyBorder="1"/>
    <xf numFmtId="0" fontId="0" fillId="2" borderId="8" xfId="0" applyFill="1" applyBorder="1"/>
    <xf numFmtId="0" fontId="10" fillId="2" borderId="9" xfId="0" applyFont="1" applyFill="1" applyBorder="1" applyAlignment="1">
      <alignment horizontal="center"/>
    </xf>
    <xf numFmtId="0" fontId="10" fillId="2" borderId="8" xfId="0" applyFont="1" applyFill="1" applyBorder="1"/>
    <xf numFmtId="166" fontId="0" fillId="4" borderId="9" xfId="0" applyNumberFormat="1" applyFill="1" applyBorder="1" applyAlignment="1">
      <alignment horizontal="left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166" fontId="0" fillId="4" borderId="9" xfId="0" applyNumberFormat="1" applyFill="1" applyBorder="1" applyAlignment="1">
      <alignment horizontal="center"/>
    </xf>
    <xf numFmtId="0" fontId="18" fillId="4" borderId="8" xfId="0" applyFont="1" applyFill="1" applyBorder="1" applyAlignment="1">
      <alignment horizontal="right"/>
    </xf>
    <xf numFmtId="0" fontId="18" fillId="4" borderId="3" xfId="0" applyFont="1" applyFill="1" applyBorder="1" applyAlignment="1">
      <alignment horizontal="right"/>
    </xf>
    <xf numFmtId="0" fontId="18" fillId="4" borderId="6" xfId="0" applyFont="1" applyFill="1" applyBorder="1" applyAlignment="1">
      <alignment horizontal="right"/>
    </xf>
    <xf numFmtId="166" fontId="0" fillId="4" borderId="6" xfId="0" applyNumberFormat="1" applyFill="1" applyBorder="1" applyAlignment="1">
      <alignment horizontal="center"/>
    </xf>
    <xf numFmtId="166" fontId="0" fillId="4" borderId="2" xfId="0" applyNumberFormat="1" applyFill="1" applyBorder="1" applyAlignment="1">
      <alignment horizontal="center"/>
    </xf>
    <xf numFmtId="0" fontId="19" fillId="2" borderId="6" xfId="0" applyFont="1" applyFill="1" applyBorder="1" applyAlignment="1">
      <alignment horizontal="center" vertical="center"/>
    </xf>
    <xf numFmtId="0" fontId="19" fillId="2" borderId="7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/>
    </xf>
    <xf numFmtId="0" fontId="14" fillId="2" borderId="7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4" fillId="2" borderId="20" xfId="0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/>
    </xf>
    <xf numFmtId="0" fontId="14" fillId="2" borderId="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18" xfId="0" applyFont="1" applyFill="1" applyBorder="1" applyAlignment="1">
      <alignment horizontal="center"/>
    </xf>
    <xf numFmtId="0" fontId="13" fillId="2" borderId="21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3" fillId="2" borderId="18" xfId="0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/>
    </xf>
    <xf numFmtId="0" fontId="22" fillId="0" borderId="0" xfId="0" applyFont="1"/>
    <xf numFmtId="0" fontId="10" fillId="2" borderId="11" xfId="0" applyFont="1" applyFill="1" applyBorder="1" applyAlignment="1">
      <alignment horizontal="center"/>
    </xf>
    <xf numFmtId="0" fontId="2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2">
    <cellStyle name="Moeda" xfId="1" builtinId="4"/>
    <cellStyle name="Normal" xfId="0" builtinId="0"/>
  </cellStyles>
  <dxfs count="8">
    <dxf>
      <font>
        <color rgb="FFFF0000"/>
      </font>
    </dxf>
    <dxf>
      <font>
        <b/>
        <i val="0"/>
        <color theme="1"/>
      </font>
    </dxf>
    <dxf>
      <font>
        <color rgb="FFFF0000"/>
      </font>
    </dxf>
    <dxf>
      <font>
        <b/>
        <i val="0"/>
      </font>
    </dxf>
    <dxf>
      <font>
        <color rgb="FFFF0000"/>
      </font>
    </dxf>
    <dxf>
      <font>
        <b/>
        <i val="0"/>
      </font>
    </dxf>
    <dxf>
      <font>
        <color rgb="FFFF000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Comparativo Custos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9725350633331364E-2"/>
          <c:y val="0.17246632092760142"/>
          <c:w val="0.94550352383889247"/>
          <c:h val="0.70661894970749928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Dashboard!$A$6:$A$12</c:f>
              <c:strCache>
                <c:ptCount val="7"/>
                <c:pt idx="0">
                  <c:v>Custos Fixos</c:v>
                </c:pt>
                <c:pt idx="1">
                  <c:v>Custos Mão de Obra</c:v>
                </c:pt>
                <c:pt idx="2">
                  <c:v>Outros Custos</c:v>
                </c:pt>
                <c:pt idx="3">
                  <c:v>Custo Materia Prima Fralda M</c:v>
                </c:pt>
                <c:pt idx="4">
                  <c:v>Custo Materia Prima Fralda G</c:v>
                </c:pt>
                <c:pt idx="5">
                  <c:v>Custo Materia Prima Fralda EG</c:v>
                </c:pt>
                <c:pt idx="6">
                  <c:v>Perda Materia Prima</c:v>
                </c:pt>
              </c:strCache>
            </c:strRef>
          </c:cat>
          <c:val>
            <c:numRef>
              <c:f>Dashboard!$F$7:$F$12</c:f>
              <c:numCache>
                <c:formatCode>"R$"\ #,##0.00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7F35-4A83-AFB2-1FEF9932F348}"/>
            </c:ext>
          </c:extLst>
        </c:ser>
        <c:ser>
          <c:idx val="2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F35-4A83-AFB2-1FEF9932F348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F35-4A83-AFB2-1FEF9932F348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F35-4A83-AFB2-1FEF9932F348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F35-4A83-AFB2-1FEF9932F348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7F35-4A83-AFB2-1FEF9932F34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F35-4A83-AFB2-1FEF9932F34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Dashboard!$A$6:$A$12</c:f>
              <c:strCache>
                <c:ptCount val="7"/>
                <c:pt idx="0">
                  <c:v>Custos Fixos</c:v>
                </c:pt>
                <c:pt idx="1">
                  <c:v>Custos Mão de Obra</c:v>
                </c:pt>
                <c:pt idx="2">
                  <c:v>Outros Custos</c:v>
                </c:pt>
                <c:pt idx="3">
                  <c:v>Custo Materia Prima Fralda M</c:v>
                </c:pt>
                <c:pt idx="4">
                  <c:v>Custo Materia Prima Fralda G</c:v>
                </c:pt>
                <c:pt idx="5">
                  <c:v>Custo Materia Prima Fralda EG</c:v>
                </c:pt>
                <c:pt idx="6">
                  <c:v>Perda Materia Prima</c:v>
                </c:pt>
              </c:strCache>
            </c:strRef>
          </c:cat>
          <c:val>
            <c:numRef>
              <c:f>Dashboard!$E$6:$E$12</c:f>
              <c:numCache>
                <c:formatCode>"R$"\ #,##0.00</c:formatCode>
                <c:ptCount val="7"/>
                <c:pt idx="0">
                  <c:v>32524.749999999996</c:v>
                </c:pt>
                <c:pt idx="1">
                  <c:v>43408.173111111108</c:v>
                </c:pt>
                <c:pt idx="2">
                  <c:v>3960</c:v>
                </c:pt>
                <c:pt idx="3">
                  <c:v>75719.59133333333</c:v>
                </c:pt>
                <c:pt idx="4">
                  <c:v>79133.474333333332</c:v>
                </c:pt>
                <c:pt idx="5">
                  <c:v>84956.294952380951</c:v>
                </c:pt>
                <c:pt idx="6">
                  <c:v>5995.2340154761905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35-4A83-AFB2-1FEF9932F348}"/>
            </c:ext>
          </c:extLst>
        </c:ser>
        <c:ser>
          <c:idx val="3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Dashboard!$A$6:$A$12</c:f>
              <c:strCache>
                <c:ptCount val="7"/>
                <c:pt idx="0">
                  <c:v>Custos Fixos</c:v>
                </c:pt>
                <c:pt idx="1">
                  <c:v>Custos Mão de Obra</c:v>
                </c:pt>
                <c:pt idx="2">
                  <c:v>Outros Custos</c:v>
                </c:pt>
                <c:pt idx="3">
                  <c:v>Custo Materia Prima Fralda M</c:v>
                </c:pt>
                <c:pt idx="4">
                  <c:v>Custo Materia Prima Fralda G</c:v>
                </c:pt>
                <c:pt idx="5">
                  <c:v>Custo Materia Prima Fralda EG</c:v>
                </c:pt>
                <c:pt idx="6">
                  <c:v>Perda Materia Prima</c:v>
                </c:pt>
              </c:strCache>
            </c:strRef>
          </c:cat>
          <c:val>
            <c:numRef>
              <c:f>Dashboard!$H$7:$H$12</c:f>
              <c:numCache>
                <c:formatCode>"R$"\ #,##0.00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7F35-4A83-AFB2-1FEF9932F34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40"/>
        <c:axId val="523631768"/>
        <c:axId val="523632848"/>
      </c:barChart>
      <c:catAx>
        <c:axId val="52363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3632848"/>
        <c:crosses val="autoZero"/>
        <c:auto val="1"/>
        <c:lblAlgn val="ctr"/>
        <c:lblOffset val="100"/>
        <c:noMultiLvlLbl val="0"/>
      </c:catAx>
      <c:valAx>
        <c:axId val="523632848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523631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Comparativo</a:t>
            </a:r>
            <a:r>
              <a:rPr lang="pt-BR" baseline="0"/>
              <a:t> Fraldas Produzidas Tamanhos M, G, EG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2F3-44BE-B96D-7CC56BC5D49A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2F3-44BE-B96D-7CC56BC5D4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Dashboard!$I$6:$I$8</c:f>
              <c:strCache>
                <c:ptCount val="3"/>
                <c:pt idx="0">
                  <c:v>Fraldas Tamanho M</c:v>
                </c:pt>
                <c:pt idx="1">
                  <c:v>Fraldas Tamanho G</c:v>
                </c:pt>
                <c:pt idx="2">
                  <c:v>Fraldas Tamanho EG</c:v>
                </c:pt>
              </c:strCache>
            </c:strRef>
          </c:cat>
          <c:val>
            <c:numRef>
              <c:f>Dashboard!$O$6:$O$8</c:f>
              <c:numCache>
                <c:formatCode>#,##0</c:formatCode>
                <c:ptCount val="3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F3-44BE-B96D-7CC56BC5D49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50"/>
        <c:axId val="525398864"/>
        <c:axId val="525399944"/>
      </c:barChart>
      <c:catAx>
        <c:axId val="52539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5399944"/>
        <c:crosses val="autoZero"/>
        <c:auto val="1"/>
        <c:lblAlgn val="ctr"/>
        <c:lblOffset val="100"/>
        <c:noMultiLvlLbl val="0"/>
      </c:catAx>
      <c:valAx>
        <c:axId val="525399944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52539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/>
              <a:t>Comparativo custo Total Materia Prima Gasta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7315856856476038E-3"/>
          <c:y val="5.6461553591813679E-2"/>
          <c:w val="0.9942684143143522"/>
          <c:h val="0.47769845259644406"/>
        </c:manualLayout>
      </c:layout>
      <c:barChart>
        <c:barDir val="col"/>
        <c:grouping val="clustered"/>
        <c:varyColors val="0"/>
        <c:ser>
          <c:idx val="8"/>
          <c:order val="0"/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Dashboard!$A$22:$A$39</c:f>
              <c:strCache>
                <c:ptCount val="18"/>
                <c:pt idx="0">
                  <c:v>TNT (Tecido Não Tecido) Trasnfer  - M²</c:v>
                </c:pt>
                <c:pt idx="1">
                  <c:v>TNT (Barreira - Tecido Não Tecido) - M²</c:v>
                </c:pt>
                <c:pt idx="2">
                  <c:v>Gel Superrabisorvente (SAP) - KG</c:v>
                </c:pt>
                <c:pt idx="3">
                  <c:v>Celulose Fluff  - KG</c:v>
                </c:pt>
                <c:pt idx="4">
                  <c:v>Elásticos (Laterais e Cintura) - KG</c:v>
                </c:pt>
                <c:pt idx="5">
                  <c:v>Fitas Adesivas - M²</c:v>
                </c:pt>
                <c:pt idx="6">
                  <c:v>Adesivo Construção - KG</c:v>
                </c:pt>
                <c:pt idx="7">
                  <c:v>Tinta do Indicador de Umidade - Litro</c:v>
                </c:pt>
                <c:pt idx="8">
                  <c:v>Tinta Datadora de Lote - Litro</c:v>
                </c:pt>
                <c:pt idx="9">
                  <c:v>Adesivo Elástico - KG</c:v>
                </c:pt>
                <c:pt idx="10">
                  <c:v>Fralda M - Polietileno (Filme eterno) - 600mm- kG</c:v>
                </c:pt>
                <c:pt idx="11">
                  <c:v>Fralda G - Polietileno (Filme eterno) - 660mm - kG</c:v>
                </c:pt>
                <c:pt idx="12">
                  <c:v>Fralda EG - Polietileno (Filme eterno) - 750mm- kG</c:v>
                </c:pt>
                <c:pt idx="13">
                  <c:v>Fralda M - TNT (Cobertura - Tecido Não Tecido) - 600mm  - M²</c:v>
                </c:pt>
                <c:pt idx="14">
                  <c:v>Fralda g - TNT (Cobertura - Tecido Não Tecido) - 650mm - M²</c:v>
                </c:pt>
                <c:pt idx="15">
                  <c:v>Fralda EG - TNT (Cobertura - Tecido Não Tecido) - 750mm - M²</c:v>
                </c:pt>
                <c:pt idx="16">
                  <c:v>Embalagem</c:v>
                </c:pt>
                <c:pt idx="17">
                  <c:v>Fardo</c:v>
                </c:pt>
              </c:strCache>
            </c:strRef>
          </c:cat>
          <c:val>
            <c:numRef>
              <c:f>Dashboard!$B$22:$B$39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50-32A7-4A34-8537-2AE8EDFD35F5}"/>
            </c:ext>
          </c:extLst>
        </c:ser>
        <c:ser>
          <c:idx val="9"/>
          <c:order val="1"/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Dashboard!$A$22:$A$39</c:f>
              <c:strCache>
                <c:ptCount val="18"/>
                <c:pt idx="0">
                  <c:v>TNT (Tecido Não Tecido) Trasnfer  - M²</c:v>
                </c:pt>
                <c:pt idx="1">
                  <c:v>TNT (Barreira - Tecido Não Tecido) - M²</c:v>
                </c:pt>
                <c:pt idx="2">
                  <c:v>Gel Superrabisorvente (SAP) - KG</c:v>
                </c:pt>
                <c:pt idx="3">
                  <c:v>Celulose Fluff  - KG</c:v>
                </c:pt>
                <c:pt idx="4">
                  <c:v>Elásticos (Laterais e Cintura) - KG</c:v>
                </c:pt>
                <c:pt idx="5">
                  <c:v>Fitas Adesivas - M²</c:v>
                </c:pt>
                <c:pt idx="6">
                  <c:v>Adesivo Construção - KG</c:v>
                </c:pt>
                <c:pt idx="7">
                  <c:v>Tinta do Indicador de Umidade - Litro</c:v>
                </c:pt>
                <c:pt idx="8">
                  <c:v>Tinta Datadora de Lote - Litro</c:v>
                </c:pt>
                <c:pt idx="9">
                  <c:v>Adesivo Elástico - KG</c:v>
                </c:pt>
                <c:pt idx="10">
                  <c:v>Fralda M - Polietileno (Filme eterno) - 600mm- kG</c:v>
                </c:pt>
                <c:pt idx="11">
                  <c:v>Fralda G - Polietileno (Filme eterno) - 660mm - kG</c:v>
                </c:pt>
                <c:pt idx="12">
                  <c:v>Fralda EG - Polietileno (Filme eterno) - 750mm- kG</c:v>
                </c:pt>
                <c:pt idx="13">
                  <c:v>Fralda M - TNT (Cobertura - Tecido Não Tecido) - 600mm  - M²</c:v>
                </c:pt>
                <c:pt idx="14">
                  <c:v>Fralda g - TNT (Cobertura - Tecido Não Tecido) - 650mm - M²</c:v>
                </c:pt>
                <c:pt idx="15">
                  <c:v>Fralda EG - TNT (Cobertura - Tecido Não Tecido) - 750mm - M²</c:v>
                </c:pt>
                <c:pt idx="16">
                  <c:v>Embalagem</c:v>
                </c:pt>
                <c:pt idx="17">
                  <c:v>Fardo</c:v>
                </c:pt>
              </c:strCache>
            </c:strRef>
          </c:cat>
          <c:val>
            <c:numRef>
              <c:f>Dashboard!$C$22:$C$39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51-32A7-4A34-8537-2AE8EDFD35F5}"/>
            </c:ext>
          </c:extLst>
        </c:ser>
        <c:ser>
          <c:idx val="10"/>
          <c:order val="2"/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Dashboard!$A$22:$A$39</c:f>
              <c:strCache>
                <c:ptCount val="18"/>
                <c:pt idx="0">
                  <c:v>TNT (Tecido Não Tecido) Trasnfer  - M²</c:v>
                </c:pt>
                <c:pt idx="1">
                  <c:v>TNT (Barreira - Tecido Não Tecido) - M²</c:v>
                </c:pt>
                <c:pt idx="2">
                  <c:v>Gel Superrabisorvente (SAP) - KG</c:v>
                </c:pt>
                <c:pt idx="3">
                  <c:v>Celulose Fluff  - KG</c:v>
                </c:pt>
                <c:pt idx="4">
                  <c:v>Elásticos (Laterais e Cintura) - KG</c:v>
                </c:pt>
                <c:pt idx="5">
                  <c:v>Fitas Adesivas - M²</c:v>
                </c:pt>
                <c:pt idx="6">
                  <c:v>Adesivo Construção - KG</c:v>
                </c:pt>
                <c:pt idx="7">
                  <c:v>Tinta do Indicador de Umidade - Litro</c:v>
                </c:pt>
                <c:pt idx="8">
                  <c:v>Tinta Datadora de Lote - Litro</c:v>
                </c:pt>
                <c:pt idx="9">
                  <c:v>Adesivo Elástico - KG</c:v>
                </c:pt>
                <c:pt idx="10">
                  <c:v>Fralda M - Polietileno (Filme eterno) - 600mm- kG</c:v>
                </c:pt>
                <c:pt idx="11">
                  <c:v>Fralda G - Polietileno (Filme eterno) - 660mm - kG</c:v>
                </c:pt>
                <c:pt idx="12">
                  <c:v>Fralda EG - Polietileno (Filme eterno) - 750mm- kG</c:v>
                </c:pt>
                <c:pt idx="13">
                  <c:v>Fralda M - TNT (Cobertura - Tecido Não Tecido) - 600mm  - M²</c:v>
                </c:pt>
                <c:pt idx="14">
                  <c:v>Fralda g - TNT (Cobertura - Tecido Não Tecido) - 650mm - M²</c:v>
                </c:pt>
                <c:pt idx="15">
                  <c:v>Fralda EG - TNT (Cobertura - Tecido Não Tecido) - 750mm - M²</c:v>
                </c:pt>
                <c:pt idx="16">
                  <c:v>Embalagem</c:v>
                </c:pt>
                <c:pt idx="17">
                  <c:v>Fardo</c:v>
                </c:pt>
              </c:strCache>
            </c:strRef>
          </c:cat>
          <c:val>
            <c:numRef>
              <c:f>Dashboard!$D$22:$D$39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52-32A7-4A34-8537-2AE8EDFD35F5}"/>
            </c:ext>
          </c:extLst>
        </c:ser>
        <c:ser>
          <c:idx val="11"/>
          <c:order val="3"/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Dashboard!$A$22:$A$39</c:f>
              <c:strCache>
                <c:ptCount val="18"/>
                <c:pt idx="0">
                  <c:v>TNT (Tecido Não Tecido) Trasnfer  - M²</c:v>
                </c:pt>
                <c:pt idx="1">
                  <c:v>TNT (Barreira - Tecido Não Tecido) - M²</c:v>
                </c:pt>
                <c:pt idx="2">
                  <c:v>Gel Superrabisorvente (SAP) - KG</c:v>
                </c:pt>
                <c:pt idx="3">
                  <c:v>Celulose Fluff  - KG</c:v>
                </c:pt>
                <c:pt idx="4">
                  <c:v>Elásticos (Laterais e Cintura) - KG</c:v>
                </c:pt>
                <c:pt idx="5">
                  <c:v>Fitas Adesivas - M²</c:v>
                </c:pt>
                <c:pt idx="6">
                  <c:v>Adesivo Construção - KG</c:v>
                </c:pt>
                <c:pt idx="7">
                  <c:v>Tinta do Indicador de Umidade - Litro</c:v>
                </c:pt>
                <c:pt idx="8">
                  <c:v>Tinta Datadora de Lote - Litro</c:v>
                </c:pt>
                <c:pt idx="9">
                  <c:v>Adesivo Elástico - KG</c:v>
                </c:pt>
                <c:pt idx="10">
                  <c:v>Fralda M - Polietileno (Filme eterno) - 600mm- kG</c:v>
                </c:pt>
                <c:pt idx="11">
                  <c:v>Fralda G - Polietileno (Filme eterno) - 660mm - kG</c:v>
                </c:pt>
                <c:pt idx="12">
                  <c:v>Fralda EG - Polietileno (Filme eterno) - 750mm- kG</c:v>
                </c:pt>
                <c:pt idx="13">
                  <c:v>Fralda M - TNT (Cobertura - Tecido Não Tecido) - 600mm  - M²</c:v>
                </c:pt>
                <c:pt idx="14">
                  <c:v>Fralda g - TNT (Cobertura - Tecido Não Tecido) - 650mm - M²</c:v>
                </c:pt>
                <c:pt idx="15">
                  <c:v>Fralda EG - TNT (Cobertura - Tecido Não Tecido) - 750mm - M²</c:v>
                </c:pt>
                <c:pt idx="16">
                  <c:v>Embalagem</c:v>
                </c:pt>
                <c:pt idx="17">
                  <c:v>Fardo</c:v>
                </c:pt>
              </c:strCache>
            </c:strRef>
          </c:cat>
          <c:val>
            <c:numRef>
              <c:f>Dashboard!$E$22:$E$39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53-32A7-4A34-8537-2AE8EDFD35F5}"/>
            </c:ext>
          </c:extLst>
        </c:ser>
        <c:ser>
          <c:idx val="12"/>
          <c:order val="4"/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Dashboard!$A$22:$A$39</c:f>
              <c:strCache>
                <c:ptCount val="18"/>
                <c:pt idx="0">
                  <c:v>TNT (Tecido Não Tecido) Trasnfer  - M²</c:v>
                </c:pt>
                <c:pt idx="1">
                  <c:v>TNT (Barreira - Tecido Não Tecido) - M²</c:v>
                </c:pt>
                <c:pt idx="2">
                  <c:v>Gel Superrabisorvente (SAP) - KG</c:v>
                </c:pt>
                <c:pt idx="3">
                  <c:v>Celulose Fluff  - KG</c:v>
                </c:pt>
                <c:pt idx="4">
                  <c:v>Elásticos (Laterais e Cintura) - KG</c:v>
                </c:pt>
                <c:pt idx="5">
                  <c:v>Fitas Adesivas - M²</c:v>
                </c:pt>
                <c:pt idx="6">
                  <c:v>Adesivo Construção - KG</c:v>
                </c:pt>
                <c:pt idx="7">
                  <c:v>Tinta do Indicador de Umidade - Litro</c:v>
                </c:pt>
                <c:pt idx="8">
                  <c:v>Tinta Datadora de Lote - Litro</c:v>
                </c:pt>
                <c:pt idx="9">
                  <c:v>Adesivo Elástico - KG</c:v>
                </c:pt>
                <c:pt idx="10">
                  <c:v>Fralda M - Polietileno (Filme eterno) - 600mm- kG</c:v>
                </c:pt>
                <c:pt idx="11">
                  <c:v>Fralda G - Polietileno (Filme eterno) - 660mm - kG</c:v>
                </c:pt>
                <c:pt idx="12">
                  <c:v>Fralda EG - Polietileno (Filme eterno) - 750mm- kG</c:v>
                </c:pt>
                <c:pt idx="13">
                  <c:v>Fralda M - TNT (Cobertura - Tecido Não Tecido) - 600mm  - M²</c:v>
                </c:pt>
                <c:pt idx="14">
                  <c:v>Fralda g - TNT (Cobertura - Tecido Não Tecido) - 650mm - M²</c:v>
                </c:pt>
                <c:pt idx="15">
                  <c:v>Fralda EG - TNT (Cobertura - Tecido Não Tecido) - 750mm - M²</c:v>
                </c:pt>
                <c:pt idx="16">
                  <c:v>Embalagem</c:v>
                </c:pt>
                <c:pt idx="17">
                  <c:v>Fardo</c:v>
                </c:pt>
              </c:strCache>
            </c:strRef>
          </c:cat>
          <c:val>
            <c:numRef>
              <c:f>Dashboard!$F$22:$F$39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54-32A7-4A34-8537-2AE8EDFD35F5}"/>
            </c:ext>
          </c:extLst>
        </c:ser>
        <c:ser>
          <c:idx val="13"/>
          <c:order val="5"/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Dashboard!$A$22:$A$39</c:f>
              <c:strCache>
                <c:ptCount val="18"/>
                <c:pt idx="0">
                  <c:v>TNT (Tecido Não Tecido) Trasnfer  - M²</c:v>
                </c:pt>
                <c:pt idx="1">
                  <c:v>TNT (Barreira - Tecido Não Tecido) - M²</c:v>
                </c:pt>
                <c:pt idx="2">
                  <c:v>Gel Superrabisorvente (SAP) - KG</c:v>
                </c:pt>
                <c:pt idx="3">
                  <c:v>Celulose Fluff  - KG</c:v>
                </c:pt>
                <c:pt idx="4">
                  <c:v>Elásticos (Laterais e Cintura) - KG</c:v>
                </c:pt>
                <c:pt idx="5">
                  <c:v>Fitas Adesivas - M²</c:v>
                </c:pt>
                <c:pt idx="6">
                  <c:v>Adesivo Construção - KG</c:v>
                </c:pt>
                <c:pt idx="7">
                  <c:v>Tinta do Indicador de Umidade - Litro</c:v>
                </c:pt>
                <c:pt idx="8">
                  <c:v>Tinta Datadora de Lote - Litro</c:v>
                </c:pt>
                <c:pt idx="9">
                  <c:v>Adesivo Elástico - KG</c:v>
                </c:pt>
                <c:pt idx="10">
                  <c:v>Fralda M - Polietileno (Filme eterno) - 600mm- kG</c:v>
                </c:pt>
                <c:pt idx="11">
                  <c:v>Fralda G - Polietileno (Filme eterno) - 660mm - kG</c:v>
                </c:pt>
                <c:pt idx="12">
                  <c:v>Fralda EG - Polietileno (Filme eterno) - 750mm- kG</c:v>
                </c:pt>
                <c:pt idx="13">
                  <c:v>Fralda M - TNT (Cobertura - Tecido Não Tecido) - 600mm  - M²</c:v>
                </c:pt>
                <c:pt idx="14">
                  <c:v>Fralda g - TNT (Cobertura - Tecido Não Tecido) - 650mm - M²</c:v>
                </c:pt>
                <c:pt idx="15">
                  <c:v>Fralda EG - TNT (Cobertura - Tecido Não Tecido) - 750mm - M²</c:v>
                </c:pt>
                <c:pt idx="16">
                  <c:v>Embalagem</c:v>
                </c:pt>
                <c:pt idx="17">
                  <c:v>Fardo</c:v>
                </c:pt>
              </c:strCache>
            </c:strRef>
          </c:cat>
          <c:val>
            <c:numRef>
              <c:f>Dashboard!$G$22:$G$39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55-32A7-4A34-8537-2AE8EDFD35F5}"/>
            </c:ext>
          </c:extLst>
        </c:ser>
        <c:ser>
          <c:idx val="15"/>
          <c:order val="6"/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Dashboard!$A$22:$A$39</c:f>
              <c:strCache>
                <c:ptCount val="18"/>
                <c:pt idx="0">
                  <c:v>TNT (Tecido Não Tecido) Trasnfer  - M²</c:v>
                </c:pt>
                <c:pt idx="1">
                  <c:v>TNT (Barreira - Tecido Não Tecido) - M²</c:v>
                </c:pt>
                <c:pt idx="2">
                  <c:v>Gel Superrabisorvente (SAP) - KG</c:v>
                </c:pt>
                <c:pt idx="3">
                  <c:v>Celulose Fluff  - KG</c:v>
                </c:pt>
                <c:pt idx="4">
                  <c:v>Elásticos (Laterais e Cintura) - KG</c:v>
                </c:pt>
                <c:pt idx="5">
                  <c:v>Fitas Adesivas - M²</c:v>
                </c:pt>
                <c:pt idx="6">
                  <c:v>Adesivo Construção - KG</c:v>
                </c:pt>
                <c:pt idx="7">
                  <c:v>Tinta do Indicador de Umidade - Litro</c:v>
                </c:pt>
                <c:pt idx="8">
                  <c:v>Tinta Datadora de Lote - Litro</c:v>
                </c:pt>
                <c:pt idx="9">
                  <c:v>Adesivo Elástico - KG</c:v>
                </c:pt>
                <c:pt idx="10">
                  <c:v>Fralda M - Polietileno (Filme eterno) - 600mm- kG</c:v>
                </c:pt>
                <c:pt idx="11">
                  <c:v>Fralda G - Polietileno (Filme eterno) - 660mm - kG</c:v>
                </c:pt>
                <c:pt idx="12">
                  <c:v>Fralda EG - Polietileno (Filme eterno) - 750mm- kG</c:v>
                </c:pt>
                <c:pt idx="13">
                  <c:v>Fralda M - TNT (Cobertura - Tecido Não Tecido) - 600mm  - M²</c:v>
                </c:pt>
                <c:pt idx="14">
                  <c:v>Fralda g - TNT (Cobertura - Tecido Não Tecido) - 650mm - M²</c:v>
                </c:pt>
                <c:pt idx="15">
                  <c:v>Fralda EG - TNT (Cobertura - Tecido Não Tecido) - 750mm - M²</c:v>
                </c:pt>
                <c:pt idx="16">
                  <c:v>Embalagem</c:v>
                </c:pt>
                <c:pt idx="17">
                  <c:v>Fardo</c:v>
                </c:pt>
              </c:strCache>
            </c:strRef>
          </c:cat>
          <c:val>
            <c:numRef>
              <c:f>Dashboard!$I$22:$I$39</c:f>
              <c:numCache>
                <c:formatCode>"R$"\ #,##0.00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67-32A7-4A34-8537-2AE8EDFD35F5}"/>
            </c:ext>
          </c:extLst>
        </c:ser>
        <c:ser>
          <c:idx val="0"/>
          <c:order val="7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Dashboard!$A$22:$A$39</c:f>
              <c:strCache>
                <c:ptCount val="18"/>
                <c:pt idx="0">
                  <c:v>TNT (Tecido Não Tecido) Trasnfer  - M²</c:v>
                </c:pt>
                <c:pt idx="1">
                  <c:v>TNT (Barreira - Tecido Não Tecido) - M²</c:v>
                </c:pt>
                <c:pt idx="2">
                  <c:v>Gel Superrabisorvente (SAP) - KG</c:v>
                </c:pt>
                <c:pt idx="3">
                  <c:v>Celulose Fluff  - KG</c:v>
                </c:pt>
                <c:pt idx="4">
                  <c:v>Elásticos (Laterais e Cintura) - KG</c:v>
                </c:pt>
                <c:pt idx="5">
                  <c:v>Fitas Adesivas - M²</c:v>
                </c:pt>
                <c:pt idx="6">
                  <c:v>Adesivo Construção - KG</c:v>
                </c:pt>
                <c:pt idx="7">
                  <c:v>Tinta do Indicador de Umidade - Litro</c:v>
                </c:pt>
                <c:pt idx="8">
                  <c:v>Tinta Datadora de Lote - Litro</c:v>
                </c:pt>
                <c:pt idx="9">
                  <c:v>Adesivo Elástico - KG</c:v>
                </c:pt>
                <c:pt idx="10">
                  <c:v>Fralda M - Polietileno (Filme eterno) - 600mm- kG</c:v>
                </c:pt>
                <c:pt idx="11">
                  <c:v>Fralda G - Polietileno (Filme eterno) - 660mm - kG</c:v>
                </c:pt>
                <c:pt idx="12">
                  <c:v>Fralda EG - Polietileno (Filme eterno) - 750mm- kG</c:v>
                </c:pt>
                <c:pt idx="13">
                  <c:v>Fralda M - TNT (Cobertura - Tecido Não Tecido) - 600mm  - M²</c:v>
                </c:pt>
                <c:pt idx="14">
                  <c:v>Fralda g - TNT (Cobertura - Tecido Não Tecido) - 650mm - M²</c:v>
                </c:pt>
                <c:pt idx="15">
                  <c:v>Fralda EG - TNT (Cobertura - Tecido Não Tecido) - 750mm - M²</c:v>
                </c:pt>
                <c:pt idx="16">
                  <c:v>Embalagem</c:v>
                </c:pt>
                <c:pt idx="17">
                  <c:v>Fardo</c:v>
                </c:pt>
              </c:strCache>
              <c:extLst xmlns:c15="http://schemas.microsoft.com/office/drawing/2012/chart"/>
            </c:strRef>
          </c:cat>
          <c:val>
            <c:numRef>
              <c:f>Dashboard!$B$22:$B$39</c:f>
              <c:numCache>
                <c:formatCode>General</c:formatCode>
                <c:ptCount val="18"/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3-32A7-4A34-8537-2AE8EDFD35F5}"/>
            </c:ext>
          </c:extLst>
        </c:ser>
        <c:ser>
          <c:idx val="1"/>
          <c:order val="8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Dashboard!$A$22:$A$39</c:f>
              <c:strCache>
                <c:ptCount val="18"/>
                <c:pt idx="0">
                  <c:v>TNT (Tecido Não Tecido) Trasnfer  - M²</c:v>
                </c:pt>
                <c:pt idx="1">
                  <c:v>TNT (Barreira - Tecido Não Tecido) - M²</c:v>
                </c:pt>
                <c:pt idx="2">
                  <c:v>Gel Superrabisorvente (SAP) - KG</c:v>
                </c:pt>
                <c:pt idx="3">
                  <c:v>Celulose Fluff  - KG</c:v>
                </c:pt>
                <c:pt idx="4">
                  <c:v>Elásticos (Laterais e Cintura) - KG</c:v>
                </c:pt>
                <c:pt idx="5">
                  <c:v>Fitas Adesivas - M²</c:v>
                </c:pt>
                <c:pt idx="6">
                  <c:v>Adesivo Construção - KG</c:v>
                </c:pt>
                <c:pt idx="7">
                  <c:v>Tinta do Indicador de Umidade - Litro</c:v>
                </c:pt>
                <c:pt idx="8">
                  <c:v>Tinta Datadora de Lote - Litro</c:v>
                </c:pt>
                <c:pt idx="9">
                  <c:v>Adesivo Elástico - KG</c:v>
                </c:pt>
                <c:pt idx="10">
                  <c:v>Fralda M - Polietileno (Filme eterno) - 600mm- kG</c:v>
                </c:pt>
                <c:pt idx="11">
                  <c:v>Fralda G - Polietileno (Filme eterno) - 660mm - kG</c:v>
                </c:pt>
                <c:pt idx="12">
                  <c:v>Fralda EG - Polietileno (Filme eterno) - 750mm- kG</c:v>
                </c:pt>
                <c:pt idx="13">
                  <c:v>Fralda M - TNT (Cobertura - Tecido Não Tecido) - 600mm  - M²</c:v>
                </c:pt>
                <c:pt idx="14">
                  <c:v>Fralda g - TNT (Cobertura - Tecido Não Tecido) - 650mm - M²</c:v>
                </c:pt>
                <c:pt idx="15">
                  <c:v>Fralda EG - TNT (Cobertura - Tecido Não Tecido) - 750mm - M²</c:v>
                </c:pt>
                <c:pt idx="16">
                  <c:v>Embalagem</c:v>
                </c:pt>
                <c:pt idx="17">
                  <c:v>Fardo</c:v>
                </c:pt>
              </c:strCache>
              <c:extLst xmlns:c15="http://schemas.microsoft.com/office/drawing/2012/chart"/>
            </c:strRef>
          </c:cat>
          <c:val>
            <c:numRef>
              <c:f>Dashboard!$C$22:$C$39</c:f>
              <c:numCache>
                <c:formatCode>General</c:formatCode>
                <c:ptCount val="18"/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5-32A7-4A34-8537-2AE8EDFD35F5}"/>
            </c:ext>
          </c:extLst>
        </c:ser>
        <c:ser>
          <c:idx val="2"/>
          <c:order val="9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Dashboard!$A$22:$A$39</c:f>
              <c:strCache>
                <c:ptCount val="18"/>
                <c:pt idx="0">
                  <c:v>TNT (Tecido Não Tecido) Trasnfer  - M²</c:v>
                </c:pt>
                <c:pt idx="1">
                  <c:v>TNT (Barreira - Tecido Não Tecido) - M²</c:v>
                </c:pt>
                <c:pt idx="2">
                  <c:v>Gel Superrabisorvente (SAP) - KG</c:v>
                </c:pt>
                <c:pt idx="3">
                  <c:v>Celulose Fluff  - KG</c:v>
                </c:pt>
                <c:pt idx="4">
                  <c:v>Elásticos (Laterais e Cintura) - KG</c:v>
                </c:pt>
                <c:pt idx="5">
                  <c:v>Fitas Adesivas - M²</c:v>
                </c:pt>
                <c:pt idx="6">
                  <c:v>Adesivo Construção - KG</c:v>
                </c:pt>
                <c:pt idx="7">
                  <c:v>Tinta do Indicador de Umidade - Litro</c:v>
                </c:pt>
                <c:pt idx="8">
                  <c:v>Tinta Datadora de Lote - Litro</c:v>
                </c:pt>
                <c:pt idx="9">
                  <c:v>Adesivo Elástico - KG</c:v>
                </c:pt>
                <c:pt idx="10">
                  <c:v>Fralda M - Polietileno (Filme eterno) - 600mm- kG</c:v>
                </c:pt>
                <c:pt idx="11">
                  <c:v>Fralda G - Polietileno (Filme eterno) - 660mm - kG</c:v>
                </c:pt>
                <c:pt idx="12">
                  <c:v>Fralda EG - Polietileno (Filme eterno) - 750mm- kG</c:v>
                </c:pt>
                <c:pt idx="13">
                  <c:v>Fralda M - TNT (Cobertura - Tecido Não Tecido) - 600mm  - M²</c:v>
                </c:pt>
                <c:pt idx="14">
                  <c:v>Fralda g - TNT (Cobertura - Tecido Não Tecido) - 650mm - M²</c:v>
                </c:pt>
                <c:pt idx="15">
                  <c:v>Fralda EG - TNT (Cobertura - Tecido Não Tecido) - 750mm - M²</c:v>
                </c:pt>
                <c:pt idx="16">
                  <c:v>Embalagem</c:v>
                </c:pt>
                <c:pt idx="17">
                  <c:v>Fardo</c:v>
                </c:pt>
              </c:strCache>
              <c:extLst xmlns:c15="http://schemas.microsoft.com/office/drawing/2012/chart"/>
            </c:strRef>
          </c:cat>
          <c:val>
            <c:numRef>
              <c:f>Dashboard!$D$22:$D$39</c:f>
              <c:numCache>
                <c:formatCode>General</c:formatCode>
                <c:ptCount val="18"/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7-32A7-4A34-8537-2AE8EDFD35F5}"/>
            </c:ext>
          </c:extLst>
        </c:ser>
        <c:ser>
          <c:idx val="3"/>
          <c:order val="1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Dashboard!$A$22:$A$39</c:f>
              <c:strCache>
                <c:ptCount val="18"/>
                <c:pt idx="0">
                  <c:v>TNT (Tecido Não Tecido) Trasnfer  - M²</c:v>
                </c:pt>
                <c:pt idx="1">
                  <c:v>TNT (Barreira - Tecido Não Tecido) - M²</c:v>
                </c:pt>
                <c:pt idx="2">
                  <c:v>Gel Superrabisorvente (SAP) - KG</c:v>
                </c:pt>
                <c:pt idx="3">
                  <c:v>Celulose Fluff  - KG</c:v>
                </c:pt>
                <c:pt idx="4">
                  <c:v>Elásticos (Laterais e Cintura) - KG</c:v>
                </c:pt>
                <c:pt idx="5">
                  <c:v>Fitas Adesivas - M²</c:v>
                </c:pt>
                <c:pt idx="6">
                  <c:v>Adesivo Construção - KG</c:v>
                </c:pt>
                <c:pt idx="7">
                  <c:v>Tinta do Indicador de Umidade - Litro</c:v>
                </c:pt>
                <c:pt idx="8">
                  <c:v>Tinta Datadora de Lote - Litro</c:v>
                </c:pt>
                <c:pt idx="9">
                  <c:v>Adesivo Elástico - KG</c:v>
                </c:pt>
                <c:pt idx="10">
                  <c:v>Fralda M - Polietileno (Filme eterno) - 600mm- kG</c:v>
                </c:pt>
                <c:pt idx="11">
                  <c:v>Fralda G - Polietileno (Filme eterno) - 660mm - kG</c:v>
                </c:pt>
                <c:pt idx="12">
                  <c:v>Fralda EG - Polietileno (Filme eterno) - 750mm- kG</c:v>
                </c:pt>
                <c:pt idx="13">
                  <c:v>Fralda M - TNT (Cobertura - Tecido Não Tecido) - 600mm  - M²</c:v>
                </c:pt>
                <c:pt idx="14">
                  <c:v>Fralda g - TNT (Cobertura - Tecido Não Tecido) - 650mm - M²</c:v>
                </c:pt>
                <c:pt idx="15">
                  <c:v>Fralda EG - TNT (Cobertura - Tecido Não Tecido) - 750mm - M²</c:v>
                </c:pt>
                <c:pt idx="16">
                  <c:v>Embalagem</c:v>
                </c:pt>
                <c:pt idx="17">
                  <c:v>Fardo</c:v>
                </c:pt>
              </c:strCache>
              <c:extLst xmlns:c15="http://schemas.microsoft.com/office/drawing/2012/chart"/>
            </c:strRef>
          </c:cat>
          <c:val>
            <c:numRef>
              <c:f>Dashboard!$E$22:$E$39</c:f>
              <c:numCache>
                <c:formatCode>General</c:formatCode>
                <c:ptCount val="18"/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9-32A7-4A34-8537-2AE8EDFD35F5}"/>
            </c:ext>
          </c:extLst>
        </c:ser>
        <c:ser>
          <c:idx val="4"/>
          <c:order val="1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Dashboard!$A$22:$A$39</c:f>
              <c:strCache>
                <c:ptCount val="18"/>
                <c:pt idx="0">
                  <c:v>TNT (Tecido Não Tecido) Trasnfer  - M²</c:v>
                </c:pt>
                <c:pt idx="1">
                  <c:v>TNT (Barreira - Tecido Não Tecido) - M²</c:v>
                </c:pt>
                <c:pt idx="2">
                  <c:v>Gel Superrabisorvente (SAP) - KG</c:v>
                </c:pt>
                <c:pt idx="3">
                  <c:v>Celulose Fluff  - KG</c:v>
                </c:pt>
                <c:pt idx="4">
                  <c:v>Elásticos (Laterais e Cintura) - KG</c:v>
                </c:pt>
                <c:pt idx="5">
                  <c:v>Fitas Adesivas - M²</c:v>
                </c:pt>
                <c:pt idx="6">
                  <c:v>Adesivo Construção - KG</c:v>
                </c:pt>
                <c:pt idx="7">
                  <c:v>Tinta do Indicador de Umidade - Litro</c:v>
                </c:pt>
                <c:pt idx="8">
                  <c:v>Tinta Datadora de Lote - Litro</c:v>
                </c:pt>
                <c:pt idx="9">
                  <c:v>Adesivo Elástico - KG</c:v>
                </c:pt>
                <c:pt idx="10">
                  <c:v>Fralda M - Polietileno (Filme eterno) - 600mm- kG</c:v>
                </c:pt>
                <c:pt idx="11">
                  <c:v>Fralda G - Polietileno (Filme eterno) - 660mm - kG</c:v>
                </c:pt>
                <c:pt idx="12">
                  <c:v>Fralda EG - Polietileno (Filme eterno) - 750mm- kG</c:v>
                </c:pt>
                <c:pt idx="13">
                  <c:v>Fralda M - TNT (Cobertura - Tecido Não Tecido) - 600mm  - M²</c:v>
                </c:pt>
                <c:pt idx="14">
                  <c:v>Fralda g - TNT (Cobertura - Tecido Não Tecido) - 650mm - M²</c:v>
                </c:pt>
                <c:pt idx="15">
                  <c:v>Fralda EG - TNT (Cobertura - Tecido Não Tecido) - 750mm - M²</c:v>
                </c:pt>
                <c:pt idx="16">
                  <c:v>Embalagem</c:v>
                </c:pt>
                <c:pt idx="17">
                  <c:v>Fardo</c:v>
                </c:pt>
              </c:strCache>
              <c:extLst xmlns:c15="http://schemas.microsoft.com/office/drawing/2012/chart"/>
            </c:strRef>
          </c:cat>
          <c:val>
            <c:numRef>
              <c:f>Dashboard!$F$22:$F$39</c:f>
              <c:numCache>
                <c:formatCode>General</c:formatCode>
                <c:ptCount val="18"/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B-32A7-4A34-8537-2AE8EDFD35F5}"/>
            </c:ext>
          </c:extLst>
        </c:ser>
        <c:ser>
          <c:idx val="5"/>
          <c:order val="12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Dashboard!$A$22:$A$39</c:f>
              <c:strCache>
                <c:ptCount val="18"/>
                <c:pt idx="0">
                  <c:v>TNT (Tecido Não Tecido) Trasnfer  - M²</c:v>
                </c:pt>
                <c:pt idx="1">
                  <c:v>TNT (Barreira - Tecido Não Tecido) - M²</c:v>
                </c:pt>
                <c:pt idx="2">
                  <c:v>Gel Superrabisorvente (SAP) - KG</c:v>
                </c:pt>
                <c:pt idx="3">
                  <c:v>Celulose Fluff  - KG</c:v>
                </c:pt>
                <c:pt idx="4">
                  <c:v>Elásticos (Laterais e Cintura) - KG</c:v>
                </c:pt>
                <c:pt idx="5">
                  <c:v>Fitas Adesivas - M²</c:v>
                </c:pt>
                <c:pt idx="6">
                  <c:v>Adesivo Construção - KG</c:v>
                </c:pt>
                <c:pt idx="7">
                  <c:v>Tinta do Indicador de Umidade - Litro</c:v>
                </c:pt>
                <c:pt idx="8">
                  <c:v>Tinta Datadora de Lote - Litro</c:v>
                </c:pt>
                <c:pt idx="9">
                  <c:v>Adesivo Elástico - KG</c:v>
                </c:pt>
                <c:pt idx="10">
                  <c:v>Fralda M - Polietileno (Filme eterno) - 600mm- kG</c:v>
                </c:pt>
                <c:pt idx="11">
                  <c:v>Fralda G - Polietileno (Filme eterno) - 660mm - kG</c:v>
                </c:pt>
                <c:pt idx="12">
                  <c:v>Fralda EG - Polietileno (Filme eterno) - 750mm- kG</c:v>
                </c:pt>
                <c:pt idx="13">
                  <c:v>Fralda M - TNT (Cobertura - Tecido Não Tecido) - 600mm  - M²</c:v>
                </c:pt>
                <c:pt idx="14">
                  <c:v>Fralda g - TNT (Cobertura - Tecido Não Tecido) - 650mm - M²</c:v>
                </c:pt>
                <c:pt idx="15">
                  <c:v>Fralda EG - TNT (Cobertura - Tecido Não Tecido) - 750mm - M²</c:v>
                </c:pt>
                <c:pt idx="16">
                  <c:v>Embalagem</c:v>
                </c:pt>
                <c:pt idx="17">
                  <c:v>Fardo</c:v>
                </c:pt>
              </c:strCache>
              <c:extLst xmlns:c15="http://schemas.microsoft.com/office/drawing/2012/chart"/>
            </c:strRef>
          </c:cat>
          <c:val>
            <c:numRef>
              <c:f>Dashboard!$G$22:$G$39</c:f>
              <c:numCache>
                <c:formatCode>General</c:formatCode>
                <c:ptCount val="18"/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D-32A7-4A34-8537-2AE8EDFD35F5}"/>
            </c:ext>
          </c:extLst>
        </c:ser>
        <c:ser>
          <c:idx val="6"/>
          <c:order val="13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32A7-4A34-8537-2AE8EDFD35F5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32A7-4A34-8537-2AE8EDFD35F5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32A7-4A34-8537-2AE8EDFD35F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32A7-4A34-8537-2AE8EDFD35F5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32A7-4A34-8537-2AE8EDFD35F5}"/>
              </c:ext>
            </c:extLst>
          </c:dPt>
          <c:dPt>
            <c:idx val="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32A7-4A34-8537-2AE8EDFD35F5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32A7-4A34-8537-2AE8EDFD35F5}"/>
              </c:ext>
            </c:extLst>
          </c:dPt>
          <c:dPt>
            <c:idx val="9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32A7-4A34-8537-2AE8EDFD35F5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32A7-4A34-8537-2AE8EDFD35F5}"/>
              </c:ext>
            </c:extLst>
          </c:dPt>
          <c:dPt>
            <c:idx val="11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4-32A7-4A34-8537-2AE8EDFD35F5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6-32A7-4A34-8537-2AE8EDFD35F5}"/>
              </c:ext>
            </c:extLst>
          </c:dPt>
          <c:dPt>
            <c:idx val="13"/>
            <c:invertIfNegative val="0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8-32A7-4A34-8537-2AE8EDFD35F5}"/>
              </c:ext>
            </c:extLst>
          </c:dPt>
          <c:dPt>
            <c:idx val="1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A-32A7-4A34-8537-2AE8EDFD35F5}"/>
              </c:ext>
            </c:extLst>
          </c:dPt>
          <c:dPt>
            <c:idx val="15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C-32A7-4A34-8537-2AE8EDFD35F5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E-32A7-4A34-8537-2AE8EDFD35F5}"/>
              </c:ext>
            </c:extLst>
          </c:dPt>
          <c:dPt>
            <c:idx val="1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0-32A7-4A34-8537-2AE8EDFD35F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Dashboard!$A$22:$A$39</c:f>
              <c:strCache>
                <c:ptCount val="18"/>
                <c:pt idx="0">
                  <c:v>TNT (Tecido Não Tecido) Trasnfer  - M²</c:v>
                </c:pt>
                <c:pt idx="1">
                  <c:v>TNT (Barreira - Tecido Não Tecido) - M²</c:v>
                </c:pt>
                <c:pt idx="2">
                  <c:v>Gel Superrabisorvente (SAP) - KG</c:v>
                </c:pt>
                <c:pt idx="3">
                  <c:v>Celulose Fluff  - KG</c:v>
                </c:pt>
                <c:pt idx="4">
                  <c:v>Elásticos (Laterais e Cintura) - KG</c:v>
                </c:pt>
                <c:pt idx="5">
                  <c:v>Fitas Adesivas - M²</c:v>
                </c:pt>
                <c:pt idx="6">
                  <c:v>Adesivo Construção - KG</c:v>
                </c:pt>
                <c:pt idx="7">
                  <c:v>Tinta do Indicador de Umidade - Litro</c:v>
                </c:pt>
                <c:pt idx="8">
                  <c:v>Tinta Datadora de Lote - Litro</c:v>
                </c:pt>
                <c:pt idx="9">
                  <c:v>Adesivo Elástico - KG</c:v>
                </c:pt>
                <c:pt idx="10">
                  <c:v>Fralda M - Polietileno (Filme eterno) - 600mm- kG</c:v>
                </c:pt>
                <c:pt idx="11">
                  <c:v>Fralda G - Polietileno (Filme eterno) - 660mm - kG</c:v>
                </c:pt>
                <c:pt idx="12">
                  <c:v>Fralda EG - Polietileno (Filme eterno) - 750mm- kG</c:v>
                </c:pt>
                <c:pt idx="13">
                  <c:v>Fralda M - TNT (Cobertura - Tecido Não Tecido) - 600mm  - M²</c:v>
                </c:pt>
                <c:pt idx="14">
                  <c:v>Fralda g - TNT (Cobertura - Tecido Não Tecido) - 650mm - M²</c:v>
                </c:pt>
                <c:pt idx="15">
                  <c:v>Fralda EG - TNT (Cobertura - Tecido Não Tecido) - 750mm - M²</c:v>
                </c:pt>
                <c:pt idx="16">
                  <c:v>Embalagem</c:v>
                </c:pt>
                <c:pt idx="17">
                  <c:v>Fardo</c:v>
                </c:pt>
              </c:strCache>
            </c:strRef>
          </c:cat>
          <c:val>
            <c:numRef>
              <c:f>Dashboard!$H$22:$H$39</c:f>
              <c:numCache>
                <c:formatCode>"R$"\ #,##0.00</c:formatCode>
                <c:ptCount val="18"/>
                <c:pt idx="0">
                  <c:v>21978.402599999998</c:v>
                </c:pt>
                <c:pt idx="1">
                  <c:v>6992.1440999999995</c:v>
                </c:pt>
                <c:pt idx="2">
                  <c:v>21730.41</c:v>
                </c:pt>
                <c:pt idx="3">
                  <c:v>67419.990000000005</c:v>
                </c:pt>
                <c:pt idx="4">
                  <c:v>1976.3947500000002</c:v>
                </c:pt>
                <c:pt idx="5">
                  <c:v>13703.891250000001</c:v>
                </c:pt>
                <c:pt idx="6">
                  <c:v>9479.3332499999997</c:v>
                </c:pt>
                <c:pt idx="7">
                  <c:v>0</c:v>
                </c:pt>
                <c:pt idx="8">
                  <c:v>0</c:v>
                </c:pt>
                <c:pt idx="9">
                  <c:v>739.53750000000002</c:v>
                </c:pt>
                <c:pt idx="10">
                  <c:v>17361.695999999996</c:v>
                </c:pt>
                <c:pt idx="11">
                  <c:v>19799.053750000003</c:v>
                </c:pt>
                <c:pt idx="12">
                  <c:v>23315.234250000005</c:v>
                </c:pt>
                <c:pt idx="13">
                  <c:v>7886.7599999999993</c:v>
                </c:pt>
                <c:pt idx="14">
                  <c:v>8864.3896249999998</c:v>
                </c:pt>
                <c:pt idx="15">
                  <c:v>10597.83375</c:v>
                </c:pt>
                <c:pt idx="16">
                  <c:v>12885.714285714286</c:v>
                </c:pt>
                <c:pt idx="17">
                  <c:v>1073.8095238095239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32A7-4A34-8537-2AE8EDFD35F5}"/>
            </c:ext>
          </c:extLst>
        </c:ser>
        <c:ser>
          <c:idx val="7"/>
          <c:order val="14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Dashboard!$A$22:$A$39</c:f>
              <c:strCache>
                <c:ptCount val="18"/>
                <c:pt idx="0">
                  <c:v>TNT (Tecido Não Tecido) Trasnfer  - M²</c:v>
                </c:pt>
                <c:pt idx="1">
                  <c:v>TNT (Barreira - Tecido Não Tecido) - M²</c:v>
                </c:pt>
                <c:pt idx="2">
                  <c:v>Gel Superrabisorvente (SAP) - KG</c:v>
                </c:pt>
                <c:pt idx="3">
                  <c:v>Celulose Fluff  - KG</c:v>
                </c:pt>
                <c:pt idx="4">
                  <c:v>Elásticos (Laterais e Cintura) - KG</c:v>
                </c:pt>
                <c:pt idx="5">
                  <c:v>Fitas Adesivas - M²</c:v>
                </c:pt>
                <c:pt idx="6">
                  <c:v>Adesivo Construção - KG</c:v>
                </c:pt>
                <c:pt idx="7">
                  <c:v>Tinta do Indicador de Umidade - Litro</c:v>
                </c:pt>
                <c:pt idx="8">
                  <c:v>Tinta Datadora de Lote - Litro</c:v>
                </c:pt>
                <c:pt idx="9">
                  <c:v>Adesivo Elástico - KG</c:v>
                </c:pt>
                <c:pt idx="10">
                  <c:v>Fralda M - Polietileno (Filme eterno) - 600mm- kG</c:v>
                </c:pt>
                <c:pt idx="11">
                  <c:v>Fralda G - Polietileno (Filme eterno) - 660mm - kG</c:v>
                </c:pt>
                <c:pt idx="12">
                  <c:v>Fralda EG - Polietileno (Filme eterno) - 750mm- kG</c:v>
                </c:pt>
                <c:pt idx="13">
                  <c:v>Fralda M - TNT (Cobertura - Tecido Não Tecido) - 600mm  - M²</c:v>
                </c:pt>
                <c:pt idx="14">
                  <c:v>Fralda g - TNT (Cobertura - Tecido Não Tecido) - 650mm - M²</c:v>
                </c:pt>
                <c:pt idx="15">
                  <c:v>Fralda EG - TNT (Cobertura - Tecido Não Tecido) - 750mm - M²</c:v>
                </c:pt>
                <c:pt idx="16">
                  <c:v>Embalagem</c:v>
                </c:pt>
                <c:pt idx="17">
                  <c:v>Fardo</c:v>
                </c:pt>
              </c:strCache>
              <c:extLst xmlns:c15="http://schemas.microsoft.com/office/drawing/2012/chart"/>
            </c:strRef>
          </c:cat>
          <c:val>
            <c:numRef>
              <c:f>Dashboard!$I$22:$I$39</c:f>
              <c:numCache>
                <c:formatCode>"R$"\ #,##0.00</c:formatCode>
                <c:ptCount val="18"/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F-32A7-4A34-8537-2AE8EDFD35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90"/>
        <c:axId val="524934144"/>
        <c:axId val="524933064"/>
        <c:extLst/>
      </c:barChart>
      <c:catAx>
        <c:axId val="52493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10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4933064"/>
        <c:crosses val="autoZero"/>
        <c:auto val="1"/>
        <c:lblAlgn val="ctr"/>
        <c:lblOffset val="100"/>
        <c:noMultiLvlLbl val="0"/>
      </c:catAx>
      <c:valAx>
        <c:axId val="5249330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2493414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4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Comparativo custo Total Materia Prima Gasta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36015325961781564"/>
          <c:y val="0.19490180311892902"/>
          <c:w val="0.63340995807390865"/>
          <c:h val="0.6361519504187046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157-486F-A76D-8271213619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157-486F-A76D-8271213619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B157-486F-A76D-8271213619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B157-486F-A76D-82712136198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157-486F-A76D-82712136198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B157-486F-A76D-82712136198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157-486F-A76D-82712136198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157-486F-A76D-82712136198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B157-486F-A76D-82712136198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B157-486F-A76D-82712136198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157-486F-A76D-82712136198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157-486F-A76D-82712136198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B157-486F-A76D-82712136198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157-486F-A76D-82712136198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157-486F-A76D-82712136198C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B157-486F-A76D-82712136198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B157-486F-A76D-82712136198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157-486F-A76D-82712136198C}"/>
              </c:ext>
            </c:extLst>
          </c:dPt>
          <c:dLbls>
            <c:dLbl>
              <c:idx val="0"/>
              <c:layout>
                <c:manualLayout>
                  <c:x val="-8.582959269274848E-2"/>
                  <c:y val="-6.426359401950609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157-486F-A76D-82712136198C}"/>
                </c:ext>
              </c:extLst>
            </c:dLbl>
            <c:dLbl>
              <c:idx val="1"/>
              <c:layout>
                <c:manualLayout>
                  <c:x val="1.2325171037216512E-2"/>
                  <c:y val="-7.918835936004069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157-486F-A76D-82712136198C}"/>
                </c:ext>
              </c:extLst>
            </c:dLbl>
            <c:dLbl>
              <c:idx val="2"/>
              <c:layout>
                <c:manualLayout>
                  <c:x val="-5.9847715191473578E-3"/>
                  <c:y val="-4.147758069843129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157-486F-A76D-82712136198C}"/>
                </c:ext>
              </c:extLst>
            </c:dLbl>
            <c:dLbl>
              <c:idx val="3"/>
              <c:layout>
                <c:manualLayout>
                  <c:x val="-5.9215018347801842E-4"/>
                  <c:y val="0.2053071695562306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157-486F-A76D-82712136198C}"/>
                </c:ext>
              </c:extLst>
            </c:dLbl>
            <c:dLbl>
              <c:idx val="4"/>
              <c:layout>
                <c:manualLayout>
                  <c:x val="4.6366204088404223E-2"/>
                  <c:y val="3.719403111191823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157-486F-A76D-82712136198C}"/>
                </c:ext>
              </c:extLst>
            </c:dLbl>
            <c:dLbl>
              <c:idx val="5"/>
              <c:layout>
                <c:manualLayout>
                  <c:x val="-1.9186679611188018E-2"/>
                  <c:y val="3.879424327449797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157-486F-A76D-82712136198C}"/>
                </c:ext>
              </c:extLst>
            </c:dLbl>
            <c:dLbl>
              <c:idx val="6"/>
              <c:layout>
                <c:manualLayout>
                  <c:x val="-2.8975825996710822E-2"/>
                  <c:y val="4.332509529203193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157-486F-A76D-82712136198C}"/>
                </c:ext>
              </c:extLst>
            </c:dLbl>
            <c:dLbl>
              <c:idx val="7"/>
              <c:layout>
                <c:manualLayout>
                  <c:x val="-0.16461606156266997"/>
                  <c:y val="5.481384150433856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157-486F-A76D-82712136198C}"/>
                </c:ext>
              </c:extLst>
            </c:dLbl>
            <c:dLbl>
              <c:idx val="8"/>
              <c:layout>
                <c:manualLayout>
                  <c:x val="-0.19919628072243675"/>
                  <c:y val="-2.03862889423914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157-486F-A76D-82712136198C}"/>
                </c:ext>
              </c:extLst>
            </c:dLbl>
            <c:dLbl>
              <c:idx val="9"/>
              <c:layout>
                <c:manualLayout>
                  <c:x val="-0.26462980519103685"/>
                  <c:y val="-9.14091716708999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157-486F-A76D-82712136198C}"/>
                </c:ext>
              </c:extLst>
            </c:dLbl>
            <c:dLbl>
              <c:idx val="10"/>
              <c:layout>
                <c:manualLayout>
                  <c:x val="-0.2294144394935283"/>
                  <c:y val="-0.152974955015981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157-486F-A76D-82712136198C}"/>
                </c:ext>
              </c:extLst>
            </c:dLbl>
            <c:dLbl>
              <c:idx val="11"/>
              <c:layout>
                <c:manualLayout>
                  <c:x val="-0.10374530345078264"/>
                  <c:y val="-0.104988181372059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157-486F-A76D-82712136198C}"/>
                </c:ext>
              </c:extLst>
            </c:dLbl>
            <c:dLbl>
              <c:idx val="12"/>
              <c:layout>
                <c:manualLayout>
                  <c:x val="-9.4803328847014326E-2"/>
                  <c:y val="-1.4424985367586798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157-486F-A76D-82712136198C}"/>
                </c:ext>
              </c:extLst>
            </c:dLbl>
            <c:dLbl>
              <c:idx val="13"/>
              <c:layout>
                <c:manualLayout>
                  <c:x val="-0.12973883811686782"/>
                  <c:y val="1.728614299578007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157-486F-A76D-82712136198C}"/>
                </c:ext>
              </c:extLst>
            </c:dLbl>
            <c:dLbl>
              <c:idx val="14"/>
              <c:layout>
                <c:manualLayout>
                  <c:x val="-0.162429836327493"/>
                  <c:y val="-1.529253756642702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157-486F-A76D-82712136198C}"/>
                </c:ext>
              </c:extLst>
            </c:dLbl>
            <c:dLbl>
              <c:idx val="15"/>
              <c:layout>
                <c:manualLayout>
                  <c:x val="-0.23179993466919374"/>
                  <c:y val="-8.510656528992033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157-486F-A76D-82712136198C}"/>
                </c:ext>
              </c:extLst>
            </c:dLbl>
            <c:dLbl>
              <c:idx val="16"/>
              <c:layout>
                <c:manualLayout>
                  <c:x val="-0.19532154050615577"/>
                  <c:y val="-6.387673326977844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157-486F-A76D-82712136198C}"/>
                </c:ext>
              </c:extLst>
            </c:dLbl>
            <c:dLbl>
              <c:idx val="17"/>
              <c:layout>
                <c:manualLayout>
                  <c:x val="-0.18306842426302017"/>
                  <c:y val="-9.542633030255649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157-486F-A76D-8271213619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Dashboard!$A$22:$A$39</c:f>
              <c:strCache>
                <c:ptCount val="18"/>
                <c:pt idx="0">
                  <c:v>TNT (Tecido Não Tecido) Trasnfer  - M²</c:v>
                </c:pt>
                <c:pt idx="1">
                  <c:v>TNT (Barreira - Tecido Não Tecido) - M²</c:v>
                </c:pt>
                <c:pt idx="2">
                  <c:v>Gel Superrabisorvente (SAP) - KG</c:v>
                </c:pt>
                <c:pt idx="3">
                  <c:v>Celulose Fluff  - KG</c:v>
                </c:pt>
                <c:pt idx="4">
                  <c:v>Elásticos (Laterais e Cintura) - KG</c:v>
                </c:pt>
                <c:pt idx="5">
                  <c:v>Fitas Adesivas - M²</c:v>
                </c:pt>
                <c:pt idx="6">
                  <c:v>Adesivo Construção - KG</c:v>
                </c:pt>
                <c:pt idx="7">
                  <c:v>Tinta do Indicador de Umidade - Litro</c:v>
                </c:pt>
                <c:pt idx="8">
                  <c:v>Tinta Datadora de Lote - Litro</c:v>
                </c:pt>
                <c:pt idx="9">
                  <c:v>Adesivo Elástico - KG</c:v>
                </c:pt>
                <c:pt idx="10">
                  <c:v>Fralda M - Polietileno (Filme eterno) - 600mm- kG</c:v>
                </c:pt>
                <c:pt idx="11">
                  <c:v>Fralda G - Polietileno (Filme eterno) - 660mm - kG</c:v>
                </c:pt>
                <c:pt idx="12">
                  <c:v>Fralda EG - Polietileno (Filme eterno) - 750mm- kG</c:v>
                </c:pt>
                <c:pt idx="13">
                  <c:v>Fralda M - TNT (Cobertura - Tecido Não Tecido) - 600mm  - M²</c:v>
                </c:pt>
                <c:pt idx="14">
                  <c:v>Fralda g - TNT (Cobertura - Tecido Não Tecido) - 650mm - M²</c:v>
                </c:pt>
                <c:pt idx="15">
                  <c:v>Fralda EG - TNT (Cobertura - Tecido Não Tecido) - 750mm - M²</c:v>
                </c:pt>
                <c:pt idx="16">
                  <c:v>Embalagem</c:v>
                </c:pt>
                <c:pt idx="17">
                  <c:v>Fardo</c:v>
                </c:pt>
              </c:strCache>
            </c:strRef>
          </c:cat>
          <c:val>
            <c:numRef>
              <c:f>Dashboard!$H$22:$H$39</c:f>
              <c:numCache>
                <c:formatCode>"R$"\ #,##0.00</c:formatCode>
                <c:ptCount val="18"/>
                <c:pt idx="0">
                  <c:v>21978.402599999998</c:v>
                </c:pt>
                <c:pt idx="1">
                  <c:v>6992.1440999999995</c:v>
                </c:pt>
                <c:pt idx="2">
                  <c:v>21730.41</c:v>
                </c:pt>
                <c:pt idx="3">
                  <c:v>67419.990000000005</c:v>
                </c:pt>
                <c:pt idx="4">
                  <c:v>1976.3947500000002</c:v>
                </c:pt>
                <c:pt idx="5">
                  <c:v>13703.891250000001</c:v>
                </c:pt>
                <c:pt idx="6">
                  <c:v>9479.3332499999997</c:v>
                </c:pt>
                <c:pt idx="7">
                  <c:v>0</c:v>
                </c:pt>
                <c:pt idx="8">
                  <c:v>0</c:v>
                </c:pt>
                <c:pt idx="9">
                  <c:v>739.53750000000002</c:v>
                </c:pt>
                <c:pt idx="10">
                  <c:v>17361.695999999996</c:v>
                </c:pt>
                <c:pt idx="11">
                  <c:v>19799.053750000003</c:v>
                </c:pt>
                <c:pt idx="12">
                  <c:v>23315.234250000005</c:v>
                </c:pt>
                <c:pt idx="13">
                  <c:v>7886.7599999999993</c:v>
                </c:pt>
                <c:pt idx="14">
                  <c:v>8864.3896249999998</c:v>
                </c:pt>
                <c:pt idx="15">
                  <c:v>10597.83375</c:v>
                </c:pt>
                <c:pt idx="16">
                  <c:v>12885.714285714286</c:v>
                </c:pt>
                <c:pt idx="17">
                  <c:v>1073.8095238095239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57-486F-A76D-82712136198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800"/>
              <a:t>Comparativo custo Total Materia Prima Gasta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9777190831144332E-3"/>
          <c:y val="5.1967206346397711E-2"/>
          <c:w val="0.71672778692780514"/>
          <c:h val="0.930132885074759"/>
        </c:manualLayout>
      </c:layout>
      <c:barChart>
        <c:barDir val="bar"/>
        <c:grouping val="clustered"/>
        <c:varyColors val="0"/>
        <c:ser>
          <c:idx val="8"/>
          <c:order val="0"/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Dashboard!$A$22:$A$39</c:f>
              <c:strCache>
                <c:ptCount val="18"/>
                <c:pt idx="0">
                  <c:v>TNT (Tecido Não Tecido) Trasnfer  - M²</c:v>
                </c:pt>
                <c:pt idx="1">
                  <c:v>TNT (Barreira - Tecido Não Tecido) - M²</c:v>
                </c:pt>
                <c:pt idx="2">
                  <c:v>Gel Superrabisorvente (SAP) - KG</c:v>
                </c:pt>
                <c:pt idx="3">
                  <c:v>Celulose Fluff  - KG</c:v>
                </c:pt>
                <c:pt idx="4">
                  <c:v>Elásticos (Laterais e Cintura) - KG</c:v>
                </c:pt>
                <c:pt idx="5">
                  <c:v>Fitas Adesivas - M²</c:v>
                </c:pt>
                <c:pt idx="6">
                  <c:v>Adesivo Construção - KG</c:v>
                </c:pt>
                <c:pt idx="7">
                  <c:v>Tinta do Indicador de Umidade - Litro</c:v>
                </c:pt>
                <c:pt idx="8">
                  <c:v>Tinta Datadora de Lote - Litro</c:v>
                </c:pt>
                <c:pt idx="9">
                  <c:v>Adesivo Elástico - KG</c:v>
                </c:pt>
                <c:pt idx="10">
                  <c:v>Fralda M - Polietileno (Filme eterno) - 600mm- kG</c:v>
                </c:pt>
                <c:pt idx="11">
                  <c:v>Fralda G - Polietileno (Filme eterno) - 660mm - kG</c:v>
                </c:pt>
                <c:pt idx="12">
                  <c:v>Fralda EG - Polietileno (Filme eterno) - 750mm- kG</c:v>
                </c:pt>
                <c:pt idx="13">
                  <c:v>Fralda M - TNT (Cobertura - Tecido Não Tecido) - 600mm  - M²</c:v>
                </c:pt>
                <c:pt idx="14">
                  <c:v>Fralda g - TNT (Cobertura - Tecido Não Tecido) - 650mm - M²</c:v>
                </c:pt>
                <c:pt idx="15">
                  <c:v>Fralda EG - TNT (Cobertura - Tecido Não Tecido) - 750mm - M²</c:v>
                </c:pt>
                <c:pt idx="16">
                  <c:v>Embalagem</c:v>
                </c:pt>
                <c:pt idx="17">
                  <c:v>Fardo</c:v>
                </c:pt>
              </c:strCache>
            </c:strRef>
          </c:cat>
          <c:val>
            <c:numRef>
              <c:f>Dashboard!$B$22:$B$39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91D9-4DB7-9043-B6D2CA99C754}"/>
            </c:ext>
          </c:extLst>
        </c:ser>
        <c:ser>
          <c:idx val="9"/>
          <c:order val="1"/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Dashboard!$A$22:$A$39</c:f>
              <c:strCache>
                <c:ptCount val="18"/>
                <c:pt idx="0">
                  <c:v>TNT (Tecido Não Tecido) Trasnfer  - M²</c:v>
                </c:pt>
                <c:pt idx="1">
                  <c:v>TNT (Barreira - Tecido Não Tecido) - M²</c:v>
                </c:pt>
                <c:pt idx="2">
                  <c:v>Gel Superrabisorvente (SAP) - KG</c:v>
                </c:pt>
                <c:pt idx="3">
                  <c:v>Celulose Fluff  - KG</c:v>
                </c:pt>
                <c:pt idx="4">
                  <c:v>Elásticos (Laterais e Cintura) - KG</c:v>
                </c:pt>
                <c:pt idx="5">
                  <c:v>Fitas Adesivas - M²</c:v>
                </c:pt>
                <c:pt idx="6">
                  <c:v>Adesivo Construção - KG</c:v>
                </c:pt>
                <c:pt idx="7">
                  <c:v>Tinta do Indicador de Umidade - Litro</c:v>
                </c:pt>
                <c:pt idx="8">
                  <c:v>Tinta Datadora de Lote - Litro</c:v>
                </c:pt>
                <c:pt idx="9">
                  <c:v>Adesivo Elástico - KG</c:v>
                </c:pt>
                <c:pt idx="10">
                  <c:v>Fralda M - Polietileno (Filme eterno) - 600mm- kG</c:v>
                </c:pt>
                <c:pt idx="11">
                  <c:v>Fralda G - Polietileno (Filme eterno) - 660mm - kG</c:v>
                </c:pt>
                <c:pt idx="12">
                  <c:v>Fralda EG - Polietileno (Filme eterno) - 750mm- kG</c:v>
                </c:pt>
                <c:pt idx="13">
                  <c:v>Fralda M - TNT (Cobertura - Tecido Não Tecido) - 600mm  - M²</c:v>
                </c:pt>
                <c:pt idx="14">
                  <c:v>Fralda g - TNT (Cobertura - Tecido Não Tecido) - 650mm - M²</c:v>
                </c:pt>
                <c:pt idx="15">
                  <c:v>Fralda EG - TNT (Cobertura - Tecido Não Tecido) - 750mm - M²</c:v>
                </c:pt>
                <c:pt idx="16">
                  <c:v>Embalagem</c:v>
                </c:pt>
                <c:pt idx="17">
                  <c:v>Fardo</c:v>
                </c:pt>
              </c:strCache>
            </c:strRef>
          </c:cat>
          <c:val>
            <c:numRef>
              <c:f>Dashboard!$C$22:$C$39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1-91D9-4DB7-9043-B6D2CA99C754}"/>
            </c:ext>
          </c:extLst>
        </c:ser>
        <c:ser>
          <c:idx val="10"/>
          <c:order val="2"/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Dashboard!$A$22:$A$39</c:f>
              <c:strCache>
                <c:ptCount val="18"/>
                <c:pt idx="0">
                  <c:v>TNT (Tecido Não Tecido) Trasnfer  - M²</c:v>
                </c:pt>
                <c:pt idx="1">
                  <c:v>TNT (Barreira - Tecido Não Tecido) - M²</c:v>
                </c:pt>
                <c:pt idx="2">
                  <c:v>Gel Superrabisorvente (SAP) - KG</c:v>
                </c:pt>
                <c:pt idx="3">
                  <c:v>Celulose Fluff  - KG</c:v>
                </c:pt>
                <c:pt idx="4">
                  <c:v>Elásticos (Laterais e Cintura) - KG</c:v>
                </c:pt>
                <c:pt idx="5">
                  <c:v>Fitas Adesivas - M²</c:v>
                </c:pt>
                <c:pt idx="6">
                  <c:v>Adesivo Construção - KG</c:v>
                </c:pt>
                <c:pt idx="7">
                  <c:v>Tinta do Indicador de Umidade - Litro</c:v>
                </c:pt>
                <c:pt idx="8">
                  <c:v>Tinta Datadora de Lote - Litro</c:v>
                </c:pt>
                <c:pt idx="9">
                  <c:v>Adesivo Elástico - KG</c:v>
                </c:pt>
                <c:pt idx="10">
                  <c:v>Fralda M - Polietileno (Filme eterno) - 600mm- kG</c:v>
                </c:pt>
                <c:pt idx="11">
                  <c:v>Fralda G - Polietileno (Filme eterno) - 660mm - kG</c:v>
                </c:pt>
                <c:pt idx="12">
                  <c:v>Fralda EG - Polietileno (Filme eterno) - 750mm- kG</c:v>
                </c:pt>
                <c:pt idx="13">
                  <c:v>Fralda M - TNT (Cobertura - Tecido Não Tecido) - 600mm  - M²</c:v>
                </c:pt>
                <c:pt idx="14">
                  <c:v>Fralda g - TNT (Cobertura - Tecido Não Tecido) - 650mm - M²</c:v>
                </c:pt>
                <c:pt idx="15">
                  <c:v>Fralda EG - TNT (Cobertura - Tecido Não Tecido) - 750mm - M²</c:v>
                </c:pt>
                <c:pt idx="16">
                  <c:v>Embalagem</c:v>
                </c:pt>
                <c:pt idx="17">
                  <c:v>Fardo</c:v>
                </c:pt>
              </c:strCache>
            </c:strRef>
          </c:cat>
          <c:val>
            <c:numRef>
              <c:f>Dashboard!$D$22:$D$39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2-91D9-4DB7-9043-B6D2CA99C754}"/>
            </c:ext>
          </c:extLst>
        </c:ser>
        <c:ser>
          <c:idx val="11"/>
          <c:order val="3"/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Dashboard!$A$22:$A$39</c:f>
              <c:strCache>
                <c:ptCount val="18"/>
                <c:pt idx="0">
                  <c:v>TNT (Tecido Não Tecido) Trasnfer  - M²</c:v>
                </c:pt>
                <c:pt idx="1">
                  <c:v>TNT (Barreira - Tecido Não Tecido) - M²</c:v>
                </c:pt>
                <c:pt idx="2">
                  <c:v>Gel Superrabisorvente (SAP) - KG</c:v>
                </c:pt>
                <c:pt idx="3">
                  <c:v>Celulose Fluff  - KG</c:v>
                </c:pt>
                <c:pt idx="4">
                  <c:v>Elásticos (Laterais e Cintura) - KG</c:v>
                </c:pt>
                <c:pt idx="5">
                  <c:v>Fitas Adesivas - M²</c:v>
                </c:pt>
                <c:pt idx="6">
                  <c:v>Adesivo Construção - KG</c:v>
                </c:pt>
                <c:pt idx="7">
                  <c:v>Tinta do Indicador de Umidade - Litro</c:v>
                </c:pt>
                <c:pt idx="8">
                  <c:v>Tinta Datadora de Lote - Litro</c:v>
                </c:pt>
                <c:pt idx="9">
                  <c:v>Adesivo Elástico - KG</c:v>
                </c:pt>
                <c:pt idx="10">
                  <c:v>Fralda M - Polietileno (Filme eterno) - 600mm- kG</c:v>
                </c:pt>
                <c:pt idx="11">
                  <c:v>Fralda G - Polietileno (Filme eterno) - 660mm - kG</c:v>
                </c:pt>
                <c:pt idx="12">
                  <c:v>Fralda EG - Polietileno (Filme eterno) - 750mm- kG</c:v>
                </c:pt>
                <c:pt idx="13">
                  <c:v>Fralda M - TNT (Cobertura - Tecido Não Tecido) - 600mm  - M²</c:v>
                </c:pt>
                <c:pt idx="14">
                  <c:v>Fralda g - TNT (Cobertura - Tecido Não Tecido) - 650mm - M²</c:v>
                </c:pt>
                <c:pt idx="15">
                  <c:v>Fralda EG - TNT (Cobertura - Tecido Não Tecido) - 750mm - M²</c:v>
                </c:pt>
                <c:pt idx="16">
                  <c:v>Embalagem</c:v>
                </c:pt>
                <c:pt idx="17">
                  <c:v>Fardo</c:v>
                </c:pt>
              </c:strCache>
            </c:strRef>
          </c:cat>
          <c:val>
            <c:numRef>
              <c:f>Dashboard!$E$22:$E$39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3-91D9-4DB7-9043-B6D2CA99C754}"/>
            </c:ext>
          </c:extLst>
        </c:ser>
        <c:ser>
          <c:idx val="12"/>
          <c:order val="4"/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Dashboard!$A$22:$A$39</c:f>
              <c:strCache>
                <c:ptCount val="18"/>
                <c:pt idx="0">
                  <c:v>TNT (Tecido Não Tecido) Trasnfer  - M²</c:v>
                </c:pt>
                <c:pt idx="1">
                  <c:v>TNT (Barreira - Tecido Não Tecido) - M²</c:v>
                </c:pt>
                <c:pt idx="2">
                  <c:v>Gel Superrabisorvente (SAP) - KG</c:v>
                </c:pt>
                <c:pt idx="3">
                  <c:v>Celulose Fluff  - KG</c:v>
                </c:pt>
                <c:pt idx="4">
                  <c:v>Elásticos (Laterais e Cintura) - KG</c:v>
                </c:pt>
                <c:pt idx="5">
                  <c:v>Fitas Adesivas - M²</c:v>
                </c:pt>
                <c:pt idx="6">
                  <c:v>Adesivo Construção - KG</c:v>
                </c:pt>
                <c:pt idx="7">
                  <c:v>Tinta do Indicador de Umidade - Litro</c:v>
                </c:pt>
                <c:pt idx="8">
                  <c:v>Tinta Datadora de Lote - Litro</c:v>
                </c:pt>
                <c:pt idx="9">
                  <c:v>Adesivo Elástico - KG</c:v>
                </c:pt>
                <c:pt idx="10">
                  <c:v>Fralda M - Polietileno (Filme eterno) - 600mm- kG</c:v>
                </c:pt>
                <c:pt idx="11">
                  <c:v>Fralda G - Polietileno (Filme eterno) - 660mm - kG</c:v>
                </c:pt>
                <c:pt idx="12">
                  <c:v>Fralda EG - Polietileno (Filme eterno) - 750mm- kG</c:v>
                </c:pt>
                <c:pt idx="13">
                  <c:v>Fralda M - TNT (Cobertura - Tecido Não Tecido) - 600mm  - M²</c:v>
                </c:pt>
                <c:pt idx="14">
                  <c:v>Fralda g - TNT (Cobertura - Tecido Não Tecido) - 650mm - M²</c:v>
                </c:pt>
                <c:pt idx="15">
                  <c:v>Fralda EG - TNT (Cobertura - Tecido Não Tecido) - 750mm - M²</c:v>
                </c:pt>
                <c:pt idx="16">
                  <c:v>Embalagem</c:v>
                </c:pt>
                <c:pt idx="17">
                  <c:v>Fardo</c:v>
                </c:pt>
              </c:strCache>
            </c:strRef>
          </c:cat>
          <c:val>
            <c:numRef>
              <c:f>Dashboard!$F$22:$F$39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4-91D9-4DB7-9043-B6D2CA99C754}"/>
            </c:ext>
          </c:extLst>
        </c:ser>
        <c:ser>
          <c:idx val="13"/>
          <c:order val="5"/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Dashboard!$A$22:$A$39</c:f>
              <c:strCache>
                <c:ptCount val="18"/>
                <c:pt idx="0">
                  <c:v>TNT (Tecido Não Tecido) Trasnfer  - M²</c:v>
                </c:pt>
                <c:pt idx="1">
                  <c:v>TNT (Barreira - Tecido Não Tecido) - M²</c:v>
                </c:pt>
                <c:pt idx="2">
                  <c:v>Gel Superrabisorvente (SAP) - KG</c:v>
                </c:pt>
                <c:pt idx="3">
                  <c:v>Celulose Fluff  - KG</c:v>
                </c:pt>
                <c:pt idx="4">
                  <c:v>Elásticos (Laterais e Cintura) - KG</c:v>
                </c:pt>
                <c:pt idx="5">
                  <c:v>Fitas Adesivas - M²</c:v>
                </c:pt>
                <c:pt idx="6">
                  <c:v>Adesivo Construção - KG</c:v>
                </c:pt>
                <c:pt idx="7">
                  <c:v>Tinta do Indicador de Umidade - Litro</c:v>
                </c:pt>
                <c:pt idx="8">
                  <c:v>Tinta Datadora de Lote - Litro</c:v>
                </c:pt>
                <c:pt idx="9">
                  <c:v>Adesivo Elástico - KG</c:v>
                </c:pt>
                <c:pt idx="10">
                  <c:v>Fralda M - Polietileno (Filme eterno) - 600mm- kG</c:v>
                </c:pt>
                <c:pt idx="11">
                  <c:v>Fralda G - Polietileno (Filme eterno) - 660mm - kG</c:v>
                </c:pt>
                <c:pt idx="12">
                  <c:v>Fralda EG - Polietileno (Filme eterno) - 750mm- kG</c:v>
                </c:pt>
                <c:pt idx="13">
                  <c:v>Fralda M - TNT (Cobertura - Tecido Não Tecido) - 600mm  - M²</c:v>
                </c:pt>
                <c:pt idx="14">
                  <c:v>Fralda g - TNT (Cobertura - Tecido Não Tecido) - 650mm - M²</c:v>
                </c:pt>
                <c:pt idx="15">
                  <c:v>Fralda EG - TNT (Cobertura - Tecido Não Tecido) - 750mm - M²</c:v>
                </c:pt>
                <c:pt idx="16">
                  <c:v>Embalagem</c:v>
                </c:pt>
                <c:pt idx="17">
                  <c:v>Fardo</c:v>
                </c:pt>
              </c:strCache>
            </c:strRef>
          </c:cat>
          <c:val>
            <c:numRef>
              <c:f>Dashboard!$G$22:$G$39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5-91D9-4DB7-9043-B6D2CA99C754}"/>
            </c:ext>
          </c:extLst>
        </c:ser>
        <c:ser>
          <c:idx val="15"/>
          <c:order val="6"/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Dashboard!$A$22:$A$39</c:f>
              <c:strCache>
                <c:ptCount val="18"/>
                <c:pt idx="0">
                  <c:v>TNT (Tecido Não Tecido) Trasnfer  - M²</c:v>
                </c:pt>
                <c:pt idx="1">
                  <c:v>TNT (Barreira - Tecido Não Tecido) - M²</c:v>
                </c:pt>
                <c:pt idx="2">
                  <c:v>Gel Superrabisorvente (SAP) - KG</c:v>
                </c:pt>
                <c:pt idx="3">
                  <c:v>Celulose Fluff  - KG</c:v>
                </c:pt>
                <c:pt idx="4">
                  <c:v>Elásticos (Laterais e Cintura) - KG</c:v>
                </c:pt>
                <c:pt idx="5">
                  <c:v>Fitas Adesivas - M²</c:v>
                </c:pt>
                <c:pt idx="6">
                  <c:v>Adesivo Construção - KG</c:v>
                </c:pt>
                <c:pt idx="7">
                  <c:v>Tinta do Indicador de Umidade - Litro</c:v>
                </c:pt>
                <c:pt idx="8">
                  <c:v>Tinta Datadora de Lote - Litro</c:v>
                </c:pt>
                <c:pt idx="9">
                  <c:v>Adesivo Elástico - KG</c:v>
                </c:pt>
                <c:pt idx="10">
                  <c:v>Fralda M - Polietileno (Filme eterno) - 600mm- kG</c:v>
                </c:pt>
                <c:pt idx="11">
                  <c:v>Fralda G - Polietileno (Filme eterno) - 660mm - kG</c:v>
                </c:pt>
                <c:pt idx="12">
                  <c:v>Fralda EG - Polietileno (Filme eterno) - 750mm- kG</c:v>
                </c:pt>
                <c:pt idx="13">
                  <c:v>Fralda M - TNT (Cobertura - Tecido Não Tecido) - 600mm  - M²</c:v>
                </c:pt>
                <c:pt idx="14">
                  <c:v>Fralda g - TNT (Cobertura - Tecido Não Tecido) - 650mm - M²</c:v>
                </c:pt>
                <c:pt idx="15">
                  <c:v>Fralda EG - TNT (Cobertura - Tecido Não Tecido) - 750mm - M²</c:v>
                </c:pt>
                <c:pt idx="16">
                  <c:v>Embalagem</c:v>
                </c:pt>
                <c:pt idx="17">
                  <c:v>Fardo</c:v>
                </c:pt>
              </c:strCache>
            </c:strRef>
          </c:cat>
          <c:val>
            <c:numRef>
              <c:f>Dashboard!$I$22:$I$39</c:f>
              <c:numCache>
                <c:formatCode>"R$"\ #,##0.00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27-91D9-4DB7-9043-B6D2CA99C754}"/>
            </c:ext>
          </c:extLst>
        </c:ser>
        <c:ser>
          <c:idx val="0"/>
          <c:order val="7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Dashboard!$A$22:$A$39</c:f>
              <c:strCache>
                <c:ptCount val="18"/>
                <c:pt idx="0">
                  <c:v>TNT (Tecido Não Tecido) Trasnfer  - M²</c:v>
                </c:pt>
                <c:pt idx="1">
                  <c:v>TNT (Barreira - Tecido Não Tecido) - M²</c:v>
                </c:pt>
                <c:pt idx="2">
                  <c:v>Gel Superrabisorvente (SAP) - KG</c:v>
                </c:pt>
                <c:pt idx="3">
                  <c:v>Celulose Fluff  - KG</c:v>
                </c:pt>
                <c:pt idx="4">
                  <c:v>Elásticos (Laterais e Cintura) - KG</c:v>
                </c:pt>
                <c:pt idx="5">
                  <c:v>Fitas Adesivas - M²</c:v>
                </c:pt>
                <c:pt idx="6">
                  <c:v>Adesivo Construção - KG</c:v>
                </c:pt>
                <c:pt idx="7">
                  <c:v>Tinta do Indicador de Umidade - Litro</c:v>
                </c:pt>
                <c:pt idx="8">
                  <c:v>Tinta Datadora de Lote - Litro</c:v>
                </c:pt>
                <c:pt idx="9">
                  <c:v>Adesivo Elástico - KG</c:v>
                </c:pt>
                <c:pt idx="10">
                  <c:v>Fralda M - Polietileno (Filme eterno) - 600mm- kG</c:v>
                </c:pt>
                <c:pt idx="11">
                  <c:v>Fralda G - Polietileno (Filme eterno) - 660mm - kG</c:v>
                </c:pt>
                <c:pt idx="12">
                  <c:v>Fralda EG - Polietileno (Filme eterno) - 750mm- kG</c:v>
                </c:pt>
                <c:pt idx="13">
                  <c:v>Fralda M - TNT (Cobertura - Tecido Não Tecido) - 600mm  - M²</c:v>
                </c:pt>
                <c:pt idx="14">
                  <c:v>Fralda g - TNT (Cobertura - Tecido Não Tecido) - 650mm - M²</c:v>
                </c:pt>
                <c:pt idx="15">
                  <c:v>Fralda EG - TNT (Cobertura - Tecido Não Tecido) - 750mm - M²</c:v>
                </c:pt>
                <c:pt idx="16">
                  <c:v>Embalagem</c:v>
                </c:pt>
                <c:pt idx="17">
                  <c:v>Fardo</c:v>
                </c:pt>
              </c:strCache>
              <c:extLst xmlns:c15="http://schemas.microsoft.com/office/drawing/2012/chart"/>
            </c:strRef>
          </c:cat>
          <c:val>
            <c:numRef>
              <c:f>Dashboard!$B$22:$B$39</c:f>
              <c:numCache>
                <c:formatCode>General</c:formatCode>
                <c:ptCount val="18"/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8-91D9-4DB7-9043-B6D2CA99C754}"/>
            </c:ext>
          </c:extLst>
        </c:ser>
        <c:ser>
          <c:idx val="1"/>
          <c:order val="8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Dashboard!$A$22:$A$39</c:f>
              <c:strCache>
                <c:ptCount val="18"/>
                <c:pt idx="0">
                  <c:v>TNT (Tecido Não Tecido) Trasnfer  - M²</c:v>
                </c:pt>
                <c:pt idx="1">
                  <c:v>TNT (Barreira - Tecido Não Tecido) - M²</c:v>
                </c:pt>
                <c:pt idx="2">
                  <c:v>Gel Superrabisorvente (SAP) - KG</c:v>
                </c:pt>
                <c:pt idx="3">
                  <c:v>Celulose Fluff  - KG</c:v>
                </c:pt>
                <c:pt idx="4">
                  <c:v>Elásticos (Laterais e Cintura) - KG</c:v>
                </c:pt>
                <c:pt idx="5">
                  <c:v>Fitas Adesivas - M²</c:v>
                </c:pt>
                <c:pt idx="6">
                  <c:v>Adesivo Construção - KG</c:v>
                </c:pt>
                <c:pt idx="7">
                  <c:v>Tinta do Indicador de Umidade - Litro</c:v>
                </c:pt>
                <c:pt idx="8">
                  <c:v>Tinta Datadora de Lote - Litro</c:v>
                </c:pt>
                <c:pt idx="9">
                  <c:v>Adesivo Elástico - KG</c:v>
                </c:pt>
                <c:pt idx="10">
                  <c:v>Fralda M - Polietileno (Filme eterno) - 600mm- kG</c:v>
                </c:pt>
                <c:pt idx="11">
                  <c:v>Fralda G - Polietileno (Filme eterno) - 660mm - kG</c:v>
                </c:pt>
                <c:pt idx="12">
                  <c:v>Fralda EG - Polietileno (Filme eterno) - 750mm- kG</c:v>
                </c:pt>
                <c:pt idx="13">
                  <c:v>Fralda M - TNT (Cobertura - Tecido Não Tecido) - 600mm  - M²</c:v>
                </c:pt>
                <c:pt idx="14">
                  <c:v>Fralda g - TNT (Cobertura - Tecido Não Tecido) - 650mm - M²</c:v>
                </c:pt>
                <c:pt idx="15">
                  <c:v>Fralda EG - TNT (Cobertura - Tecido Não Tecido) - 750mm - M²</c:v>
                </c:pt>
                <c:pt idx="16">
                  <c:v>Embalagem</c:v>
                </c:pt>
                <c:pt idx="17">
                  <c:v>Fardo</c:v>
                </c:pt>
              </c:strCache>
              <c:extLst xmlns:c15="http://schemas.microsoft.com/office/drawing/2012/chart"/>
            </c:strRef>
          </c:cat>
          <c:val>
            <c:numRef>
              <c:f>Dashboard!$C$22:$C$39</c:f>
              <c:numCache>
                <c:formatCode>General</c:formatCode>
                <c:ptCount val="18"/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9-91D9-4DB7-9043-B6D2CA99C754}"/>
            </c:ext>
          </c:extLst>
        </c:ser>
        <c:ser>
          <c:idx val="2"/>
          <c:order val="9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Dashboard!$A$22:$A$39</c:f>
              <c:strCache>
                <c:ptCount val="18"/>
                <c:pt idx="0">
                  <c:v>TNT (Tecido Não Tecido) Trasnfer  - M²</c:v>
                </c:pt>
                <c:pt idx="1">
                  <c:v>TNT (Barreira - Tecido Não Tecido) - M²</c:v>
                </c:pt>
                <c:pt idx="2">
                  <c:v>Gel Superrabisorvente (SAP) - KG</c:v>
                </c:pt>
                <c:pt idx="3">
                  <c:v>Celulose Fluff  - KG</c:v>
                </c:pt>
                <c:pt idx="4">
                  <c:v>Elásticos (Laterais e Cintura) - KG</c:v>
                </c:pt>
                <c:pt idx="5">
                  <c:v>Fitas Adesivas - M²</c:v>
                </c:pt>
                <c:pt idx="6">
                  <c:v>Adesivo Construção - KG</c:v>
                </c:pt>
                <c:pt idx="7">
                  <c:v>Tinta do Indicador de Umidade - Litro</c:v>
                </c:pt>
                <c:pt idx="8">
                  <c:v>Tinta Datadora de Lote - Litro</c:v>
                </c:pt>
                <c:pt idx="9">
                  <c:v>Adesivo Elástico - KG</c:v>
                </c:pt>
                <c:pt idx="10">
                  <c:v>Fralda M - Polietileno (Filme eterno) - 600mm- kG</c:v>
                </c:pt>
                <c:pt idx="11">
                  <c:v>Fralda G - Polietileno (Filme eterno) - 660mm - kG</c:v>
                </c:pt>
                <c:pt idx="12">
                  <c:v>Fralda EG - Polietileno (Filme eterno) - 750mm- kG</c:v>
                </c:pt>
                <c:pt idx="13">
                  <c:v>Fralda M - TNT (Cobertura - Tecido Não Tecido) - 600mm  - M²</c:v>
                </c:pt>
                <c:pt idx="14">
                  <c:v>Fralda g - TNT (Cobertura - Tecido Não Tecido) - 650mm - M²</c:v>
                </c:pt>
                <c:pt idx="15">
                  <c:v>Fralda EG - TNT (Cobertura - Tecido Não Tecido) - 750mm - M²</c:v>
                </c:pt>
                <c:pt idx="16">
                  <c:v>Embalagem</c:v>
                </c:pt>
                <c:pt idx="17">
                  <c:v>Fardo</c:v>
                </c:pt>
              </c:strCache>
              <c:extLst xmlns:c15="http://schemas.microsoft.com/office/drawing/2012/chart"/>
            </c:strRef>
          </c:cat>
          <c:val>
            <c:numRef>
              <c:f>Dashboard!$D$22:$D$39</c:f>
              <c:numCache>
                <c:formatCode>General</c:formatCode>
                <c:ptCount val="18"/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A-91D9-4DB7-9043-B6D2CA99C754}"/>
            </c:ext>
          </c:extLst>
        </c:ser>
        <c:ser>
          <c:idx val="3"/>
          <c:order val="1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Dashboard!$A$22:$A$39</c:f>
              <c:strCache>
                <c:ptCount val="18"/>
                <c:pt idx="0">
                  <c:v>TNT (Tecido Não Tecido) Trasnfer  - M²</c:v>
                </c:pt>
                <c:pt idx="1">
                  <c:v>TNT (Barreira - Tecido Não Tecido) - M²</c:v>
                </c:pt>
                <c:pt idx="2">
                  <c:v>Gel Superrabisorvente (SAP) - KG</c:v>
                </c:pt>
                <c:pt idx="3">
                  <c:v>Celulose Fluff  - KG</c:v>
                </c:pt>
                <c:pt idx="4">
                  <c:v>Elásticos (Laterais e Cintura) - KG</c:v>
                </c:pt>
                <c:pt idx="5">
                  <c:v>Fitas Adesivas - M²</c:v>
                </c:pt>
                <c:pt idx="6">
                  <c:v>Adesivo Construção - KG</c:v>
                </c:pt>
                <c:pt idx="7">
                  <c:v>Tinta do Indicador de Umidade - Litro</c:v>
                </c:pt>
                <c:pt idx="8">
                  <c:v>Tinta Datadora de Lote - Litro</c:v>
                </c:pt>
                <c:pt idx="9">
                  <c:v>Adesivo Elástico - KG</c:v>
                </c:pt>
                <c:pt idx="10">
                  <c:v>Fralda M - Polietileno (Filme eterno) - 600mm- kG</c:v>
                </c:pt>
                <c:pt idx="11">
                  <c:v>Fralda G - Polietileno (Filme eterno) - 660mm - kG</c:v>
                </c:pt>
                <c:pt idx="12">
                  <c:v>Fralda EG - Polietileno (Filme eterno) - 750mm- kG</c:v>
                </c:pt>
                <c:pt idx="13">
                  <c:v>Fralda M - TNT (Cobertura - Tecido Não Tecido) - 600mm  - M²</c:v>
                </c:pt>
                <c:pt idx="14">
                  <c:v>Fralda g - TNT (Cobertura - Tecido Não Tecido) - 650mm - M²</c:v>
                </c:pt>
                <c:pt idx="15">
                  <c:v>Fralda EG - TNT (Cobertura - Tecido Não Tecido) - 750mm - M²</c:v>
                </c:pt>
                <c:pt idx="16">
                  <c:v>Embalagem</c:v>
                </c:pt>
                <c:pt idx="17">
                  <c:v>Fardo</c:v>
                </c:pt>
              </c:strCache>
              <c:extLst xmlns:c15="http://schemas.microsoft.com/office/drawing/2012/chart"/>
            </c:strRef>
          </c:cat>
          <c:val>
            <c:numRef>
              <c:f>Dashboard!$E$22:$E$39</c:f>
              <c:numCache>
                <c:formatCode>General</c:formatCode>
                <c:ptCount val="18"/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B-91D9-4DB7-9043-B6D2CA99C754}"/>
            </c:ext>
          </c:extLst>
        </c:ser>
        <c:ser>
          <c:idx val="4"/>
          <c:order val="1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Dashboard!$A$22:$A$39</c:f>
              <c:strCache>
                <c:ptCount val="18"/>
                <c:pt idx="0">
                  <c:v>TNT (Tecido Não Tecido) Trasnfer  - M²</c:v>
                </c:pt>
                <c:pt idx="1">
                  <c:v>TNT (Barreira - Tecido Não Tecido) - M²</c:v>
                </c:pt>
                <c:pt idx="2">
                  <c:v>Gel Superrabisorvente (SAP) - KG</c:v>
                </c:pt>
                <c:pt idx="3">
                  <c:v>Celulose Fluff  - KG</c:v>
                </c:pt>
                <c:pt idx="4">
                  <c:v>Elásticos (Laterais e Cintura) - KG</c:v>
                </c:pt>
                <c:pt idx="5">
                  <c:v>Fitas Adesivas - M²</c:v>
                </c:pt>
                <c:pt idx="6">
                  <c:v>Adesivo Construção - KG</c:v>
                </c:pt>
                <c:pt idx="7">
                  <c:v>Tinta do Indicador de Umidade - Litro</c:v>
                </c:pt>
                <c:pt idx="8">
                  <c:v>Tinta Datadora de Lote - Litro</c:v>
                </c:pt>
                <c:pt idx="9">
                  <c:v>Adesivo Elástico - KG</c:v>
                </c:pt>
                <c:pt idx="10">
                  <c:v>Fralda M - Polietileno (Filme eterno) - 600mm- kG</c:v>
                </c:pt>
                <c:pt idx="11">
                  <c:v>Fralda G - Polietileno (Filme eterno) - 660mm - kG</c:v>
                </c:pt>
                <c:pt idx="12">
                  <c:v>Fralda EG - Polietileno (Filme eterno) - 750mm- kG</c:v>
                </c:pt>
                <c:pt idx="13">
                  <c:v>Fralda M - TNT (Cobertura - Tecido Não Tecido) - 600mm  - M²</c:v>
                </c:pt>
                <c:pt idx="14">
                  <c:v>Fralda g - TNT (Cobertura - Tecido Não Tecido) - 650mm - M²</c:v>
                </c:pt>
                <c:pt idx="15">
                  <c:v>Fralda EG - TNT (Cobertura - Tecido Não Tecido) - 750mm - M²</c:v>
                </c:pt>
                <c:pt idx="16">
                  <c:v>Embalagem</c:v>
                </c:pt>
                <c:pt idx="17">
                  <c:v>Fardo</c:v>
                </c:pt>
              </c:strCache>
              <c:extLst xmlns:c15="http://schemas.microsoft.com/office/drawing/2012/chart"/>
            </c:strRef>
          </c:cat>
          <c:val>
            <c:numRef>
              <c:f>Dashboard!$F$22:$F$39</c:f>
              <c:numCache>
                <c:formatCode>General</c:formatCode>
                <c:ptCount val="18"/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C-91D9-4DB7-9043-B6D2CA99C754}"/>
            </c:ext>
          </c:extLst>
        </c:ser>
        <c:ser>
          <c:idx val="5"/>
          <c:order val="12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Dashboard!$A$22:$A$39</c:f>
              <c:strCache>
                <c:ptCount val="18"/>
                <c:pt idx="0">
                  <c:v>TNT (Tecido Não Tecido) Trasnfer  - M²</c:v>
                </c:pt>
                <c:pt idx="1">
                  <c:v>TNT (Barreira - Tecido Não Tecido) - M²</c:v>
                </c:pt>
                <c:pt idx="2">
                  <c:v>Gel Superrabisorvente (SAP) - KG</c:v>
                </c:pt>
                <c:pt idx="3">
                  <c:v>Celulose Fluff  - KG</c:v>
                </c:pt>
                <c:pt idx="4">
                  <c:v>Elásticos (Laterais e Cintura) - KG</c:v>
                </c:pt>
                <c:pt idx="5">
                  <c:v>Fitas Adesivas - M²</c:v>
                </c:pt>
                <c:pt idx="6">
                  <c:v>Adesivo Construção - KG</c:v>
                </c:pt>
                <c:pt idx="7">
                  <c:v>Tinta do Indicador de Umidade - Litro</c:v>
                </c:pt>
                <c:pt idx="8">
                  <c:v>Tinta Datadora de Lote - Litro</c:v>
                </c:pt>
                <c:pt idx="9">
                  <c:v>Adesivo Elástico - KG</c:v>
                </c:pt>
                <c:pt idx="10">
                  <c:v>Fralda M - Polietileno (Filme eterno) - 600mm- kG</c:v>
                </c:pt>
                <c:pt idx="11">
                  <c:v>Fralda G - Polietileno (Filme eterno) - 660mm - kG</c:v>
                </c:pt>
                <c:pt idx="12">
                  <c:v>Fralda EG - Polietileno (Filme eterno) - 750mm- kG</c:v>
                </c:pt>
                <c:pt idx="13">
                  <c:v>Fralda M - TNT (Cobertura - Tecido Não Tecido) - 600mm  - M²</c:v>
                </c:pt>
                <c:pt idx="14">
                  <c:v>Fralda g - TNT (Cobertura - Tecido Não Tecido) - 650mm - M²</c:v>
                </c:pt>
                <c:pt idx="15">
                  <c:v>Fralda EG - TNT (Cobertura - Tecido Não Tecido) - 750mm - M²</c:v>
                </c:pt>
                <c:pt idx="16">
                  <c:v>Embalagem</c:v>
                </c:pt>
                <c:pt idx="17">
                  <c:v>Fardo</c:v>
                </c:pt>
              </c:strCache>
              <c:extLst xmlns:c15="http://schemas.microsoft.com/office/drawing/2012/chart"/>
            </c:strRef>
          </c:cat>
          <c:val>
            <c:numRef>
              <c:f>Dashboard!$G$22:$G$39</c:f>
              <c:numCache>
                <c:formatCode>General</c:formatCode>
                <c:ptCount val="18"/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D-91D9-4DB7-9043-B6D2CA99C754}"/>
            </c:ext>
          </c:extLst>
        </c:ser>
        <c:ser>
          <c:idx val="6"/>
          <c:order val="13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91D9-4DB7-9043-B6D2CA99C754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91D9-4DB7-9043-B6D2CA99C754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91D9-4DB7-9043-B6D2CA99C75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91D9-4DB7-9043-B6D2CA99C754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91D9-4DB7-9043-B6D2CA99C754}"/>
              </c:ext>
            </c:extLst>
          </c:dPt>
          <c:dPt>
            <c:idx val="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91D9-4DB7-9043-B6D2CA99C754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91D9-4DB7-9043-B6D2CA99C754}"/>
              </c:ext>
            </c:extLst>
          </c:dPt>
          <c:dPt>
            <c:idx val="9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91D9-4DB7-9043-B6D2CA99C754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91D9-4DB7-9043-B6D2CA99C754}"/>
              </c:ext>
            </c:extLst>
          </c:dPt>
          <c:dPt>
            <c:idx val="11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91D9-4DB7-9043-B6D2CA99C754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91D9-4DB7-9043-B6D2CA99C754}"/>
              </c:ext>
            </c:extLst>
          </c:dPt>
          <c:dPt>
            <c:idx val="13"/>
            <c:invertIfNegative val="0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91D9-4DB7-9043-B6D2CA99C754}"/>
              </c:ext>
            </c:extLst>
          </c:dPt>
          <c:dPt>
            <c:idx val="1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91D9-4DB7-9043-B6D2CA99C754}"/>
              </c:ext>
            </c:extLst>
          </c:dPt>
          <c:dPt>
            <c:idx val="15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91D9-4DB7-9043-B6D2CA99C754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91D9-4DB7-9043-B6D2CA99C754}"/>
              </c:ext>
            </c:extLst>
          </c:dPt>
          <c:dPt>
            <c:idx val="1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91D9-4DB7-9043-B6D2CA99C7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Dashboard!$A$22:$A$39</c:f>
              <c:strCache>
                <c:ptCount val="18"/>
                <c:pt idx="0">
                  <c:v>TNT (Tecido Não Tecido) Trasnfer  - M²</c:v>
                </c:pt>
                <c:pt idx="1">
                  <c:v>TNT (Barreira - Tecido Não Tecido) - M²</c:v>
                </c:pt>
                <c:pt idx="2">
                  <c:v>Gel Superrabisorvente (SAP) - KG</c:v>
                </c:pt>
                <c:pt idx="3">
                  <c:v>Celulose Fluff  - KG</c:v>
                </c:pt>
                <c:pt idx="4">
                  <c:v>Elásticos (Laterais e Cintura) - KG</c:v>
                </c:pt>
                <c:pt idx="5">
                  <c:v>Fitas Adesivas - M²</c:v>
                </c:pt>
                <c:pt idx="6">
                  <c:v>Adesivo Construção - KG</c:v>
                </c:pt>
                <c:pt idx="7">
                  <c:v>Tinta do Indicador de Umidade - Litro</c:v>
                </c:pt>
                <c:pt idx="8">
                  <c:v>Tinta Datadora de Lote - Litro</c:v>
                </c:pt>
                <c:pt idx="9">
                  <c:v>Adesivo Elástico - KG</c:v>
                </c:pt>
                <c:pt idx="10">
                  <c:v>Fralda M - Polietileno (Filme eterno) - 600mm- kG</c:v>
                </c:pt>
                <c:pt idx="11">
                  <c:v>Fralda G - Polietileno (Filme eterno) - 660mm - kG</c:v>
                </c:pt>
                <c:pt idx="12">
                  <c:v>Fralda EG - Polietileno (Filme eterno) - 750mm- kG</c:v>
                </c:pt>
                <c:pt idx="13">
                  <c:v>Fralda M - TNT (Cobertura - Tecido Não Tecido) - 600mm  - M²</c:v>
                </c:pt>
                <c:pt idx="14">
                  <c:v>Fralda g - TNT (Cobertura - Tecido Não Tecido) - 650mm - M²</c:v>
                </c:pt>
                <c:pt idx="15">
                  <c:v>Fralda EG - TNT (Cobertura - Tecido Não Tecido) - 750mm - M²</c:v>
                </c:pt>
                <c:pt idx="16">
                  <c:v>Embalagem</c:v>
                </c:pt>
                <c:pt idx="17">
                  <c:v>Fardo</c:v>
                </c:pt>
              </c:strCache>
            </c:strRef>
          </c:cat>
          <c:val>
            <c:numRef>
              <c:f>Dashboard!$H$22:$H$39</c:f>
              <c:numCache>
                <c:formatCode>"R$"\ #,##0.00</c:formatCode>
                <c:ptCount val="18"/>
                <c:pt idx="0">
                  <c:v>21978.402599999998</c:v>
                </c:pt>
                <c:pt idx="1">
                  <c:v>6992.1440999999995</c:v>
                </c:pt>
                <c:pt idx="2">
                  <c:v>21730.41</c:v>
                </c:pt>
                <c:pt idx="3">
                  <c:v>67419.990000000005</c:v>
                </c:pt>
                <c:pt idx="4">
                  <c:v>1976.3947500000002</c:v>
                </c:pt>
                <c:pt idx="5">
                  <c:v>13703.891250000001</c:v>
                </c:pt>
                <c:pt idx="6">
                  <c:v>9479.3332499999997</c:v>
                </c:pt>
                <c:pt idx="7">
                  <c:v>0</c:v>
                </c:pt>
                <c:pt idx="8">
                  <c:v>0</c:v>
                </c:pt>
                <c:pt idx="9">
                  <c:v>739.53750000000002</c:v>
                </c:pt>
                <c:pt idx="10">
                  <c:v>17361.695999999996</c:v>
                </c:pt>
                <c:pt idx="11">
                  <c:v>19799.053750000003</c:v>
                </c:pt>
                <c:pt idx="12">
                  <c:v>23315.234250000005</c:v>
                </c:pt>
                <c:pt idx="13">
                  <c:v>7886.7599999999993</c:v>
                </c:pt>
                <c:pt idx="14">
                  <c:v>8864.3896249999998</c:v>
                </c:pt>
                <c:pt idx="15">
                  <c:v>10597.83375</c:v>
                </c:pt>
                <c:pt idx="16">
                  <c:v>12885.714285714286</c:v>
                </c:pt>
                <c:pt idx="17">
                  <c:v>1073.8095238095239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91D9-4DB7-9043-B6D2CA99C754}"/>
            </c:ext>
          </c:extLst>
        </c:ser>
        <c:ser>
          <c:idx val="7"/>
          <c:order val="14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Dashboard!$A$22:$A$39</c:f>
              <c:strCache>
                <c:ptCount val="18"/>
                <c:pt idx="0">
                  <c:v>TNT (Tecido Não Tecido) Trasnfer  - M²</c:v>
                </c:pt>
                <c:pt idx="1">
                  <c:v>TNT (Barreira - Tecido Não Tecido) - M²</c:v>
                </c:pt>
                <c:pt idx="2">
                  <c:v>Gel Superrabisorvente (SAP) - KG</c:v>
                </c:pt>
                <c:pt idx="3">
                  <c:v>Celulose Fluff  - KG</c:v>
                </c:pt>
                <c:pt idx="4">
                  <c:v>Elásticos (Laterais e Cintura) - KG</c:v>
                </c:pt>
                <c:pt idx="5">
                  <c:v>Fitas Adesivas - M²</c:v>
                </c:pt>
                <c:pt idx="6">
                  <c:v>Adesivo Construção - KG</c:v>
                </c:pt>
                <c:pt idx="7">
                  <c:v>Tinta do Indicador de Umidade - Litro</c:v>
                </c:pt>
                <c:pt idx="8">
                  <c:v>Tinta Datadora de Lote - Litro</c:v>
                </c:pt>
                <c:pt idx="9">
                  <c:v>Adesivo Elástico - KG</c:v>
                </c:pt>
                <c:pt idx="10">
                  <c:v>Fralda M - Polietileno (Filme eterno) - 600mm- kG</c:v>
                </c:pt>
                <c:pt idx="11">
                  <c:v>Fralda G - Polietileno (Filme eterno) - 660mm - kG</c:v>
                </c:pt>
                <c:pt idx="12">
                  <c:v>Fralda EG - Polietileno (Filme eterno) - 750mm- kG</c:v>
                </c:pt>
                <c:pt idx="13">
                  <c:v>Fralda M - TNT (Cobertura - Tecido Não Tecido) - 600mm  - M²</c:v>
                </c:pt>
                <c:pt idx="14">
                  <c:v>Fralda g - TNT (Cobertura - Tecido Não Tecido) - 650mm - M²</c:v>
                </c:pt>
                <c:pt idx="15">
                  <c:v>Fralda EG - TNT (Cobertura - Tecido Não Tecido) - 750mm - M²</c:v>
                </c:pt>
                <c:pt idx="16">
                  <c:v>Embalagem</c:v>
                </c:pt>
                <c:pt idx="17">
                  <c:v>Fardo</c:v>
                </c:pt>
              </c:strCache>
              <c:extLst xmlns:c15="http://schemas.microsoft.com/office/drawing/2012/chart"/>
            </c:strRef>
          </c:cat>
          <c:val>
            <c:numRef>
              <c:f>Dashboard!$I$22:$I$39</c:f>
              <c:numCache>
                <c:formatCode>"R$"\ #,##0.00</c:formatCode>
                <c:ptCount val="18"/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F-91D9-4DB7-9043-B6D2CA99C7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95"/>
        <c:axId val="524934144"/>
        <c:axId val="524933064"/>
        <c:extLst/>
      </c:barChart>
      <c:catAx>
        <c:axId val="52493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4933064"/>
        <c:crosses val="autoZero"/>
        <c:auto val="1"/>
        <c:lblAlgn val="ctr"/>
        <c:lblOffset val="1000"/>
        <c:tickLblSkip val="1"/>
        <c:noMultiLvlLbl val="0"/>
      </c:catAx>
      <c:valAx>
        <c:axId val="5249330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2493414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28575</xdr:rowOff>
    </xdr:from>
    <xdr:to>
      <xdr:col>5</xdr:col>
      <xdr:colOff>238995</xdr:colOff>
      <xdr:row>4</xdr:row>
      <xdr:rowOff>125186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5E18321-ECB1-4B94-89B9-91305C940A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28575"/>
          <a:ext cx="3525681" cy="85861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5</xdr:row>
      <xdr:rowOff>5635</xdr:rowOff>
    </xdr:from>
    <xdr:to>
      <xdr:col>7</xdr:col>
      <xdr:colOff>588067</xdr:colOff>
      <xdr:row>20</xdr:row>
      <xdr:rowOff>100265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8C10D59-F4F3-B160-9476-7F4DCE2EF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597304</xdr:colOff>
      <xdr:row>5</xdr:row>
      <xdr:rowOff>15429</xdr:rowOff>
    </xdr:from>
    <xdr:to>
      <xdr:col>16</xdr:col>
      <xdr:colOff>1384</xdr:colOff>
      <xdr:row>20</xdr:row>
      <xdr:rowOff>109929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0D0447F-1B8D-75BA-9B0E-FD61214AD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20</xdr:row>
      <xdr:rowOff>90949</xdr:rowOff>
    </xdr:from>
    <xdr:to>
      <xdr:col>16</xdr:col>
      <xdr:colOff>27619</xdr:colOff>
      <xdr:row>66</xdr:row>
      <xdr:rowOff>13607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75169066-8816-A483-A106-4170E109C2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20415</xdr:colOff>
      <xdr:row>0</xdr:row>
      <xdr:rowOff>23812</xdr:rowOff>
    </xdr:from>
    <xdr:to>
      <xdr:col>35</xdr:col>
      <xdr:colOff>95253</xdr:colOff>
      <xdr:row>66</xdr:row>
      <xdr:rowOff>13607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4E4EC619-5C94-A4C0-3AF0-4F992CEF9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0</xdr:colOff>
      <xdr:row>65</xdr:row>
      <xdr:rowOff>142875</xdr:rowOff>
    </xdr:from>
    <xdr:to>
      <xdr:col>35</xdr:col>
      <xdr:colOff>119062</xdr:colOff>
      <xdr:row>128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2A6CF17-016A-4104-97EE-FC0AE0562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28575</xdr:rowOff>
    </xdr:from>
    <xdr:to>
      <xdr:col>5</xdr:col>
      <xdr:colOff>496731</xdr:colOff>
      <xdr:row>4</xdr:row>
      <xdr:rowOff>125186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B535339-12F5-4F27-99B7-1FB9C80E1B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28575"/>
          <a:ext cx="3525681" cy="85861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28575</xdr:rowOff>
    </xdr:from>
    <xdr:to>
      <xdr:col>5</xdr:col>
      <xdr:colOff>496731</xdr:colOff>
      <xdr:row>4</xdr:row>
      <xdr:rowOff>125186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600DD8F-4218-4D7A-A10E-9C917A0503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28575"/>
          <a:ext cx="3525681" cy="85861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28575</xdr:rowOff>
    </xdr:from>
    <xdr:to>
      <xdr:col>5</xdr:col>
      <xdr:colOff>496731</xdr:colOff>
      <xdr:row>4</xdr:row>
      <xdr:rowOff>125186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FF1E06F-1A6B-402D-9CF1-C9898141DF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28575"/>
          <a:ext cx="3525681" cy="85861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76200</xdr:rowOff>
    </xdr:from>
    <xdr:to>
      <xdr:col>5</xdr:col>
      <xdr:colOff>515781</xdr:colOff>
      <xdr:row>4</xdr:row>
      <xdr:rowOff>172811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139B5D4-E526-4981-BD15-BA14B9EF36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76200"/>
          <a:ext cx="3525681" cy="85861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35944</xdr:colOff>
      <xdr:row>0</xdr:row>
      <xdr:rowOff>35944</xdr:rowOff>
    </xdr:from>
    <xdr:to>
      <xdr:col>2</xdr:col>
      <xdr:colOff>734489</xdr:colOff>
      <xdr:row>4</xdr:row>
      <xdr:rowOff>118948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20DDB8B-6D41-4A6E-AC87-D4D5903E6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44" y="35944"/>
          <a:ext cx="3507032" cy="87375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480394</xdr:colOff>
      <xdr:row>0</xdr:row>
      <xdr:rowOff>99396</xdr:rowOff>
    </xdr:from>
    <xdr:to>
      <xdr:col>2</xdr:col>
      <xdr:colOff>955161</xdr:colOff>
      <xdr:row>4</xdr:row>
      <xdr:rowOff>60856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DEA11890-2BBE-B964-4F4C-422038746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394" y="99396"/>
          <a:ext cx="3072848" cy="73174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480394</xdr:colOff>
      <xdr:row>0</xdr:row>
      <xdr:rowOff>99396</xdr:rowOff>
    </xdr:from>
    <xdr:to>
      <xdr:col>2</xdr:col>
      <xdr:colOff>973599</xdr:colOff>
      <xdr:row>4</xdr:row>
      <xdr:rowOff>70381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BD5CDC7-8063-4C2B-9706-32DFA3AA08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394" y="99396"/>
          <a:ext cx="3057111" cy="73298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480394</xdr:colOff>
      <xdr:row>0</xdr:row>
      <xdr:rowOff>99396</xdr:rowOff>
    </xdr:from>
    <xdr:to>
      <xdr:col>2</xdr:col>
      <xdr:colOff>987352</xdr:colOff>
      <xdr:row>4</xdr:row>
      <xdr:rowOff>70381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237BC5-4E08-402C-BCBB-A07ED5CCFD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394" y="99396"/>
          <a:ext cx="3057111" cy="7329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7C441-8AB5-47FA-AB1D-711A083218DB}">
  <dimension ref="A1:R39"/>
  <sheetViews>
    <sheetView showGridLines="0" topLeftCell="A7" zoomScale="55" zoomScaleNormal="55" workbookViewId="0">
      <selection activeCell="E6" activeCellId="1" sqref="A6:A12 E6:E12"/>
    </sheetView>
  </sheetViews>
  <sheetFormatPr defaultRowHeight="15" x14ac:dyDescent="0.25"/>
  <cols>
    <col min="5" max="5" width="12.85546875" bestFit="1" customWidth="1"/>
    <col min="8" max="8" width="11.85546875" bestFit="1" customWidth="1"/>
    <col min="15" max="15" width="12.85546875" bestFit="1" customWidth="1"/>
    <col min="16" max="16" width="9.140625" customWidth="1"/>
  </cols>
  <sheetData>
    <row r="1" spans="1:18" ht="15" customHeight="1" x14ac:dyDescent="0.45">
      <c r="A1" s="2"/>
      <c r="B1" s="2"/>
      <c r="C1" s="2"/>
      <c r="D1" s="2"/>
      <c r="E1" s="2"/>
      <c r="F1" s="2"/>
      <c r="G1" s="28" t="s">
        <v>0</v>
      </c>
      <c r="H1" s="28"/>
      <c r="I1" s="28"/>
      <c r="J1" s="28"/>
      <c r="K1" s="28"/>
      <c r="L1" s="28"/>
      <c r="M1" s="28"/>
      <c r="N1" s="28"/>
      <c r="O1" s="28"/>
      <c r="P1" s="28"/>
    </row>
    <row r="2" spans="1:18" ht="15" customHeight="1" x14ac:dyDescent="0.45">
      <c r="A2" s="2"/>
      <c r="B2" s="2"/>
      <c r="C2" s="2"/>
      <c r="D2" s="2"/>
      <c r="E2" s="2"/>
      <c r="F2" s="2"/>
      <c r="G2" s="28"/>
      <c r="H2" s="28"/>
      <c r="I2" s="28"/>
      <c r="J2" s="28"/>
      <c r="K2" s="28"/>
      <c r="L2" s="28"/>
      <c r="M2" s="28"/>
      <c r="N2" s="28"/>
      <c r="O2" s="28"/>
      <c r="P2" s="28"/>
    </row>
    <row r="3" spans="1:18" ht="15" customHeight="1" x14ac:dyDescent="0.45">
      <c r="A3" s="2"/>
      <c r="B3" s="2"/>
      <c r="C3" s="2"/>
      <c r="D3" s="2"/>
      <c r="E3" s="2"/>
      <c r="F3" s="2"/>
      <c r="G3" s="28"/>
      <c r="H3" s="28"/>
      <c r="I3" s="28"/>
      <c r="J3" s="28"/>
      <c r="K3" s="28"/>
      <c r="L3" s="28"/>
      <c r="M3" s="28"/>
      <c r="N3" s="28"/>
      <c r="O3" s="28"/>
      <c r="P3" s="28"/>
    </row>
    <row r="4" spans="1:18" ht="15" customHeight="1" x14ac:dyDescent="0.45">
      <c r="A4" s="2"/>
      <c r="B4" s="2"/>
      <c r="C4" s="2"/>
      <c r="D4" s="2"/>
      <c r="E4" s="2"/>
      <c r="F4" s="2"/>
      <c r="G4" s="28"/>
      <c r="H4" s="28"/>
      <c r="I4" s="28"/>
      <c r="J4" s="28"/>
      <c r="K4" s="28"/>
      <c r="L4" s="28"/>
      <c r="M4" s="28"/>
      <c r="N4" s="28"/>
      <c r="O4" s="28"/>
      <c r="P4" s="28"/>
    </row>
    <row r="5" spans="1:18" ht="15" customHeight="1" x14ac:dyDescent="0.45">
      <c r="A5" s="2"/>
      <c r="B5" s="2"/>
      <c r="C5" s="2"/>
      <c r="D5" s="2"/>
      <c r="E5" s="2"/>
      <c r="F5" s="2"/>
      <c r="G5" s="28"/>
      <c r="H5" s="28"/>
      <c r="I5" s="28"/>
      <c r="J5" s="28"/>
      <c r="K5" s="28"/>
      <c r="L5" s="28"/>
      <c r="M5" s="28"/>
      <c r="N5" s="28"/>
      <c r="O5" s="28"/>
      <c r="P5" s="28"/>
    </row>
    <row r="6" spans="1:18" ht="15" customHeight="1" x14ac:dyDescent="0.25">
      <c r="A6" t="s">
        <v>142</v>
      </c>
      <c r="E6" s="24">
        <f>'Custos Fixos'!N35</f>
        <v>32524.749999999996</v>
      </c>
      <c r="F6" s="21"/>
      <c r="I6" s="22" t="s">
        <v>148</v>
      </c>
      <c r="J6" s="22"/>
      <c r="K6" s="22"/>
      <c r="L6" s="22"/>
      <c r="M6" s="22"/>
      <c r="N6" s="22"/>
      <c r="O6" s="23">
        <f>'Fralda M - FM-003-M'!D10</f>
        <v>100000</v>
      </c>
      <c r="P6" s="22"/>
      <c r="Q6" s="22"/>
      <c r="R6" s="22"/>
    </row>
    <row r="7" spans="1:18" x14ac:dyDescent="0.25">
      <c r="A7" t="s">
        <v>143</v>
      </c>
      <c r="E7" s="24">
        <f>'Custos Mao de obra'!N35</f>
        <v>43408.173111111108</v>
      </c>
      <c r="F7" s="21"/>
      <c r="H7" s="21"/>
      <c r="I7" s="22" t="s">
        <v>149</v>
      </c>
      <c r="J7" s="22"/>
      <c r="K7" s="22"/>
      <c r="L7" s="22"/>
      <c r="M7" s="22"/>
      <c r="N7" s="22"/>
      <c r="O7" s="4">
        <f>'Fralda G - FM-002-G'!D10</f>
        <v>100000</v>
      </c>
    </row>
    <row r="8" spans="1:18" x14ac:dyDescent="0.25">
      <c r="A8" t="s">
        <v>177</v>
      </c>
      <c r="E8" s="24">
        <f>'Outros Custos'!N37</f>
        <v>3960</v>
      </c>
      <c r="F8" s="21"/>
      <c r="H8" s="21"/>
      <c r="I8" s="22" t="s">
        <v>150</v>
      </c>
      <c r="J8" s="22"/>
      <c r="K8" s="22"/>
      <c r="L8" s="22"/>
      <c r="M8" s="22"/>
      <c r="N8" s="22"/>
      <c r="O8" s="4">
        <f>'Fralda EG - FM-001-EG'!D10</f>
        <v>100000</v>
      </c>
    </row>
    <row r="9" spans="1:18" x14ac:dyDescent="0.25">
      <c r="A9" t="s">
        <v>144</v>
      </c>
      <c r="E9" s="24">
        <f>'Fralda M - FM-003-M'!L7</f>
        <v>75719.59133333333</v>
      </c>
      <c r="F9" s="21"/>
      <c r="H9" s="21"/>
      <c r="I9" s="26"/>
      <c r="J9" s="26"/>
      <c r="K9" s="26"/>
      <c r="L9" s="26"/>
      <c r="M9" s="26"/>
      <c r="N9" s="26"/>
    </row>
    <row r="10" spans="1:18" x14ac:dyDescent="0.25">
      <c r="A10" t="s">
        <v>145</v>
      </c>
      <c r="E10" s="24">
        <f>'Fralda G - FM-002-G'!L7</f>
        <v>79133.474333333332</v>
      </c>
      <c r="F10" s="21"/>
      <c r="H10" s="21"/>
      <c r="I10" s="26"/>
      <c r="J10" s="26"/>
      <c r="K10" s="26"/>
      <c r="L10" s="26"/>
      <c r="M10" s="26"/>
      <c r="N10" s="26"/>
    </row>
    <row r="11" spans="1:18" x14ac:dyDescent="0.25">
      <c r="A11" t="s">
        <v>146</v>
      </c>
      <c r="E11" s="24">
        <f>'Fralda EG - FM-001-EG'!L7</f>
        <v>84956.294952380951</v>
      </c>
      <c r="F11" s="21"/>
      <c r="H11" s="21"/>
      <c r="I11" s="26"/>
      <c r="J11" s="26"/>
      <c r="K11" s="26"/>
      <c r="L11" s="26"/>
      <c r="M11" s="26"/>
      <c r="N11" s="26"/>
    </row>
    <row r="12" spans="1:18" ht="15" customHeight="1" x14ac:dyDescent="0.25">
      <c r="A12" t="s">
        <v>147</v>
      </c>
      <c r="E12" s="24">
        <f>'Fralda M - FM-003-M'!G47+'Fralda G - FM-002-G'!G47+'Fralda EG - FM-001-EG'!G47</f>
        <v>5995.2340154761905</v>
      </c>
      <c r="H12" s="21"/>
      <c r="I12" s="26"/>
      <c r="J12" s="26"/>
      <c r="K12" s="26"/>
      <c r="L12" s="26"/>
      <c r="M12" s="26"/>
      <c r="N12" s="26"/>
    </row>
    <row r="13" spans="1:18" x14ac:dyDescent="0.25">
      <c r="I13" s="27"/>
      <c r="J13" s="27"/>
      <c r="K13" s="27"/>
      <c r="L13" s="27"/>
      <c r="M13" s="27"/>
      <c r="N13" s="27"/>
    </row>
    <row r="14" spans="1:18" x14ac:dyDescent="0.25">
      <c r="I14" s="27"/>
      <c r="J14" s="27"/>
      <c r="K14" s="27"/>
      <c r="L14" s="27"/>
      <c r="M14" s="27"/>
      <c r="N14" s="27"/>
    </row>
    <row r="15" spans="1:18" x14ac:dyDescent="0.25">
      <c r="I15" s="27"/>
      <c r="J15" s="27"/>
      <c r="K15" s="27"/>
      <c r="L15" s="27"/>
      <c r="M15" s="27"/>
      <c r="N15" s="27"/>
    </row>
    <row r="16" spans="1:18" x14ac:dyDescent="0.25">
      <c r="I16" s="27"/>
      <c r="J16" s="27"/>
      <c r="K16" s="27"/>
      <c r="L16" s="27"/>
      <c r="M16" s="27"/>
      <c r="N16" s="27"/>
    </row>
    <row r="17" spans="1:18" x14ac:dyDescent="0.25">
      <c r="I17" s="27"/>
      <c r="J17" s="27"/>
      <c r="K17" s="27"/>
      <c r="L17" s="27"/>
      <c r="M17" s="27"/>
      <c r="N17" s="27"/>
    </row>
    <row r="18" spans="1:18" x14ac:dyDescent="0.25">
      <c r="I18" s="26"/>
      <c r="J18" s="26"/>
      <c r="K18" s="26"/>
      <c r="L18" s="26"/>
      <c r="M18" s="26"/>
      <c r="N18" s="26"/>
    </row>
    <row r="19" spans="1:18" x14ac:dyDescent="0.25">
      <c r="I19" s="26"/>
      <c r="J19" s="26"/>
      <c r="K19" s="26"/>
      <c r="L19" s="26"/>
      <c r="M19" s="26"/>
      <c r="N19" s="26"/>
    </row>
    <row r="20" spans="1:18" x14ac:dyDescent="0.25">
      <c r="I20" s="26"/>
      <c r="J20" s="26"/>
      <c r="K20" s="26"/>
      <c r="L20" s="26"/>
      <c r="M20" s="26"/>
      <c r="N20" s="26"/>
      <c r="O20" s="26"/>
      <c r="P20" s="26"/>
      <c r="Q20" s="26"/>
      <c r="R20" s="26"/>
    </row>
    <row r="21" spans="1:18" x14ac:dyDescent="0.25">
      <c r="O21" s="26"/>
      <c r="P21" s="26"/>
      <c r="Q21" s="26"/>
      <c r="R21" s="26"/>
    </row>
    <row r="22" spans="1:18" x14ac:dyDescent="0.25">
      <c r="A22" t="str">
        <f>'Cotação Materia Prima'!B11</f>
        <v>TNT (Tecido Não Tecido) Trasnfer  - M²</v>
      </c>
      <c r="H22" s="21">
        <f>'Fralda M - FM-003-M'!P15*'Fralda M - FM-003-M'!$O$48+'Fralda M - FM-003-M'!P15+'Fralda G - FM-002-G'!P15*'Fralda G - FM-002-G'!$O$48+'Fralda G - FM-002-G'!P15+'Fralda EG - FM-001-EG'!P15*'Fralda EG - FM-001-EG'!$O$48+'Fralda EG - FM-001-EG'!P15</f>
        <v>21978.402599999998</v>
      </c>
      <c r="I22" s="21"/>
    </row>
    <row r="23" spans="1:18" x14ac:dyDescent="0.25">
      <c r="A23" t="str">
        <f>'Cotação Materia Prima'!B12</f>
        <v>TNT (Barreira - Tecido Não Tecido) - M²</v>
      </c>
      <c r="H23" s="21">
        <f>'Fralda M - FM-003-M'!P16*'Fralda M - FM-003-M'!$O$48+'Fralda M - FM-003-M'!P16+'Fralda G - FM-002-G'!P16*'Fralda G - FM-002-G'!$O$48+'Fralda G - FM-002-G'!P16+'Fralda EG - FM-001-EG'!P16*'Fralda EG - FM-001-EG'!$O$48+'Fralda EG - FM-001-EG'!P16</f>
        <v>6992.1440999999995</v>
      </c>
      <c r="I23" s="21"/>
    </row>
    <row r="24" spans="1:18" x14ac:dyDescent="0.25">
      <c r="A24" t="str">
        <f>'Cotação Materia Prima'!B13</f>
        <v>Gel Superrabisorvente (SAP) - KG</v>
      </c>
      <c r="H24" s="21">
        <f>'Fralda M - FM-003-M'!P17*'Fralda M - FM-003-M'!$O$48+'Fralda M - FM-003-M'!P17+'Fralda G - FM-002-G'!P17*'Fralda G - FM-002-G'!$O$48+'Fralda G - FM-002-G'!P17+'Fralda EG - FM-001-EG'!P17*'Fralda EG - FM-001-EG'!$O$48+'Fralda EG - FM-001-EG'!P17</f>
        <v>21730.41</v>
      </c>
      <c r="I24" s="21"/>
    </row>
    <row r="25" spans="1:18" x14ac:dyDescent="0.25">
      <c r="A25" t="str">
        <f>'Cotação Materia Prima'!B14</f>
        <v>Celulose Fluff  - KG</v>
      </c>
      <c r="H25" s="21">
        <f>'Fralda M - FM-003-M'!P18*'Fralda M - FM-003-M'!$O$48+'Fralda M - FM-003-M'!P18+'Fralda G - FM-002-G'!P18*'Fralda G - FM-002-G'!$O$48+'Fralda G - FM-002-G'!P18+'Fralda EG - FM-001-EG'!P18*'Fralda EG - FM-001-EG'!$O$48+'Fralda EG - FM-001-EG'!P18</f>
        <v>67419.990000000005</v>
      </c>
      <c r="I25" s="21"/>
    </row>
    <row r="26" spans="1:18" x14ac:dyDescent="0.25">
      <c r="A26" t="str">
        <f>'Cotação Materia Prima'!B15</f>
        <v>Elásticos (Laterais e Cintura) - KG</v>
      </c>
      <c r="H26" s="21">
        <f>'Fralda M - FM-003-M'!P19*'Fralda M - FM-003-M'!$O$48+'Fralda M - FM-003-M'!P19+'Fralda G - FM-002-G'!P19*'Fralda G - FM-002-G'!$O$48+'Fralda G - FM-002-G'!P19+'Fralda EG - FM-001-EG'!P19*'Fralda EG - FM-001-EG'!$O$48+'Fralda EG - FM-001-EG'!P19</f>
        <v>1976.3947500000002</v>
      </c>
      <c r="I26" s="21"/>
    </row>
    <row r="27" spans="1:18" x14ac:dyDescent="0.25">
      <c r="A27" t="str">
        <f>'Cotação Materia Prima'!B16</f>
        <v>Fitas Adesivas - M²</v>
      </c>
      <c r="H27" s="21">
        <f>'Fralda M - FM-003-M'!P20*'Fralda M - FM-003-M'!$O$48+'Fralda M - FM-003-M'!P20+'Fralda G - FM-002-G'!P20*'Fralda G - FM-002-G'!$O$48+'Fralda G - FM-002-G'!P20+'Fralda EG - FM-001-EG'!P20*'Fralda EG - FM-001-EG'!$O$48+'Fralda EG - FM-001-EG'!P20</f>
        <v>13703.891250000001</v>
      </c>
      <c r="I27" s="21"/>
    </row>
    <row r="28" spans="1:18" x14ac:dyDescent="0.25">
      <c r="A28" t="str">
        <f>'Cotação Materia Prima'!B17</f>
        <v>Adesivo Construção - KG</v>
      </c>
      <c r="H28" s="21">
        <f>'Fralda M - FM-003-M'!P21*'Fralda M - FM-003-M'!$O$48+'Fralda M - FM-003-M'!P21+'Fralda G - FM-002-G'!P21*'Fralda G - FM-002-G'!$O$48+'Fralda G - FM-002-G'!P21+'Fralda EG - FM-001-EG'!P21*'Fralda EG - FM-001-EG'!$O$48+'Fralda EG - FM-001-EG'!P21</f>
        <v>9479.3332499999997</v>
      </c>
      <c r="I28" s="21"/>
    </row>
    <row r="29" spans="1:18" x14ac:dyDescent="0.25">
      <c r="A29" t="str">
        <f>'Cotação Materia Prima'!B18</f>
        <v>Tinta do Indicador de Umidade - Litro</v>
      </c>
      <c r="H29" s="21">
        <f>'Fralda M - FM-003-M'!P22*'Fralda M - FM-003-M'!$O$48+'Fralda M - FM-003-M'!P22+'Fralda G - FM-002-G'!P22*'Fralda G - FM-002-G'!$O$48+'Fralda G - FM-002-G'!P22+'Fralda EG - FM-001-EG'!P22*'Fralda EG - FM-001-EG'!$O$48+'Fralda EG - FM-001-EG'!P22</f>
        <v>0</v>
      </c>
      <c r="I29" s="21"/>
    </row>
    <row r="30" spans="1:18" x14ac:dyDescent="0.25">
      <c r="A30" t="str">
        <f>'Cotação Materia Prima'!B19</f>
        <v>Tinta Datadora de Lote - Litro</v>
      </c>
      <c r="H30" s="21">
        <f>'Fralda M - FM-003-M'!P23*'Fralda M - FM-003-M'!$O$48+'Fralda M - FM-003-M'!P23+'Fralda G - FM-002-G'!P23*'Fralda G - FM-002-G'!$O$48+'Fralda G - FM-002-G'!P23+'Fralda EG - FM-001-EG'!P23*'Fralda EG - FM-001-EG'!$O$48+'Fralda EG - FM-001-EG'!P23</f>
        <v>0</v>
      </c>
      <c r="I30" s="21"/>
    </row>
    <row r="31" spans="1:18" x14ac:dyDescent="0.25">
      <c r="A31" t="str">
        <f>'Cotação Materia Prima'!B20</f>
        <v>Adesivo Elástico - KG</v>
      </c>
      <c r="H31" s="21">
        <f>'Fralda M - FM-003-M'!P24*'Fralda M - FM-003-M'!$O$48+'Fralda M - FM-003-M'!P24+'Fralda G - FM-002-G'!P24*'Fralda G - FM-002-G'!$O$48+'Fralda G - FM-002-G'!P24+'Fralda EG - FM-001-EG'!P24*'Fralda EG - FM-001-EG'!$O$48+'Fralda EG - FM-001-EG'!P24</f>
        <v>739.53750000000002</v>
      </c>
      <c r="I31" s="21"/>
    </row>
    <row r="32" spans="1:18" x14ac:dyDescent="0.25">
      <c r="A32" t="str">
        <f>'Cotação Materia Prima'!B21</f>
        <v>Fralda M - Polietileno (Filme eterno) - 600mm- kG</v>
      </c>
      <c r="H32" s="24">
        <f>'Fralda M - FM-003-M'!P13*'Fralda M - FM-003-M'!$O$48+'Fralda M - FM-003-M'!P13</f>
        <v>17361.695999999996</v>
      </c>
      <c r="I32" s="24"/>
    </row>
    <row r="33" spans="1:9" x14ac:dyDescent="0.25">
      <c r="A33" t="str">
        <f>'Cotação Materia Prima'!B22</f>
        <v>Fralda G - Polietileno (Filme eterno) - 660mm - kG</v>
      </c>
      <c r="H33" s="24">
        <f>'Fralda G - FM-002-G'!P13*'Fralda G - FM-002-G'!$O$48+'Fralda G - FM-002-G'!P13</f>
        <v>19799.053750000003</v>
      </c>
      <c r="I33" s="24"/>
    </row>
    <row r="34" spans="1:9" x14ac:dyDescent="0.25">
      <c r="A34" t="str">
        <f>'Cotação Materia Prima'!B23</f>
        <v>Fralda EG - Polietileno (Filme eterno) - 750mm- kG</v>
      </c>
      <c r="H34" s="24">
        <f>'Fralda EG - FM-001-EG'!P13*'Fralda EG - FM-001-EG'!$O$48+'Fralda EG - FM-001-EG'!P13</f>
        <v>23315.234250000005</v>
      </c>
      <c r="I34" s="24"/>
    </row>
    <row r="35" spans="1:9" x14ac:dyDescent="0.25">
      <c r="A35" t="str">
        <f>'Cotação Materia Prima'!B24</f>
        <v>Fralda M - TNT (Cobertura - Tecido Não Tecido) - 600mm  - M²</v>
      </c>
      <c r="H35" s="24">
        <f>'Fralda M - FM-003-M'!P14*'Fralda M - FM-003-M'!$O$48+'Fralda M - FM-003-M'!P14</f>
        <v>7886.7599999999993</v>
      </c>
      <c r="I35" s="24"/>
    </row>
    <row r="36" spans="1:9" x14ac:dyDescent="0.25">
      <c r="A36" t="str">
        <f>'Cotação Materia Prima'!B25</f>
        <v>Fralda g - TNT (Cobertura - Tecido Não Tecido) - 650mm - M²</v>
      </c>
      <c r="H36" s="24">
        <f>'Fralda G - FM-002-G'!P14*'Fralda G - FM-002-G'!$O$48+'Fralda G - FM-002-G'!P14</f>
        <v>8864.3896249999998</v>
      </c>
      <c r="I36" s="24"/>
    </row>
    <row r="37" spans="1:9" x14ac:dyDescent="0.25">
      <c r="A37" t="str">
        <f>'Cotação Materia Prima'!B26</f>
        <v>Fralda EG - TNT (Cobertura - Tecido Não Tecido) - 750mm - M²</v>
      </c>
      <c r="H37" s="24">
        <f>'Fralda EG - FM-001-EG'!P14*'Fralda EG - FM-001-EG'!$O$48+'Fralda EG - FM-001-EG'!P14</f>
        <v>10597.83375</v>
      </c>
      <c r="I37" s="24"/>
    </row>
    <row r="38" spans="1:9" x14ac:dyDescent="0.25">
      <c r="A38" t="str">
        <f>'Cotação Materia Prima'!B27</f>
        <v>Embalagem</v>
      </c>
      <c r="H38" s="24">
        <f>'Fralda M - FM-003-M'!P25*'Fralda M - FM-003-M'!$O$48+'Fralda M - FM-003-M'!P25+'Fralda G - FM-002-G'!P25*'Fralda G - FM-002-G'!$O$48+'Fralda G - FM-002-G'!P25+'Fralda EG - FM-001-EG'!P25*'Fralda EG - FM-001-EG'!$O$48+'Fralda EG - FM-001-EG'!P25</f>
        <v>12885.714285714286</v>
      </c>
      <c r="I38" s="24"/>
    </row>
    <row r="39" spans="1:9" x14ac:dyDescent="0.25">
      <c r="A39" t="str">
        <f>'Cotação Materia Prima'!B28</f>
        <v>Fardo</v>
      </c>
      <c r="H39" s="24">
        <f>'Fralda M - FM-003-M'!P26*'Fralda M - FM-003-M'!$O$48+'Fralda M - FM-003-M'!P26+'Fralda G - FM-002-G'!P26*'Fralda G - FM-002-G'!$O$48+'Fralda G - FM-002-G'!P26+'Fralda EG - FM-001-EG'!P26*'Fralda EG - FM-001-EG'!$O$48+'Fralda EG - FM-001-EG'!P26</f>
        <v>1073.8095238095239</v>
      </c>
      <c r="I39" s="24"/>
    </row>
  </sheetData>
  <mergeCells count="15">
    <mergeCell ref="I13:N13"/>
    <mergeCell ref="G1:P5"/>
    <mergeCell ref="I9:N9"/>
    <mergeCell ref="I10:N10"/>
    <mergeCell ref="I11:N11"/>
    <mergeCell ref="I12:N12"/>
    <mergeCell ref="O20:R20"/>
    <mergeCell ref="O21:R21"/>
    <mergeCell ref="I19:N19"/>
    <mergeCell ref="I20:N20"/>
    <mergeCell ref="I14:N14"/>
    <mergeCell ref="I15:N15"/>
    <mergeCell ref="I16:N16"/>
    <mergeCell ref="I17:N17"/>
    <mergeCell ref="I18:N1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33626-4A4B-49E4-86F9-17A73AE08483}">
  <dimension ref="A1:O39"/>
  <sheetViews>
    <sheetView topLeftCell="A4" workbookViewId="0">
      <selection activeCell="J11" sqref="J11:K11"/>
    </sheetView>
  </sheetViews>
  <sheetFormatPr defaultRowHeight="15" x14ac:dyDescent="0.25"/>
  <sheetData>
    <row r="1" spans="1:15" ht="15" customHeight="1" x14ac:dyDescent="0.45">
      <c r="A1" s="2"/>
      <c r="B1" s="2"/>
      <c r="C1" s="2"/>
      <c r="D1" s="2"/>
      <c r="E1" s="2"/>
      <c r="F1" s="2"/>
      <c r="G1" s="28" t="s">
        <v>0</v>
      </c>
      <c r="H1" s="28"/>
      <c r="I1" s="28"/>
      <c r="J1" s="28"/>
      <c r="K1" s="28"/>
      <c r="L1" s="28"/>
      <c r="M1" s="28"/>
      <c r="N1" s="28"/>
      <c r="O1" s="28"/>
    </row>
    <row r="2" spans="1:15" ht="15" customHeight="1" x14ac:dyDescent="0.45">
      <c r="A2" s="2"/>
      <c r="B2" s="2"/>
      <c r="C2" s="2"/>
      <c r="D2" s="2"/>
      <c r="E2" s="2"/>
      <c r="F2" s="2"/>
      <c r="G2" s="28"/>
      <c r="H2" s="28"/>
      <c r="I2" s="28"/>
      <c r="J2" s="28"/>
      <c r="K2" s="28"/>
      <c r="L2" s="28"/>
      <c r="M2" s="28"/>
      <c r="N2" s="28"/>
      <c r="O2" s="28"/>
    </row>
    <row r="3" spans="1:15" ht="15" customHeight="1" x14ac:dyDescent="0.45">
      <c r="A3" s="2"/>
      <c r="B3" s="2"/>
      <c r="C3" s="2"/>
      <c r="D3" s="2"/>
      <c r="E3" s="2"/>
      <c r="F3" s="2"/>
      <c r="G3" s="28"/>
      <c r="H3" s="28"/>
      <c r="I3" s="28"/>
      <c r="J3" s="28"/>
      <c r="K3" s="28"/>
      <c r="L3" s="28"/>
      <c r="M3" s="28"/>
      <c r="N3" s="28"/>
      <c r="O3" s="28"/>
    </row>
    <row r="4" spans="1:15" ht="15" customHeight="1" x14ac:dyDescent="0.45">
      <c r="A4" s="2"/>
      <c r="B4" s="2"/>
      <c r="C4" s="2"/>
      <c r="D4" s="2"/>
      <c r="E4" s="2"/>
      <c r="F4" s="2"/>
      <c r="G4" s="28"/>
      <c r="H4" s="28"/>
      <c r="I4" s="28"/>
      <c r="J4" s="28"/>
      <c r="K4" s="28"/>
      <c r="L4" s="28"/>
      <c r="M4" s="28"/>
      <c r="N4" s="28"/>
      <c r="O4" s="28"/>
    </row>
    <row r="5" spans="1:15" ht="15" customHeight="1" x14ac:dyDescent="0.45">
      <c r="A5" s="2"/>
      <c r="B5" s="2"/>
      <c r="C5" s="2"/>
      <c r="D5" s="2"/>
      <c r="E5" s="2"/>
      <c r="F5" s="2"/>
      <c r="G5" s="28"/>
      <c r="H5" s="28"/>
      <c r="I5" s="28"/>
      <c r="J5" s="28"/>
      <c r="K5" s="28"/>
      <c r="L5" s="28"/>
      <c r="M5" s="28"/>
      <c r="N5" s="28"/>
      <c r="O5" s="28"/>
    </row>
    <row r="6" spans="1:15" ht="15" customHeight="1" x14ac:dyDescent="0.45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</row>
    <row r="7" spans="1:15" x14ac:dyDescent="0.25">
      <c r="A7" s="29" t="s">
        <v>0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</row>
    <row r="8" spans="1:15" x14ac:dyDescent="0.25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</row>
    <row r="9" spans="1:15" x14ac:dyDescent="0.25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</row>
    <row r="10" spans="1:15" ht="25.5" customHeight="1" x14ac:dyDescent="0.25">
      <c r="A10" s="216" t="s">
        <v>2</v>
      </c>
      <c r="B10" s="216"/>
      <c r="C10" s="216"/>
      <c r="D10" s="216"/>
      <c r="E10" s="216"/>
      <c r="F10" s="216"/>
      <c r="G10" s="216"/>
      <c r="H10" s="216"/>
      <c r="I10" s="216"/>
      <c r="J10" s="216" t="s">
        <v>180</v>
      </c>
      <c r="K10" s="216"/>
      <c r="L10" s="216" t="s">
        <v>4</v>
      </c>
      <c r="M10" s="216"/>
      <c r="N10" s="216" t="s">
        <v>5</v>
      </c>
      <c r="O10" s="216"/>
    </row>
    <row r="11" spans="1:15" x14ac:dyDescent="0.25">
      <c r="A11" s="36" t="s">
        <v>22</v>
      </c>
      <c r="B11" s="37"/>
      <c r="C11" s="37"/>
      <c r="D11" s="37"/>
      <c r="E11" s="37"/>
      <c r="F11" s="37"/>
      <c r="G11" s="37"/>
      <c r="H11" s="37"/>
      <c r="I11" s="37"/>
      <c r="J11" s="38">
        <v>1500</v>
      </c>
      <c r="K11" s="38"/>
      <c r="L11" s="37">
        <v>6</v>
      </c>
      <c r="M11" s="37"/>
      <c r="N11" s="39">
        <f>SUM(J11*L11)</f>
        <v>9000</v>
      </c>
      <c r="O11" s="40"/>
    </row>
    <row r="12" spans="1:15" x14ac:dyDescent="0.25">
      <c r="A12" s="31" t="s">
        <v>23</v>
      </c>
      <c r="B12" s="32"/>
      <c r="C12" s="32"/>
      <c r="D12" s="32"/>
      <c r="E12" s="32"/>
      <c r="F12" s="32"/>
      <c r="G12" s="32"/>
      <c r="H12" s="32"/>
      <c r="I12" s="32"/>
      <c r="J12" s="33">
        <v>500</v>
      </c>
      <c r="K12" s="33"/>
      <c r="L12" s="32">
        <v>6</v>
      </c>
      <c r="M12" s="32"/>
      <c r="N12" s="34">
        <f t="shared" ref="N12:N38" si="0">SUM(J12*L12)</f>
        <v>3000</v>
      </c>
      <c r="O12" s="35"/>
    </row>
    <row r="13" spans="1:15" x14ac:dyDescent="0.25">
      <c r="A13" s="31" t="s">
        <v>24</v>
      </c>
      <c r="B13" s="32"/>
      <c r="C13" s="32"/>
      <c r="D13" s="32"/>
      <c r="E13" s="32"/>
      <c r="F13" s="32"/>
      <c r="G13" s="32"/>
      <c r="H13" s="32"/>
      <c r="I13" s="32"/>
      <c r="J13" s="33">
        <v>200</v>
      </c>
      <c r="K13" s="33"/>
      <c r="L13" s="32">
        <v>18</v>
      </c>
      <c r="M13" s="32"/>
      <c r="N13" s="34">
        <f t="shared" si="0"/>
        <v>3600</v>
      </c>
      <c r="O13" s="35"/>
    </row>
    <row r="14" spans="1:15" x14ac:dyDescent="0.25">
      <c r="A14" s="31" t="s">
        <v>25</v>
      </c>
      <c r="B14" s="32"/>
      <c r="C14" s="32"/>
      <c r="D14" s="32"/>
      <c r="E14" s="32"/>
      <c r="F14" s="32"/>
      <c r="G14" s="32"/>
      <c r="H14" s="32"/>
      <c r="I14" s="32"/>
      <c r="J14" s="33">
        <v>1430000</v>
      </c>
      <c r="K14" s="33"/>
      <c r="L14" s="32">
        <v>1</v>
      </c>
      <c r="M14" s="32"/>
      <c r="N14" s="34">
        <f t="shared" si="0"/>
        <v>1430000</v>
      </c>
      <c r="O14" s="35"/>
    </row>
    <row r="15" spans="1:15" x14ac:dyDescent="0.25">
      <c r="A15" s="31" t="s">
        <v>90</v>
      </c>
      <c r="B15" s="32"/>
      <c r="C15" s="32"/>
      <c r="D15" s="32"/>
      <c r="E15" s="32"/>
      <c r="F15" s="32"/>
      <c r="G15" s="32"/>
      <c r="H15" s="32"/>
      <c r="I15" s="32"/>
      <c r="J15" s="33">
        <v>67074</v>
      </c>
      <c r="K15" s="33"/>
      <c r="L15" s="32">
        <v>1</v>
      </c>
      <c r="M15" s="32"/>
      <c r="N15" s="34">
        <f t="shared" si="0"/>
        <v>67074</v>
      </c>
      <c r="O15" s="35"/>
    </row>
    <row r="16" spans="1:15" x14ac:dyDescent="0.25">
      <c r="A16" s="31" t="s">
        <v>89</v>
      </c>
      <c r="B16" s="32"/>
      <c r="C16" s="32"/>
      <c r="D16" s="32"/>
      <c r="E16" s="32"/>
      <c r="F16" s="32"/>
      <c r="G16" s="32"/>
      <c r="H16" s="32"/>
      <c r="I16" s="32"/>
      <c r="J16" s="33">
        <v>519.9</v>
      </c>
      <c r="K16" s="33"/>
      <c r="L16" s="32">
        <v>2</v>
      </c>
      <c r="M16" s="32"/>
      <c r="N16" s="34">
        <f t="shared" si="0"/>
        <v>1039.8</v>
      </c>
      <c r="O16" s="35"/>
    </row>
    <row r="17" spans="1:15" x14ac:dyDescent="0.25">
      <c r="A17" s="31" t="s">
        <v>91</v>
      </c>
      <c r="B17" s="32"/>
      <c r="C17" s="32"/>
      <c r="D17" s="32"/>
      <c r="E17" s="32"/>
      <c r="F17" s="32"/>
      <c r="G17" s="32"/>
      <c r="H17" s="32"/>
      <c r="I17" s="32"/>
      <c r="J17" s="33">
        <v>78.06</v>
      </c>
      <c r="K17" s="33"/>
      <c r="L17" s="32">
        <v>1</v>
      </c>
      <c r="M17" s="32"/>
      <c r="N17" s="34">
        <f t="shared" si="0"/>
        <v>78.06</v>
      </c>
      <c r="O17" s="35"/>
    </row>
    <row r="18" spans="1:15" x14ac:dyDescent="0.25">
      <c r="A18" s="31" t="s">
        <v>92</v>
      </c>
      <c r="B18" s="32"/>
      <c r="C18" s="32"/>
      <c r="D18" s="32"/>
      <c r="E18" s="32"/>
      <c r="F18" s="32"/>
      <c r="G18" s="32"/>
      <c r="H18" s="32"/>
      <c r="I18" s="32"/>
      <c r="J18" s="33">
        <v>349.9</v>
      </c>
      <c r="K18" s="33"/>
      <c r="L18" s="32">
        <v>2</v>
      </c>
      <c r="M18" s="32"/>
      <c r="N18" s="34">
        <f t="shared" si="0"/>
        <v>699.8</v>
      </c>
      <c r="O18" s="35"/>
    </row>
    <row r="19" spans="1:15" x14ac:dyDescent="0.25">
      <c r="A19" s="31" t="s">
        <v>93</v>
      </c>
      <c r="B19" s="32"/>
      <c r="C19" s="32"/>
      <c r="D19" s="32"/>
      <c r="E19" s="32"/>
      <c r="F19" s="32"/>
      <c r="G19" s="32"/>
      <c r="H19" s="32"/>
      <c r="I19" s="32"/>
      <c r="J19" s="33">
        <v>13.9</v>
      </c>
      <c r="K19" s="33"/>
      <c r="L19" s="32">
        <v>1</v>
      </c>
      <c r="M19" s="32"/>
      <c r="N19" s="34">
        <f t="shared" si="0"/>
        <v>13.9</v>
      </c>
      <c r="O19" s="35"/>
    </row>
    <row r="20" spans="1:15" x14ac:dyDescent="0.25">
      <c r="A20" s="31" t="s">
        <v>94</v>
      </c>
      <c r="B20" s="32"/>
      <c r="C20" s="32"/>
      <c r="D20" s="32"/>
      <c r="E20" s="32"/>
      <c r="F20" s="32"/>
      <c r="G20" s="32"/>
      <c r="H20" s="32"/>
      <c r="I20" s="32"/>
      <c r="J20" s="33">
        <v>25000</v>
      </c>
      <c r="K20" s="33"/>
      <c r="L20" s="32">
        <v>1</v>
      </c>
      <c r="M20" s="32"/>
      <c r="N20" s="34">
        <f t="shared" si="0"/>
        <v>25000</v>
      </c>
      <c r="O20" s="35"/>
    </row>
    <row r="21" spans="1:15" x14ac:dyDescent="0.25">
      <c r="A21" s="31" t="s">
        <v>95</v>
      </c>
      <c r="B21" s="32"/>
      <c r="C21" s="32"/>
      <c r="D21" s="32"/>
      <c r="E21" s="32"/>
      <c r="F21" s="32"/>
      <c r="G21" s="32"/>
      <c r="H21" s="32"/>
      <c r="I21" s="32"/>
      <c r="J21" s="33">
        <v>760</v>
      </c>
      <c r="K21" s="33"/>
      <c r="L21" s="32">
        <v>1</v>
      </c>
      <c r="M21" s="32"/>
      <c r="N21" s="34">
        <f t="shared" si="0"/>
        <v>760</v>
      </c>
      <c r="O21" s="35"/>
    </row>
    <row r="22" spans="1:15" x14ac:dyDescent="0.25">
      <c r="A22" s="31" t="s">
        <v>96</v>
      </c>
      <c r="B22" s="32"/>
      <c r="C22" s="32"/>
      <c r="D22" s="32"/>
      <c r="E22" s="32"/>
      <c r="F22" s="32"/>
      <c r="G22" s="32"/>
      <c r="H22" s="32"/>
      <c r="I22" s="32"/>
      <c r="J22" s="33">
        <v>120.45</v>
      </c>
      <c r="K22" s="33"/>
      <c r="L22" s="32">
        <v>8</v>
      </c>
      <c r="M22" s="32"/>
      <c r="N22" s="34">
        <f t="shared" si="0"/>
        <v>963.6</v>
      </c>
      <c r="O22" s="35"/>
    </row>
    <row r="23" spans="1:15" x14ac:dyDescent="0.25">
      <c r="A23" s="31" t="s">
        <v>97</v>
      </c>
      <c r="B23" s="32"/>
      <c r="C23" s="32"/>
      <c r="D23" s="32"/>
      <c r="E23" s="32"/>
      <c r="F23" s="32"/>
      <c r="G23" s="32"/>
      <c r="H23" s="32"/>
      <c r="I23" s="32"/>
      <c r="J23" s="33">
        <v>83</v>
      </c>
      <c r="K23" s="33"/>
      <c r="L23" s="32">
        <v>20</v>
      </c>
      <c r="M23" s="32"/>
      <c r="N23" s="34">
        <f t="shared" si="0"/>
        <v>1660</v>
      </c>
      <c r="O23" s="35"/>
    </row>
    <row r="24" spans="1:15" x14ac:dyDescent="0.25">
      <c r="A24" s="31" t="s">
        <v>98</v>
      </c>
      <c r="B24" s="32"/>
      <c r="C24" s="32"/>
      <c r="D24" s="32"/>
      <c r="E24" s="32"/>
      <c r="F24" s="32"/>
      <c r="G24" s="32"/>
      <c r="H24" s="32"/>
      <c r="I24" s="32"/>
      <c r="J24" s="33">
        <v>810</v>
      </c>
      <c r="K24" s="33"/>
      <c r="L24" s="32">
        <v>1</v>
      </c>
      <c r="M24" s="32"/>
      <c r="N24" s="34">
        <f t="shared" si="0"/>
        <v>810</v>
      </c>
      <c r="O24" s="35"/>
    </row>
    <row r="25" spans="1:15" x14ac:dyDescent="0.25">
      <c r="A25" s="31" t="s">
        <v>99</v>
      </c>
      <c r="B25" s="32"/>
      <c r="C25" s="32"/>
      <c r="D25" s="32"/>
      <c r="E25" s="32"/>
      <c r="F25" s="32"/>
      <c r="G25" s="32"/>
      <c r="H25" s="32"/>
      <c r="I25" s="32"/>
      <c r="J25" s="33">
        <v>42000</v>
      </c>
      <c r="K25" s="33"/>
      <c r="L25" s="32">
        <v>1</v>
      </c>
      <c r="M25" s="32"/>
      <c r="N25" s="34">
        <f t="shared" si="0"/>
        <v>42000</v>
      </c>
      <c r="O25" s="35"/>
    </row>
    <row r="26" spans="1:15" x14ac:dyDescent="0.25">
      <c r="A26" s="31" t="s">
        <v>100</v>
      </c>
      <c r="B26" s="32"/>
      <c r="C26" s="32"/>
      <c r="D26" s="32"/>
      <c r="E26" s="32"/>
      <c r="F26" s="32"/>
      <c r="G26" s="32"/>
      <c r="H26" s="32"/>
      <c r="I26" s="32"/>
      <c r="J26" s="33">
        <v>525.6</v>
      </c>
      <c r="K26" s="33"/>
      <c r="L26" s="32">
        <v>1</v>
      </c>
      <c r="M26" s="32"/>
      <c r="N26" s="34">
        <f t="shared" si="0"/>
        <v>525.6</v>
      </c>
      <c r="O26" s="35"/>
    </row>
    <row r="27" spans="1:15" x14ac:dyDescent="0.25">
      <c r="A27" s="31" t="s">
        <v>101</v>
      </c>
      <c r="B27" s="32"/>
      <c r="C27" s="32"/>
      <c r="D27" s="32"/>
      <c r="E27" s="32"/>
      <c r="F27" s="32"/>
      <c r="G27" s="32"/>
      <c r="H27" s="32"/>
      <c r="I27" s="32"/>
      <c r="J27" s="33">
        <v>45110</v>
      </c>
      <c r="K27" s="33"/>
      <c r="L27" s="32">
        <v>1</v>
      </c>
      <c r="M27" s="32"/>
      <c r="N27" s="34">
        <f t="shared" si="0"/>
        <v>45110</v>
      </c>
      <c r="O27" s="35"/>
    </row>
    <row r="28" spans="1:15" x14ac:dyDescent="0.25">
      <c r="A28" s="31" t="s">
        <v>102</v>
      </c>
      <c r="B28" s="32"/>
      <c r="C28" s="32"/>
      <c r="D28" s="32"/>
      <c r="E28" s="32"/>
      <c r="F28" s="32"/>
      <c r="G28" s="32"/>
      <c r="H28" s="32"/>
      <c r="I28" s="32"/>
      <c r="J28" s="33">
        <v>6490</v>
      </c>
      <c r="K28" s="33"/>
      <c r="L28" s="32">
        <v>1</v>
      </c>
      <c r="M28" s="32"/>
      <c r="N28" s="34">
        <f t="shared" si="0"/>
        <v>6490</v>
      </c>
      <c r="O28" s="35"/>
    </row>
    <row r="29" spans="1:15" x14ac:dyDescent="0.25">
      <c r="A29" s="31" t="s">
        <v>103</v>
      </c>
      <c r="B29" s="32"/>
      <c r="C29" s="32"/>
      <c r="D29" s="32"/>
      <c r="E29" s="32"/>
      <c r="F29" s="32"/>
      <c r="G29" s="32"/>
      <c r="H29" s="32"/>
      <c r="I29" s="32"/>
      <c r="J29" s="33">
        <v>6900</v>
      </c>
      <c r="K29" s="33"/>
      <c r="L29" s="32">
        <v>1</v>
      </c>
      <c r="M29" s="32"/>
      <c r="N29" s="34">
        <f t="shared" si="0"/>
        <v>6900</v>
      </c>
      <c r="O29" s="35"/>
    </row>
    <row r="30" spans="1:15" x14ac:dyDescent="0.25">
      <c r="A30" s="31"/>
      <c r="B30" s="32"/>
      <c r="C30" s="32"/>
      <c r="D30" s="32"/>
      <c r="E30" s="32"/>
      <c r="F30" s="32"/>
      <c r="G30" s="32"/>
      <c r="H30" s="32"/>
      <c r="I30" s="32"/>
      <c r="J30" s="33"/>
      <c r="K30" s="33"/>
      <c r="L30" s="32"/>
      <c r="M30" s="32"/>
      <c r="N30" s="34">
        <f t="shared" si="0"/>
        <v>0</v>
      </c>
      <c r="O30" s="35"/>
    </row>
    <row r="31" spans="1:15" x14ac:dyDescent="0.25">
      <c r="A31" s="31"/>
      <c r="B31" s="32"/>
      <c r="C31" s="32"/>
      <c r="D31" s="32"/>
      <c r="E31" s="32"/>
      <c r="F31" s="32"/>
      <c r="G31" s="32"/>
      <c r="H31" s="32"/>
      <c r="I31" s="32"/>
      <c r="J31" s="33"/>
      <c r="K31" s="33"/>
      <c r="L31" s="32"/>
      <c r="M31" s="32"/>
      <c r="N31" s="34">
        <f t="shared" si="0"/>
        <v>0</v>
      </c>
      <c r="O31" s="35"/>
    </row>
    <row r="32" spans="1:15" x14ac:dyDescent="0.25">
      <c r="A32" s="31"/>
      <c r="B32" s="32"/>
      <c r="C32" s="32"/>
      <c r="D32" s="32"/>
      <c r="E32" s="32"/>
      <c r="F32" s="32"/>
      <c r="G32" s="32"/>
      <c r="H32" s="32"/>
      <c r="I32" s="32"/>
      <c r="J32" s="33"/>
      <c r="K32" s="33"/>
      <c r="L32" s="32"/>
      <c r="M32" s="32"/>
      <c r="N32" s="34">
        <f t="shared" si="0"/>
        <v>0</v>
      </c>
      <c r="O32" s="35"/>
    </row>
    <row r="33" spans="1:15" x14ac:dyDescent="0.25">
      <c r="A33" s="31"/>
      <c r="B33" s="32"/>
      <c r="C33" s="32"/>
      <c r="D33" s="32"/>
      <c r="E33" s="32"/>
      <c r="F33" s="32"/>
      <c r="G33" s="32"/>
      <c r="H33" s="32"/>
      <c r="I33" s="32"/>
      <c r="J33" s="33"/>
      <c r="K33" s="33"/>
      <c r="L33" s="32"/>
      <c r="M33" s="32"/>
      <c r="N33" s="34">
        <f t="shared" si="0"/>
        <v>0</v>
      </c>
      <c r="O33" s="35"/>
    </row>
    <row r="34" spans="1:15" x14ac:dyDescent="0.25">
      <c r="A34" s="31"/>
      <c r="B34" s="32"/>
      <c r="C34" s="32"/>
      <c r="D34" s="32"/>
      <c r="E34" s="32"/>
      <c r="F34" s="32"/>
      <c r="G34" s="32"/>
      <c r="H34" s="32"/>
      <c r="I34" s="32"/>
      <c r="J34" s="33"/>
      <c r="K34" s="33"/>
      <c r="L34" s="32"/>
      <c r="M34" s="32"/>
      <c r="N34" s="34">
        <f t="shared" si="0"/>
        <v>0</v>
      </c>
      <c r="O34" s="35"/>
    </row>
    <row r="35" spans="1:15" x14ac:dyDescent="0.25">
      <c r="A35" s="31"/>
      <c r="B35" s="32"/>
      <c r="C35" s="32"/>
      <c r="D35" s="32"/>
      <c r="E35" s="32"/>
      <c r="F35" s="32"/>
      <c r="G35" s="32"/>
      <c r="H35" s="32"/>
      <c r="I35" s="32"/>
      <c r="J35" s="33"/>
      <c r="K35" s="33"/>
      <c r="L35" s="32"/>
      <c r="M35" s="32"/>
      <c r="N35" s="34">
        <f t="shared" si="0"/>
        <v>0</v>
      </c>
      <c r="O35" s="35"/>
    </row>
    <row r="36" spans="1:15" x14ac:dyDescent="0.25">
      <c r="A36" s="31"/>
      <c r="B36" s="32"/>
      <c r="C36" s="32"/>
      <c r="D36" s="32"/>
      <c r="E36" s="32"/>
      <c r="F36" s="32"/>
      <c r="G36" s="32"/>
      <c r="H36" s="32"/>
      <c r="I36" s="32"/>
      <c r="J36" s="33"/>
      <c r="K36" s="33"/>
      <c r="L36" s="32"/>
      <c r="M36" s="32"/>
      <c r="N36" s="34">
        <f t="shared" si="0"/>
        <v>0</v>
      </c>
      <c r="O36" s="35"/>
    </row>
    <row r="37" spans="1:15" x14ac:dyDescent="0.25">
      <c r="A37" s="31"/>
      <c r="B37" s="32"/>
      <c r="C37" s="32"/>
      <c r="D37" s="32"/>
      <c r="E37" s="32"/>
      <c r="F37" s="32"/>
      <c r="G37" s="32"/>
      <c r="H37" s="32"/>
      <c r="I37" s="32"/>
      <c r="J37" s="33"/>
      <c r="K37" s="33"/>
      <c r="L37" s="32"/>
      <c r="M37" s="32"/>
      <c r="N37" s="34">
        <f t="shared" si="0"/>
        <v>0</v>
      </c>
      <c r="O37" s="35"/>
    </row>
    <row r="38" spans="1:15" x14ac:dyDescent="0.25">
      <c r="A38" s="31"/>
      <c r="B38" s="32"/>
      <c r="C38" s="32"/>
      <c r="D38" s="32"/>
      <c r="E38" s="32"/>
      <c r="F38" s="32"/>
      <c r="G38" s="32"/>
      <c r="H38" s="32"/>
      <c r="I38" s="32"/>
      <c r="J38" s="33"/>
      <c r="K38" s="33"/>
      <c r="L38" s="32"/>
      <c r="M38" s="32"/>
      <c r="N38" s="34">
        <f t="shared" si="0"/>
        <v>0</v>
      </c>
      <c r="O38" s="35"/>
    </row>
    <row r="39" spans="1:15" x14ac:dyDescent="0.25">
      <c r="A39" s="41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 t="s">
        <v>16</v>
      </c>
      <c r="M39" s="42"/>
      <c r="N39" s="43">
        <f>SUM(N11:O38)</f>
        <v>1644724.7600000002</v>
      </c>
      <c r="O39" s="44"/>
    </row>
  </sheetData>
  <mergeCells count="124">
    <mergeCell ref="G1:O5"/>
    <mergeCell ref="A6:O6"/>
    <mergeCell ref="A39:I39"/>
    <mergeCell ref="J39:K39"/>
    <mergeCell ref="L39:M39"/>
    <mergeCell ref="N39:O39"/>
    <mergeCell ref="A37:I37"/>
    <mergeCell ref="J37:K37"/>
    <mergeCell ref="L37:M37"/>
    <mergeCell ref="N37:O37"/>
    <mergeCell ref="A38:I38"/>
    <mergeCell ref="J38:K38"/>
    <mergeCell ref="L38:M38"/>
    <mergeCell ref="N38:O38"/>
    <mergeCell ref="A35:I35"/>
    <mergeCell ref="J35:K35"/>
    <mergeCell ref="L35:M35"/>
    <mergeCell ref="N35:O35"/>
    <mergeCell ref="A36:I36"/>
    <mergeCell ref="J36:K36"/>
    <mergeCell ref="L36:M36"/>
    <mergeCell ref="N36:O36"/>
    <mergeCell ref="A33:I33"/>
    <mergeCell ref="J33:K33"/>
    <mergeCell ref="L33:M33"/>
    <mergeCell ref="N33:O33"/>
    <mergeCell ref="A34:I34"/>
    <mergeCell ref="J34:K34"/>
    <mergeCell ref="L34:M34"/>
    <mergeCell ref="N34:O34"/>
    <mergeCell ref="A31:I31"/>
    <mergeCell ref="J31:K31"/>
    <mergeCell ref="L31:M31"/>
    <mergeCell ref="N31:O31"/>
    <mergeCell ref="A32:I32"/>
    <mergeCell ref="J32:K32"/>
    <mergeCell ref="L32:M32"/>
    <mergeCell ref="N32:O32"/>
    <mergeCell ref="A29:I29"/>
    <mergeCell ref="J29:K29"/>
    <mergeCell ref="L29:M29"/>
    <mergeCell ref="N29:O29"/>
    <mergeCell ref="A30:I30"/>
    <mergeCell ref="J30:K30"/>
    <mergeCell ref="L30:M30"/>
    <mergeCell ref="N30:O30"/>
    <mergeCell ref="A27:I27"/>
    <mergeCell ref="J27:K27"/>
    <mergeCell ref="L27:M27"/>
    <mergeCell ref="N27:O27"/>
    <mergeCell ref="A28:I28"/>
    <mergeCell ref="J28:K28"/>
    <mergeCell ref="L28:M28"/>
    <mergeCell ref="N28:O28"/>
    <mergeCell ref="A25:I25"/>
    <mergeCell ref="J25:K25"/>
    <mergeCell ref="L25:M25"/>
    <mergeCell ref="N25:O25"/>
    <mergeCell ref="A26:I26"/>
    <mergeCell ref="J26:K26"/>
    <mergeCell ref="L26:M26"/>
    <mergeCell ref="N26:O26"/>
    <mergeCell ref="A23:I23"/>
    <mergeCell ref="J23:K23"/>
    <mergeCell ref="L23:M23"/>
    <mergeCell ref="N23:O23"/>
    <mergeCell ref="A24:I24"/>
    <mergeCell ref="J24:K24"/>
    <mergeCell ref="L24:M24"/>
    <mergeCell ref="N24:O24"/>
    <mergeCell ref="A21:I21"/>
    <mergeCell ref="J21:K21"/>
    <mergeCell ref="L21:M21"/>
    <mergeCell ref="N21:O21"/>
    <mergeCell ref="A22:I22"/>
    <mergeCell ref="J22:K22"/>
    <mergeCell ref="L22:M22"/>
    <mergeCell ref="N22:O22"/>
    <mergeCell ref="A19:I19"/>
    <mergeCell ref="J19:K19"/>
    <mergeCell ref="L19:M19"/>
    <mergeCell ref="N19:O19"/>
    <mergeCell ref="A20:I20"/>
    <mergeCell ref="J20:K20"/>
    <mergeCell ref="L20:M20"/>
    <mergeCell ref="N20:O20"/>
    <mergeCell ref="A17:I17"/>
    <mergeCell ref="J17:K17"/>
    <mergeCell ref="L17:M17"/>
    <mergeCell ref="N17:O17"/>
    <mergeCell ref="A18:I18"/>
    <mergeCell ref="J18:K18"/>
    <mergeCell ref="L18:M18"/>
    <mergeCell ref="N18:O18"/>
    <mergeCell ref="A15:I15"/>
    <mergeCell ref="J15:K15"/>
    <mergeCell ref="L15:M15"/>
    <mergeCell ref="N15:O15"/>
    <mergeCell ref="A16:I16"/>
    <mergeCell ref="J16:K16"/>
    <mergeCell ref="L16:M16"/>
    <mergeCell ref="N16:O16"/>
    <mergeCell ref="A14:I14"/>
    <mergeCell ref="J14:K14"/>
    <mergeCell ref="L14:M14"/>
    <mergeCell ref="N14:O14"/>
    <mergeCell ref="A11:I11"/>
    <mergeCell ref="J11:K11"/>
    <mergeCell ref="L11:M11"/>
    <mergeCell ref="N11:O11"/>
    <mergeCell ref="A12:I12"/>
    <mergeCell ref="J12:K12"/>
    <mergeCell ref="L12:M12"/>
    <mergeCell ref="N12:O12"/>
    <mergeCell ref="A7:O8"/>
    <mergeCell ref="A10:I10"/>
    <mergeCell ref="J10:K10"/>
    <mergeCell ref="L10:M10"/>
    <mergeCell ref="N10:O10"/>
    <mergeCell ref="A9:O9"/>
    <mergeCell ref="A13:I13"/>
    <mergeCell ref="J13:K13"/>
    <mergeCell ref="L13:M13"/>
    <mergeCell ref="N13:O13"/>
  </mergeCells>
  <pageMargins left="0.25" right="0.25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8EF1A-2800-45E7-89FC-6B29BB47FD80}">
  <dimension ref="A1:O35"/>
  <sheetViews>
    <sheetView tabSelected="1" workbookViewId="0">
      <selection activeCell="N8" sqref="N8:O8"/>
    </sheetView>
  </sheetViews>
  <sheetFormatPr defaultRowHeight="15" x14ac:dyDescent="0.25"/>
  <sheetData>
    <row r="1" spans="1:15" ht="15" customHeight="1" x14ac:dyDescent="0.45">
      <c r="A1" s="2"/>
      <c r="B1" s="2"/>
      <c r="C1" s="2"/>
      <c r="D1" s="2"/>
      <c r="E1" s="2"/>
      <c r="F1" s="2"/>
      <c r="G1" s="28" t="s">
        <v>0</v>
      </c>
      <c r="H1" s="28"/>
      <c r="I1" s="28"/>
      <c r="J1" s="28"/>
      <c r="K1" s="28"/>
      <c r="L1" s="28"/>
      <c r="M1" s="28"/>
      <c r="N1" s="28"/>
      <c r="O1" s="28"/>
    </row>
    <row r="2" spans="1:15" ht="15" customHeight="1" x14ac:dyDescent="0.45">
      <c r="A2" s="2"/>
      <c r="B2" s="2"/>
      <c r="C2" s="2"/>
      <c r="D2" s="2"/>
      <c r="E2" s="2"/>
      <c r="F2" s="2"/>
      <c r="G2" s="28"/>
      <c r="H2" s="28"/>
      <c r="I2" s="28"/>
      <c r="J2" s="28"/>
      <c r="K2" s="28"/>
      <c r="L2" s="28"/>
      <c r="M2" s="28"/>
      <c r="N2" s="28"/>
      <c r="O2" s="28"/>
    </row>
    <row r="3" spans="1:15" ht="15" customHeight="1" x14ac:dyDescent="0.45">
      <c r="A3" s="2"/>
      <c r="B3" s="2"/>
      <c r="C3" s="2"/>
      <c r="D3" s="2"/>
      <c r="E3" s="2"/>
      <c r="F3" s="2"/>
      <c r="G3" s="28"/>
      <c r="H3" s="28"/>
      <c r="I3" s="28"/>
      <c r="J3" s="28"/>
      <c r="K3" s="28"/>
      <c r="L3" s="28"/>
      <c r="M3" s="28"/>
      <c r="N3" s="28"/>
      <c r="O3" s="28"/>
    </row>
    <row r="4" spans="1:15" ht="15" customHeight="1" x14ac:dyDescent="0.45">
      <c r="A4" s="2"/>
      <c r="B4" s="2"/>
      <c r="C4" s="2"/>
      <c r="D4" s="2"/>
      <c r="E4" s="2"/>
      <c r="F4" s="2"/>
      <c r="G4" s="28"/>
      <c r="H4" s="28"/>
      <c r="I4" s="28"/>
      <c r="J4" s="28"/>
      <c r="K4" s="28"/>
      <c r="L4" s="28"/>
      <c r="M4" s="28"/>
      <c r="N4" s="28"/>
      <c r="O4" s="28"/>
    </row>
    <row r="5" spans="1:15" ht="15" customHeight="1" x14ac:dyDescent="0.45">
      <c r="A5" s="2"/>
      <c r="B5" s="2"/>
      <c r="C5" s="2"/>
      <c r="D5" s="2"/>
      <c r="E5" s="2"/>
      <c r="F5" s="2"/>
      <c r="G5" s="28"/>
      <c r="H5" s="28"/>
      <c r="I5" s="28"/>
      <c r="J5" s="28"/>
      <c r="K5" s="28"/>
      <c r="L5" s="28"/>
      <c r="M5" s="28"/>
      <c r="N5" s="28"/>
      <c r="O5" s="28"/>
    </row>
    <row r="6" spans="1:15" x14ac:dyDescent="0.25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</row>
    <row r="7" spans="1:15" ht="23.25" x14ac:dyDescent="0.35">
      <c r="A7" s="215" t="s">
        <v>2</v>
      </c>
      <c r="B7" s="215"/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  <c r="N7" s="216" t="s">
        <v>5</v>
      </c>
      <c r="O7" s="216"/>
    </row>
    <row r="8" spans="1:15" ht="24.95" customHeight="1" x14ac:dyDescent="0.25">
      <c r="A8" s="32" t="s">
        <v>1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45">
        <v>10381.24</v>
      </c>
      <c r="O8" s="45"/>
    </row>
    <row r="9" spans="1:15" ht="24.95" customHeight="1" x14ac:dyDescent="0.25">
      <c r="A9" s="32" t="s">
        <v>6</v>
      </c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45">
        <v>95</v>
      </c>
      <c r="O9" s="45"/>
    </row>
    <row r="10" spans="1:15" ht="24.95" customHeight="1" x14ac:dyDescent="0.25">
      <c r="A10" s="32" t="s">
        <v>181</v>
      </c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45">
        <v>159.9</v>
      </c>
      <c r="O10" s="45"/>
    </row>
    <row r="11" spans="1:15" ht="24.95" customHeight="1" x14ac:dyDescent="0.25">
      <c r="A11" s="32" t="s">
        <v>7</v>
      </c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45">
        <v>3000</v>
      </c>
      <c r="O11" s="45"/>
    </row>
    <row r="12" spans="1:15" ht="24.95" customHeight="1" x14ac:dyDescent="0.25">
      <c r="A12" s="32" t="s">
        <v>26</v>
      </c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45">
        <v>1412</v>
      </c>
      <c r="O12" s="45"/>
    </row>
    <row r="13" spans="1:15" ht="24.95" customHeight="1" x14ac:dyDescent="0.25">
      <c r="A13" s="32" t="s">
        <v>179</v>
      </c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45">
        <v>4581.71</v>
      </c>
      <c r="O13" s="45"/>
    </row>
    <row r="14" spans="1:15" ht="24.95" customHeight="1" x14ac:dyDescent="0.25">
      <c r="A14" s="32" t="s">
        <v>28</v>
      </c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45">
        <v>2900</v>
      </c>
      <c r="O14" s="45"/>
    </row>
    <row r="15" spans="1:15" ht="24.95" customHeight="1" x14ac:dyDescent="0.25">
      <c r="A15" s="32" t="s">
        <v>29</v>
      </c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45">
        <v>844.26</v>
      </c>
      <c r="O15" s="45"/>
    </row>
    <row r="16" spans="1:15" ht="24.95" customHeight="1" x14ac:dyDescent="0.25">
      <c r="A16" s="32" t="s">
        <v>30</v>
      </c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45">
        <v>448.64</v>
      </c>
      <c r="O16" s="45"/>
    </row>
    <row r="17" spans="1:15" ht="24.95" customHeight="1" x14ac:dyDescent="0.25">
      <c r="A17" s="32" t="s">
        <v>31</v>
      </c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45">
        <v>4922</v>
      </c>
      <c r="O17" s="45"/>
    </row>
    <row r="18" spans="1:15" ht="24.95" customHeight="1" x14ac:dyDescent="0.25">
      <c r="A18" s="32" t="s">
        <v>125</v>
      </c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45">
        <v>3780</v>
      </c>
      <c r="O18" s="45"/>
    </row>
    <row r="19" spans="1:15" ht="24.95" customHeight="1" x14ac:dyDescent="0.25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45"/>
      <c r="O19" s="45"/>
    </row>
    <row r="20" spans="1:15" ht="24.95" customHeight="1" x14ac:dyDescent="0.25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45"/>
      <c r="O20" s="45"/>
    </row>
    <row r="21" spans="1:15" ht="24.95" customHeight="1" x14ac:dyDescent="0.25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45"/>
      <c r="O21" s="45"/>
    </row>
    <row r="22" spans="1:15" ht="24.95" customHeight="1" x14ac:dyDescent="0.25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45"/>
      <c r="O22" s="45"/>
    </row>
    <row r="23" spans="1:15" ht="24.95" customHeight="1" x14ac:dyDescent="0.25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45"/>
      <c r="O23" s="45"/>
    </row>
    <row r="24" spans="1:15" ht="24.95" customHeight="1" x14ac:dyDescent="0.25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45"/>
      <c r="O24" s="45"/>
    </row>
    <row r="25" spans="1:15" ht="24.95" customHeight="1" x14ac:dyDescent="0.2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45"/>
      <c r="O25" s="45"/>
    </row>
    <row r="26" spans="1:15" ht="24.95" customHeight="1" x14ac:dyDescent="0.25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45"/>
      <c r="O26" s="45"/>
    </row>
    <row r="27" spans="1:15" ht="24.95" customHeight="1" x14ac:dyDescent="0.2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45"/>
      <c r="O27" s="45"/>
    </row>
    <row r="28" spans="1:15" ht="24.95" customHeight="1" x14ac:dyDescent="0.2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45"/>
      <c r="O28" s="45"/>
    </row>
    <row r="29" spans="1:15" ht="24.95" customHeight="1" x14ac:dyDescent="0.2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45"/>
      <c r="O29" s="45"/>
    </row>
    <row r="30" spans="1:15" ht="24.95" customHeight="1" x14ac:dyDescent="0.2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45"/>
      <c r="O30" s="45"/>
    </row>
    <row r="31" spans="1:15" ht="24.95" customHeight="1" x14ac:dyDescent="0.2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45"/>
      <c r="O31" s="45"/>
    </row>
    <row r="32" spans="1:15" ht="24.95" customHeight="1" x14ac:dyDescent="0.2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45"/>
      <c r="O32" s="45"/>
    </row>
    <row r="33" spans="1:15" ht="24.95" customHeight="1" x14ac:dyDescent="0.2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45"/>
      <c r="O33" s="45"/>
    </row>
    <row r="34" spans="1:15" ht="24.95" customHeight="1" x14ac:dyDescent="0.2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45"/>
      <c r="O34" s="45"/>
    </row>
    <row r="35" spans="1:15" ht="24.95" customHeight="1" x14ac:dyDescent="0.25">
      <c r="A35" s="46" t="s">
        <v>20</v>
      </c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34">
        <f>SUM(N8:O34)</f>
        <v>32524.749999999996</v>
      </c>
      <c r="O35" s="35"/>
    </row>
  </sheetData>
  <mergeCells count="60">
    <mergeCell ref="A35:M35"/>
    <mergeCell ref="G1:O5"/>
    <mergeCell ref="N35:O35"/>
    <mergeCell ref="N29:O29"/>
    <mergeCell ref="N30:O30"/>
    <mergeCell ref="A29:M29"/>
    <mergeCell ref="A30:M30"/>
    <mergeCell ref="N27:O27"/>
    <mergeCell ref="N28:O28"/>
    <mergeCell ref="A27:M27"/>
    <mergeCell ref="N33:O33"/>
    <mergeCell ref="N34:O34"/>
    <mergeCell ref="A33:M33"/>
    <mergeCell ref="A34:M34"/>
    <mergeCell ref="N31:O31"/>
    <mergeCell ref="N32:O32"/>
    <mergeCell ref="A31:M31"/>
    <mergeCell ref="A32:M32"/>
    <mergeCell ref="A28:M28"/>
    <mergeCell ref="N25:O25"/>
    <mergeCell ref="N26:O26"/>
    <mergeCell ref="A25:M25"/>
    <mergeCell ref="A26:M26"/>
    <mergeCell ref="N23:O23"/>
    <mergeCell ref="N24:O24"/>
    <mergeCell ref="A23:M23"/>
    <mergeCell ref="A24:M24"/>
    <mergeCell ref="N21:O21"/>
    <mergeCell ref="N22:O22"/>
    <mergeCell ref="A21:M21"/>
    <mergeCell ref="A22:M22"/>
    <mergeCell ref="N19:O19"/>
    <mergeCell ref="N20:O20"/>
    <mergeCell ref="A19:M19"/>
    <mergeCell ref="A20:M20"/>
    <mergeCell ref="N17:O17"/>
    <mergeCell ref="N18:O18"/>
    <mergeCell ref="A17:M17"/>
    <mergeCell ref="A18:M18"/>
    <mergeCell ref="N15:O15"/>
    <mergeCell ref="N16:O16"/>
    <mergeCell ref="A15:M15"/>
    <mergeCell ref="A16:M16"/>
    <mergeCell ref="N13:O13"/>
    <mergeCell ref="N14:O14"/>
    <mergeCell ref="A13:M13"/>
    <mergeCell ref="A14:M14"/>
    <mergeCell ref="N11:O11"/>
    <mergeCell ref="N12:O12"/>
    <mergeCell ref="A12:M12"/>
    <mergeCell ref="N10:O10"/>
    <mergeCell ref="A11:M11"/>
    <mergeCell ref="A10:M10"/>
    <mergeCell ref="N8:O8"/>
    <mergeCell ref="N9:O9"/>
    <mergeCell ref="A6:O6"/>
    <mergeCell ref="N7:O7"/>
    <mergeCell ref="A7:M7"/>
    <mergeCell ref="A8:M8"/>
    <mergeCell ref="A9:M9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09EF3-B204-4CAD-AAB7-88C534AD8E0E}">
  <dimension ref="A1:P35"/>
  <sheetViews>
    <sheetView workbookViewId="0">
      <selection activeCell="A12" sqref="A12:I12"/>
    </sheetView>
  </sheetViews>
  <sheetFormatPr defaultRowHeight="15" x14ac:dyDescent="0.25"/>
  <cols>
    <col min="16" max="16" width="11.7109375" hidden="1" customWidth="1"/>
  </cols>
  <sheetData>
    <row r="1" spans="1:15" ht="15" customHeight="1" x14ac:dyDescent="0.25">
      <c r="A1" s="201"/>
      <c r="B1" s="201"/>
      <c r="C1" s="201"/>
      <c r="D1" s="201"/>
      <c r="E1" s="201"/>
      <c r="F1" s="202"/>
      <c r="G1" s="196" t="s">
        <v>0</v>
      </c>
      <c r="H1" s="196"/>
      <c r="I1" s="196"/>
      <c r="J1" s="196"/>
      <c r="K1" s="196"/>
      <c r="L1" s="196"/>
      <c r="M1" s="196"/>
      <c r="N1" s="196"/>
      <c r="O1" s="197"/>
    </row>
    <row r="2" spans="1:15" ht="15" customHeight="1" x14ac:dyDescent="0.25">
      <c r="A2" s="201"/>
      <c r="B2" s="201"/>
      <c r="C2" s="201"/>
      <c r="D2" s="201"/>
      <c r="E2" s="201"/>
      <c r="F2" s="202"/>
      <c r="G2" s="198"/>
      <c r="H2" s="198"/>
      <c r="I2" s="198"/>
      <c r="J2" s="198"/>
      <c r="K2" s="198"/>
      <c r="L2" s="198"/>
      <c r="M2" s="198"/>
      <c r="N2" s="198"/>
      <c r="O2" s="199"/>
    </row>
    <row r="3" spans="1:15" ht="15" customHeight="1" x14ac:dyDescent="0.25">
      <c r="A3" s="201"/>
      <c r="B3" s="201"/>
      <c r="C3" s="201"/>
      <c r="D3" s="201"/>
      <c r="E3" s="201"/>
      <c r="F3" s="202"/>
      <c r="G3" s="198"/>
      <c r="H3" s="198"/>
      <c r="I3" s="198"/>
      <c r="J3" s="198"/>
      <c r="K3" s="198"/>
      <c r="L3" s="198"/>
      <c r="M3" s="198"/>
      <c r="N3" s="198"/>
      <c r="O3" s="199"/>
    </row>
    <row r="4" spans="1:15" ht="15" customHeight="1" x14ac:dyDescent="0.25">
      <c r="A4" s="201"/>
      <c r="B4" s="201"/>
      <c r="C4" s="201"/>
      <c r="D4" s="201"/>
      <c r="E4" s="201"/>
      <c r="F4" s="202"/>
      <c r="G4" s="198"/>
      <c r="H4" s="198"/>
      <c r="I4" s="198"/>
      <c r="J4" s="198"/>
      <c r="K4" s="198"/>
      <c r="L4" s="198"/>
      <c r="M4" s="198"/>
      <c r="N4" s="198"/>
      <c r="O4" s="199"/>
    </row>
    <row r="5" spans="1:15" ht="15" customHeight="1" x14ac:dyDescent="0.25">
      <c r="A5" s="203"/>
      <c r="B5" s="203"/>
      <c r="C5" s="203"/>
      <c r="D5" s="203"/>
      <c r="E5" s="203"/>
      <c r="F5" s="200"/>
      <c r="G5" s="198"/>
      <c r="H5" s="198"/>
      <c r="I5" s="198"/>
      <c r="J5" s="198"/>
      <c r="K5" s="198"/>
      <c r="L5" s="198"/>
      <c r="M5" s="198"/>
      <c r="N5" s="198"/>
      <c r="O5" s="199"/>
    </row>
    <row r="6" spans="1:15" x14ac:dyDescent="0.25">
      <c r="A6" s="56"/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8"/>
    </row>
    <row r="7" spans="1:15" ht="25.5" customHeight="1" x14ac:dyDescent="0.25">
      <c r="A7" s="168" t="s">
        <v>8</v>
      </c>
      <c r="B7" s="167"/>
      <c r="C7" s="167"/>
      <c r="D7" s="167"/>
      <c r="E7" s="167"/>
      <c r="F7" s="167"/>
      <c r="G7" s="167"/>
      <c r="H7" s="167"/>
      <c r="I7" s="167"/>
      <c r="J7" s="167" t="s">
        <v>9</v>
      </c>
      <c r="K7" s="167"/>
      <c r="L7" s="167" t="s">
        <v>10</v>
      </c>
      <c r="M7" s="167"/>
      <c r="N7" s="167" t="s">
        <v>5</v>
      </c>
      <c r="O7" s="195"/>
    </row>
    <row r="8" spans="1:15" ht="24.95" customHeight="1" x14ac:dyDescent="0.25">
      <c r="A8" s="31" t="s">
        <v>104</v>
      </c>
      <c r="B8" s="32"/>
      <c r="C8" s="32"/>
      <c r="D8" s="32"/>
      <c r="E8" s="32"/>
      <c r="F8" s="32"/>
      <c r="G8" s="32"/>
      <c r="H8" s="32"/>
      <c r="I8" s="32"/>
      <c r="J8" s="50">
        <v>30617.05</v>
      </c>
      <c r="K8" s="50"/>
      <c r="L8" s="32">
        <v>1</v>
      </c>
      <c r="M8" s="32"/>
      <c r="N8" s="34">
        <f>SUM(J8*L8)</f>
        <v>30617.05</v>
      </c>
      <c r="O8" s="35"/>
    </row>
    <row r="9" spans="1:15" ht="24.95" customHeight="1" x14ac:dyDescent="0.25">
      <c r="A9" s="31"/>
      <c r="B9" s="32"/>
      <c r="C9" s="32"/>
      <c r="D9" s="32"/>
      <c r="E9" s="32"/>
      <c r="F9" s="32"/>
      <c r="G9" s="32"/>
      <c r="H9" s="32"/>
      <c r="I9" s="32"/>
      <c r="J9" s="50"/>
      <c r="K9" s="50"/>
      <c r="L9" s="32"/>
      <c r="M9" s="32"/>
      <c r="N9" s="34">
        <f t="shared" ref="N9:N26" si="0">SUM(J9*L9)</f>
        <v>0</v>
      </c>
      <c r="O9" s="35"/>
    </row>
    <row r="10" spans="1:15" ht="24.95" customHeight="1" x14ac:dyDescent="0.25">
      <c r="A10" s="31"/>
      <c r="B10" s="32"/>
      <c r="C10" s="32"/>
      <c r="D10" s="32"/>
      <c r="E10" s="32"/>
      <c r="F10" s="32"/>
      <c r="G10" s="32"/>
      <c r="H10" s="32"/>
      <c r="I10" s="32"/>
      <c r="J10" s="50"/>
      <c r="K10" s="50"/>
      <c r="L10" s="32"/>
      <c r="M10" s="32"/>
      <c r="N10" s="34">
        <f t="shared" si="0"/>
        <v>0</v>
      </c>
      <c r="O10" s="35"/>
    </row>
    <row r="11" spans="1:15" ht="24.95" customHeight="1" x14ac:dyDescent="0.25">
      <c r="A11" s="31"/>
      <c r="B11" s="32"/>
      <c r="C11" s="32"/>
      <c r="D11" s="32"/>
      <c r="E11" s="32"/>
      <c r="F11" s="32"/>
      <c r="G11" s="32"/>
      <c r="H11" s="32"/>
      <c r="I11" s="32"/>
      <c r="J11" s="50"/>
      <c r="K11" s="50"/>
      <c r="L11" s="32"/>
      <c r="M11" s="32"/>
      <c r="N11" s="34">
        <f t="shared" si="0"/>
        <v>0</v>
      </c>
      <c r="O11" s="35"/>
    </row>
    <row r="12" spans="1:15" ht="24.95" customHeight="1" x14ac:dyDescent="0.25">
      <c r="A12" s="31"/>
      <c r="B12" s="32"/>
      <c r="C12" s="32"/>
      <c r="D12" s="32"/>
      <c r="E12" s="32"/>
      <c r="F12" s="32"/>
      <c r="G12" s="32"/>
      <c r="H12" s="32"/>
      <c r="I12" s="32"/>
      <c r="J12" s="50"/>
      <c r="K12" s="50"/>
      <c r="L12" s="32"/>
      <c r="M12" s="32"/>
      <c r="N12" s="34">
        <f t="shared" si="0"/>
        <v>0</v>
      </c>
      <c r="O12" s="35"/>
    </row>
    <row r="13" spans="1:15" ht="24.95" customHeight="1" x14ac:dyDescent="0.25">
      <c r="A13" s="31"/>
      <c r="B13" s="32"/>
      <c r="C13" s="32"/>
      <c r="D13" s="32"/>
      <c r="E13" s="32"/>
      <c r="F13" s="32"/>
      <c r="G13" s="32"/>
      <c r="H13" s="32"/>
      <c r="I13" s="32"/>
      <c r="J13" s="50"/>
      <c r="K13" s="50"/>
      <c r="L13" s="32"/>
      <c r="M13" s="32"/>
      <c r="N13" s="34">
        <f t="shared" si="0"/>
        <v>0</v>
      </c>
      <c r="O13" s="35"/>
    </row>
    <row r="14" spans="1:15" ht="24.95" customHeight="1" x14ac:dyDescent="0.25">
      <c r="A14" s="31"/>
      <c r="B14" s="32"/>
      <c r="C14" s="32"/>
      <c r="D14" s="32"/>
      <c r="E14" s="32"/>
      <c r="F14" s="32"/>
      <c r="G14" s="32"/>
      <c r="H14" s="32"/>
      <c r="I14" s="32"/>
      <c r="J14" s="50"/>
      <c r="K14" s="50"/>
      <c r="L14" s="32"/>
      <c r="M14" s="32"/>
      <c r="N14" s="34">
        <f t="shared" si="0"/>
        <v>0</v>
      </c>
      <c r="O14" s="35"/>
    </row>
    <row r="15" spans="1:15" ht="24.95" customHeight="1" x14ac:dyDescent="0.25">
      <c r="A15" s="31"/>
      <c r="B15" s="32"/>
      <c r="C15" s="32"/>
      <c r="D15" s="32"/>
      <c r="E15" s="32"/>
      <c r="F15" s="32"/>
      <c r="G15" s="32"/>
      <c r="H15" s="32"/>
      <c r="I15" s="32"/>
      <c r="J15" s="50"/>
      <c r="K15" s="50"/>
      <c r="L15" s="32"/>
      <c r="M15" s="32"/>
      <c r="N15" s="34">
        <f t="shared" si="0"/>
        <v>0</v>
      </c>
      <c r="O15" s="35"/>
    </row>
    <row r="16" spans="1:15" ht="24.95" customHeight="1" x14ac:dyDescent="0.25">
      <c r="A16" s="31"/>
      <c r="B16" s="32"/>
      <c r="C16" s="32"/>
      <c r="D16" s="32"/>
      <c r="E16" s="32"/>
      <c r="F16" s="32"/>
      <c r="G16" s="32"/>
      <c r="H16" s="32"/>
      <c r="I16" s="32"/>
      <c r="J16" s="50"/>
      <c r="K16" s="50"/>
      <c r="L16" s="32"/>
      <c r="M16" s="32"/>
      <c r="N16" s="34">
        <f t="shared" si="0"/>
        <v>0</v>
      </c>
      <c r="O16" s="35"/>
    </row>
    <row r="17" spans="1:16" ht="24.95" customHeight="1" x14ac:dyDescent="0.25">
      <c r="A17" s="31"/>
      <c r="B17" s="32"/>
      <c r="C17" s="32"/>
      <c r="D17" s="32"/>
      <c r="E17" s="32"/>
      <c r="F17" s="32"/>
      <c r="G17" s="32"/>
      <c r="H17" s="32"/>
      <c r="I17" s="32"/>
      <c r="J17" s="50"/>
      <c r="K17" s="50"/>
      <c r="L17" s="32"/>
      <c r="M17" s="32"/>
      <c r="N17" s="34">
        <f t="shared" si="0"/>
        <v>0</v>
      </c>
      <c r="O17" s="35"/>
    </row>
    <row r="18" spans="1:16" ht="24.95" customHeight="1" x14ac:dyDescent="0.25">
      <c r="A18" s="31"/>
      <c r="B18" s="32"/>
      <c r="C18" s="32"/>
      <c r="D18" s="32"/>
      <c r="E18" s="32"/>
      <c r="F18" s="32"/>
      <c r="G18" s="32"/>
      <c r="H18" s="32"/>
      <c r="I18" s="32"/>
      <c r="J18" s="50"/>
      <c r="K18" s="50"/>
      <c r="L18" s="32"/>
      <c r="M18" s="32"/>
      <c r="N18" s="34">
        <f t="shared" si="0"/>
        <v>0</v>
      </c>
      <c r="O18" s="35"/>
    </row>
    <row r="19" spans="1:16" ht="24.95" customHeight="1" x14ac:dyDescent="0.25">
      <c r="A19" s="31"/>
      <c r="B19" s="32"/>
      <c r="C19" s="32"/>
      <c r="D19" s="32"/>
      <c r="E19" s="32"/>
      <c r="F19" s="32"/>
      <c r="G19" s="32"/>
      <c r="H19" s="32"/>
      <c r="I19" s="32"/>
      <c r="J19" s="50"/>
      <c r="K19" s="50"/>
      <c r="L19" s="32"/>
      <c r="M19" s="32"/>
      <c r="N19" s="34">
        <f t="shared" si="0"/>
        <v>0</v>
      </c>
      <c r="O19" s="35"/>
    </row>
    <row r="20" spans="1:16" ht="24.95" customHeight="1" x14ac:dyDescent="0.25">
      <c r="A20" s="31"/>
      <c r="B20" s="32"/>
      <c r="C20" s="32"/>
      <c r="D20" s="32"/>
      <c r="E20" s="32"/>
      <c r="F20" s="32"/>
      <c r="G20" s="32"/>
      <c r="H20" s="32"/>
      <c r="I20" s="32"/>
      <c r="J20" s="50"/>
      <c r="K20" s="50"/>
      <c r="L20" s="32"/>
      <c r="M20" s="32"/>
      <c r="N20" s="34">
        <f t="shared" si="0"/>
        <v>0</v>
      </c>
      <c r="O20" s="35"/>
    </row>
    <row r="21" spans="1:16" ht="24.95" customHeight="1" x14ac:dyDescent="0.25">
      <c r="A21" s="31"/>
      <c r="B21" s="32"/>
      <c r="C21" s="32"/>
      <c r="D21" s="32"/>
      <c r="E21" s="32"/>
      <c r="F21" s="32"/>
      <c r="G21" s="32"/>
      <c r="H21" s="32"/>
      <c r="I21" s="32"/>
      <c r="J21" s="50"/>
      <c r="K21" s="50"/>
      <c r="L21" s="32"/>
      <c r="M21" s="32"/>
      <c r="N21" s="34">
        <f t="shared" si="0"/>
        <v>0</v>
      </c>
      <c r="O21" s="35"/>
    </row>
    <row r="22" spans="1:16" ht="24.95" customHeight="1" x14ac:dyDescent="0.25">
      <c r="A22" s="31"/>
      <c r="B22" s="32"/>
      <c r="C22" s="32"/>
      <c r="D22" s="32"/>
      <c r="E22" s="32"/>
      <c r="F22" s="32"/>
      <c r="G22" s="32"/>
      <c r="H22" s="32"/>
      <c r="I22" s="32"/>
      <c r="J22" s="50"/>
      <c r="K22" s="50"/>
      <c r="L22" s="32"/>
      <c r="M22" s="32"/>
      <c r="N22" s="34">
        <f t="shared" si="0"/>
        <v>0</v>
      </c>
      <c r="O22" s="35"/>
    </row>
    <row r="23" spans="1:16" ht="24.95" customHeight="1" x14ac:dyDescent="0.25">
      <c r="A23" s="31"/>
      <c r="B23" s="32"/>
      <c r="C23" s="32"/>
      <c r="D23" s="32"/>
      <c r="E23" s="32"/>
      <c r="F23" s="32"/>
      <c r="G23" s="32"/>
      <c r="H23" s="32"/>
      <c r="I23" s="32"/>
      <c r="J23" s="50"/>
      <c r="K23" s="50"/>
      <c r="L23" s="32"/>
      <c r="M23" s="32"/>
      <c r="N23" s="34">
        <f t="shared" si="0"/>
        <v>0</v>
      </c>
      <c r="O23" s="35"/>
    </row>
    <row r="24" spans="1:16" ht="24.95" customHeight="1" x14ac:dyDescent="0.25">
      <c r="A24" s="31"/>
      <c r="B24" s="32"/>
      <c r="C24" s="32"/>
      <c r="D24" s="32"/>
      <c r="E24" s="32"/>
      <c r="F24" s="32"/>
      <c r="G24" s="32"/>
      <c r="H24" s="32"/>
      <c r="I24" s="32"/>
      <c r="J24" s="50"/>
      <c r="K24" s="50"/>
      <c r="L24" s="32"/>
      <c r="M24" s="32"/>
      <c r="N24" s="34">
        <f t="shared" si="0"/>
        <v>0</v>
      </c>
      <c r="O24" s="35"/>
    </row>
    <row r="25" spans="1:16" ht="24.95" customHeight="1" x14ac:dyDescent="0.25">
      <c r="A25" s="31"/>
      <c r="B25" s="32"/>
      <c r="C25" s="32"/>
      <c r="D25" s="32"/>
      <c r="E25" s="32"/>
      <c r="F25" s="32"/>
      <c r="G25" s="32"/>
      <c r="H25" s="32"/>
      <c r="I25" s="32"/>
      <c r="J25" s="50"/>
      <c r="K25" s="50"/>
      <c r="L25" s="32"/>
      <c r="M25" s="32"/>
      <c r="N25" s="34">
        <f t="shared" si="0"/>
        <v>0</v>
      </c>
      <c r="O25" s="35"/>
    </row>
    <row r="26" spans="1:16" ht="24.95" customHeight="1" x14ac:dyDescent="0.25">
      <c r="A26" s="31"/>
      <c r="B26" s="32"/>
      <c r="C26" s="32"/>
      <c r="D26" s="32"/>
      <c r="E26" s="32"/>
      <c r="F26" s="32"/>
      <c r="G26" s="32"/>
      <c r="H26" s="32"/>
      <c r="I26" s="32"/>
      <c r="J26" s="50"/>
      <c r="K26" s="50"/>
      <c r="L26" s="32"/>
      <c r="M26" s="32"/>
      <c r="N26" s="34">
        <f t="shared" si="0"/>
        <v>0</v>
      </c>
      <c r="O26" s="35"/>
      <c r="P26" s="21">
        <f>SUM(N8:O26)</f>
        <v>30617.05</v>
      </c>
    </row>
    <row r="27" spans="1:16" ht="24.95" customHeight="1" x14ac:dyDescent="0.25">
      <c r="A27" s="56" t="s">
        <v>11</v>
      </c>
      <c r="B27" s="57"/>
      <c r="C27" s="57"/>
      <c r="D27" s="57"/>
      <c r="E27" s="57"/>
      <c r="F27" s="57"/>
      <c r="G27" s="57"/>
      <c r="H27" s="57"/>
      <c r="I27" s="57"/>
      <c r="J27" s="57" t="s">
        <v>15</v>
      </c>
      <c r="K27" s="57"/>
      <c r="L27" s="57"/>
      <c r="M27" s="57"/>
      <c r="N27" s="57"/>
      <c r="O27" s="58"/>
    </row>
    <row r="28" spans="1:16" ht="24.95" customHeight="1" x14ac:dyDescent="0.25">
      <c r="A28" s="54" t="s">
        <v>162</v>
      </c>
      <c r="B28" s="55"/>
      <c r="C28" s="55"/>
      <c r="D28" s="55"/>
      <c r="E28" s="55"/>
      <c r="F28" s="55"/>
      <c r="G28" s="55"/>
      <c r="H28" s="55"/>
      <c r="I28" s="55"/>
      <c r="J28" s="34">
        <f>SUM(N8:O26)*8%</f>
        <v>2449.364</v>
      </c>
      <c r="K28" s="34"/>
      <c r="L28" s="34"/>
      <c r="M28" s="34"/>
      <c r="N28" s="34"/>
      <c r="O28" s="35"/>
    </row>
    <row r="29" spans="1:16" ht="24.95" customHeight="1" x14ac:dyDescent="0.25">
      <c r="A29" s="54" t="s">
        <v>12</v>
      </c>
      <c r="B29" s="55"/>
      <c r="C29" s="55"/>
      <c r="D29" s="55"/>
      <c r="E29" s="55"/>
      <c r="F29" s="55"/>
      <c r="G29" s="55"/>
      <c r="H29" s="55"/>
      <c r="I29" s="55"/>
      <c r="J29" s="34">
        <f>SUM(P26+J30+J31)*8%</f>
        <v>2925.6292222222219</v>
      </c>
      <c r="K29" s="34"/>
      <c r="L29" s="34"/>
      <c r="M29" s="34"/>
      <c r="N29" s="34"/>
      <c r="O29" s="35"/>
    </row>
    <row r="30" spans="1:16" ht="24.95" customHeight="1" x14ac:dyDescent="0.25">
      <c r="A30" s="54" t="s">
        <v>13</v>
      </c>
      <c r="B30" s="55"/>
      <c r="C30" s="55"/>
      <c r="D30" s="55"/>
      <c r="E30" s="55"/>
      <c r="F30" s="55"/>
      <c r="G30" s="55"/>
      <c r="H30" s="55"/>
      <c r="I30" s="55"/>
      <c r="J30" s="34">
        <f>SUM(N8:O26)/12</f>
        <v>2551.4208333333331</v>
      </c>
      <c r="K30" s="34"/>
      <c r="L30" s="34"/>
      <c r="M30" s="34"/>
      <c r="N30" s="34"/>
      <c r="O30" s="35"/>
    </row>
    <row r="31" spans="1:16" ht="24.95" customHeight="1" x14ac:dyDescent="0.25">
      <c r="A31" s="54" t="s">
        <v>14</v>
      </c>
      <c r="B31" s="55"/>
      <c r="C31" s="55"/>
      <c r="D31" s="55"/>
      <c r="E31" s="55"/>
      <c r="F31" s="55"/>
      <c r="G31" s="55"/>
      <c r="H31" s="55"/>
      <c r="I31" s="55"/>
      <c r="J31" s="34">
        <f>SUM(P26+P26/3)/12</f>
        <v>3401.8944444444442</v>
      </c>
      <c r="K31" s="34"/>
      <c r="L31" s="34"/>
      <c r="M31" s="34"/>
      <c r="N31" s="34"/>
      <c r="O31" s="35"/>
    </row>
    <row r="32" spans="1:16" ht="24.95" customHeight="1" x14ac:dyDescent="0.25">
      <c r="A32" s="54" t="s">
        <v>178</v>
      </c>
      <c r="B32" s="55"/>
      <c r="C32" s="55"/>
      <c r="D32" s="55"/>
      <c r="E32" s="55"/>
      <c r="F32" s="55"/>
      <c r="G32" s="55"/>
      <c r="H32" s="55"/>
      <c r="I32" s="55"/>
      <c r="J32" s="34">
        <f>SUM(J29)*50%</f>
        <v>1462.8146111111109</v>
      </c>
      <c r="K32" s="34"/>
      <c r="L32" s="34"/>
      <c r="M32" s="34"/>
      <c r="N32" s="34"/>
      <c r="O32" s="35"/>
    </row>
    <row r="33" spans="1:15" ht="24.95" customHeight="1" x14ac:dyDescent="0.25">
      <c r="A33" s="54"/>
      <c r="B33" s="55"/>
      <c r="C33" s="55"/>
      <c r="D33" s="55"/>
      <c r="E33" s="55"/>
      <c r="F33" s="55"/>
      <c r="G33" s="55"/>
      <c r="H33" s="55"/>
      <c r="I33" s="55"/>
      <c r="J33" s="34"/>
      <c r="K33" s="34"/>
      <c r="L33" s="34"/>
      <c r="M33" s="34"/>
      <c r="N33" s="34"/>
      <c r="O33" s="35"/>
    </row>
    <row r="34" spans="1:15" ht="24.95" customHeight="1" x14ac:dyDescent="0.25">
      <c r="A34" s="59"/>
      <c r="B34" s="60"/>
      <c r="C34" s="60"/>
      <c r="D34" s="60"/>
      <c r="E34" s="60"/>
      <c r="F34" s="60"/>
      <c r="G34" s="60"/>
      <c r="H34" s="60"/>
      <c r="I34" s="60"/>
      <c r="J34" s="34"/>
      <c r="K34" s="34"/>
      <c r="L34" s="34"/>
      <c r="M34" s="34"/>
      <c r="N34" s="34"/>
      <c r="O34" s="35"/>
    </row>
    <row r="35" spans="1:15" ht="24.95" customHeight="1" x14ac:dyDescent="0.25">
      <c r="A35" s="41"/>
      <c r="B35" s="42"/>
      <c r="C35" s="42"/>
      <c r="D35" s="42"/>
      <c r="E35" s="42"/>
      <c r="F35" s="42"/>
      <c r="G35" s="42"/>
      <c r="H35" s="42"/>
      <c r="I35" s="42"/>
      <c r="J35" s="48" t="s">
        <v>21</v>
      </c>
      <c r="K35" s="48"/>
      <c r="L35" s="48"/>
      <c r="M35" s="48"/>
      <c r="N35" s="51">
        <f>SUM(J28:O34,N8:O26)</f>
        <v>43408.173111111108</v>
      </c>
      <c r="O35" s="52"/>
    </row>
  </sheetData>
  <mergeCells count="102">
    <mergeCell ref="J35:M35"/>
    <mergeCell ref="A1:F5"/>
    <mergeCell ref="G1:O5"/>
    <mergeCell ref="J32:O32"/>
    <mergeCell ref="J33:O33"/>
    <mergeCell ref="J34:O34"/>
    <mergeCell ref="J27:O27"/>
    <mergeCell ref="J28:O28"/>
    <mergeCell ref="J29:O29"/>
    <mergeCell ref="J30:O30"/>
    <mergeCell ref="J31:O31"/>
    <mergeCell ref="A28:I28"/>
    <mergeCell ref="A30:I30"/>
    <mergeCell ref="A34:I34"/>
    <mergeCell ref="A32:I32"/>
    <mergeCell ref="A33:I33"/>
    <mergeCell ref="L11:M11"/>
    <mergeCell ref="A12:I12"/>
    <mergeCell ref="J12:K12"/>
    <mergeCell ref="L12:M12"/>
    <mergeCell ref="J25:K25"/>
    <mergeCell ref="L25:M25"/>
    <mergeCell ref="A26:I26"/>
    <mergeCell ref="J26:K26"/>
    <mergeCell ref="L26:M26"/>
    <mergeCell ref="A22:I22"/>
    <mergeCell ref="A35:I35"/>
    <mergeCell ref="N35:O35"/>
    <mergeCell ref="A7:I7"/>
    <mergeCell ref="J7:K7"/>
    <mergeCell ref="L7:M7"/>
    <mergeCell ref="A8:I8"/>
    <mergeCell ref="J8:K8"/>
    <mergeCell ref="L8:M8"/>
    <mergeCell ref="A31:I31"/>
    <mergeCell ref="A27:I27"/>
    <mergeCell ref="A29:I29"/>
    <mergeCell ref="N24:O24"/>
    <mergeCell ref="N25:O25"/>
    <mergeCell ref="N26:O26"/>
    <mergeCell ref="A24:I24"/>
    <mergeCell ref="J24:K24"/>
    <mergeCell ref="L24:M24"/>
    <mergeCell ref="A25:I25"/>
    <mergeCell ref="N22:O22"/>
    <mergeCell ref="N23:O23"/>
    <mergeCell ref="A23:I23"/>
    <mergeCell ref="J22:K22"/>
    <mergeCell ref="J23:K23"/>
    <mergeCell ref="N21:O21"/>
    <mergeCell ref="N18:O18"/>
    <mergeCell ref="N19:O19"/>
    <mergeCell ref="N20:O20"/>
    <mergeCell ref="A18:I18"/>
    <mergeCell ref="J18:K18"/>
    <mergeCell ref="L18:M18"/>
    <mergeCell ref="A19:I19"/>
    <mergeCell ref="L23:M23"/>
    <mergeCell ref="L22:M22"/>
    <mergeCell ref="J19:K19"/>
    <mergeCell ref="L19:M19"/>
    <mergeCell ref="A20:I20"/>
    <mergeCell ref="J20:K20"/>
    <mergeCell ref="L20:M20"/>
    <mergeCell ref="A21:I21"/>
    <mergeCell ref="J21:K21"/>
    <mergeCell ref="L21:M21"/>
    <mergeCell ref="N15:O15"/>
    <mergeCell ref="N16:O16"/>
    <mergeCell ref="N17:O17"/>
    <mergeCell ref="A17:I17"/>
    <mergeCell ref="J17:K17"/>
    <mergeCell ref="L17:M17"/>
    <mergeCell ref="A15:I15"/>
    <mergeCell ref="J15:K15"/>
    <mergeCell ref="L15:M15"/>
    <mergeCell ref="A16:I16"/>
    <mergeCell ref="J16:K16"/>
    <mergeCell ref="L16:M16"/>
    <mergeCell ref="A6:O6"/>
    <mergeCell ref="N7:O7"/>
    <mergeCell ref="N8:O8"/>
    <mergeCell ref="N12:O12"/>
    <mergeCell ref="N13:O13"/>
    <mergeCell ref="N14:O14"/>
    <mergeCell ref="A13:I13"/>
    <mergeCell ref="J13:K13"/>
    <mergeCell ref="L13:M13"/>
    <mergeCell ref="A14:I14"/>
    <mergeCell ref="N9:O9"/>
    <mergeCell ref="N10:O10"/>
    <mergeCell ref="N11:O11"/>
    <mergeCell ref="A9:I9"/>
    <mergeCell ref="J9:K9"/>
    <mergeCell ref="L9:M9"/>
    <mergeCell ref="A10:I10"/>
    <mergeCell ref="J14:K14"/>
    <mergeCell ref="L14:M14"/>
    <mergeCell ref="J10:K10"/>
    <mergeCell ref="L10:M10"/>
    <mergeCell ref="A11:I11"/>
    <mergeCell ref="J11:K11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47D3E-B497-472B-8903-EFBBE211F79A}">
  <dimension ref="A1:O37"/>
  <sheetViews>
    <sheetView zoomScale="70" zoomScaleNormal="70" workbookViewId="0">
      <selection activeCell="A17" sqref="A17:I17"/>
    </sheetView>
  </sheetViews>
  <sheetFormatPr defaultRowHeight="15" x14ac:dyDescent="0.25"/>
  <sheetData>
    <row r="1" spans="1:15" ht="15" customHeight="1" x14ac:dyDescent="0.25">
      <c r="A1" s="206"/>
      <c r="B1" s="206"/>
      <c r="C1" s="206"/>
      <c r="D1" s="206"/>
      <c r="E1" s="206"/>
      <c r="F1" s="207"/>
      <c r="G1" s="196" t="s">
        <v>0</v>
      </c>
      <c r="H1" s="196"/>
      <c r="I1" s="196"/>
      <c r="J1" s="196"/>
      <c r="K1" s="196"/>
      <c r="L1" s="196"/>
      <c r="M1" s="196"/>
      <c r="N1" s="196"/>
      <c r="O1" s="197"/>
    </row>
    <row r="2" spans="1:15" ht="15" customHeight="1" x14ac:dyDescent="0.25">
      <c r="A2" s="206"/>
      <c r="B2" s="206"/>
      <c r="C2" s="206"/>
      <c r="D2" s="206"/>
      <c r="E2" s="206"/>
      <c r="F2" s="207"/>
      <c r="G2" s="198"/>
      <c r="H2" s="198"/>
      <c r="I2" s="198"/>
      <c r="J2" s="198"/>
      <c r="K2" s="198"/>
      <c r="L2" s="198"/>
      <c r="M2" s="198"/>
      <c r="N2" s="198"/>
      <c r="O2" s="199"/>
    </row>
    <row r="3" spans="1:15" ht="15" customHeight="1" x14ac:dyDescent="0.25">
      <c r="A3" s="206"/>
      <c r="B3" s="206"/>
      <c r="C3" s="206"/>
      <c r="D3" s="206"/>
      <c r="E3" s="206"/>
      <c r="F3" s="207"/>
      <c r="G3" s="198"/>
      <c r="H3" s="198"/>
      <c r="I3" s="198"/>
      <c r="J3" s="198"/>
      <c r="K3" s="198"/>
      <c r="L3" s="198"/>
      <c r="M3" s="198"/>
      <c r="N3" s="198"/>
      <c r="O3" s="199"/>
    </row>
    <row r="4" spans="1:15" ht="15" customHeight="1" x14ac:dyDescent="0.25">
      <c r="A4" s="206"/>
      <c r="B4" s="206"/>
      <c r="C4" s="206"/>
      <c r="D4" s="206"/>
      <c r="E4" s="206"/>
      <c r="F4" s="207"/>
      <c r="G4" s="198"/>
      <c r="H4" s="198"/>
      <c r="I4" s="198"/>
      <c r="J4" s="198"/>
      <c r="K4" s="198"/>
      <c r="L4" s="198"/>
      <c r="M4" s="198"/>
      <c r="N4" s="198"/>
      <c r="O4" s="199"/>
    </row>
    <row r="5" spans="1:15" ht="15" customHeight="1" x14ac:dyDescent="0.25">
      <c r="A5" s="208"/>
      <c r="B5" s="208"/>
      <c r="C5" s="208"/>
      <c r="D5" s="208"/>
      <c r="E5" s="208"/>
      <c r="F5" s="205"/>
      <c r="G5" s="198"/>
      <c r="H5" s="198"/>
      <c r="I5" s="198"/>
      <c r="J5" s="198"/>
      <c r="K5" s="198"/>
      <c r="L5" s="198"/>
      <c r="M5" s="198"/>
      <c r="N5" s="198"/>
      <c r="O5" s="199"/>
    </row>
    <row r="6" spans="1:15" ht="15" customHeight="1" x14ac:dyDescent="0.65">
      <c r="A6" s="204"/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</row>
    <row r="7" spans="1:15" x14ac:dyDescent="0.25">
      <c r="A7" s="56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8"/>
    </row>
    <row r="8" spans="1:15" ht="24.75" customHeight="1" x14ac:dyDescent="0.25">
      <c r="A8" s="168" t="s">
        <v>2</v>
      </c>
      <c r="B8" s="167"/>
      <c r="C8" s="167"/>
      <c r="D8" s="167"/>
      <c r="E8" s="167"/>
      <c r="F8" s="167"/>
      <c r="G8" s="167"/>
      <c r="H8" s="167"/>
      <c r="I8" s="167"/>
      <c r="J8" s="167" t="s">
        <v>3</v>
      </c>
      <c r="K8" s="167"/>
      <c r="L8" s="167" t="s">
        <v>4</v>
      </c>
      <c r="M8" s="167"/>
      <c r="N8" s="167" t="s">
        <v>5</v>
      </c>
      <c r="O8" s="195"/>
    </row>
    <row r="9" spans="1:15" ht="24.95" customHeight="1" x14ac:dyDescent="0.25">
      <c r="A9" s="31" t="s">
        <v>32</v>
      </c>
      <c r="B9" s="32"/>
      <c r="C9" s="32"/>
      <c r="D9" s="32"/>
      <c r="E9" s="32"/>
      <c r="F9" s="32"/>
      <c r="G9" s="32"/>
      <c r="H9" s="32"/>
      <c r="I9" s="32"/>
      <c r="J9" s="45">
        <v>1000</v>
      </c>
      <c r="K9" s="45"/>
      <c r="L9" s="32">
        <v>1</v>
      </c>
      <c r="M9" s="32"/>
      <c r="N9" s="34">
        <f t="shared" ref="N9:N12" si="0">SUM(J9*L9)</f>
        <v>1000</v>
      </c>
      <c r="O9" s="35"/>
    </row>
    <row r="10" spans="1:15" ht="24.95" customHeight="1" x14ac:dyDescent="0.25">
      <c r="A10" s="31" t="s">
        <v>33</v>
      </c>
      <c r="B10" s="32"/>
      <c r="C10" s="32"/>
      <c r="D10" s="32"/>
      <c r="E10" s="32"/>
      <c r="F10" s="32"/>
      <c r="G10" s="32"/>
      <c r="H10" s="32"/>
      <c r="I10" s="32"/>
      <c r="J10" s="45">
        <v>1000</v>
      </c>
      <c r="K10" s="45"/>
      <c r="L10" s="32">
        <v>1</v>
      </c>
      <c r="M10" s="32"/>
      <c r="N10" s="34">
        <f t="shared" si="0"/>
        <v>1000</v>
      </c>
      <c r="O10" s="35"/>
    </row>
    <row r="11" spans="1:15" ht="24.95" customHeight="1" x14ac:dyDescent="0.25">
      <c r="A11" s="31" t="s">
        <v>141</v>
      </c>
      <c r="B11" s="32"/>
      <c r="C11" s="32"/>
      <c r="D11" s="32"/>
      <c r="E11" s="32"/>
      <c r="F11" s="32"/>
      <c r="G11" s="32"/>
      <c r="H11" s="32"/>
      <c r="I11" s="32"/>
      <c r="J11" s="45">
        <v>180</v>
      </c>
      <c r="K11" s="45"/>
      <c r="L11" s="32">
        <v>1</v>
      </c>
      <c r="M11" s="32"/>
      <c r="N11" s="34">
        <f t="shared" si="0"/>
        <v>180</v>
      </c>
      <c r="O11" s="35"/>
    </row>
    <row r="12" spans="1:15" ht="24.95" customHeight="1" x14ac:dyDescent="0.25">
      <c r="A12" s="31" t="s">
        <v>173</v>
      </c>
      <c r="B12" s="32"/>
      <c r="C12" s="32"/>
      <c r="D12" s="32"/>
      <c r="E12" s="32"/>
      <c r="F12" s="32"/>
      <c r="G12" s="32"/>
      <c r="H12" s="32"/>
      <c r="I12" s="32"/>
      <c r="J12" s="45">
        <v>780</v>
      </c>
      <c r="K12" s="45"/>
      <c r="L12" s="32">
        <v>1</v>
      </c>
      <c r="M12" s="32"/>
      <c r="N12" s="34">
        <f t="shared" si="0"/>
        <v>780</v>
      </c>
      <c r="O12" s="35"/>
    </row>
    <row r="13" spans="1:15" ht="24.95" customHeight="1" x14ac:dyDescent="0.25">
      <c r="A13" s="31" t="s">
        <v>174</v>
      </c>
      <c r="B13" s="32"/>
      <c r="C13" s="32"/>
      <c r="D13" s="32"/>
      <c r="E13" s="32"/>
      <c r="F13" s="32"/>
      <c r="G13" s="32"/>
      <c r="H13" s="32"/>
      <c r="I13" s="32"/>
      <c r="J13" s="45">
        <v>600</v>
      </c>
      <c r="K13" s="45"/>
      <c r="L13" s="32">
        <v>1</v>
      </c>
      <c r="M13" s="32"/>
      <c r="N13" s="34">
        <f t="shared" ref="N13:N36" si="1">SUM(J13*L13)</f>
        <v>600</v>
      </c>
      <c r="O13" s="35"/>
    </row>
    <row r="14" spans="1:15" ht="24.95" customHeight="1" x14ac:dyDescent="0.25">
      <c r="A14" s="31" t="s">
        <v>175</v>
      </c>
      <c r="B14" s="32"/>
      <c r="C14" s="32"/>
      <c r="D14" s="32"/>
      <c r="E14" s="32"/>
      <c r="F14" s="32"/>
      <c r="G14" s="32"/>
      <c r="H14" s="32"/>
      <c r="I14" s="32"/>
      <c r="J14" s="45">
        <v>400</v>
      </c>
      <c r="K14" s="45"/>
      <c r="L14" s="32">
        <v>1</v>
      </c>
      <c r="M14" s="32"/>
      <c r="N14" s="34">
        <f t="shared" si="1"/>
        <v>400</v>
      </c>
      <c r="O14" s="35"/>
    </row>
    <row r="15" spans="1:15" ht="24.95" customHeight="1" x14ac:dyDescent="0.25">
      <c r="A15" s="31"/>
      <c r="B15" s="32"/>
      <c r="C15" s="32"/>
      <c r="D15" s="32"/>
      <c r="E15" s="32"/>
      <c r="F15" s="32"/>
      <c r="G15" s="32"/>
      <c r="H15" s="32"/>
      <c r="I15" s="32"/>
      <c r="J15" s="45"/>
      <c r="K15" s="45"/>
      <c r="L15" s="32"/>
      <c r="M15" s="32"/>
      <c r="N15" s="34">
        <f t="shared" si="1"/>
        <v>0</v>
      </c>
      <c r="O15" s="35"/>
    </row>
    <row r="16" spans="1:15" ht="24.95" customHeight="1" x14ac:dyDescent="0.25">
      <c r="A16" s="31"/>
      <c r="B16" s="32"/>
      <c r="C16" s="32"/>
      <c r="D16" s="32"/>
      <c r="E16" s="32"/>
      <c r="F16" s="32"/>
      <c r="G16" s="32"/>
      <c r="H16" s="32"/>
      <c r="I16" s="32"/>
      <c r="J16" s="45"/>
      <c r="K16" s="45"/>
      <c r="L16" s="32"/>
      <c r="M16" s="32"/>
      <c r="N16" s="34">
        <f t="shared" si="1"/>
        <v>0</v>
      </c>
      <c r="O16" s="35"/>
    </row>
    <row r="17" spans="1:15" ht="24.95" customHeight="1" x14ac:dyDescent="0.25">
      <c r="A17" s="31"/>
      <c r="B17" s="32"/>
      <c r="C17" s="32"/>
      <c r="D17" s="32"/>
      <c r="E17" s="32"/>
      <c r="F17" s="32"/>
      <c r="G17" s="32"/>
      <c r="H17" s="32"/>
      <c r="I17" s="32"/>
      <c r="J17" s="45"/>
      <c r="K17" s="45"/>
      <c r="L17" s="32"/>
      <c r="M17" s="32"/>
      <c r="N17" s="34">
        <f t="shared" si="1"/>
        <v>0</v>
      </c>
      <c r="O17" s="35"/>
    </row>
    <row r="18" spans="1:15" ht="24.95" customHeight="1" x14ac:dyDescent="0.25">
      <c r="A18" s="31"/>
      <c r="B18" s="32"/>
      <c r="C18" s="32"/>
      <c r="D18" s="32"/>
      <c r="E18" s="32"/>
      <c r="F18" s="32"/>
      <c r="G18" s="32"/>
      <c r="H18" s="32"/>
      <c r="I18" s="32"/>
      <c r="J18" s="45"/>
      <c r="K18" s="45"/>
      <c r="L18" s="32"/>
      <c r="M18" s="32"/>
      <c r="N18" s="34">
        <f t="shared" si="1"/>
        <v>0</v>
      </c>
      <c r="O18" s="35"/>
    </row>
    <row r="19" spans="1:15" ht="24.95" customHeight="1" x14ac:dyDescent="0.25">
      <c r="A19" s="31"/>
      <c r="B19" s="32"/>
      <c r="C19" s="32"/>
      <c r="D19" s="32"/>
      <c r="E19" s="32"/>
      <c r="F19" s="32"/>
      <c r="G19" s="32"/>
      <c r="H19" s="32"/>
      <c r="I19" s="32"/>
      <c r="J19" s="45"/>
      <c r="K19" s="45"/>
      <c r="L19" s="32"/>
      <c r="M19" s="32"/>
      <c r="N19" s="34">
        <f t="shared" si="1"/>
        <v>0</v>
      </c>
      <c r="O19" s="35"/>
    </row>
    <row r="20" spans="1:15" ht="24.95" customHeight="1" x14ac:dyDescent="0.25">
      <c r="A20" s="31"/>
      <c r="B20" s="32"/>
      <c r="C20" s="32"/>
      <c r="D20" s="32"/>
      <c r="E20" s="32"/>
      <c r="F20" s="32"/>
      <c r="G20" s="32"/>
      <c r="H20" s="32"/>
      <c r="I20" s="32"/>
      <c r="J20" s="45"/>
      <c r="K20" s="45"/>
      <c r="L20" s="32"/>
      <c r="M20" s="32"/>
      <c r="N20" s="34">
        <f t="shared" si="1"/>
        <v>0</v>
      </c>
      <c r="O20" s="35"/>
    </row>
    <row r="21" spans="1:15" ht="24.95" customHeight="1" x14ac:dyDescent="0.25">
      <c r="A21" s="31"/>
      <c r="B21" s="32"/>
      <c r="C21" s="32"/>
      <c r="D21" s="32"/>
      <c r="E21" s="32"/>
      <c r="F21" s="32"/>
      <c r="G21" s="32"/>
      <c r="H21" s="32"/>
      <c r="I21" s="32"/>
      <c r="J21" s="45"/>
      <c r="K21" s="45"/>
      <c r="L21" s="32"/>
      <c r="M21" s="32"/>
      <c r="N21" s="34">
        <f t="shared" si="1"/>
        <v>0</v>
      </c>
      <c r="O21" s="35"/>
    </row>
    <row r="22" spans="1:15" ht="24.95" customHeight="1" x14ac:dyDescent="0.25">
      <c r="A22" s="31"/>
      <c r="B22" s="32"/>
      <c r="C22" s="32"/>
      <c r="D22" s="32"/>
      <c r="E22" s="32"/>
      <c r="F22" s="32"/>
      <c r="G22" s="32"/>
      <c r="H22" s="32"/>
      <c r="I22" s="32"/>
      <c r="J22" s="45"/>
      <c r="K22" s="45"/>
      <c r="L22" s="32"/>
      <c r="M22" s="32"/>
      <c r="N22" s="34">
        <f t="shared" si="1"/>
        <v>0</v>
      </c>
      <c r="O22" s="35"/>
    </row>
    <row r="23" spans="1:15" ht="24.95" customHeight="1" x14ac:dyDescent="0.25">
      <c r="A23" s="31"/>
      <c r="B23" s="32"/>
      <c r="C23" s="32"/>
      <c r="D23" s="32"/>
      <c r="E23" s="32"/>
      <c r="F23" s="32"/>
      <c r="G23" s="32"/>
      <c r="H23" s="32"/>
      <c r="I23" s="32"/>
      <c r="J23" s="45"/>
      <c r="K23" s="45"/>
      <c r="L23" s="32"/>
      <c r="M23" s="32"/>
      <c r="N23" s="34">
        <f t="shared" si="1"/>
        <v>0</v>
      </c>
      <c r="O23" s="35"/>
    </row>
    <row r="24" spans="1:15" ht="24.95" customHeight="1" x14ac:dyDescent="0.25">
      <c r="A24" s="31"/>
      <c r="B24" s="32"/>
      <c r="C24" s="32"/>
      <c r="D24" s="32"/>
      <c r="E24" s="32"/>
      <c r="F24" s="32"/>
      <c r="G24" s="32"/>
      <c r="H24" s="32"/>
      <c r="I24" s="32"/>
      <c r="J24" s="45"/>
      <c r="K24" s="45"/>
      <c r="L24" s="32"/>
      <c r="M24" s="32"/>
      <c r="N24" s="34">
        <f t="shared" si="1"/>
        <v>0</v>
      </c>
      <c r="O24" s="35"/>
    </row>
    <row r="25" spans="1:15" ht="24.95" customHeight="1" x14ac:dyDescent="0.25">
      <c r="A25" s="31"/>
      <c r="B25" s="32"/>
      <c r="C25" s="32"/>
      <c r="D25" s="32"/>
      <c r="E25" s="32"/>
      <c r="F25" s="32"/>
      <c r="G25" s="32"/>
      <c r="H25" s="32"/>
      <c r="I25" s="32"/>
      <c r="J25" s="45"/>
      <c r="K25" s="45"/>
      <c r="L25" s="32"/>
      <c r="M25" s="32"/>
      <c r="N25" s="34">
        <f t="shared" si="1"/>
        <v>0</v>
      </c>
      <c r="O25" s="35"/>
    </row>
    <row r="26" spans="1:15" ht="24.95" customHeight="1" x14ac:dyDescent="0.25">
      <c r="A26" s="31"/>
      <c r="B26" s="32"/>
      <c r="C26" s="32"/>
      <c r="D26" s="32"/>
      <c r="E26" s="32"/>
      <c r="F26" s="32"/>
      <c r="G26" s="32"/>
      <c r="H26" s="32"/>
      <c r="I26" s="32"/>
      <c r="J26" s="45"/>
      <c r="K26" s="45"/>
      <c r="L26" s="32"/>
      <c r="M26" s="32"/>
      <c r="N26" s="34">
        <f t="shared" si="1"/>
        <v>0</v>
      </c>
      <c r="O26" s="35"/>
    </row>
    <row r="27" spans="1:15" ht="24.95" customHeight="1" x14ac:dyDescent="0.25">
      <c r="A27" s="31"/>
      <c r="B27" s="32"/>
      <c r="C27" s="32"/>
      <c r="D27" s="32"/>
      <c r="E27" s="32"/>
      <c r="F27" s="32"/>
      <c r="G27" s="32"/>
      <c r="H27" s="32"/>
      <c r="I27" s="32"/>
      <c r="J27" s="45"/>
      <c r="K27" s="45"/>
      <c r="L27" s="32"/>
      <c r="M27" s="32"/>
      <c r="N27" s="34">
        <f t="shared" si="1"/>
        <v>0</v>
      </c>
      <c r="O27" s="35"/>
    </row>
    <row r="28" spans="1:15" ht="24.95" customHeight="1" x14ac:dyDescent="0.25">
      <c r="A28" s="31"/>
      <c r="B28" s="32"/>
      <c r="C28" s="32"/>
      <c r="D28" s="32"/>
      <c r="E28" s="32"/>
      <c r="F28" s="32"/>
      <c r="G28" s="32"/>
      <c r="H28" s="32"/>
      <c r="I28" s="32"/>
      <c r="J28" s="45"/>
      <c r="K28" s="45"/>
      <c r="L28" s="32"/>
      <c r="M28" s="32"/>
      <c r="N28" s="34">
        <f t="shared" si="1"/>
        <v>0</v>
      </c>
      <c r="O28" s="35"/>
    </row>
    <row r="29" spans="1:15" ht="24.95" customHeight="1" x14ac:dyDescent="0.25">
      <c r="A29" s="31"/>
      <c r="B29" s="32"/>
      <c r="C29" s="32"/>
      <c r="D29" s="32"/>
      <c r="E29" s="32"/>
      <c r="F29" s="32"/>
      <c r="G29" s="32"/>
      <c r="H29" s="32"/>
      <c r="I29" s="32"/>
      <c r="J29" s="45"/>
      <c r="K29" s="45"/>
      <c r="L29" s="32"/>
      <c r="M29" s="32"/>
      <c r="N29" s="34">
        <f t="shared" si="1"/>
        <v>0</v>
      </c>
      <c r="O29" s="35"/>
    </row>
    <row r="30" spans="1:15" ht="24.95" customHeight="1" x14ac:dyDescent="0.25">
      <c r="A30" s="31"/>
      <c r="B30" s="32"/>
      <c r="C30" s="32"/>
      <c r="D30" s="32"/>
      <c r="E30" s="32"/>
      <c r="F30" s="32"/>
      <c r="G30" s="32"/>
      <c r="H30" s="32"/>
      <c r="I30" s="32"/>
      <c r="J30" s="45"/>
      <c r="K30" s="45"/>
      <c r="L30" s="32"/>
      <c r="M30" s="32"/>
      <c r="N30" s="34">
        <f t="shared" si="1"/>
        <v>0</v>
      </c>
      <c r="O30" s="35"/>
    </row>
    <row r="31" spans="1:15" ht="24.95" customHeight="1" x14ac:dyDescent="0.25">
      <c r="A31" s="31"/>
      <c r="B31" s="32"/>
      <c r="C31" s="32"/>
      <c r="D31" s="32"/>
      <c r="E31" s="32"/>
      <c r="F31" s="32"/>
      <c r="G31" s="32"/>
      <c r="H31" s="32"/>
      <c r="I31" s="32"/>
      <c r="J31" s="45"/>
      <c r="K31" s="45"/>
      <c r="L31" s="32"/>
      <c r="M31" s="32"/>
      <c r="N31" s="34">
        <f t="shared" si="1"/>
        <v>0</v>
      </c>
      <c r="O31" s="35"/>
    </row>
    <row r="32" spans="1:15" ht="24.95" customHeight="1" x14ac:dyDescent="0.25">
      <c r="A32" s="31"/>
      <c r="B32" s="32"/>
      <c r="C32" s="32"/>
      <c r="D32" s="32"/>
      <c r="E32" s="32"/>
      <c r="F32" s="32"/>
      <c r="G32" s="32"/>
      <c r="H32" s="32"/>
      <c r="I32" s="32"/>
      <c r="J32" s="45"/>
      <c r="K32" s="45"/>
      <c r="L32" s="32"/>
      <c r="M32" s="32"/>
      <c r="N32" s="34">
        <f t="shared" si="1"/>
        <v>0</v>
      </c>
      <c r="O32" s="35"/>
    </row>
    <row r="33" spans="1:15" ht="24.95" customHeight="1" x14ac:dyDescent="0.25">
      <c r="A33" s="31"/>
      <c r="B33" s="32"/>
      <c r="C33" s="32"/>
      <c r="D33" s="32"/>
      <c r="E33" s="32"/>
      <c r="F33" s="32"/>
      <c r="G33" s="32"/>
      <c r="H33" s="32"/>
      <c r="I33" s="32"/>
      <c r="J33" s="45"/>
      <c r="K33" s="45"/>
      <c r="L33" s="32"/>
      <c r="M33" s="32"/>
      <c r="N33" s="34">
        <f t="shared" si="1"/>
        <v>0</v>
      </c>
      <c r="O33" s="35"/>
    </row>
    <row r="34" spans="1:15" ht="24.95" customHeight="1" x14ac:dyDescent="0.25">
      <c r="A34" s="31"/>
      <c r="B34" s="32"/>
      <c r="C34" s="32"/>
      <c r="D34" s="32"/>
      <c r="E34" s="32"/>
      <c r="F34" s="32"/>
      <c r="G34" s="32"/>
      <c r="H34" s="32"/>
      <c r="I34" s="32"/>
      <c r="J34" s="45"/>
      <c r="K34" s="45"/>
      <c r="L34" s="32"/>
      <c r="M34" s="32"/>
      <c r="N34" s="34">
        <f t="shared" si="1"/>
        <v>0</v>
      </c>
      <c r="O34" s="35"/>
    </row>
    <row r="35" spans="1:15" ht="24.95" customHeight="1" x14ac:dyDescent="0.25">
      <c r="A35" s="31"/>
      <c r="B35" s="32"/>
      <c r="C35" s="32"/>
      <c r="D35" s="32"/>
      <c r="E35" s="32"/>
      <c r="F35" s="32"/>
      <c r="G35" s="32"/>
      <c r="H35" s="32"/>
      <c r="I35" s="32"/>
      <c r="J35" s="45"/>
      <c r="K35" s="45"/>
      <c r="L35" s="32"/>
      <c r="M35" s="32"/>
      <c r="N35" s="34">
        <f t="shared" si="1"/>
        <v>0</v>
      </c>
      <c r="O35" s="35"/>
    </row>
    <row r="36" spans="1:15" ht="24.95" customHeight="1" x14ac:dyDescent="0.25">
      <c r="A36" s="31"/>
      <c r="B36" s="32"/>
      <c r="C36" s="32"/>
      <c r="D36" s="32"/>
      <c r="E36" s="32"/>
      <c r="F36" s="32"/>
      <c r="G36" s="32"/>
      <c r="H36" s="32"/>
      <c r="I36" s="32"/>
      <c r="J36" s="45"/>
      <c r="K36" s="45"/>
      <c r="L36" s="32"/>
      <c r="M36" s="32"/>
      <c r="N36" s="34">
        <f t="shared" si="1"/>
        <v>0</v>
      </c>
      <c r="O36" s="35"/>
    </row>
    <row r="37" spans="1:15" ht="24.95" customHeight="1" x14ac:dyDescent="0.25">
      <c r="A37" s="41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 t="s">
        <v>16</v>
      </c>
      <c r="M37" s="42"/>
      <c r="N37" s="43">
        <f>SUM(N9:O36)</f>
        <v>3960</v>
      </c>
      <c r="O37" s="44"/>
    </row>
  </sheetData>
  <mergeCells count="124">
    <mergeCell ref="A6:O6"/>
    <mergeCell ref="A1:F5"/>
    <mergeCell ref="A7:O7"/>
    <mergeCell ref="G1:O5"/>
    <mergeCell ref="A37:I37"/>
    <mergeCell ref="J37:K37"/>
    <mergeCell ref="L37:M37"/>
    <mergeCell ref="N37:O37"/>
    <mergeCell ref="A35:I35"/>
    <mergeCell ref="J35:K35"/>
    <mergeCell ref="L35:M35"/>
    <mergeCell ref="N35:O35"/>
    <mergeCell ref="A36:I36"/>
    <mergeCell ref="J36:K36"/>
    <mergeCell ref="L36:M36"/>
    <mergeCell ref="N36:O36"/>
    <mergeCell ref="A33:I33"/>
    <mergeCell ref="J33:K33"/>
    <mergeCell ref="L33:M33"/>
    <mergeCell ref="N33:O33"/>
    <mergeCell ref="A34:I34"/>
    <mergeCell ref="J34:K34"/>
    <mergeCell ref="L34:M34"/>
    <mergeCell ref="N34:O34"/>
    <mergeCell ref="A31:I31"/>
    <mergeCell ref="J31:K31"/>
    <mergeCell ref="L31:M31"/>
    <mergeCell ref="N31:O31"/>
    <mergeCell ref="A32:I32"/>
    <mergeCell ref="J32:K32"/>
    <mergeCell ref="L32:M32"/>
    <mergeCell ref="N32:O32"/>
    <mergeCell ref="A29:I29"/>
    <mergeCell ref="J29:K29"/>
    <mergeCell ref="L29:M29"/>
    <mergeCell ref="N29:O29"/>
    <mergeCell ref="A30:I30"/>
    <mergeCell ref="J30:K30"/>
    <mergeCell ref="L30:M30"/>
    <mergeCell ref="N30:O30"/>
    <mergeCell ref="A27:I27"/>
    <mergeCell ref="J27:K27"/>
    <mergeCell ref="L27:M27"/>
    <mergeCell ref="N27:O27"/>
    <mergeCell ref="A28:I28"/>
    <mergeCell ref="J28:K28"/>
    <mergeCell ref="L28:M28"/>
    <mergeCell ref="N28:O28"/>
    <mergeCell ref="A25:I25"/>
    <mergeCell ref="J25:K25"/>
    <mergeCell ref="L25:M25"/>
    <mergeCell ref="N25:O25"/>
    <mergeCell ref="A26:I26"/>
    <mergeCell ref="J26:K26"/>
    <mergeCell ref="L26:M26"/>
    <mergeCell ref="N26:O26"/>
    <mergeCell ref="A23:I23"/>
    <mergeCell ref="J23:K23"/>
    <mergeCell ref="L23:M23"/>
    <mergeCell ref="N23:O23"/>
    <mergeCell ref="A24:I24"/>
    <mergeCell ref="J24:K24"/>
    <mergeCell ref="L24:M24"/>
    <mergeCell ref="N24:O24"/>
    <mergeCell ref="A21:I21"/>
    <mergeCell ref="J21:K21"/>
    <mergeCell ref="L21:M21"/>
    <mergeCell ref="N21:O21"/>
    <mergeCell ref="A22:I22"/>
    <mergeCell ref="J22:K22"/>
    <mergeCell ref="L22:M22"/>
    <mergeCell ref="N22:O22"/>
    <mergeCell ref="A19:I19"/>
    <mergeCell ref="J19:K19"/>
    <mergeCell ref="L19:M19"/>
    <mergeCell ref="N19:O19"/>
    <mergeCell ref="A20:I20"/>
    <mergeCell ref="J20:K20"/>
    <mergeCell ref="L20:M20"/>
    <mergeCell ref="N20:O20"/>
    <mergeCell ref="A17:I17"/>
    <mergeCell ref="J17:K17"/>
    <mergeCell ref="L17:M17"/>
    <mergeCell ref="N17:O17"/>
    <mergeCell ref="A18:I18"/>
    <mergeCell ref="J18:K18"/>
    <mergeCell ref="L18:M18"/>
    <mergeCell ref="N18:O18"/>
    <mergeCell ref="A15:I15"/>
    <mergeCell ref="J15:K15"/>
    <mergeCell ref="L15:M15"/>
    <mergeCell ref="N15:O15"/>
    <mergeCell ref="A16:I16"/>
    <mergeCell ref="J16:K16"/>
    <mergeCell ref="L16:M16"/>
    <mergeCell ref="N16:O16"/>
    <mergeCell ref="A13:I13"/>
    <mergeCell ref="J13:K13"/>
    <mergeCell ref="L13:M13"/>
    <mergeCell ref="N13:O13"/>
    <mergeCell ref="A14:I14"/>
    <mergeCell ref="J14:K14"/>
    <mergeCell ref="L14:M14"/>
    <mergeCell ref="N14:O14"/>
    <mergeCell ref="A8:I8"/>
    <mergeCell ref="J8:K8"/>
    <mergeCell ref="L8:M8"/>
    <mergeCell ref="N8:O8"/>
    <mergeCell ref="A11:I11"/>
    <mergeCell ref="J11:K11"/>
    <mergeCell ref="L11:M11"/>
    <mergeCell ref="N11:O11"/>
    <mergeCell ref="A12:I12"/>
    <mergeCell ref="J12:K12"/>
    <mergeCell ref="L12:M12"/>
    <mergeCell ref="N12:O12"/>
    <mergeCell ref="A9:I9"/>
    <mergeCell ref="J9:K9"/>
    <mergeCell ref="L9:M9"/>
    <mergeCell ref="N9:O9"/>
    <mergeCell ref="A10:I10"/>
    <mergeCell ref="J10:K10"/>
    <mergeCell ref="L10:M10"/>
    <mergeCell ref="N10:O10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F7152-F202-4972-827B-C1E03F3162FE}">
  <dimension ref="A1:AH122"/>
  <sheetViews>
    <sheetView showGridLines="0" zoomScale="55" zoomScaleNormal="55" workbookViewId="0">
      <selection activeCell="B18" sqref="B18:E18"/>
    </sheetView>
  </sheetViews>
  <sheetFormatPr defaultRowHeight="15" x14ac:dyDescent="0.25"/>
  <cols>
    <col min="1" max="1" width="22.7109375" customWidth="1"/>
    <col min="2" max="5" width="19.7109375" customWidth="1"/>
    <col min="6" max="7" width="16.7109375" customWidth="1"/>
    <col min="8" max="8" width="15.7109375" style="6" customWidth="1"/>
    <col min="9" max="9" width="15.7109375" style="5" customWidth="1"/>
    <col min="10" max="17" width="15.7109375" customWidth="1"/>
    <col min="18" max="18" width="49" customWidth="1"/>
    <col min="19" max="19" width="61.7109375" bestFit="1" customWidth="1"/>
    <col min="20" max="21" width="16.7109375" customWidth="1"/>
    <col min="22" max="22" width="21.140625" hidden="1" customWidth="1"/>
    <col min="23" max="23" width="15.7109375" hidden="1" customWidth="1"/>
    <col min="24" max="24" width="23.7109375" hidden="1" customWidth="1"/>
    <col min="25" max="25" width="32.85546875" hidden="1" customWidth="1"/>
    <col min="26" max="26" width="15.7109375" hidden="1" customWidth="1"/>
    <col min="27" max="27" width="44.85546875" hidden="1" customWidth="1"/>
    <col min="28" max="28" width="24.42578125" hidden="1" customWidth="1"/>
    <col min="29" max="29" width="22.42578125" hidden="1" customWidth="1"/>
    <col min="30" max="30" width="29.28515625" hidden="1" customWidth="1"/>
    <col min="31" max="31" width="28" hidden="1" customWidth="1"/>
    <col min="32" max="32" width="27.5703125" hidden="1" customWidth="1"/>
    <col min="33" max="33" width="31" hidden="1" customWidth="1"/>
    <col min="34" max="34" width="33.42578125" hidden="1" customWidth="1"/>
    <col min="35" max="35" width="12" customWidth="1"/>
  </cols>
  <sheetData>
    <row r="1" spans="1:34" ht="15" customHeight="1" x14ac:dyDescent="0.25">
      <c r="A1" s="73"/>
      <c r="B1" s="74"/>
      <c r="C1" s="74"/>
      <c r="D1" s="74"/>
      <c r="E1" s="209" t="s">
        <v>164</v>
      </c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  <c r="U1" s="210"/>
    </row>
    <row r="2" spans="1:34" ht="15" customHeight="1" x14ac:dyDescent="0.25">
      <c r="A2" s="75"/>
      <c r="B2" s="76"/>
      <c r="C2" s="76"/>
      <c r="D2" s="76"/>
      <c r="E2" s="209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10"/>
      <c r="R2" s="210"/>
      <c r="S2" s="210"/>
      <c r="T2" s="210"/>
      <c r="U2" s="210"/>
    </row>
    <row r="3" spans="1:34" ht="15" customHeight="1" x14ac:dyDescent="0.25">
      <c r="A3" s="75"/>
      <c r="B3" s="76"/>
      <c r="C3" s="76"/>
      <c r="D3" s="76"/>
      <c r="E3" s="209"/>
      <c r="F3" s="210"/>
      <c r="G3" s="210"/>
      <c r="H3" s="210"/>
      <c r="I3" s="210"/>
      <c r="J3" s="210"/>
      <c r="K3" s="210"/>
      <c r="L3" s="210"/>
      <c r="M3" s="210"/>
      <c r="N3" s="210"/>
      <c r="O3" s="210"/>
      <c r="P3" s="210"/>
      <c r="Q3" s="210"/>
      <c r="R3" s="210"/>
      <c r="S3" s="210"/>
      <c r="T3" s="210"/>
      <c r="U3" s="210"/>
    </row>
    <row r="4" spans="1:34" ht="15.75" customHeight="1" x14ac:dyDescent="0.25">
      <c r="A4" s="75"/>
      <c r="B4" s="76"/>
      <c r="C4" s="76"/>
      <c r="D4" s="76"/>
      <c r="E4" s="209"/>
      <c r="F4" s="210"/>
      <c r="G4" s="210"/>
      <c r="H4" s="210"/>
      <c r="I4" s="210"/>
      <c r="J4" s="210"/>
      <c r="K4" s="210"/>
      <c r="L4" s="210"/>
      <c r="M4" s="210"/>
      <c r="N4" s="210"/>
      <c r="O4" s="210"/>
      <c r="P4" s="210"/>
      <c r="Q4" s="210"/>
      <c r="R4" s="210"/>
      <c r="S4" s="210"/>
      <c r="T4" s="210"/>
      <c r="U4" s="210"/>
    </row>
    <row r="5" spans="1:34" ht="15" customHeight="1" x14ac:dyDescent="0.25">
      <c r="A5" s="75"/>
      <c r="B5" s="76"/>
      <c r="C5" s="76"/>
      <c r="D5" s="76"/>
      <c r="E5" s="209"/>
      <c r="F5" s="210"/>
      <c r="G5" s="210"/>
      <c r="H5" s="210"/>
      <c r="I5" s="210"/>
      <c r="J5" s="210"/>
      <c r="K5" s="210"/>
      <c r="L5" s="210"/>
      <c r="M5" s="210"/>
      <c r="N5" s="210"/>
      <c r="O5" s="210"/>
      <c r="P5" s="210"/>
      <c r="Q5" s="210"/>
      <c r="R5" s="210"/>
      <c r="S5" s="210"/>
      <c r="T5" s="210"/>
      <c r="U5" s="210"/>
    </row>
    <row r="6" spans="1:34" ht="21" customHeight="1" x14ac:dyDescent="0.25">
      <c r="A6" s="75"/>
      <c r="B6" s="76"/>
      <c r="C6" s="76"/>
      <c r="D6" s="76"/>
      <c r="E6" s="77"/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</row>
    <row r="7" spans="1:34" ht="42.75" customHeight="1" x14ac:dyDescent="0.5">
      <c r="A7" s="99" t="s">
        <v>53</v>
      </c>
      <c r="B7" s="99"/>
      <c r="C7" s="100"/>
      <c r="D7" s="93">
        <v>6</v>
      </c>
      <c r="E7" s="93"/>
      <c r="F7" s="101" t="s">
        <v>73</v>
      </c>
      <c r="G7" s="102"/>
      <c r="H7" s="102"/>
      <c r="I7" s="102"/>
      <c r="J7" s="103"/>
      <c r="K7" s="95">
        <v>45753</v>
      </c>
      <c r="L7" s="96"/>
      <c r="M7" s="96"/>
      <c r="N7" s="104" t="s">
        <v>140</v>
      </c>
      <c r="O7" s="105"/>
      <c r="P7" s="105"/>
      <c r="Q7" s="105"/>
      <c r="R7" s="106"/>
      <c r="S7" s="120">
        <f>SUM(AH11:AH35)</f>
        <v>34425.179999999993</v>
      </c>
      <c r="T7" s="121"/>
      <c r="U7" s="121"/>
      <c r="V7" s="64" t="s">
        <v>135</v>
      </c>
      <c r="W7" s="64"/>
      <c r="X7" s="64"/>
      <c r="Y7" s="64"/>
      <c r="Z7" s="64"/>
      <c r="AA7" s="64"/>
      <c r="AC7" s="64" t="s">
        <v>136</v>
      </c>
      <c r="AD7" s="64"/>
      <c r="AE7" s="64"/>
      <c r="AF7" s="64"/>
      <c r="AG7" s="64"/>
      <c r="AH7" s="64"/>
    </row>
    <row r="8" spans="1:34" x14ac:dyDescent="0.25">
      <c r="A8" s="94"/>
      <c r="B8" s="94"/>
      <c r="C8" s="94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64"/>
      <c r="W8" s="64"/>
      <c r="X8" s="64"/>
      <c r="Y8" s="64"/>
      <c r="Z8" s="64"/>
      <c r="AA8" s="64"/>
      <c r="AC8" s="64"/>
      <c r="AD8" s="64"/>
      <c r="AE8" s="64"/>
      <c r="AF8" s="64"/>
      <c r="AG8" s="64"/>
      <c r="AH8" s="64"/>
    </row>
    <row r="9" spans="1:34" ht="15" customHeight="1" x14ac:dyDescent="0.25">
      <c r="A9" s="214" t="s">
        <v>163</v>
      </c>
      <c r="B9" s="69" t="s">
        <v>66</v>
      </c>
      <c r="C9" s="69"/>
      <c r="D9" s="69"/>
      <c r="E9" s="69"/>
      <c r="F9" s="69" t="s">
        <v>88</v>
      </c>
      <c r="G9" s="69"/>
      <c r="H9" s="69" t="s">
        <v>70</v>
      </c>
      <c r="I9" s="69"/>
      <c r="J9" s="69" t="s">
        <v>122</v>
      </c>
      <c r="K9" s="69"/>
      <c r="L9" s="69" t="s">
        <v>71</v>
      </c>
      <c r="M9" s="69"/>
      <c r="N9" s="69" t="s">
        <v>123</v>
      </c>
      <c r="O9" s="69"/>
      <c r="P9" s="69" t="s">
        <v>124</v>
      </c>
      <c r="Q9" s="69"/>
      <c r="R9" s="69" t="s">
        <v>128</v>
      </c>
      <c r="S9" s="91" t="s">
        <v>134</v>
      </c>
      <c r="T9" s="69" t="s">
        <v>172</v>
      </c>
      <c r="U9" s="107"/>
      <c r="V9" s="65" t="str">
        <f>(H9)</f>
        <v>PRODHIGI</v>
      </c>
      <c r="W9" s="65" t="str">
        <f>(J9)</f>
        <v>PRIME</v>
      </c>
      <c r="X9" s="65" t="str">
        <f>(L9)</f>
        <v>GAMA</v>
      </c>
      <c r="Y9" s="65" t="str">
        <f>(N9)</f>
        <v>NOVA EMBALAGENS</v>
      </c>
      <c r="Z9" s="65" t="str">
        <f>(P9)</f>
        <v>MAGSAC</v>
      </c>
      <c r="AA9" s="65" t="s">
        <v>128</v>
      </c>
      <c r="AC9" s="65" t="str">
        <f>V9</f>
        <v>PRODHIGI</v>
      </c>
      <c r="AD9" s="65" t="str">
        <f>W9</f>
        <v>PRIME</v>
      </c>
      <c r="AE9" s="65" t="str">
        <f>X9</f>
        <v>GAMA</v>
      </c>
      <c r="AF9" s="65" t="str">
        <f>Y9</f>
        <v>NOVA EMBALAGENS</v>
      </c>
      <c r="AG9" s="65" t="str">
        <f>Z9</f>
        <v>MAGSAC</v>
      </c>
      <c r="AH9" s="65" t="s">
        <v>128</v>
      </c>
    </row>
    <row r="10" spans="1:34" ht="15" customHeight="1" x14ac:dyDescent="0.25">
      <c r="A10" s="214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91"/>
      <c r="T10" s="69"/>
      <c r="U10" s="107"/>
      <c r="V10" s="65"/>
      <c r="W10" s="65"/>
      <c r="X10" s="65"/>
      <c r="Y10" s="65"/>
      <c r="Z10" s="65"/>
      <c r="AA10" s="65"/>
      <c r="AC10" s="65"/>
      <c r="AD10" s="65"/>
      <c r="AE10" s="65"/>
      <c r="AF10" s="65"/>
      <c r="AG10" s="65"/>
      <c r="AH10" s="65"/>
    </row>
    <row r="11" spans="1:34" ht="24.95" customHeight="1" x14ac:dyDescent="0.3">
      <c r="A11" s="13">
        <v>1</v>
      </c>
      <c r="B11" s="79" t="s">
        <v>79</v>
      </c>
      <c r="C11" s="79"/>
      <c r="D11" s="79"/>
      <c r="E11" s="79"/>
      <c r="F11" s="7">
        <v>200</v>
      </c>
      <c r="G11" s="8" t="s">
        <v>69</v>
      </c>
      <c r="H11" s="97">
        <v>0.1603</v>
      </c>
      <c r="I11" s="98"/>
      <c r="J11" s="62"/>
      <c r="K11" s="62"/>
      <c r="L11" s="62"/>
      <c r="M11" s="62"/>
      <c r="N11" s="62"/>
      <c r="O11" s="62"/>
      <c r="P11" s="62"/>
      <c r="Q11" s="62"/>
      <c r="R11" s="17">
        <f>MIN(H11:Q11)</f>
        <v>0.1603</v>
      </c>
      <c r="S11" s="17">
        <f>MIN(V11:Z11)</f>
        <v>1.1602999999999999</v>
      </c>
      <c r="T11" s="67" t="str">
        <f>IF(AA11=V11,$V$9,IF(AA11=W11,$W$9,IF(AA11=X11,$X$9,IF(AA11=Y11,$Y$9,IF(AA11=Z11,$Z$9,"Sem Cotação")))))</f>
        <v>PRODHIGI</v>
      </c>
      <c r="U11" s="68"/>
      <c r="V11" s="20">
        <f>IF(H11&lt;&gt;"",H11+(H11*H69)+(H40/F40))</f>
        <v>1.1602999999999999</v>
      </c>
      <c r="W11" s="20" t="b">
        <f t="shared" ref="W11:W35" si="0">IF(J11&lt;&gt;"",J11+(J11*J69)+(J40/F40))</f>
        <v>0</v>
      </c>
      <c r="X11" s="20" t="b">
        <f t="shared" ref="X11:X35" si="1">IF(L11&lt;&gt;"",L11+(L11*L69)+(L40/F40))</f>
        <v>0</v>
      </c>
      <c r="Y11" s="20" t="b">
        <f t="shared" ref="Y11:Y35" si="2">IF(N11&lt;&gt;"",N11+(N11*N69)+(N40/F40))</f>
        <v>0</v>
      </c>
      <c r="Z11" s="20" t="b">
        <f t="shared" ref="Z11:Z35" si="3">IF(P11&lt;&gt;"",P11+(P11*P69)+(P40/F40))</f>
        <v>0</v>
      </c>
      <c r="AA11" s="20">
        <f>MIN(V11:Z11)</f>
        <v>1.1602999999999999</v>
      </c>
      <c r="AC11" s="20">
        <f>IF(H11&lt;&gt;"",(H11*F11+((H11*F11)*H69)+(H40)))</f>
        <v>232.06</v>
      </c>
      <c r="AD11" s="20" t="b">
        <f t="shared" ref="AD11:AD35" si="4">IF(J11&lt;&gt;"",(J11*F11+((J11*F11)*J69)+(J40)))</f>
        <v>0</v>
      </c>
      <c r="AE11" s="20" t="b">
        <f t="shared" ref="AE11:AE35" si="5">IF(L11&lt;&gt;"",(L11*F11+((L11*F11)*L69)+(L40)))</f>
        <v>0</v>
      </c>
      <c r="AF11" s="20" t="b">
        <f t="shared" ref="AF11:AF35" si="6">IF(N11&lt;&gt;"",(N11*F11+((N11*F11)*N69)+(N40)))</f>
        <v>0</v>
      </c>
      <c r="AG11" s="20" t="b">
        <f t="shared" ref="AG11:AG35" si="7">IF(P11&lt;&gt;"",(P11*F11+((P11*F11)*P69)+(P40)))</f>
        <v>0</v>
      </c>
      <c r="AH11" s="20">
        <f>MIN(AC11:AG11)</f>
        <v>232.06</v>
      </c>
    </row>
    <row r="12" spans="1:34" ht="24.95" customHeight="1" x14ac:dyDescent="0.3">
      <c r="A12" s="13">
        <v>2</v>
      </c>
      <c r="B12" s="79" t="s">
        <v>80</v>
      </c>
      <c r="C12" s="79"/>
      <c r="D12" s="79"/>
      <c r="E12" s="79"/>
      <c r="F12" s="7">
        <v>200</v>
      </c>
      <c r="G12" s="8" t="s">
        <v>69</v>
      </c>
      <c r="H12" s="97">
        <v>0.2283</v>
      </c>
      <c r="I12" s="98"/>
      <c r="J12" s="62"/>
      <c r="K12" s="62"/>
      <c r="L12" s="62"/>
      <c r="M12" s="62"/>
      <c r="N12" s="62"/>
      <c r="O12" s="62"/>
      <c r="P12" s="62"/>
      <c r="Q12" s="62"/>
      <c r="R12" s="17">
        <f t="shared" ref="R12:R22" si="8">MIN(H12:Q12)</f>
        <v>0.2283</v>
      </c>
      <c r="S12" s="17">
        <f t="shared" ref="S12:S35" si="9">MIN(V12:Z12)</f>
        <v>0.2283</v>
      </c>
      <c r="T12" s="67" t="str">
        <f t="shared" ref="T12:T25" si="10">IF(AA12=V12,$V$9,IF(AA12=W12,$W$9,IF(AA12=X12,$X$9,IF(AA12=Y12,$Y$9,IF(AA12=Z12,$Z$9,"Sem Cotação")))))</f>
        <v>PRODHIGI</v>
      </c>
      <c r="U12" s="68"/>
      <c r="V12" s="20">
        <f t="shared" ref="V12:V35" si="11">IF(H12&lt;&gt;"",H12+(H12*H70)+(H41/F41))</f>
        <v>0.2283</v>
      </c>
      <c r="W12" s="20" t="b">
        <f t="shared" si="0"/>
        <v>0</v>
      </c>
      <c r="X12" s="20" t="b">
        <f t="shared" si="1"/>
        <v>0</v>
      </c>
      <c r="Y12" s="20" t="b">
        <f t="shared" si="2"/>
        <v>0</v>
      </c>
      <c r="Z12" s="20" t="b">
        <f t="shared" si="3"/>
        <v>0</v>
      </c>
      <c r="AA12" s="20">
        <f t="shared" ref="AA12:AA35" si="12">MIN(V12:Z12)</f>
        <v>0.2283</v>
      </c>
      <c r="AC12" s="20">
        <f t="shared" ref="AC12:AC35" si="13">IF(H12&lt;&gt;"",(H12*F12+((H12*F12)*H70)+(H41)))</f>
        <v>45.660000000000004</v>
      </c>
      <c r="AD12" s="20" t="b">
        <f t="shared" si="4"/>
        <v>0</v>
      </c>
      <c r="AE12" s="20" t="b">
        <f t="shared" si="5"/>
        <v>0</v>
      </c>
      <c r="AF12" s="20" t="b">
        <f t="shared" si="6"/>
        <v>0</v>
      </c>
      <c r="AG12" s="20" t="b">
        <f t="shared" si="7"/>
        <v>0</v>
      </c>
      <c r="AH12" s="20">
        <f t="shared" ref="AH12:AH35" si="14">MIN(AC12:AG12)</f>
        <v>45.660000000000004</v>
      </c>
    </row>
    <row r="13" spans="1:34" ht="24.95" customHeight="1" x14ac:dyDescent="0.3">
      <c r="A13" s="13">
        <v>3</v>
      </c>
      <c r="B13" s="79" t="s">
        <v>81</v>
      </c>
      <c r="C13" s="79"/>
      <c r="D13" s="79"/>
      <c r="E13" s="79"/>
      <c r="F13" s="7">
        <v>200</v>
      </c>
      <c r="G13" s="8" t="s">
        <v>67</v>
      </c>
      <c r="H13" s="97">
        <v>11.778</v>
      </c>
      <c r="I13" s="98"/>
      <c r="J13" s="62"/>
      <c r="K13" s="62"/>
      <c r="L13" s="62"/>
      <c r="M13" s="62"/>
      <c r="N13" s="62"/>
      <c r="O13" s="62"/>
      <c r="P13" s="62"/>
      <c r="Q13" s="62"/>
      <c r="R13" s="17">
        <f t="shared" si="8"/>
        <v>11.778</v>
      </c>
      <c r="S13" s="17">
        <f t="shared" si="9"/>
        <v>11.778</v>
      </c>
      <c r="T13" s="67" t="str">
        <f t="shared" si="10"/>
        <v>PRODHIGI</v>
      </c>
      <c r="U13" s="68"/>
      <c r="V13" s="20">
        <f t="shared" si="11"/>
        <v>11.778</v>
      </c>
      <c r="W13" s="20" t="b">
        <f t="shared" si="0"/>
        <v>0</v>
      </c>
      <c r="X13" s="20" t="b">
        <f t="shared" si="1"/>
        <v>0</v>
      </c>
      <c r="Y13" s="20" t="b">
        <f t="shared" si="2"/>
        <v>0</v>
      </c>
      <c r="Z13" s="20" t="b">
        <f t="shared" si="3"/>
        <v>0</v>
      </c>
      <c r="AA13" s="20">
        <f t="shared" si="12"/>
        <v>11.778</v>
      </c>
      <c r="AC13" s="20">
        <f t="shared" si="13"/>
        <v>2355.6</v>
      </c>
      <c r="AD13" s="20" t="b">
        <f t="shared" si="4"/>
        <v>0</v>
      </c>
      <c r="AE13" s="20" t="b">
        <f t="shared" si="5"/>
        <v>0</v>
      </c>
      <c r="AF13" s="20" t="b">
        <f t="shared" si="6"/>
        <v>0</v>
      </c>
      <c r="AG13" s="20" t="b">
        <f t="shared" si="7"/>
        <v>0</v>
      </c>
      <c r="AH13" s="20">
        <f t="shared" si="14"/>
        <v>2355.6</v>
      </c>
    </row>
    <row r="14" spans="1:34" ht="24.95" customHeight="1" x14ac:dyDescent="0.3">
      <c r="A14" s="13">
        <v>4</v>
      </c>
      <c r="B14" s="79" t="s">
        <v>84</v>
      </c>
      <c r="C14" s="79"/>
      <c r="D14" s="79"/>
      <c r="E14" s="79"/>
      <c r="F14" s="7">
        <v>200</v>
      </c>
      <c r="G14" s="8" t="s">
        <v>67</v>
      </c>
      <c r="H14" s="97">
        <v>7.3083999999999998</v>
      </c>
      <c r="I14" s="98"/>
      <c r="J14" s="62"/>
      <c r="K14" s="62"/>
      <c r="L14" s="62"/>
      <c r="M14" s="62"/>
      <c r="N14" s="62"/>
      <c r="O14" s="62"/>
      <c r="P14" s="62"/>
      <c r="Q14" s="62"/>
      <c r="R14" s="17">
        <f t="shared" si="8"/>
        <v>7.3083999999999998</v>
      </c>
      <c r="S14" s="17">
        <f t="shared" si="9"/>
        <v>7.3083999999999998</v>
      </c>
      <c r="T14" s="67" t="str">
        <f t="shared" si="10"/>
        <v>PRODHIGI</v>
      </c>
      <c r="U14" s="68"/>
      <c r="V14" s="20">
        <f t="shared" si="11"/>
        <v>7.3083999999999998</v>
      </c>
      <c r="W14" s="20" t="b">
        <f t="shared" si="0"/>
        <v>0</v>
      </c>
      <c r="X14" s="20" t="b">
        <f t="shared" si="1"/>
        <v>0</v>
      </c>
      <c r="Y14" s="20" t="b">
        <f t="shared" si="2"/>
        <v>0</v>
      </c>
      <c r="Z14" s="20" t="b">
        <f t="shared" si="3"/>
        <v>0</v>
      </c>
      <c r="AA14" s="20">
        <f t="shared" si="12"/>
        <v>7.3083999999999998</v>
      </c>
      <c r="AC14" s="20">
        <f t="shared" si="13"/>
        <v>1461.68</v>
      </c>
      <c r="AD14" s="20" t="b">
        <f t="shared" si="4"/>
        <v>0</v>
      </c>
      <c r="AE14" s="20" t="b">
        <f t="shared" si="5"/>
        <v>0</v>
      </c>
      <c r="AF14" s="20" t="b">
        <f t="shared" si="6"/>
        <v>0</v>
      </c>
      <c r="AG14" s="20" t="b">
        <f t="shared" si="7"/>
        <v>0</v>
      </c>
      <c r="AH14" s="20">
        <f t="shared" si="14"/>
        <v>1461.68</v>
      </c>
    </row>
    <row r="15" spans="1:34" ht="24.95" customHeight="1" x14ac:dyDescent="0.3">
      <c r="A15" s="13">
        <v>5</v>
      </c>
      <c r="B15" s="79" t="s">
        <v>82</v>
      </c>
      <c r="C15" s="79"/>
      <c r="D15" s="79"/>
      <c r="E15" s="79"/>
      <c r="F15" s="7">
        <v>200</v>
      </c>
      <c r="G15" s="8" t="s">
        <v>67</v>
      </c>
      <c r="H15" s="97">
        <v>58.43</v>
      </c>
      <c r="I15" s="98"/>
      <c r="J15" s="62"/>
      <c r="K15" s="62"/>
      <c r="L15" s="62"/>
      <c r="M15" s="62"/>
      <c r="N15" s="62"/>
      <c r="O15" s="62"/>
      <c r="P15" s="62"/>
      <c r="Q15" s="62"/>
      <c r="R15" s="17">
        <f t="shared" si="8"/>
        <v>58.43</v>
      </c>
      <c r="S15" s="17">
        <f t="shared" si="9"/>
        <v>58.43</v>
      </c>
      <c r="T15" s="67" t="str">
        <f t="shared" si="10"/>
        <v>PRODHIGI</v>
      </c>
      <c r="U15" s="68"/>
      <c r="V15" s="20">
        <f t="shared" si="11"/>
        <v>58.43</v>
      </c>
      <c r="W15" s="20" t="b">
        <f t="shared" si="0"/>
        <v>0</v>
      </c>
      <c r="X15" s="20" t="b">
        <f t="shared" si="1"/>
        <v>0</v>
      </c>
      <c r="Y15" s="20" t="b">
        <f t="shared" si="2"/>
        <v>0</v>
      </c>
      <c r="Z15" s="20" t="b">
        <f t="shared" si="3"/>
        <v>0</v>
      </c>
      <c r="AA15" s="20">
        <f t="shared" si="12"/>
        <v>58.43</v>
      </c>
      <c r="AC15" s="20">
        <f t="shared" si="13"/>
        <v>11686</v>
      </c>
      <c r="AD15" s="20" t="b">
        <f t="shared" si="4"/>
        <v>0</v>
      </c>
      <c r="AE15" s="20" t="b">
        <f t="shared" si="5"/>
        <v>0</v>
      </c>
      <c r="AF15" s="20" t="b">
        <f t="shared" si="6"/>
        <v>0</v>
      </c>
      <c r="AG15" s="20" t="b">
        <f t="shared" si="7"/>
        <v>0</v>
      </c>
      <c r="AH15" s="20">
        <f t="shared" si="14"/>
        <v>11686</v>
      </c>
    </row>
    <row r="16" spans="1:34" ht="24.95" customHeight="1" x14ac:dyDescent="0.3">
      <c r="A16" s="13">
        <v>6</v>
      </c>
      <c r="B16" s="79" t="s">
        <v>83</v>
      </c>
      <c r="C16" s="79"/>
      <c r="D16" s="79"/>
      <c r="E16" s="79"/>
      <c r="F16" s="7">
        <v>200</v>
      </c>
      <c r="G16" s="8" t="s">
        <v>69</v>
      </c>
      <c r="H16" s="97">
        <v>8.33</v>
      </c>
      <c r="I16" s="98"/>
      <c r="J16" s="62"/>
      <c r="K16" s="62"/>
      <c r="L16" s="62"/>
      <c r="M16" s="62"/>
      <c r="N16" s="62"/>
      <c r="O16" s="62"/>
      <c r="P16" s="62"/>
      <c r="Q16" s="62"/>
      <c r="R16" s="17">
        <f t="shared" si="8"/>
        <v>8.33</v>
      </c>
      <c r="S16" s="17">
        <f t="shared" si="9"/>
        <v>8.33</v>
      </c>
      <c r="T16" s="67" t="str">
        <f t="shared" si="10"/>
        <v>PRODHIGI</v>
      </c>
      <c r="U16" s="68"/>
      <c r="V16" s="20">
        <f t="shared" si="11"/>
        <v>8.33</v>
      </c>
      <c r="W16" s="20" t="b">
        <f t="shared" si="0"/>
        <v>0</v>
      </c>
      <c r="X16" s="20" t="b">
        <f t="shared" si="1"/>
        <v>0</v>
      </c>
      <c r="Y16" s="20" t="b">
        <f t="shared" si="2"/>
        <v>0</v>
      </c>
      <c r="Z16" s="20" t="b">
        <f t="shared" si="3"/>
        <v>0</v>
      </c>
      <c r="AA16" s="20">
        <f t="shared" si="12"/>
        <v>8.33</v>
      </c>
      <c r="AC16" s="20">
        <f t="shared" si="13"/>
        <v>1666</v>
      </c>
      <c r="AD16" s="20" t="b">
        <f t="shared" si="4"/>
        <v>0</v>
      </c>
      <c r="AE16" s="20" t="b">
        <f t="shared" si="5"/>
        <v>0</v>
      </c>
      <c r="AF16" s="20" t="b">
        <f t="shared" si="6"/>
        <v>0</v>
      </c>
      <c r="AG16" s="20" t="b">
        <f t="shared" si="7"/>
        <v>0</v>
      </c>
      <c r="AH16" s="20">
        <f t="shared" si="14"/>
        <v>1666</v>
      </c>
    </row>
    <row r="17" spans="1:34" ht="24.95" customHeight="1" x14ac:dyDescent="0.3">
      <c r="A17" s="13">
        <v>7</v>
      </c>
      <c r="B17" s="79" t="s">
        <v>107</v>
      </c>
      <c r="C17" s="79"/>
      <c r="D17" s="79"/>
      <c r="E17" s="79"/>
      <c r="F17" s="7">
        <v>200</v>
      </c>
      <c r="G17" s="8" t="s">
        <v>67</v>
      </c>
      <c r="H17" s="97">
        <v>14.61</v>
      </c>
      <c r="I17" s="98"/>
      <c r="J17" s="62"/>
      <c r="K17" s="62"/>
      <c r="L17" s="62"/>
      <c r="M17" s="62"/>
      <c r="N17" s="62"/>
      <c r="O17" s="62"/>
      <c r="P17" s="62"/>
      <c r="Q17" s="62"/>
      <c r="R17" s="17">
        <f t="shared" si="8"/>
        <v>14.61</v>
      </c>
      <c r="S17" s="17">
        <f t="shared" si="9"/>
        <v>14.61</v>
      </c>
      <c r="T17" s="67" t="str">
        <f t="shared" si="10"/>
        <v>PRODHIGI</v>
      </c>
      <c r="U17" s="68"/>
      <c r="V17" s="20">
        <f t="shared" si="11"/>
        <v>14.61</v>
      </c>
      <c r="W17" s="20" t="b">
        <f t="shared" si="0"/>
        <v>0</v>
      </c>
      <c r="X17" s="20" t="b">
        <f t="shared" si="1"/>
        <v>0</v>
      </c>
      <c r="Y17" s="20" t="b">
        <f t="shared" si="2"/>
        <v>0</v>
      </c>
      <c r="Z17" s="20" t="b">
        <f t="shared" si="3"/>
        <v>0</v>
      </c>
      <c r="AA17" s="20">
        <f t="shared" si="12"/>
        <v>14.61</v>
      </c>
      <c r="AC17" s="20">
        <f t="shared" si="13"/>
        <v>2922</v>
      </c>
      <c r="AD17" s="20" t="b">
        <f t="shared" si="4"/>
        <v>0</v>
      </c>
      <c r="AE17" s="20" t="b">
        <f t="shared" si="5"/>
        <v>0</v>
      </c>
      <c r="AF17" s="20" t="b">
        <f t="shared" si="6"/>
        <v>0</v>
      </c>
      <c r="AG17" s="20" t="b">
        <f t="shared" si="7"/>
        <v>0</v>
      </c>
      <c r="AH17" s="20">
        <f t="shared" si="14"/>
        <v>2922</v>
      </c>
    </row>
    <row r="18" spans="1:34" ht="24.95" customHeight="1" x14ac:dyDescent="0.3">
      <c r="A18" s="13">
        <v>8</v>
      </c>
      <c r="B18" s="79" t="s">
        <v>85</v>
      </c>
      <c r="C18" s="79"/>
      <c r="D18" s="79"/>
      <c r="E18" s="79"/>
      <c r="F18" s="7"/>
      <c r="G18" s="8" t="s">
        <v>61</v>
      </c>
      <c r="H18" s="97"/>
      <c r="I18" s="98"/>
      <c r="J18" s="62"/>
      <c r="K18" s="62"/>
      <c r="L18" s="62"/>
      <c r="M18" s="62"/>
      <c r="N18" s="62"/>
      <c r="O18" s="62"/>
      <c r="P18" s="62"/>
      <c r="Q18" s="62"/>
      <c r="R18" s="17">
        <f t="shared" si="8"/>
        <v>0</v>
      </c>
      <c r="S18" s="17">
        <f t="shared" si="9"/>
        <v>0</v>
      </c>
      <c r="T18" s="67" t="str">
        <f t="shared" si="10"/>
        <v>Sem Cotação</v>
      </c>
      <c r="U18" s="68"/>
      <c r="V18" s="20" t="b">
        <f t="shared" si="11"/>
        <v>0</v>
      </c>
      <c r="W18" s="20" t="b">
        <f t="shared" si="0"/>
        <v>0</v>
      </c>
      <c r="X18" s="20" t="b">
        <f t="shared" si="1"/>
        <v>0</v>
      </c>
      <c r="Y18" s="20" t="b">
        <f t="shared" si="2"/>
        <v>0</v>
      </c>
      <c r="Z18" s="20" t="b">
        <f t="shared" si="3"/>
        <v>0</v>
      </c>
      <c r="AA18" s="20">
        <f t="shared" si="12"/>
        <v>0</v>
      </c>
      <c r="AC18" s="20" t="b">
        <f t="shared" si="13"/>
        <v>0</v>
      </c>
      <c r="AD18" s="20" t="b">
        <f t="shared" si="4"/>
        <v>0</v>
      </c>
      <c r="AE18" s="20" t="b">
        <f t="shared" si="5"/>
        <v>0</v>
      </c>
      <c r="AF18" s="20" t="b">
        <f t="shared" si="6"/>
        <v>0</v>
      </c>
      <c r="AG18" s="20" t="b">
        <f t="shared" si="7"/>
        <v>0</v>
      </c>
      <c r="AH18" s="20">
        <f t="shared" si="14"/>
        <v>0</v>
      </c>
    </row>
    <row r="19" spans="1:34" ht="24.95" customHeight="1" x14ac:dyDescent="0.3">
      <c r="A19" s="13">
        <v>9</v>
      </c>
      <c r="B19" s="79" t="s">
        <v>86</v>
      </c>
      <c r="C19" s="79"/>
      <c r="D19" s="79"/>
      <c r="E19" s="79"/>
      <c r="F19" s="7"/>
      <c r="G19" s="8" t="s">
        <v>61</v>
      </c>
      <c r="H19" s="97"/>
      <c r="I19" s="98"/>
      <c r="J19" s="62"/>
      <c r="K19" s="62"/>
      <c r="L19" s="62"/>
      <c r="M19" s="62"/>
      <c r="N19" s="62"/>
      <c r="O19" s="62"/>
      <c r="P19" s="62"/>
      <c r="Q19" s="62"/>
      <c r="R19" s="17">
        <f t="shared" si="8"/>
        <v>0</v>
      </c>
      <c r="S19" s="17">
        <f t="shared" si="9"/>
        <v>0</v>
      </c>
      <c r="T19" s="67" t="str">
        <f t="shared" si="10"/>
        <v>Sem Cotação</v>
      </c>
      <c r="U19" s="68"/>
      <c r="V19" s="20" t="b">
        <f t="shared" si="11"/>
        <v>0</v>
      </c>
      <c r="W19" s="20" t="b">
        <f t="shared" si="0"/>
        <v>0</v>
      </c>
      <c r="X19" s="20" t="b">
        <f t="shared" si="1"/>
        <v>0</v>
      </c>
      <c r="Y19" s="20" t="b">
        <f t="shared" si="2"/>
        <v>0</v>
      </c>
      <c r="Z19" s="20" t="b">
        <f t="shared" si="3"/>
        <v>0</v>
      </c>
      <c r="AA19" s="20">
        <f t="shared" si="12"/>
        <v>0</v>
      </c>
      <c r="AC19" s="20" t="b">
        <f t="shared" si="13"/>
        <v>0</v>
      </c>
      <c r="AD19" s="20" t="b">
        <f t="shared" si="4"/>
        <v>0</v>
      </c>
      <c r="AE19" s="20" t="b">
        <f t="shared" si="5"/>
        <v>0</v>
      </c>
      <c r="AF19" s="20" t="b">
        <f t="shared" si="6"/>
        <v>0</v>
      </c>
      <c r="AG19" s="20" t="b">
        <f t="shared" si="7"/>
        <v>0</v>
      </c>
      <c r="AH19" s="20">
        <f t="shared" si="14"/>
        <v>0</v>
      </c>
    </row>
    <row r="20" spans="1:34" ht="24.95" customHeight="1" x14ac:dyDescent="0.3">
      <c r="A20" s="13">
        <v>10</v>
      </c>
      <c r="B20" s="79" t="s">
        <v>87</v>
      </c>
      <c r="C20" s="79"/>
      <c r="D20" s="79"/>
      <c r="E20" s="79"/>
      <c r="F20" s="7">
        <v>200</v>
      </c>
      <c r="G20" s="8" t="s">
        <v>67</v>
      </c>
      <c r="H20" s="97">
        <v>18.5</v>
      </c>
      <c r="I20" s="98"/>
      <c r="J20" s="62"/>
      <c r="K20" s="62"/>
      <c r="L20" s="62"/>
      <c r="M20" s="62"/>
      <c r="N20" s="62"/>
      <c r="O20" s="62"/>
      <c r="P20" s="62"/>
      <c r="Q20" s="62"/>
      <c r="R20" s="17">
        <f t="shared" si="8"/>
        <v>18.5</v>
      </c>
      <c r="S20" s="17">
        <f t="shared" si="9"/>
        <v>18.5</v>
      </c>
      <c r="T20" s="67" t="str">
        <f t="shared" si="10"/>
        <v>PRODHIGI</v>
      </c>
      <c r="U20" s="68"/>
      <c r="V20" s="20">
        <f t="shared" si="11"/>
        <v>18.5</v>
      </c>
      <c r="W20" s="20" t="b">
        <f t="shared" si="0"/>
        <v>0</v>
      </c>
      <c r="X20" s="20" t="b">
        <f t="shared" si="1"/>
        <v>0</v>
      </c>
      <c r="Y20" s="20" t="b">
        <f t="shared" si="2"/>
        <v>0</v>
      </c>
      <c r="Z20" s="20" t="b">
        <f t="shared" si="3"/>
        <v>0</v>
      </c>
      <c r="AA20" s="20">
        <f t="shared" si="12"/>
        <v>18.5</v>
      </c>
      <c r="AC20" s="20">
        <f t="shared" si="13"/>
        <v>3700</v>
      </c>
      <c r="AD20" s="20" t="b">
        <f t="shared" si="4"/>
        <v>0</v>
      </c>
      <c r="AE20" s="20" t="b">
        <f t="shared" si="5"/>
        <v>0</v>
      </c>
      <c r="AF20" s="20" t="b">
        <f t="shared" si="6"/>
        <v>0</v>
      </c>
      <c r="AG20" s="20" t="b">
        <f t="shared" si="7"/>
        <v>0</v>
      </c>
      <c r="AH20" s="20">
        <f t="shared" si="14"/>
        <v>3700</v>
      </c>
    </row>
    <row r="21" spans="1:34" ht="24.95" customHeight="1" x14ac:dyDescent="0.3">
      <c r="A21" s="13">
        <v>11</v>
      </c>
      <c r="B21" s="79" t="s">
        <v>130</v>
      </c>
      <c r="C21" s="79"/>
      <c r="D21" s="79"/>
      <c r="E21" s="79"/>
      <c r="F21" s="7">
        <v>200</v>
      </c>
      <c r="G21" s="8" t="s">
        <v>67</v>
      </c>
      <c r="H21" s="62">
        <v>16.04</v>
      </c>
      <c r="I21" s="62"/>
      <c r="J21" s="62"/>
      <c r="K21" s="62"/>
      <c r="L21" s="62"/>
      <c r="M21" s="62"/>
      <c r="N21" s="62"/>
      <c r="O21" s="62"/>
      <c r="P21" s="62"/>
      <c r="Q21" s="62"/>
      <c r="R21" s="17">
        <f t="shared" si="8"/>
        <v>16.04</v>
      </c>
      <c r="S21" s="17">
        <f t="shared" si="9"/>
        <v>16.04</v>
      </c>
      <c r="T21" s="67" t="str">
        <f t="shared" si="10"/>
        <v>PRODHIGI</v>
      </c>
      <c r="U21" s="68"/>
      <c r="V21" s="20">
        <f t="shared" si="11"/>
        <v>16.04</v>
      </c>
      <c r="W21" s="20" t="b">
        <f t="shared" si="0"/>
        <v>0</v>
      </c>
      <c r="X21" s="20" t="b">
        <f t="shared" si="1"/>
        <v>0</v>
      </c>
      <c r="Y21" s="20" t="b">
        <f t="shared" si="2"/>
        <v>0</v>
      </c>
      <c r="Z21" s="20" t="b">
        <f t="shared" si="3"/>
        <v>0</v>
      </c>
      <c r="AA21" s="20">
        <f t="shared" si="12"/>
        <v>16.04</v>
      </c>
      <c r="AC21" s="20">
        <f t="shared" si="13"/>
        <v>3208</v>
      </c>
      <c r="AD21" s="20" t="b">
        <f t="shared" si="4"/>
        <v>0</v>
      </c>
      <c r="AE21" s="20" t="b">
        <f t="shared" si="5"/>
        <v>0</v>
      </c>
      <c r="AF21" s="20" t="b">
        <f t="shared" si="6"/>
        <v>0</v>
      </c>
      <c r="AG21" s="20" t="b">
        <f t="shared" si="7"/>
        <v>0</v>
      </c>
      <c r="AH21" s="20">
        <f t="shared" si="14"/>
        <v>3208</v>
      </c>
    </row>
    <row r="22" spans="1:34" ht="24.95" customHeight="1" x14ac:dyDescent="0.3">
      <c r="A22" s="13">
        <v>12</v>
      </c>
      <c r="B22" s="79" t="s">
        <v>131</v>
      </c>
      <c r="C22" s="79"/>
      <c r="D22" s="79"/>
      <c r="E22" s="79"/>
      <c r="F22" s="7">
        <v>200</v>
      </c>
      <c r="G22" s="8" t="s">
        <v>67</v>
      </c>
      <c r="H22" s="97">
        <v>16.03</v>
      </c>
      <c r="I22" s="98"/>
      <c r="J22" s="62"/>
      <c r="K22" s="62"/>
      <c r="L22" s="62"/>
      <c r="M22" s="62"/>
      <c r="N22" s="62"/>
      <c r="O22" s="62"/>
      <c r="P22" s="62"/>
      <c r="Q22" s="62"/>
      <c r="R22" s="17">
        <f t="shared" si="8"/>
        <v>16.03</v>
      </c>
      <c r="S22" s="17">
        <f t="shared" si="9"/>
        <v>16.03</v>
      </c>
      <c r="T22" s="67" t="str">
        <f t="shared" si="10"/>
        <v>PRODHIGI</v>
      </c>
      <c r="U22" s="68"/>
      <c r="V22" s="20">
        <f t="shared" si="11"/>
        <v>16.03</v>
      </c>
      <c r="W22" s="20" t="b">
        <f t="shared" si="0"/>
        <v>0</v>
      </c>
      <c r="X22" s="20" t="b">
        <f t="shared" si="1"/>
        <v>0</v>
      </c>
      <c r="Y22" s="20" t="b">
        <f t="shared" si="2"/>
        <v>0</v>
      </c>
      <c r="Z22" s="20" t="b">
        <f t="shared" si="3"/>
        <v>0</v>
      </c>
      <c r="AA22" s="20">
        <f t="shared" si="12"/>
        <v>16.03</v>
      </c>
      <c r="AC22" s="20">
        <f t="shared" si="13"/>
        <v>3206</v>
      </c>
      <c r="AD22" s="20" t="b">
        <f t="shared" si="4"/>
        <v>0</v>
      </c>
      <c r="AE22" s="20" t="b">
        <f t="shared" si="5"/>
        <v>0</v>
      </c>
      <c r="AF22" s="20" t="b">
        <f t="shared" si="6"/>
        <v>0</v>
      </c>
      <c r="AG22" s="20" t="b">
        <f t="shared" si="7"/>
        <v>0</v>
      </c>
      <c r="AH22" s="20">
        <f t="shared" si="14"/>
        <v>3206</v>
      </c>
    </row>
    <row r="23" spans="1:34" ht="24.95" customHeight="1" x14ac:dyDescent="0.3">
      <c r="A23" s="13">
        <v>13</v>
      </c>
      <c r="B23" s="79" t="s">
        <v>132</v>
      </c>
      <c r="C23" s="79"/>
      <c r="D23" s="79"/>
      <c r="E23" s="79"/>
      <c r="F23" s="7">
        <v>200</v>
      </c>
      <c r="G23" s="8" t="s">
        <v>67</v>
      </c>
      <c r="H23" s="97">
        <v>16.03</v>
      </c>
      <c r="I23" s="98"/>
      <c r="J23" s="62"/>
      <c r="K23" s="62"/>
      <c r="L23" s="62"/>
      <c r="M23" s="62"/>
      <c r="N23" s="62"/>
      <c r="O23" s="62"/>
      <c r="P23" s="62"/>
      <c r="Q23" s="62"/>
      <c r="R23" s="17">
        <f>MIN(H23:Q23)</f>
        <v>16.03</v>
      </c>
      <c r="S23" s="17">
        <f t="shared" si="9"/>
        <v>16.03</v>
      </c>
      <c r="T23" s="67" t="str">
        <f t="shared" si="10"/>
        <v>PRODHIGI</v>
      </c>
      <c r="U23" s="68"/>
      <c r="V23" s="20">
        <f t="shared" si="11"/>
        <v>16.03</v>
      </c>
      <c r="W23" s="20" t="b">
        <f t="shared" si="0"/>
        <v>0</v>
      </c>
      <c r="X23" s="20" t="b">
        <f t="shared" si="1"/>
        <v>0</v>
      </c>
      <c r="Y23" s="20" t="b">
        <f t="shared" si="2"/>
        <v>0</v>
      </c>
      <c r="Z23" s="20" t="b">
        <f t="shared" si="3"/>
        <v>0</v>
      </c>
      <c r="AA23" s="20">
        <f t="shared" si="12"/>
        <v>16.03</v>
      </c>
      <c r="AC23" s="20">
        <f t="shared" si="13"/>
        <v>3206</v>
      </c>
      <c r="AD23" s="20" t="b">
        <f t="shared" si="4"/>
        <v>0</v>
      </c>
      <c r="AE23" s="20" t="b">
        <f t="shared" si="5"/>
        <v>0</v>
      </c>
      <c r="AF23" s="20" t="b">
        <f t="shared" si="6"/>
        <v>0</v>
      </c>
      <c r="AG23" s="20" t="b">
        <f t="shared" si="7"/>
        <v>0</v>
      </c>
      <c r="AH23" s="20">
        <f t="shared" si="14"/>
        <v>3206</v>
      </c>
    </row>
    <row r="24" spans="1:34" ht="24.95" customHeight="1" x14ac:dyDescent="0.3">
      <c r="A24" s="13">
        <v>14</v>
      </c>
      <c r="B24" s="79" t="s">
        <v>137</v>
      </c>
      <c r="C24" s="79"/>
      <c r="D24" s="79"/>
      <c r="E24" s="79"/>
      <c r="F24" s="7">
        <v>200</v>
      </c>
      <c r="G24" s="8" t="s">
        <v>69</v>
      </c>
      <c r="H24" s="62">
        <v>0.1603</v>
      </c>
      <c r="I24" s="62"/>
      <c r="J24" s="62"/>
      <c r="K24" s="62"/>
      <c r="L24" s="62"/>
      <c r="M24" s="62"/>
      <c r="N24" s="62"/>
      <c r="O24" s="62"/>
      <c r="P24" s="62"/>
      <c r="Q24" s="62"/>
      <c r="R24" s="17">
        <f>MIN(H24:Q24)</f>
        <v>0.1603</v>
      </c>
      <c r="S24" s="17">
        <f t="shared" si="9"/>
        <v>0.1603</v>
      </c>
      <c r="T24" s="67" t="str">
        <f t="shared" si="10"/>
        <v>PRODHIGI</v>
      </c>
      <c r="U24" s="68"/>
      <c r="V24" s="20">
        <f t="shared" si="11"/>
        <v>0.1603</v>
      </c>
      <c r="W24" s="20" t="b">
        <f t="shared" si="0"/>
        <v>0</v>
      </c>
      <c r="X24" s="20" t="b">
        <f t="shared" si="1"/>
        <v>0</v>
      </c>
      <c r="Y24" s="20" t="b">
        <f t="shared" si="2"/>
        <v>0</v>
      </c>
      <c r="Z24" s="20" t="b">
        <f t="shared" si="3"/>
        <v>0</v>
      </c>
      <c r="AA24" s="20">
        <f t="shared" si="12"/>
        <v>0.1603</v>
      </c>
      <c r="AC24" s="20">
        <f t="shared" si="13"/>
        <v>32.06</v>
      </c>
      <c r="AD24" s="20" t="b">
        <f t="shared" si="4"/>
        <v>0</v>
      </c>
      <c r="AE24" s="20" t="b">
        <f t="shared" si="5"/>
        <v>0</v>
      </c>
      <c r="AF24" s="20" t="b">
        <f t="shared" si="6"/>
        <v>0</v>
      </c>
      <c r="AG24" s="20" t="b">
        <f t="shared" si="7"/>
        <v>0</v>
      </c>
      <c r="AH24" s="20">
        <f t="shared" si="14"/>
        <v>32.06</v>
      </c>
    </row>
    <row r="25" spans="1:34" ht="24.95" customHeight="1" x14ac:dyDescent="0.3">
      <c r="A25" s="13">
        <v>15</v>
      </c>
      <c r="B25" s="79" t="s">
        <v>138</v>
      </c>
      <c r="C25" s="79"/>
      <c r="D25" s="79"/>
      <c r="E25" s="79"/>
      <c r="F25" s="7">
        <v>200</v>
      </c>
      <c r="G25" s="8" t="s">
        <v>69</v>
      </c>
      <c r="H25" s="62">
        <v>0.1603</v>
      </c>
      <c r="I25" s="62"/>
      <c r="J25" s="62"/>
      <c r="K25" s="62"/>
      <c r="L25" s="62"/>
      <c r="M25" s="62"/>
      <c r="N25" s="62"/>
      <c r="O25" s="62"/>
      <c r="P25" s="62"/>
      <c r="Q25" s="62"/>
      <c r="R25" s="17">
        <f>MIN(H25:Q25)</f>
        <v>0.1603</v>
      </c>
      <c r="S25" s="17">
        <f t="shared" si="9"/>
        <v>0.1603</v>
      </c>
      <c r="T25" s="67" t="str">
        <f t="shared" si="10"/>
        <v>PRODHIGI</v>
      </c>
      <c r="U25" s="68"/>
      <c r="V25" s="20">
        <f t="shared" si="11"/>
        <v>0.1603</v>
      </c>
      <c r="W25" s="20" t="b">
        <f t="shared" si="0"/>
        <v>0</v>
      </c>
      <c r="X25" s="20" t="b">
        <f t="shared" si="1"/>
        <v>0</v>
      </c>
      <c r="Y25" s="20" t="b">
        <f t="shared" si="2"/>
        <v>0</v>
      </c>
      <c r="Z25" s="20" t="b">
        <f t="shared" si="3"/>
        <v>0</v>
      </c>
      <c r="AA25" s="20">
        <f t="shared" si="12"/>
        <v>0.1603</v>
      </c>
      <c r="AC25" s="20">
        <f t="shared" si="13"/>
        <v>32.06</v>
      </c>
      <c r="AD25" s="20" t="b">
        <f t="shared" si="4"/>
        <v>0</v>
      </c>
      <c r="AE25" s="20" t="b">
        <f t="shared" si="5"/>
        <v>0</v>
      </c>
      <c r="AF25" s="20" t="b">
        <f t="shared" si="6"/>
        <v>0</v>
      </c>
      <c r="AG25" s="20" t="b">
        <f t="shared" si="7"/>
        <v>0</v>
      </c>
      <c r="AH25" s="20">
        <f t="shared" si="14"/>
        <v>32.06</v>
      </c>
    </row>
    <row r="26" spans="1:34" ht="24.95" customHeight="1" x14ac:dyDescent="0.3">
      <c r="A26" s="13">
        <v>16</v>
      </c>
      <c r="B26" s="79" t="s">
        <v>139</v>
      </c>
      <c r="C26" s="79"/>
      <c r="D26" s="79"/>
      <c r="E26" s="79"/>
      <c r="F26" s="7">
        <v>200</v>
      </c>
      <c r="G26" s="8" t="s">
        <v>69</v>
      </c>
      <c r="H26" s="62">
        <v>0.1603</v>
      </c>
      <c r="I26" s="62"/>
      <c r="J26" s="62"/>
      <c r="K26" s="62"/>
      <c r="L26" s="62"/>
      <c r="M26" s="62"/>
      <c r="N26" s="62"/>
      <c r="O26" s="62"/>
      <c r="P26" s="62"/>
      <c r="Q26" s="62"/>
      <c r="R26" s="17">
        <f t="shared" ref="R26:R35" si="15">MIN(H26:Q26)</f>
        <v>0.1603</v>
      </c>
      <c r="S26" s="17">
        <f t="shared" si="9"/>
        <v>0.1603</v>
      </c>
      <c r="T26" s="67" t="str">
        <f t="shared" ref="T26:T35" si="16">IF(AA26=V26,$V$9,IF(AA26=W26,$W$9,IF(AA26=X26,$X$9,IF(AA26=Y26,$Y$9,IF(AA26=Z26,$Z$9,"Sem Cotação")))))</f>
        <v>PRODHIGI</v>
      </c>
      <c r="U26" s="68"/>
      <c r="V26" s="20">
        <f t="shared" si="11"/>
        <v>0.1603</v>
      </c>
      <c r="W26" s="20" t="b">
        <f t="shared" si="0"/>
        <v>0</v>
      </c>
      <c r="X26" s="20" t="b">
        <f t="shared" si="1"/>
        <v>0</v>
      </c>
      <c r="Y26" s="20" t="b">
        <f t="shared" si="2"/>
        <v>0</v>
      </c>
      <c r="Z26" s="20" t="b">
        <f t="shared" si="3"/>
        <v>0</v>
      </c>
      <c r="AA26" s="20">
        <f t="shared" si="12"/>
        <v>0.1603</v>
      </c>
      <c r="AC26" s="20">
        <f t="shared" si="13"/>
        <v>32.06</v>
      </c>
      <c r="AD26" s="20" t="b">
        <f t="shared" si="4"/>
        <v>0</v>
      </c>
      <c r="AE26" s="20" t="b">
        <f t="shared" si="5"/>
        <v>0</v>
      </c>
      <c r="AF26" s="20" t="b">
        <f t="shared" si="6"/>
        <v>0</v>
      </c>
      <c r="AG26" s="20" t="b">
        <f t="shared" si="7"/>
        <v>0</v>
      </c>
      <c r="AH26" s="20">
        <f t="shared" si="14"/>
        <v>32.06</v>
      </c>
    </row>
    <row r="27" spans="1:34" ht="24.95" customHeight="1" x14ac:dyDescent="0.3">
      <c r="A27" s="13">
        <v>17</v>
      </c>
      <c r="B27" s="79" t="s">
        <v>129</v>
      </c>
      <c r="C27" s="79"/>
      <c r="D27" s="79"/>
      <c r="E27" s="79"/>
      <c r="F27" s="7">
        <v>1000</v>
      </c>
      <c r="G27" s="8" t="s">
        <v>54</v>
      </c>
      <c r="H27" s="62">
        <v>0.32</v>
      </c>
      <c r="I27" s="62"/>
      <c r="J27" s="62"/>
      <c r="K27" s="62"/>
      <c r="L27" s="62"/>
      <c r="M27" s="62"/>
      <c r="N27" s="62"/>
      <c r="O27" s="62"/>
      <c r="P27" s="62"/>
      <c r="Q27" s="62"/>
      <c r="R27" s="17">
        <f t="shared" si="15"/>
        <v>0.32</v>
      </c>
      <c r="S27" s="17">
        <f t="shared" si="9"/>
        <v>0.32</v>
      </c>
      <c r="T27" s="67" t="str">
        <f t="shared" si="16"/>
        <v>PRODHIGI</v>
      </c>
      <c r="U27" s="68"/>
      <c r="V27" s="20">
        <f t="shared" si="11"/>
        <v>0.32</v>
      </c>
      <c r="W27" s="20" t="b">
        <f t="shared" si="0"/>
        <v>0</v>
      </c>
      <c r="X27" s="20" t="b">
        <f t="shared" si="1"/>
        <v>0</v>
      </c>
      <c r="Y27" s="20" t="b">
        <f t="shared" si="2"/>
        <v>0</v>
      </c>
      <c r="Z27" s="20" t="b">
        <f t="shared" si="3"/>
        <v>0</v>
      </c>
      <c r="AA27" s="20">
        <f t="shared" si="12"/>
        <v>0.32</v>
      </c>
      <c r="AC27" s="20">
        <f t="shared" si="13"/>
        <v>320</v>
      </c>
      <c r="AD27" s="20" t="b">
        <f t="shared" si="4"/>
        <v>0</v>
      </c>
      <c r="AE27" s="20" t="b">
        <f t="shared" si="5"/>
        <v>0</v>
      </c>
      <c r="AF27" s="20" t="b">
        <f t="shared" si="6"/>
        <v>0</v>
      </c>
      <c r="AG27" s="20" t="b">
        <f t="shared" si="7"/>
        <v>0</v>
      </c>
      <c r="AH27" s="20">
        <f t="shared" si="14"/>
        <v>320</v>
      </c>
    </row>
    <row r="28" spans="1:34" ht="24.95" customHeight="1" x14ac:dyDescent="0.3">
      <c r="A28" s="13">
        <v>18</v>
      </c>
      <c r="B28" s="79" t="s">
        <v>27</v>
      </c>
      <c r="C28" s="79"/>
      <c r="D28" s="79"/>
      <c r="E28" s="79"/>
      <c r="F28" s="7">
        <v>1000</v>
      </c>
      <c r="G28" s="8" t="s">
        <v>54</v>
      </c>
      <c r="H28" s="62">
        <v>0.32</v>
      </c>
      <c r="I28" s="62"/>
      <c r="J28" s="62"/>
      <c r="K28" s="62"/>
      <c r="L28" s="62"/>
      <c r="M28" s="62"/>
      <c r="N28" s="62"/>
      <c r="O28" s="62"/>
      <c r="P28" s="62"/>
      <c r="Q28" s="62"/>
      <c r="R28" s="17">
        <f t="shared" si="15"/>
        <v>0.32</v>
      </c>
      <c r="S28" s="17">
        <f t="shared" si="9"/>
        <v>0.32</v>
      </c>
      <c r="T28" s="67" t="str">
        <f t="shared" si="16"/>
        <v>PRODHIGI</v>
      </c>
      <c r="U28" s="68"/>
      <c r="V28" s="20">
        <f t="shared" si="11"/>
        <v>0.32</v>
      </c>
      <c r="W28" s="20" t="b">
        <f t="shared" si="0"/>
        <v>0</v>
      </c>
      <c r="X28" s="20" t="b">
        <f t="shared" si="1"/>
        <v>0</v>
      </c>
      <c r="Y28" s="20" t="b">
        <f t="shared" si="2"/>
        <v>0</v>
      </c>
      <c r="Z28" s="20" t="b">
        <f t="shared" si="3"/>
        <v>0</v>
      </c>
      <c r="AA28" s="20">
        <f t="shared" si="12"/>
        <v>0.32</v>
      </c>
      <c r="AC28" s="20">
        <f t="shared" si="13"/>
        <v>320</v>
      </c>
      <c r="AD28" s="20" t="b">
        <f t="shared" si="4"/>
        <v>0</v>
      </c>
      <c r="AE28" s="20" t="b">
        <f t="shared" si="5"/>
        <v>0</v>
      </c>
      <c r="AF28" s="20" t="b">
        <f t="shared" si="6"/>
        <v>0</v>
      </c>
      <c r="AG28" s="20" t="b">
        <f t="shared" si="7"/>
        <v>0</v>
      </c>
      <c r="AH28" s="20">
        <f t="shared" si="14"/>
        <v>320</v>
      </c>
    </row>
    <row r="29" spans="1:34" ht="24.95" customHeight="1" x14ac:dyDescent="0.3">
      <c r="A29" s="13">
        <v>19</v>
      </c>
      <c r="B29" s="79"/>
      <c r="C29" s="79"/>
      <c r="D29" s="79"/>
      <c r="E29" s="79"/>
      <c r="F29" s="9"/>
      <c r="G29" s="8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17">
        <f t="shared" si="15"/>
        <v>0</v>
      </c>
      <c r="S29" s="17">
        <f t="shared" si="9"/>
        <v>0</v>
      </c>
      <c r="T29" s="67" t="str">
        <f t="shared" si="16"/>
        <v>Sem Cotação</v>
      </c>
      <c r="U29" s="68"/>
      <c r="V29" s="20" t="b">
        <f t="shared" si="11"/>
        <v>0</v>
      </c>
      <c r="W29" s="20" t="b">
        <f t="shared" si="0"/>
        <v>0</v>
      </c>
      <c r="X29" s="20" t="b">
        <f t="shared" si="1"/>
        <v>0</v>
      </c>
      <c r="Y29" s="20" t="b">
        <f t="shared" si="2"/>
        <v>0</v>
      </c>
      <c r="Z29" s="20" t="b">
        <f t="shared" si="3"/>
        <v>0</v>
      </c>
      <c r="AA29" s="20">
        <f t="shared" si="12"/>
        <v>0</v>
      </c>
      <c r="AC29" s="20" t="b">
        <f t="shared" si="13"/>
        <v>0</v>
      </c>
      <c r="AD29" s="20" t="b">
        <f t="shared" si="4"/>
        <v>0</v>
      </c>
      <c r="AE29" s="20" t="b">
        <f t="shared" si="5"/>
        <v>0</v>
      </c>
      <c r="AF29" s="20" t="b">
        <f t="shared" si="6"/>
        <v>0</v>
      </c>
      <c r="AG29" s="20" t="b">
        <f t="shared" si="7"/>
        <v>0</v>
      </c>
      <c r="AH29" s="20">
        <f t="shared" si="14"/>
        <v>0</v>
      </c>
    </row>
    <row r="30" spans="1:34" ht="24.95" customHeight="1" x14ac:dyDescent="0.3">
      <c r="A30" s="13">
        <v>20</v>
      </c>
      <c r="B30" s="79"/>
      <c r="C30" s="79"/>
      <c r="D30" s="79"/>
      <c r="E30" s="79"/>
      <c r="F30" s="9"/>
      <c r="G30" s="8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17">
        <f t="shared" si="15"/>
        <v>0</v>
      </c>
      <c r="S30" s="17">
        <f t="shared" si="9"/>
        <v>0</v>
      </c>
      <c r="T30" s="67" t="str">
        <f t="shared" si="16"/>
        <v>Sem Cotação</v>
      </c>
      <c r="U30" s="68"/>
      <c r="V30" s="20" t="b">
        <f t="shared" si="11"/>
        <v>0</v>
      </c>
      <c r="W30" s="20" t="b">
        <f t="shared" si="0"/>
        <v>0</v>
      </c>
      <c r="X30" s="20" t="b">
        <f t="shared" si="1"/>
        <v>0</v>
      </c>
      <c r="Y30" s="20" t="b">
        <f t="shared" si="2"/>
        <v>0</v>
      </c>
      <c r="Z30" s="20" t="b">
        <f t="shared" si="3"/>
        <v>0</v>
      </c>
      <c r="AA30" s="20">
        <f t="shared" si="12"/>
        <v>0</v>
      </c>
      <c r="AC30" s="20" t="b">
        <f t="shared" si="13"/>
        <v>0</v>
      </c>
      <c r="AD30" s="20" t="b">
        <f t="shared" si="4"/>
        <v>0</v>
      </c>
      <c r="AE30" s="20" t="b">
        <f t="shared" si="5"/>
        <v>0</v>
      </c>
      <c r="AF30" s="20" t="b">
        <f t="shared" si="6"/>
        <v>0</v>
      </c>
      <c r="AG30" s="20" t="b">
        <f t="shared" si="7"/>
        <v>0</v>
      </c>
      <c r="AH30" s="20">
        <f t="shared" si="14"/>
        <v>0</v>
      </c>
    </row>
    <row r="31" spans="1:34" ht="24.95" customHeight="1" x14ac:dyDescent="0.3">
      <c r="A31" s="13">
        <v>21</v>
      </c>
      <c r="B31" s="79"/>
      <c r="C31" s="79"/>
      <c r="D31" s="79"/>
      <c r="E31" s="79"/>
      <c r="F31" s="9"/>
      <c r="G31" s="14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17">
        <f t="shared" si="15"/>
        <v>0</v>
      </c>
      <c r="S31" s="17">
        <f t="shared" si="9"/>
        <v>0</v>
      </c>
      <c r="T31" s="67" t="str">
        <f t="shared" si="16"/>
        <v>Sem Cotação</v>
      </c>
      <c r="U31" s="68"/>
      <c r="V31" s="20" t="b">
        <f t="shared" si="11"/>
        <v>0</v>
      </c>
      <c r="W31" s="20" t="b">
        <f t="shared" si="0"/>
        <v>0</v>
      </c>
      <c r="X31" s="20" t="b">
        <f t="shared" si="1"/>
        <v>0</v>
      </c>
      <c r="Y31" s="20" t="b">
        <f t="shared" si="2"/>
        <v>0</v>
      </c>
      <c r="Z31" s="20" t="b">
        <f t="shared" si="3"/>
        <v>0</v>
      </c>
      <c r="AA31" s="20">
        <f t="shared" si="12"/>
        <v>0</v>
      </c>
      <c r="AC31" s="20" t="b">
        <f t="shared" si="13"/>
        <v>0</v>
      </c>
      <c r="AD31" s="20" t="b">
        <f t="shared" si="4"/>
        <v>0</v>
      </c>
      <c r="AE31" s="20" t="b">
        <f t="shared" si="5"/>
        <v>0</v>
      </c>
      <c r="AF31" s="20" t="b">
        <f t="shared" si="6"/>
        <v>0</v>
      </c>
      <c r="AG31" s="20" t="b">
        <f t="shared" si="7"/>
        <v>0</v>
      </c>
      <c r="AH31" s="20">
        <f t="shared" si="14"/>
        <v>0</v>
      </c>
    </row>
    <row r="32" spans="1:34" ht="24.95" customHeight="1" x14ac:dyDescent="0.3">
      <c r="A32" s="13">
        <v>22</v>
      </c>
      <c r="B32" s="79"/>
      <c r="C32" s="79"/>
      <c r="D32" s="79"/>
      <c r="E32" s="79"/>
      <c r="F32" s="9"/>
      <c r="G32" s="14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17">
        <f t="shared" si="15"/>
        <v>0</v>
      </c>
      <c r="S32" s="17">
        <f t="shared" si="9"/>
        <v>0</v>
      </c>
      <c r="T32" s="67" t="str">
        <f t="shared" si="16"/>
        <v>Sem Cotação</v>
      </c>
      <c r="U32" s="68"/>
      <c r="V32" s="20" t="b">
        <f t="shared" si="11"/>
        <v>0</v>
      </c>
      <c r="W32" s="20" t="b">
        <f t="shared" si="0"/>
        <v>0</v>
      </c>
      <c r="X32" s="20" t="b">
        <f t="shared" si="1"/>
        <v>0</v>
      </c>
      <c r="Y32" s="20" t="b">
        <f t="shared" si="2"/>
        <v>0</v>
      </c>
      <c r="Z32" s="20" t="b">
        <f t="shared" si="3"/>
        <v>0</v>
      </c>
      <c r="AA32" s="20">
        <f t="shared" si="12"/>
        <v>0</v>
      </c>
      <c r="AC32" s="20" t="b">
        <f t="shared" si="13"/>
        <v>0</v>
      </c>
      <c r="AD32" s="20" t="b">
        <f t="shared" si="4"/>
        <v>0</v>
      </c>
      <c r="AE32" s="20" t="b">
        <f t="shared" si="5"/>
        <v>0</v>
      </c>
      <c r="AF32" s="20" t="b">
        <f t="shared" si="6"/>
        <v>0</v>
      </c>
      <c r="AG32" s="20" t="b">
        <f t="shared" si="7"/>
        <v>0</v>
      </c>
      <c r="AH32" s="20">
        <f t="shared" si="14"/>
        <v>0</v>
      </c>
    </row>
    <row r="33" spans="1:34" ht="24.95" customHeight="1" x14ac:dyDescent="0.3">
      <c r="A33" s="13">
        <v>23</v>
      </c>
      <c r="B33" s="79"/>
      <c r="C33" s="79"/>
      <c r="D33" s="79"/>
      <c r="E33" s="79"/>
      <c r="F33" s="9"/>
      <c r="G33" s="14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17">
        <f t="shared" si="15"/>
        <v>0</v>
      </c>
      <c r="S33" s="17">
        <f t="shared" si="9"/>
        <v>0</v>
      </c>
      <c r="T33" s="67" t="str">
        <f t="shared" si="16"/>
        <v>Sem Cotação</v>
      </c>
      <c r="U33" s="68"/>
      <c r="V33" s="20" t="b">
        <f t="shared" si="11"/>
        <v>0</v>
      </c>
      <c r="W33" s="20" t="b">
        <f t="shared" si="0"/>
        <v>0</v>
      </c>
      <c r="X33" s="20" t="b">
        <f t="shared" si="1"/>
        <v>0</v>
      </c>
      <c r="Y33" s="20" t="b">
        <f t="shared" si="2"/>
        <v>0</v>
      </c>
      <c r="Z33" s="20" t="b">
        <f t="shared" si="3"/>
        <v>0</v>
      </c>
      <c r="AA33" s="20">
        <f t="shared" si="12"/>
        <v>0</v>
      </c>
      <c r="AC33" s="20" t="b">
        <f t="shared" si="13"/>
        <v>0</v>
      </c>
      <c r="AD33" s="20" t="b">
        <f t="shared" si="4"/>
        <v>0</v>
      </c>
      <c r="AE33" s="20" t="b">
        <f t="shared" si="5"/>
        <v>0</v>
      </c>
      <c r="AF33" s="20" t="b">
        <f t="shared" si="6"/>
        <v>0</v>
      </c>
      <c r="AG33" s="20" t="b">
        <f t="shared" si="7"/>
        <v>0</v>
      </c>
      <c r="AH33" s="20">
        <f t="shared" si="14"/>
        <v>0</v>
      </c>
    </row>
    <row r="34" spans="1:34" ht="24.95" customHeight="1" x14ac:dyDescent="0.3">
      <c r="A34" s="13">
        <v>24</v>
      </c>
      <c r="B34" s="79"/>
      <c r="C34" s="79"/>
      <c r="D34" s="79"/>
      <c r="E34" s="79"/>
      <c r="F34" s="9"/>
      <c r="G34" s="14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17">
        <f t="shared" si="15"/>
        <v>0</v>
      </c>
      <c r="S34" s="17">
        <f t="shared" si="9"/>
        <v>0</v>
      </c>
      <c r="T34" s="67" t="str">
        <f t="shared" si="16"/>
        <v>Sem Cotação</v>
      </c>
      <c r="U34" s="68"/>
      <c r="V34" s="20" t="b">
        <f t="shared" si="11"/>
        <v>0</v>
      </c>
      <c r="W34" s="20" t="b">
        <f t="shared" si="0"/>
        <v>0</v>
      </c>
      <c r="X34" s="20" t="b">
        <f t="shared" si="1"/>
        <v>0</v>
      </c>
      <c r="Y34" s="20" t="b">
        <f t="shared" si="2"/>
        <v>0</v>
      </c>
      <c r="Z34" s="20" t="b">
        <f t="shared" si="3"/>
        <v>0</v>
      </c>
      <c r="AA34" s="20">
        <f t="shared" si="12"/>
        <v>0</v>
      </c>
      <c r="AC34" s="20" t="b">
        <f t="shared" si="13"/>
        <v>0</v>
      </c>
      <c r="AD34" s="20" t="b">
        <f t="shared" si="4"/>
        <v>0</v>
      </c>
      <c r="AE34" s="20" t="b">
        <f t="shared" si="5"/>
        <v>0</v>
      </c>
      <c r="AF34" s="20" t="b">
        <f t="shared" si="6"/>
        <v>0</v>
      </c>
      <c r="AG34" s="20" t="b">
        <f t="shared" si="7"/>
        <v>0</v>
      </c>
      <c r="AH34" s="20">
        <f t="shared" si="14"/>
        <v>0</v>
      </c>
    </row>
    <row r="35" spans="1:34" ht="24.95" customHeight="1" x14ac:dyDescent="0.3">
      <c r="A35" s="13">
        <v>25</v>
      </c>
      <c r="B35" s="79"/>
      <c r="C35" s="79"/>
      <c r="D35" s="79"/>
      <c r="E35" s="79"/>
      <c r="F35" s="9"/>
      <c r="G35" s="14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17">
        <f t="shared" si="15"/>
        <v>0</v>
      </c>
      <c r="S35" s="17">
        <f t="shared" si="9"/>
        <v>0</v>
      </c>
      <c r="T35" s="67" t="str">
        <f t="shared" si="16"/>
        <v>Sem Cotação</v>
      </c>
      <c r="U35" s="68"/>
      <c r="V35" s="20" t="b">
        <f t="shared" si="11"/>
        <v>0</v>
      </c>
      <c r="W35" s="20" t="b">
        <f t="shared" si="0"/>
        <v>0</v>
      </c>
      <c r="X35" s="20" t="b">
        <f t="shared" si="1"/>
        <v>0</v>
      </c>
      <c r="Y35" s="20" t="b">
        <f t="shared" si="2"/>
        <v>0</v>
      </c>
      <c r="Z35" s="20" t="b">
        <f t="shared" si="3"/>
        <v>0</v>
      </c>
      <c r="AA35" s="20">
        <f t="shared" si="12"/>
        <v>0</v>
      </c>
      <c r="AC35" s="20" t="b">
        <f t="shared" si="13"/>
        <v>0</v>
      </c>
      <c r="AD35" s="20" t="b">
        <f t="shared" si="4"/>
        <v>0</v>
      </c>
      <c r="AE35" s="20" t="b">
        <f t="shared" si="5"/>
        <v>0</v>
      </c>
      <c r="AF35" s="20" t="b">
        <f t="shared" si="6"/>
        <v>0</v>
      </c>
      <c r="AG35" s="20" t="b">
        <f t="shared" si="7"/>
        <v>0</v>
      </c>
      <c r="AH35" s="20">
        <f t="shared" si="14"/>
        <v>0</v>
      </c>
    </row>
    <row r="36" spans="1:34" ht="18.75" customHeight="1" x14ac:dyDescent="0.25">
      <c r="A36" s="108" t="s">
        <v>72</v>
      </c>
      <c r="B36" s="109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10"/>
      <c r="V36" s="115" t="s">
        <v>126</v>
      </c>
      <c r="W36" s="116"/>
      <c r="X36" s="116"/>
      <c r="Y36" s="116"/>
      <c r="Z36" s="116"/>
      <c r="AA36" s="116"/>
    </row>
    <row r="37" spans="1:34" ht="18.75" customHeight="1" x14ac:dyDescent="0.25">
      <c r="A37" s="108"/>
      <c r="B37" s="109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10"/>
      <c r="V37" s="115"/>
      <c r="W37" s="116"/>
      <c r="X37" s="116"/>
      <c r="Y37" s="116"/>
      <c r="Z37" s="116"/>
      <c r="AA37" s="116"/>
    </row>
    <row r="38" spans="1:34" ht="15" customHeight="1" x14ac:dyDescent="0.25">
      <c r="A38" s="92" t="str">
        <f>A9</f>
        <v>Código Interno</v>
      </c>
      <c r="B38" s="69" t="s">
        <v>66</v>
      </c>
      <c r="C38" s="69"/>
      <c r="D38" s="69"/>
      <c r="E38" s="69"/>
      <c r="F38" s="69" t="s">
        <v>88</v>
      </c>
      <c r="G38" s="69"/>
      <c r="H38" s="69" t="str">
        <f>H9</f>
        <v>PRODHIGI</v>
      </c>
      <c r="I38" s="69"/>
      <c r="J38" s="69" t="str">
        <f>J9</f>
        <v>PRIME</v>
      </c>
      <c r="K38" s="69"/>
      <c r="L38" s="69" t="str">
        <f>L9</f>
        <v>GAMA</v>
      </c>
      <c r="M38" s="69"/>
      <c r="N38" s="69" t="str">
        <f>N9</f>
        <v>NOVA EMBALAGENS</v>
      </c>
      <c r="O38" s="69"/>
      <c r="P38" s="69" t="str">
        <f>P9</f>
        <v>MAGSAC</v>
      </c>
      <c r="Q38" s="69"/>
      <c r="R38" s="69" t="s">
        <v>171</v>
      </c>
      <c r="S38" s="69" t="s">
        <v>170</v>
      </c>
      <c r="T38" s="69"/>
      <c r="U38" s="107"/>
      <c r="V38" s="115"/>
      <c r="W38" s="116"/>
      <c r="X38" s="116"/>
      <c r="Y38" s="116"/>
      <c r="Z38" s="116"/>
      <c r="AA38" s="116"/>
    </row>
    <row r="39" spans="1:34" ht="15" customHeight="1" x14ac:dyDescent="0.25">
      <c r="A39" s="92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107"/>
      <c r="V39" s="1" t="str">
        <f>H9</f>
        <v>PRODHIGI</v>
      </c>
      <c r="W39" s="1" t="str">
        <f>J9</f>
        <v>PRIME</v>
      </c>
      <c r="X39" s="1" t="str">
        <f>L9</f>
        <v>GAMA</v>
      </c>
      <c r="Y39" s="1" t="str">
        <f>N9</f>
        <v>NOVA EMBALAGENS</v>
      </c>
      <c r="Z39" s="1" t="str">
        <f>P9</f>
        <v>MAGSAC</v>
      </c>
      <c r="AA39" s="1" t="s">
        <v>128</v>
      </c>
    </row>
    <row r="40" spans="1:34" ht="24.95" customHeight="1" x14ac:dyDescent="0.3">
      <c r="A40" s="10">
        <f>IF(OR(ISBLANK(A11), A11=""), "", A11)</f>
        <v>1</v>
      </c>
      <c r="B40" s="78" t="str">
        <f>IF(OR(ISBLANK(B11), B11=""), "", B11)</f>
        <v>TNT (Tecido Não Tecido) Trasnfer  - M²</v>
      </c>
      <c r="C40" s="78"/>
      <c r="D40" s="78"/>
      <c r="E40" s="78"/>
      <c r="F40" s="11">
        <f t="shared" ref="F40:F64" si="17">IF(OR(ISTEXT(F11), F11=""), "", F11)</f>
        <v>200</v>
      </c>
      <c r="G40" s="12" t="str">
        <f>IF(OR(ISBLANK(G11), G11=""), "", G11)</f>
        <v>M²</v>
      </c>
      <c r="H40" s="61">
        <v>200</v>
      </c>
      <c r="I40" s="61"/>
      <c r="J40" s="61"/>
      <c r="K40" s="61"/>
      <c r="L40" s="61"/>
      <c r="M40" s="61"/>
      <c r="N40" s="61"/>
      <c r="O40" s="61"/>
      <c r="P40" s="61"/>
      <c r="Q40" s="61"/>
      <c r="R40" s="18">
        <f>MIN(V40:Z40)</f>
        <v>1.1602999999999999</v>
      </c>
      <c r="S40" s="70" t="str">
        <f>IF(R40=V40,$H$38,IF(R40=W40,$J$38,IF(R40=X40,$L$38,IF(R40=Y40,$N$38,IF(R40=Z40,$P$38,"Sem Cotação")))))</f>
        <v>PRODHIGI</v>
      </c>
      <c r="T40" s="70"/>
      <c r="U40" s="71"/>
      <c r="V40" s="20">
        <f>IF(H40&lt;&gt;"",(H40/F40)+H11)</f>
        <v>1.1602999999999999</v>
      </c>
      <c r="W40" s="20" t="b">
        <f>IF(J40&lt;&gt;"",(J40/F40)+J11)</f>
        <v>0</v>
      </c>
      <c r="X40" s="20" t="b">
        <f>IF(L40&lt;&gt;"",(L40/F40)+L11)</f>
        <v>0</v>
      </c>
      <c r="Y40" s="20" t="b">
        <f>IF(N40&lt;&gt;"",(N40/F40)+N11)</f>
        <v>0</v>
      </c>
      <c r="Z40" s="20" t="b">
        <f>IF(P40&lt;&gt;"",(P40/F40)+P11)</f>
        <v>0</v>
      </c>
      <c r="AA40" s="20">
        <f>MIN(V40:Z40)</f>
        <v>1.1602999999999999</v>
      </c>
    </row>
    <row r="41" spans="1:34" ht="24.95" customHeight="1" x14ac:dyDescent="0.3">
      <c r="A41" s="10">
        <f t="shared" ref="A41:A64" si="18">IF(OR(ISBLANK(A12), A12=""), "", A12)</f>
        <v>2</v>
      </c>
      <c r="B41" s="78" t="str">
        <f t="shared" ref="B41:B64" si="19">IF(OR(ISBLANK(B12), B12=""), "", B12)</f>
        <v>TNT (Barreira - Tecido Não Tecido) - M²</v>
      </c>
      <c r="C41" s="78"/>
      <c r="D41" s="78"/>
      <c r="E41" s="78"/>
      <c r="F41" s="11">
        <f t="shared" si="17"/>
        <v>200</v>
      </c>
      <c r="G41" s="12" t="str">
        <f t="shared" ref="G41:G64" si="20">IF(OR(ISBLANK(G12), G12=""), "", G12)</f>
        <v>M²</v>
      </c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18">
        <f t="shared" ref="R41:R64" si="21">MIN(V41:Z41)</f>
        <v>0</v>
      </c>
      <c r="S41" s="70" t="str">
        <f t="shared" ref="S41:S64" si="22">IF(R41=V41,$H$38,IF(R41=W41,$J$38,IF(R41=X41,$L$38,IF(R41=Y41,$N$38,IF(R41=Z41,$P$38,"Sem Cotação")))))</f>
        <v>Sem Cotação</v>
      </c>
      <c r="T41" s="70"/>
      <c r="U41" s="71"/>
      <c r="V41" s="20" t="b">
        <f t="shared" ref="V41:V64" si="23">IF(H41&lt;&gt;"",(H41/F41)+H12)</f>
        <v>0</v>
      </c>
      <c r="W41" s="20" t="b">
        <f t="shared" ref="W41:W64" si="24">IF(J41&lt;&gt;"",(J41/F41)+J12)</f>
        <v>0</v>
      </c>
      <c r="X41" s="20" t="b">
        <f t="shared" ref="X41:X64" si="25">IF(L41&lt;&gt;"",(L41/F41)+L12)</f>
        <v>0</v>
      </c>
      <c r="Y41" s="20" t="b">
        <f t="shared" ref="Y41:Y64" si="26">IF(N41&lt;&gt;"",(N41/F41)+N12)</f>
        <v>0</v>
      </c>
      <c r="Z41" s="20" t="b">
        <f t="shared" ref="Z41:Z64" si="27">IF(P41&lt;&gt;"",(P41/F41)+P12)</f>
        <v>0</v>
      </c>
      <c r="AA41" s="20">
        <f t="shared" ref="AA41:AA64" si="28">MIN(V41:Z41)</f>
        <v>0</v>
      </c>
    </row>
    <row r="42" spans="1:34" ht="24.95" customHeight="1" x14ac:dyDescent="0.3">
      <c r="A42" s="10">
        <f t="shared" si="18"/>
        <v>3</v>
      </c>
      <c r="B42" s="78" t="str">
        <f t="shared" si="19"/>
        <v>Gel Superrabisorvente (SAP) - KG</v>
      </c>
      <c r="C42" s="78"/>
      <c r="D42" s="78"/>
      <c r="E42" s="78"/>
      <c r="F42" s="11">
        <f t="shared" si="17"/>
        <v>200</v>
      </c>
      <c r="G42" s="12" t="str">
        <f t="shared" si="20"/>
        <v>KG</v>
      </c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18">
        <f t="shared" si="21"/>
        <v>0</v>
      </c>
      <c r="S42" s="70" t="str">
        <f t="shared" si="22"/>
        <v>Sem Cotação</v>
      </c>
      <c r="T42" s="70"/>
      <c r="U42" s="71"/>
      <c r="V42" s="20" t="b">
        <f t="shared" si="23"/>
        <v>0</v>
      </c>
      <c r="W42" s="20" t="b">
        <f t="shared" si="24"/>
        <v>0</v>
      </c>
      <c r="X42" s="20" t="b">
        <f t="shared" si="25"/>
        <v>0</v>
      </c>
      <c r="Y42" s="20" t="b">
        <f t="shared" si="26"/>
        <v>0</v>
      </c>
      <c r="Z42" s="20" t="b">
        <f t="shared" si="27"/>
        <v>0</v>
      </c>
      <c r="AA42" s="20">
        <f t="shared" si="28"/>
        <v>0</v>
      </c>
    </row>
    <row r="43" spans="1:34" ht="24.95" customHeight="1" x14ac:dyDescent="0.3">
      <c r="A43" s="10">
        <f t="shared" si="18"/>
        <v>4</v>
      </c>
      <c r="B43" s="78" t="str">
        <f t="shared" si="19"/>
        <v>Celulose Fluff  - KG</v>
      </c>
      <c r="C43" s="78"/>
      <c r="D43" s="78"/>
      <c r="E43" s="78"/>
      <c r="F43" s="11">
        <f t="shared" si="17"/>
        <v>200</v>
      </c>
      <c r="G43" s="12" t="str">
        <f t="shared" si="20"/>
        <v>KG</v>
      </c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18">
        <f t="shared" si="21"/>
        <v>0</v>
      </c>
      <c r="S43" s="70" t="str">
        <f t="shared" si="22"/>
        <v>Sem Cotação</v>
      </c>
      <c r="T43" s="70"/>
      <c r="U43" s="71"/>
      <c r="V43" s="20" t="b">
        <f t="shared" si="23"/>
        <v>0</v>
      </c>
      <c r="W43" s="20" t="b">
        <f t="shared" si="24"/>
        <v>0</v>
      </c>
      <c r="X43" s="20" t="b">
        <f t="shared" si="25"/>
        <v>0</v>
      </c>
      <c r="Y43" s="20" t="b">
        <f t="shared" si="26"/>
        <v>0</v>
      </c>
      <c r="Z43" s="20" t="b">
        <f t="shared" si="27"/>
        <v>0</v>
      </c>
      <c r="AA43" s="20">
        <f t="shared" si="28"/>
        <v>0</v>
      </c>
    </row>
    <row r="44" spans="1:34" ht="24.95" customHeight="1" x14ac:dyDescent="0.3">
      <c r="A44" s="10">
        <f t="shared" si="18"/>
        <v>5</v>
      </c>
      <c r="B44" s="78" t="str">
        <f t="shared" si="19"/>
        <v>Elásticos (Laterais e Cintura) - KG</v>
      </c>
      <c r="C44" s="78"/>
      <c r="D44" s="78"/>
      <c r="E44" s="78"/>
      <c r="F44" s="11">
        <f t="shared" si="17"/>
        <v>200</v>
      </c>
      <c r="G44" s="12" t="str">
        <f t="shared" si="20"/>
        <v>KG</v>
      </c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18">
        <f t="shared" si="21"/>
        <v>0</v>
      </c>
      <c r="S44" s="70" t="str">
        <f t="shared" si="22"/>
        <v>Sem Cotação</v>
      </c>
      <c r="T44" s="70"/>
      <c r="U44" s="71"/>
      <c r="V44" s="20" t="b">
        <f t="shared" si="23"/>
        <v>0</v>
      </c>
      <c r="W44" s="20" t="b">
        <f t="shared" si="24"/>
        <v>0</v>
      </c>
      <c r="X44" s="20" t="b">
        <f t="shared" si="25"/>
        <v>0</v>
      </c>
      <c r="Y44" s="20" t="b">
        <f t="shared" si="26"/>
        <v>0</v>
      </c>
      <c r="Z44" s="20" t="b">
        <f t="shared" si="27"/>
        <v>0</v>
      </c>
      <c r="AA44" s="20">
        <f t="shared" si="28"/>
        <v>0</v>
      </c>
    </row>
    <row r="45" spans="1:34" ht="24.95" customHeight="1" x14ac:dyDescent="0.3">
      <c r="A45" s="10">
        <f t="shared" si="18"/>
        <v>6</v>
      </c>
      <c r="B45" s="78" t="str">
        <f t="shared" si="19"/>
        <v>Fitas Adesivas - M²</v>
      </c>
      <c r="C45" s="78"/>
      <c r="D45" s="78"/>
      <c r="E45" s="78"/>
      <c r="F45" s="11">
        <f t="shared" si="17"/>
        <v>200</v>
      </c>
      <c r="G45" s="12" t="str">
        <f t="shared" si="20"/>
        <v>M²</v>
      </c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18">
        <f t="shared" si="21"/>
        <v>0</v>
      </c>
      <c r="S45" s="70" t="str">
        <f t="shared" si="22"/>
        <v>Sem Cotação</v>
      </c>
      <c r="T45" s="70"/>
      <c r="U45" s="71"/>
      <c r="V45" s="20" t="b">
        <f t="shared" si="23"/>
        <v>0</v>
      </c>
      <c r="W45" s="20" t="b">
        <f t="shared" si="24"/>
        <v>0</v>
      </c>
      <c r="X45" s="20" t="b">
        <f t="shared" si="25"/>
        <v>0</v>
      </c>
      <c r="Y45" s="20" t="b">
        <f t="shared" si="26"/>
        <v>0</v>
      </c>
      <c r="Z45" s="20" t="b">
        <f t="shared" si="27"/>
        <v>0</v>
      </c>
      <c r="AA45" s="20">
        <f t="shared" si="28"/>
        <v>0</v>
      </c>
    </row>
    <row r="46" spans="1:34" ht="24.95" customHeight="1" x14ac:dyDescent="0.3">
      <c r="A46" s="10">
        <f t="shared" si="18"/>
        <v>7</v>
      </c>
      <c r="B46" s="78" t="str">
        <f t="shared" si="19"/>
        <v>Adesivo Construção - KG</v>
      </c>
      <c r="C46" s="78"/>
      <c r="D46" s="78"/>
      <c r="E46" s="78"/>
      <c r="F46" s="11">
        <f t="shared" si="17"/>
        <v>200</v>
      </c>
      <c r="G46" s="12" t="str">
        <f t="shared" si="20"/>
        <v>KG</v>
      </c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18">
        <f t="shared" si="21"/>
        <v>0</v>
      </c>
      <c r="S46" s="70" t="str">
        <f t="shared" si="22"/>
        <v>Sem Cotação</v>
      </c>
      <c r="T46" s="70"/>
      <c r="U46" s="71"/>
      <c r="V46" s="20" t="b">
        <f t="shared" si="23"/>
        <v>0</v>
      </c>
      <c r="W46" s="20" t="b">
        <f t="shared" si="24"/>
        <v>0</v>
      </c>
      <c r="X46" s="20" t="b">
        <f t="shared" si="25"/>
        <v>0</v>
      </c>
      <c r="Y46" s="20" t="b">
        <f t="shared" si="26"/>
        <v>0</v>
      </c>
      <c r="Z46" s="20" t="b">
        <f t="shared" si="27"/>
        <v>0</v>
      </c>
      <c r="AA46" s="20">
        <f t="shared" si="28"/>
        <v>0</v>
      </c>
    </row>
    <row r="47" spans="1:34" ht="24.95" customHeight="1" x14ac:dyDescent="0.3">
      <c r="A47" s="10">
        <f t="shared" si="18"/>
        <v>8</v>
      </c>
      <c r="B47" s="78" t="str">
        <f t="shared" si="19"/>
        <v>Tinta do Indicador de Umidade - Litro</v>
      </c>
      <c r="C47" s="78"/>
      <c r="D47" s="78"/>
      <c r="E47" s="78"/>
      <c r="F47" s="11" t="str">
        <f t="shared" si="17"/>
        <v/>
      </c>
      <c r="G47" s="12" t="str">
        <f t="shared" si="20"/>
        <v>Litro</v>
      </c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18">
        <f t="shared" si="21"/>
        <v>0</v>
      </c>
      <c r="S47" s="70" t="str">
        <f t="shared" si="22"/>
        <v>Sem Cotação</v>
      </c>
      <c r="T47" s="70"/>
      <c r="U47" s="71"/>
      <c r="V47" s="20" t="b">
        <f t="shared" si="23"/>
        <v>0</v>
      </c>
      <c r="W47" s="20" t="b">
        <f t="shared" si="24"/>
        <v>0</v>
      </c>
      <c r="X47" s="20" t="b">
        <f t="shared" si="25"/>
        <v>0</v>
      </c>
      <c r="Y47" s="20" t="b">
        <f t="shared" si="26"/>
        <v>0</v>
      </c>
      <c r="Z47" s="20" t="b">
        <f t="shared" si="27"/>
        <v>0</v>
      </c>
      <c r="AA47" s="20">
        <f t="shared" si="28"/>
        <v>0</v>
      </c>
    </row>
    <row r="48" spans="1:34" ht="24.95" customHeight="1" x14ac:dyDescent="0.3">
      <c r="A48" s="10">
        <f t="shared" si="18"/>
        <v>9</v>
      </c>
      <c r="B48" s="78" t="str">
        <f t="shared" si="19"/>
        <v>Tinta Datadora de Lote - Litro</v>
      </c>
      <c r="C48" s="78"/>
      <c r="D48" s="78"/>
      <c r="E48" s="78"/>
      <c r="F48" s="11" t="str">
        <f t="shared" si="17"/>
        <v/>
      </c>
      <c r="G48" s="12" t="str">
        <f t="shared" si="20"/>
        <v>Litro</v>
      </c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18">
        <f t="shared" si="21"/>
        <v>0</v>
      </c>
      <c r="S48" s="70" t="str">
        <f t="shared" si="22"/>
        <v>Sem Cotação</v>
      </c>
      <c r="T48" s="70"/>
      <c r="U48" s="71"/>
      <c r="V48" s="20" t="b">
        <f t="shared" si="23"/>
        <v>0</v>
      </c>
      <c r="W48" s="20" t="b">
        <f t="shared" si="24"/>
        <v>0</v>
      </c>
      <c r="X48" s="20" t="b">
        <f t="shared" si="25"/>
        <v>0</v>
      </c>
      <c r="Y48" s="20" t="b">
        <f t="shared" si="26"/>
        <v>0</v>
      </c>
      <c r="Z48" s="20" t="b">
        <f t="shared" si="27"/>
        <v>0</v>
      </c>
      <c r="AA48" s="20">
        <f t="shared" si="28"/>
        <v>0</v>
      </c>
    </row>
    <row r="49" spans="1:27" ht="24.95" customHeight="1" x14ac:dyDescent="0.3">
      <c r="A49" s="10">
        <f t="shared" si="18"/>
        <v>10</v>
      </c>
      <c r="B49" s="78" t="str">
        <f t="shared" si="19"/>
        <v>Adesivo Elástico - KG</v>
      </c>
      <c r="C49" s="78"/>
      <c r="D49" s="78"/>
      <c r="E49" s="78"/>
      <c r="F49" s="11">
        <f t="shared" si="17"/>
        <v>200</v>
      </c>
      <c r="G49" s="12" t="str">
        <f t="shared" si="20"/>
        <v>KG</v>
      </c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18">
        <f t="shared" si="21"/>
        <v>0</v>
      </c>
      <c r="S49" s="70" t="str">
        <f t="shared" si="22"/>
        <v>Sem Cotação</v>
      </c>
      <c r="T49" s="70"/>
      <c r="U49" s="71"/>
      <c r="V49" s="20" t="b">
        <f t="shared" si="23"/>
        <v>0</v>
      </c>
      <c r="W49" s="20" t="b">
        <f t="shared" si="24"/>
        <v>0</v>
      </c>
      <c r="X49" s="20" t="b">
        <f t="shared" si="25"/>
        <v>0</v>
      </c>
      <c r="Y49" s="20" t="b">
        <f t="shared" si="26"/>
        <v>0</v>
      </c>
      <c r="Z49" s="20" t="b">
        <f t="shared" si="27"/>
        <v>0</v>
      </c>
      <c r="AA49" s="20">
        <f t="shared" si="28"/>
        <v>0</v>
      </c>
    </row>
    <row r="50" spans="1:27" ht="24.95" customHeight="1" x14ac:dyDescent="0.3">
      <c r="A50" s="10">
        <f t="shared" si="18"/>
        <v>11</v>
      </c>
      <c r="B50" s="78" t="str">
        <f t="shared" si="19"/>
        <v>Fralda M - Polietileno (Filme eterno) - 600mm- kG</v>
      </c>
      <c r="C50" s="78"/>
      <c r="D50" s="78"/>
      <c r="E50" s="78"/>
      <c r="F50" s="11">
        <f t="shared" si="17"/>
        <v>200</v>
      </c>
      <c r="G50" s="12" t="str">
        <f t="shared" si="20"/>
        <v>KG</v>
      </c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18">
        <f t="shared" si="21"/>
        <v>0</v>
      </c>
      <c r="S50" s="70" t="str">
        <f t="shared" si="22"/>
        <v>Sem Cotação</v>
      </c>
      <c r="T50" s="70"/>
      <c r="U50" s="71"/>
      <c r="V50" s="20" t="b">
        <f t="shared" si="23"/>
        <v>0</v>
      </c>
      <c r="W50" s="20" t="b">
        <f t="shared" si="24"/>
        <v>0</v>
      </c>
      <c r="X50" s="20" t="b">
        <f t="shared" si="25"/>
        <v>0</v>
      </c>
      <c r="Y50" s="20" t="b">
        <f t="shared" si="26"/>
        <v>0</v>
      </c>
      <c r="Z50" s="20" t="b">
        <f t="shared" si="27"/>
        <v>0</v>
      </c>
      <c r="AA50" s="20">
        <f t="shared" si="28"/>
        <v>0</v>
      </c>
    </row>
    <row r="51" spans="1:27" ht="24.95" customHeight="1" x14ac:dyDescent="0.3">
      <c r="A51" s="10">
        <f t="shared" si="18"/>
        <v>12</v>
      </c>
      <c r="B51" s="78" t="str">
        <f t="shared" si="19"/>
        <v>Fralda G - Polietileno (Filme eterno) - 660mm - kG</v>
      </c>
      <c r="C51" s="78"/>
      <c r="D51" s="78"/>
      <c r="E51" s="78"/>
      <c r="F51" s="11">
        <f t="shared" si="17"/>
        <v>200</v>
      </c>
      <c r="G51" s="12" t="str">
        <f t="shared" si="20"/>
        <v>KG</v>
      </c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18">
        <f t="shared" si="21"/>
        <v>0</v>
      </c>
      <c r="S51" s="70" t="str">
        <f t="shared" si="22"/>
        <v>Sem Cotação</v>
      </c>
      <c r="T51" s="70"/>
      <c r="U51" s="71"/>
      <c r="V51" s="20" t="b">
        <f t="shared" si="23"/>
        <v>0</v>
      </c>
      <c r="W51" s="20" t="b">
        <f t="shared" si="24"/>
        <v>0</v>
      </c>
      <c r="X51" s="20" t="b">
        <f t="shared" si="25"/>
        <v>0</v>
      </c>
      <c r="Y51" s="20" t="b">
        <f t="shared" si="26"/>
        <v>0</v>
      </c>
      <c r="Z51" s="20" t="b">
        <f t="shared" si="27"/>
        <v>0</v>
      </c>
      <c r="AA51" s="20">
        <f t="shared" si="28"/>
        <v>0</v>
      </c>
    </row>
    <row r="52" spans="1:27" ht="24.95" customHeight="1" x14ac:dyDescent="0.3">
      <c r="A52" s="10">
        <f t="shared" si="18"/>
        <v>13</v>
      </c>
      <c r="B52" s="78" t="str">
        <f t="shared" si="19"/>
        <v>Fralda EG - Polietileno (Filme eterno) - 750mm- kG</v>
      </c>
      <c r="C52" s="78"/>
      <c r="D52" s="78"/>
      <c r="E52" s="78"/>
      <c r="F52" s="11">
        <f t="shared" si="17"/>
        <v>200</v>
      </c>
      <c r="G52" s="12" t="str">
        <f t="shared" si="20"/>
        <v>KG</v>
      </c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18">
        <f t="shared" si="21"/>
        <v>0</v>
      </c>
      <c r="S52" s="70" t="str">
        <f t="shared" si="22"/>
        <v>Sem Cotação</v>
      </c>
      <c r="T52" s="70"/>
      <c r="U52" s="71"/>
      <c r="V52" s="20" t="b">
        <f t="shared" si="23"/>
        <v>0</v>
      </c>
      <c r="W52" s="20" t="b">
        <f t="shared" si="24"/>
        <v>0</v>
      </c>
      <c r="X52" s="20" t="b">
        <f t="shared" si="25"/>
        <v>0</v>
      </c>
      <c r="Y52" s="20" t="b">
        <f t="shared" si="26"/>
        <v>0</v>
      </c>
      <c r="Z52" s="20" t="b">
        <f t="shared" si="27"/>
        <v>0</v>
      </c>
      <c r="AA52" s="20">
        <f t="shared" si="28"/>
        <v>0</v>
      </c>
    </row>
    <row r="53" spans="1:27" ht="24.95" customHeight="1" x14ac:dyDescent="0.3">
      <c r="A53" s="10">
        <f t="shared" si="18"/>
        <v>14</v>
      </c>
      <c r="B53" s="78" t="str">
        <f t="shared" si="19"/>
        <v>Fralda M - TNT (Cobertura - Tecido Não Tecido) - 600mm  - M²</v>
      </c>
      <c r="C53" s="78"/>
      <c r="D53" s="78"/>
      <c r="E53" s="78"/>
      <c r="F53" s="11">
        <f t="shared" si="17"/>
        <v>200</v>
      </c>
      <c r="G53" s="12" t="str">
        <f t="shared" si="20"/>
        <v>M²</v>
      </c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18">
        <f t="shared" si="21"/>
        <v>0</v>
      </c>
      <c r="S53" s="70" t="str">
        <f t="shared" si="22"/>
        <v>Sem Cotação</v>
      </c>
      <c r="T53" s="70"/>
      <c r="U53" s="71"/>
      <c r="V53" s="20" t="b">
        <f t="shared" si="23"/>
        <v>0</v>
      </c>
      <c r="W53" s="20" t="b">
        <f t="shared" si="24"/>
        <v>0</v>
      </c>
      <c r="X53" s="20" t="b">
        <f t="shared" si="25"/>
        <v>0</v>
      </c>
      <c r="Y53" s="20" t="b">
        <f t="shared" si="26"/>
        <v>0</v>
      </c>
      <c r="Z53" s="20" t="b">
        <f t="shared" si="27"/>
        <v>0</v>
      </c>
      <c r="AA53" s="20">
        <f t="shared" si="28"/>
        <v>0</v>
      </c>
    </row>
    <row r="54" spans="1:27" ht="24.95" customHeight="1" x14ac:dyDescent="0.3">
      <c r="A54" s="10">
        <f t="shared" si="18"/>
        <v>15</v>
      </c>
      <c r="B54" s="78" t="str">
        <f t="shared" si="19"/>
        <v>Fralda g - TNT (Cobertura - Tecido Não Tecido) - 650mm - M²</v>
      </c>
      <c r="C54" s="78"/>
      <c r="D54" s="78"/>
      <c r="E54" s="78"/>
      <c r="F54" s="11">
        <f t="shared" si="17"/>
        <v>200</v>
      </c>
      <c r="G54" s="12" t="str">
        <f t="shared" si="20"/>
        <v>M²</v>
      </c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18">
        <f t="shared" si="21"/>
        <v>0</v>
      </c>
      <c r="S54" s="70" t="str">
        <f t="shared" si="22"/>
        <v>Sem Cotação</v>
      </c>
      <c r="T54" s="70"/>
      <c r="U54" s="71"/>
      <c r="V54" s="20" t="b">
        <f t="shared" si="23"/>
        <v>0</v>
      </c>
      <c r="W54" s="20" t="b">
        <f t="shared" si="24"/>
        <v>0</v>
      </c>
      <c r="X54" s="20" t="b">
        <f t="shared" si="25"/>
        <v>0</v>
      </c>
      <c r="Y54" s="20" t="b">
        <f t="shared" si="26"/>
        <v>0</v>
      </c>
      <c r="Z54" s="20" t="b">
        <f t="shared" si="27"/>
        <v>0</v>
      </c>
      <c r="AA54" s="20">
        <f t="shared" si="28"/>
        <v>0</v>
      </c>
    </row>
    <row r="55" spans="1:27" ht="24.95" customHeight="1" x14ac:dyDescent="0.3">
      <c r="A55" s="10">
        <f t="shared" si="18"/>
        <v>16</v>
      </c>
      <c r="B55" s="78" t="str">
        <f t="shared" si="19"/>
        <v>Fralda EG - TNT (Cobertura - Tecido Não Tecido) - 750mm - M²</v>
      </c>
      <c r="C55" s="78"/>
      <c r="D55" s="78"/>
      <c r="E55" s="78"/>
      <c r="F55" s="11">
        <f t="shared" si="17"/>
        <v>200</v>
      </c>
      <c r="G55" s="12" t="str">
        <f t="shared" si="20"/>
        <v>M²</v>
      </c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18">
        <f t="shared" si="21"/>
        <v>0</v>
      </c>
      <c r="S55" s="70" t="str">
        <f t="shared" si="22"/>
        <v>Sem Cotação</v>
      </c>
      <c r="T55" s="70"/>
      <c r="U55" s="71"/>
      <c r="V55" s="20" t="b">
        <f t="shared" si="23"/>
        <v>0</v>
      </c>
      <c r="W55" s="20" t="b">
        <f t="shared" si="24"/>
        <v>0</v>
      </c>
      <c r="X55" s="20" t="b">
        <f t="shared" si="25"/>
        <v>0</v>
      </c>
      <c r="Y55" s="20" t="b">
        <f t="shared" si="26"/>
        <v>0</v>
      </c>
      <c r="Z55" s="20" t="b">
        <f t="shared" si="27"/>
        <v>0</v>
      </c>
      <c r="AA55" s="20">
        <f t="shared" si="28"/>
        <v>0</v>
      </c>
    </row>
    <row r="56" spans="1:27" ht="24.95" customHeight="1" x14ac:dyDescent="0.3">
      <c r="A56" s="10">
        <f t="shared" si="18"/>
        <v>17</v>
      </c>
      <c r="B56" s="78" t="str">
        <f t="shared" si="19"/>
        <v>Embalagem</v>
      </c>
      <c r="C56" s="78"/>
      <c r="D56" s="78"/>
      <c r="E56" s="78"/>
      <c r="F56" s="11">
        <f t="shared" si="17"/>
        <v>1000</v>
      </c>
      <c r="G56" s="12" t="str">
        <f t="shared" si="20"/>
        <v>Unidades</v>
      </c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18">
        <f t="shared" si="21"/>
        <v>0</v>
      </c>
      <c r="S56" s="70" t="str">
        <f t="shared" si="22"/>
        <v>Sem Cotação</v>
      </c>
      <c r="T56" s="70"/>
      <c r="U56" s="71"/>
      <c r="V56" s="20" t="b">
        <f t="shared" si="23"/>
        <v>0</v>
      </c>
      <c r="W56" s="20" t="b">
        <f t="shared" si="24"/>
        <v>0</v>
      </c>
      <c r="X56" s="20" t="b">
        <f t="shared" si="25"/>
        <v>0</v>
      </c>
      <c r="Y56" s="20" t="b">
        <f t="shared" si="26"/>
        <v>0</v>
      </c>
      <c r="Z56" s="20" t="b">
        <f t="shared" si="27"/>
        <v>0</v>
      </c>
      <c r="AA56" s="20">
        <f t="shared" si="28"/>
        <v>0</v>
      </c>
    </row>
    <row r="57" spans="1:27" ht="24.95" customHeight="1" x14ac:dyDescent="0.3">
      <c r="A57" s="10">
        <f t="shared" si="18"/>
        <v>18</v>
      </c>
      <c r="B57" s="78" t="str">
        <f t="shared" si="19"/>
        <v>Fardo</v>
      </c>
      <c r="C57" s="78"/>
      <c r="D57" s="78"/>
      <c r="E57" s="78"/>
      <c r="F57" s="11">
        <f t="shared" si="17"/>
        <v>1000</v>
      </c>
      <c r="G57" s="12" t="str">
        <f t="shared" si="20"/>
        <v>Unidades</v>
      </c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18">
        <f t="shared" si="21"/>
        <v>0</v>
      </c>
      <c r="S57" s="70" t="str">
        <f t="shared" si="22"/>
        <v>Sem Cotação</v>
      </c>
      <c r="T57" s="70"/>
      <c r="U57" s="71"/>
      <c r="V57" s="20" t="b">
        <f t="shared" si="23"/>
        <v>0</v>
      </c>
      <c r="W57" s="20" t="b">
        <f t="shared" si="24"/>
        <v>0</v>
      </c>
      <c r="X57" s="20" t="b">
        <f t="shared" si="25"/>
        <v>0</v>
      </c>
      <c r="Y57" s="20" t="b">
        <f t="shared" si="26"/>
        <v>0</v>
      </c>
      <c r="Z57" s="20" t="b">
        <f t="shared" si="27"/>
        <v>0</v>
      </c>
      <c r="AA57" s="20">
        <f t="shared" si="28"/>
        <v>0</v>
      </c>
    </row>
    <row r="58" spans="1:27" ht="24.95" customHeight="1" x14ac:dyDescent="0.3">
      <c r="A58" s="10">
        <f t="shared" si="18"/>
        <v>19</v>
      </c>
      <c r="B58" s="78" t="str">
        <f t="shared" si="19"/>
        <v/>
      </c>
      <c r="C58" s="78"/>
      <c r="D58" s="78"/>
      <c r="E58" s="78"/>
      <c r="F58" s="11" t="str">
        <f t="shared" si="17"/>
        <v/>
      </c>
      <c r="G58" s="12" t="str">
        <f t="shared" si="20"/>
        <v/>
      </c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18">
        <f t="shared" si="21"/>
        <v>0</v>
      </c>
      <c r="S58" s="70" t="str">
        <f t="shared" si="22"/>
        <v>Sem Cotação</v>
      </c>
      <c r="T58" s="70"/>
      <c r="U58" s="71"/>
      <c r="V58" s="20" t="b">
        <f t="shared" si="23"/>
        <v>0</v>
      </c>
      <c r="W58" s="20" t="b">
        <f t="shared" si="24"/>
        <v>0</v>
      </c>
      <c r="X58" s="20" t="b">
        <f t="shared" si="25"/>
        <v>0</v>
      </c>
      <c r="Y58" s="20" t="b">
        <f t="shared" si="26"/>
        <v>0</v>
      </c>
      <c r="Z58" s="20" t="b">
        <f t="shared" si="27"/>
        <v>0</v>
      </c>
      <c r="AA58" s="20">
        <f t="shared" si="28"/>
        <v>0</v>
      </c>
    </row>
    <row r="59" spans="1:27" ht="24.95" customHeight="1" x14ac:dyDescent="0.3">
      <c r="A59" s="10">
        <f t="shared" si="18"/>
        <v>20</v>
      </c>
      <c r="B59" s="78" t="str">
        <f t="shared" si="19"/>
        <v/>
      </c>
      <c r="C59" s="78"/>
      <c r="D59" s="78"/>
      <c r="E59" s="78"/>
      <c r="F59" s="11" t="str">
        <f t="shared" si="17"/>
        <v/>
      </c>
      <c r="G59" s="12" t="str">
        <f t="shared" si="20"/>
        <v/>
      </c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18">
        <f t="shared" si="21"/>
        <v>0</v>
      </c>
      <c r="S59" s="70" t="str">
        <f t="shared" si="22"/>
        <v>Sem Cotação</v>
      </c>
      <c r="T59" s="70"/>
      <c r="U59" s="71"/>
      <c r="V59" s="20" t="b">
        <f t="shared" si="23"/>
        <v>0</v>
      </c>
      <c r="W59" s="20" t="b">
        <f t="shared" si="24"/>
        <v>0</v>
      </c>
      <c r="X59" s="20" t="b">
        <f t="shared" si="25"/>
        <v>0</v>
      </c>
      <c r="Y59" s="20" t="b">
        <f t="shared" si="26"/>
        <v>0</v>
      </c>
      <c r="Z59" s="20" t="b">
        <f t="shared" si="27"/>
        <v>0</v>
      </c>
      <c r="AA59" s="20">
        <f t="shared" si="28"/>
        <v>0</v>
      </c>
    </row>
    <row r="60" spans="1:27" ht="24.95" customHeight="1" x14ac:dyDescent="0.3">
      <c r="A60" s="10">
        <f t="shared" si="18"/>
        <v>21</v>
      </c>
      <c r="B60" s="78" t="str">
        <f t="shared" si="19"/>
        <v/>
      </c>
      <c r="C60" s="78"/>
      <c r="D60" s="78"/>
      <c r="E60" s="78"/>
      <c r="F60" s="11" t="str">
        <f t="shared" si="17"/>
        <v/>
      </c>
      <c r="G60" s="12" t="str">
        <f t="shared" si="20"/>
        <v/>
      </c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18">
        <f t="shared" si="21"/>
        <v>0</v>
      </c>
      <c r="S60" s="70" t="str">
        <f t="shared" si="22"/>
        <v>Sem Cotação</v>
      </c>
      <c r="T60" s="70"/>
      <c r="U60" s="71"/>
      <c r="V60" s="20" t="b">
        <f t="shared" si="23"/>
        <v>0</v>
      </c>
      <c r="W60" s="20" t="b">
        <f t="shared" si="24"/>
        <v>0</v>
      </c>
      <c r="X60" s="20" t="b">
        <f t="shared" si="25"/>
        <v>0</v>
      </c>
      <c r="Y60" s="20" t="b">
        <f t="shared" si="26"/>
        <v>0</v>
      </c>
      <c r="Z60" s="20" t="b">
        <f t="shared" si="27"/>
        <v>0</v>
      </c>
      <c r="AA60" s="20">
        <f t="shared" si="28"/>
        <v>0</v>
      </c>
    </row>
    <row r="61" spans="1:27" ht="24.95" customHeight="1" x14ac:dyDescent="0.3">
      <c r="A61" s="10">
        <f t="shared" si="18"/>
        <v>22</v>
      </c>
      <c r="B61" s="78" t="str">
        <f t="shared" si="19"/>
        <v/>
      </c>
      <c r="C61" s="78"/>
      <c r="D61" s="78"/>
      <c r="E61" s="78"/>
      <c r="F61" s="11" t="str">
        <f t="shared" si="17"/>
        <v/>
      </c>
      <c r="G61" s="12" t="str">
        <f t="shared" si="20"/>
        <v/>
      </c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18">
        <f t="shared" si="21"/>
        <v>0</v>
      </c>
      <c r="S61" s="70" t="str">
        <f>IF(R61=V61,$H$38,IF(R61=W61,$J$38,IF(R61=X61,$L$38,IF(R61=Y61,$N$38,IF(R61=Z61,$P$38,"Sem Cotação")))))</f>
        <v>Sem Cotação</v>
      </c>
      <c r="T61" s="70"/>
      <c r="U61" s="71"/>
      <c r="V61" s="20" t="b">
        <f t="shared" si="23"/>
        <v>0</v>
      </c>
      <c r="W61" s="20" t="b">
        <f t="shared" si="24"/>
        <v>0</v>
      </c>
      <c r="X61" s="20" t="b">
        <f t="shared" si="25"/>
        <v>0</v>
      </c>
      <c r="Y61" s="20" t="b">
        <f t="shared" si="26"/>
        <v>0</v>
      </c>
      <c r="Z61" s="20" t="b">
        <f t="shared" si="27"/>
        <v>0</v>
      </c>
      <c r="AA61" s="20">
        <f t="shared" si="28"/>
        <v>0</v>
      </c>
    </row>
    <row r="62" spans="1:27" ht="24.95" customHeight="1" x14ac:dyDescent="0.3">
      <c r="A62" s="10">
        <f t="shared" si="18"/>
        <v>23</v>
      </c>
      <c r="B62" s="78" t="str">
        <f t="shared" si="19"/>
        <v/>
      </c>
      <c r="C62" s="78"/>
      <c r="D62" s="78"/>
      <c r="E62" s="78"/>
      <c r="F62" s="11" t="str">
        <f t="shared" si="17"/>
        <v/>
      </c>
      <c r="G62" s="12" t="str">
        <f t="shared" si="20"/>
        <v/>
      </c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18">
        <f t="shared" si="21"/>
        <v>0</v>
      </c>
      <c r="S62" s="70" t="str">
        <f t="shared" si="22"/>
        <v>Sem Cotação</v>
      </c>
      <c r="T62" s="70"/>
      <c r="U62" s="71"/>
      <c r="V62" s="20" t="b">
        <f t="shared" si="23"/>
        <v>0</v>
      </c>
      <c r="W62" s="20" t="b">
        <f t="shared" si="24"/>
        <v>0</v>
      </c>
      <c r="X62" s="20" t="b">
        <f t="shared" si="25"/>
        <v>0</v>
      </c>
      <c r="Y62" s="20" t="b">
        <f t="shared" si="26"/>
        <v>0</v>
      </c>
      <c r="Z62" s="20" t="b">
        <f t="shared" si="27"/>
        <v>0</v>
      </c>
      <c r="AA62" s="20">
        <f t="shared" si="28"/>
        <v>0</v>
      </c>
    </row>
    <row r="63" spans="1:27" ht="24.95" customHeight="1" x14ac:dyDescent="0.3">
      <c r="A63" s="10">
        <f t="shared" si="18"/>
        <v>24</v>
      </c>
      <c r="B63" s="78" t="str">
        <f t="shared" si="19"/>
        <v/>
      </c>
      <c r="C63" s="78"/>
      <c r="D63" s="78"/>
      <c r="E63" s="78"/>
      <c r="F63" s="11" t="str">
        <f t="shared" si="17"/>
        <v/>
      </c>
      <c r="G63" s="12" t="str">
        <f t="shared" si="20"/>
        <v/>
      </c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18">
        <f t="shared" si="21"/>
        <v>0</v>
      </c>
      <c r="S63" s="70" t="str">
        <f t="shared" si="22"/>
        <v>Sem Cotação</v>
      </c>
      <c r="T63" s="70"/>
      <c r="U63" s="71"/>
      <c r="V63" s="20" t="b">
        <f t="shared" si="23"/>
        <v>0</v>
      </c>
      <c r="W63" s="20" t="b">
        <f t="shared" si="24"/>
        <v>0</v>
      </c>
      <c r="X63" s="20" t="b">
        <f t="shared" si="25"/>
        <v>0</v>
      </c>
      <c r="Y63" s="20" t="b">
        <f t="shared" si="26"/>
        <v>0</v>
      </c>
      <c r="Z63" s="20" t="b">
        <f t="shared" si="27"/>
        <v>0</v>
      </c>
      <c r="AA63" s="20">
        <f t="shared" si="28"/>
        <v>0</v>
      </c>
    </row>
    <row r="64" spans="1:27" ht="24.95" customHeight="1" x14ac:dyDescent="0.3">
      <c r="A64" s="10">
        <f t="shared" si="18"/>
        <v>25</v>
      </c>
      <c r="B64" s="78" t="str">
        <f t="shared" si="19"/>
        <v/>
      </c>
      <c r="C64" s="78"/>
      <c r="D64" s="78"/>
      <c r="E64" s="78"/>
      <c r="F64" s="11" t="str">
        <f t="shared" si="17"/>
        <v/>
      </c>
      <c r="G64" s="12" t="str">
        <f t="shared" si="20"/>
        <v/>
      </c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18">
        <f t="shared" si="21"/>
        <v>0</v>
      </c>
      <c r="S64" s="70" t="str">
        <f t="shared" si="22"/>
        <v>Sem Cotação</v>
      </c>
      <c r="T64" s="70"/>
      <c r="U64" s="71"/>
      <c r="V64" s="20" t="b">
        <f t="shared" si="23"/>
        <v>0</v>
      </c>
      <c r="W64" s="20" t="b">
        <f t="shared" si="24"/>
        <v>0</v>
      </c>
      <c r="X64" s="20" t="b">
        <f t="shared" si="25"/>
        <v>0</v>
      </c>
      <c r="Y64" s="20" t="b">
        <f t="shared" si="26"/>
        <v>0</v>
      </c>
      <c r="Z64" s="20" t="b">
        <f t="shared" si="27"/>
        <v>0</v>
      </c>
      <c r="AA64" s="20">
        <f t="shared" si="28"/>
        <v>0</v>
      </c>
    </row>
    <row r="65" spans="1:28" ht="15" customHeight="1" x14ac:dyDescent="0.25">
      <c r="A65" s="111" t="s">
        <v>121</v>
      </c>
      <c r="B65" s="112"/>
      <c r="C65" s="112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3"/>
      <c r="V65" s="117" t="s">
        <v>127</v>
      </c>
      <c r="W65" s="64"/>
      <c r="X65" s="64"/>
      <c r="Y65" s="64"/>
      <c r="Z65" s="64"/>
      <c r="AA65" s="64"/>
    </row>
    <row r="66" spans="1:28" ht="15" customHeight="1" x14ac:dyDescent="0.25">
      <c r="A66" s="111"/>
      <c r="B66" s="112"/>
      <c r="C66" s="112"/>
      <c r="D66" s="112"/>
      <c r="E66" s="112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3"/>
      <c r="V66" s="117"/>
      <c r="W66" s="64"/>
      <c r="X66" s="64"/>
      <c r="Y66" s="64"/>
      <c r="Z66" s="64"/>
      <c r="AA66" s="64"/>
    </row>
    <row r="67" spans="1:28" ht="15" customHeight="1" x14ac:dyDescent="0.25">
      <c r="A67" s="92" t="str">
        <f>A9</f>
        <v>Código Interno</v>
      </c>
      <c r="B67" s="69" t="s">
        <v>66</v>
      </c>
      <c r="C67" s="69"/>
      <c r="D67" s="69"/>
      <c r="E67" s="69"/>
      <c r="F67" s="69" t="s">
        <v>88</v>
      </c>
      <c r="G67" s="69"/>
      <c r="H67" s="69" t="str">
        <f>(H9)</f>
        <v>PRODHIGI</v>
      </c>
      <c r="I67" s="69"/>
      <c r="J67" s="69" t="str">
        <f>(J9)</f>
        <v>PRIME</v>
      </c>
      <c r="K67" s="69"/>
      <c r="L67" s="69" t="str">
        <f>(L9)</f>
        <v>GAMA</v>
      </c>
      <c r="M67" s="69"/>
      <c r="N67" s="69" t="str">
        <f>(N9)</f>
        <v>NOVA EMBALAGENS</v>
      </c>
      <c r="O67" s="69"/>
      <c r="P67" s="69" t="str">
        <f>(P9)</f>
        <v>MAGSAC</v>
      </c>
      <c r="Q67" s="69"/>
      <c r="R67" s="69" t="s">
        <v>106</v>
      </c>
      <c r="S67" s="69" t="s">
        <v>170</v>
      </c>
      <c r="T67" s="69"/>
      <c r="U67" s="107"/>
      <c r="V67" s="117"/>
      <c r="W67" s="64"/>
      <c r="X67" s="64"/>
      <c r="Y67" s="64"/>
      <c r="Z67" s="64"/>
      <c r="AA67" s="64"/>
    </row>
    <row r="68" spans="1:28" ht="15" customHeight="1" x14ac:dyDescent="0.25">
      <c r="A68" s="92"/>
      <c r="B68" s="69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107"/>
      <c r="V68" s="1" t="str">
        <f>H9</f>
        <v>PRODHIGI</v>
      </c>
      <c r="W68" s="1" t="str">
        <f>J9</f>
        <v>PRIME</v>
      </c>
      <c r="X68" s="1" t="str">
        <f>L9</f>
        <v>GAMA</v>
      </c>
      <c r="Y68" s="1" t="str">
        <f>N9</f>
        <v>NOVA EMBALAGENS</v>
      </c>
      <c r="Z68" s="1" t="str">
        <f>P9</f>
        <v>MAGSAC</v>
      </c>
      <c r="AA68" s="1" t="s">
        <v>128</v>
      </c>
      <c r="AB68" s="16"/>
    </row>
    <row r="69" spans="1:28" ht="24.95" customHeight="1" x14ac:dyDescent="0.3">
      <c r="A69" s="10">
        <f>IF(OR(ISBLANK(A40), A40=""), "", A40)</f>
        <v>1</v>
      </c>
      <c r="B69" s="78" t="str">
        <f>IF(OR(ISBLANK(B40), B40=""), "", B40)</f>
        <v>TNT (Tecido Não Tecido) Trasnfer  - M²</v>
      </c>
      <c r="C69" s="78"/>
      <c r="D69" s="78"/>
      <c r="E69" s="78"/>
      <c r="F69" s="11">
        <f>IF(OR(ISBLANK(F40), F40=""), "", F40)</f>
        <v>200</v>
      </c>
      <c r="G69" s="12" t="str">
        <f>IF(OR(ISBLANK(G40), G40=""), "", G40)</f>
        <v>M²</v>
      </c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18">
        <f>MIN(V69:Z69)</f>
        <v>0</v>
      </c>
      <c r="S69" s="55" t="str">
        <f>IF(R69=V69,$H$67,IF(R69=W69,J67,IF(R69=X69,$L$67,IF(R69=Y69,$N$67,IF(R69=Z69,$P$67,"Sem Cotação")))))</f>
        <v>Sem Cotação</v>
      </c>
      <c r="T69" s="55"/>
      <c r="U69" s="72"/>
      <c r="V69" s="20" t="b">
        <f>IF(H69&lt;&gt;"",H11+H11*H69)</f>
        <v>0</v>
      </c>
      <c r="W69" s="20" t="b">
        <f t="shared" ref="W69:W93" si="29">IF(J69&lt;&gt;"",J11+J11*J69)</f>
        <v>0</v>
      </c>
      <c r="X69" s="20" t="b">
        <f t="shared" ref="X69:X93" si="30">IF(L69&lt;&gt;"",L11+L11*L69)</f>
        <v>0</v>
      </c>
      <c r="Y69" s="20" t="b">
        <f t="shared" ref="Y69:Y93" si="31">IF(N69&lt;&gt;"",N11+N11*N69)</f>
        <v>0</v>
      </c>
      <c r="Z69" s="20" t="b">
        <f t="shared" ref="Z69:Z93" si="32">IF(P69&lt;&gt;"",P11+P11*P69)</f>
        <v>0</v>
      </c>
      <c r="AA69" s="20">
        <f>MIN(V69:Z69)</f>
        <v>0</v>
      </c>
      <c r="AB69" s="16"/>
    </row>
    <row r="70" spans="1:28" ht="24.95" customHeight="1" x14ac:dyDescent="0.3">
      <c r="A70" s="10">
        <f t="shared" ref="A70:B85" si="33">IF(OR(ISBLANK(A41), A41=""), "", A41)</f>
        <v>2</v>
      </c>
      <c r="B70" s="78" t="str">
        <f t="shared" si="33"/>
        <v>TNT (Barreira - Tecido Não Tecido) - M²</v>
      </c>
      <c r="C70" s="78"/>
      <c r="D70" s="78"/>
      <c r="E70" s="78"/>
      <c r="F70" s="11">
        <f t="shared" ref="F70:F93" si="34">IF(OR(ISTEXT(F41), F41=""), "", F41)</f>
        <v>200</v>
      </c>
      <c r="G70" s="12" t="str">
        <f t="shared" ref="G70:G93" si="35">IF(OR(ISBLANK(G41), G41=""), "", G41)</f>
        <v>M²</v>
      </c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18">
        <f t="shared" ref="R70:R93" si="36">MIN(V70:Z70)</f>
        <v>0</v>
      </c>
      <c r="S70" s="55" t="str">
        <f t="shared" ref="S70:S91" si="37">IF(R70=V70,$H$67,IF(R70=W70,J68,IF(R70=X70,$L$67,IF(R70=Y70,$N$67,IF(R70=Z70,$P$67,"Sem Cotação")))))</f>
        <v>Sem Cotação</v>
      </c>
      <c r="T70" s="55"/>
      <c r="U70" s="72"/>
      <c r="V70" s="20" t="b">
        <f t="shared" ref="V70:V93" si="38">IF(H70&lt;&gt;"",H12+H12*H70)</f>
        <v>0</v>
      </c>
      <c r="W70" s="20" t="b">
        <f t="shared" si="29"/>
        <v>0</v>
      </c>
      <c r="X70" s="20" t="b">
        <f t="shared" si="30"/>
        <v>0</v>
      </c>
      <c r="Y70" s="20" t="b">
        <f t="shared" si="31"/>
        <v>0</v>
      </c>
      <c r="Z70" s="20" t="b">
        <f t="shared" si="32"/>
        <v>0</v>
      </c>
      <c r="AA70" s="20">
        <f t="shared" ref="AA70:AA93" si="39">MIN(V70:Z70)</f>
        <v>0</v>
      </c>
      <c r="AB70" s="16"/>
    </row>
    <row r="71" spans="1:28" ht="24.95" customHeight="1" x14ac:dyDescent="0.3">
      <c r="A71" s="10">
        <f t="shared" si="33"/>
        <v>3</v>
      </c>
      <c r="B71" s="78" t="str">
        <f t="shared" si="33"/>
        <v>Gel Superrabisorvente (SAP) - KG</v>
      </c>
      <c r="C71" s="78"/>
      <c r="D71" s="78"/>
      <c r="E71" s="78"/>
      <c r="F71" s="11">
        <f t="shared" si="34"/>
        <v>200</v>
      </c>
      <c r="G71" s="12" t="str">
        <f t="shared" si="35"/>
        <v>KG</v>
      </c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18">
        <f t="shared" si="36"/>
        <v>0</v>
      </c>
      <c r="S71" s="55" t="str">
        <f t="shared" si="37"/>
        <v>Sem Cotação</v>
      </c>
      <c r="T71" s="55"/>
      <c r="U71" s="72"/>
      <c r="V71" s="20" t="b">
        <f t="shared" si="38"/>
        <v>0</v>
      </c>
      <c r="W71" s="20" t="b">
        <f t="shared" si="29"/>
        <v>0</v>
      </c>
      <c r="X71" s="20" t="b">
        <f t="shared" si="30"/>
        <v>0</v>
      </c>
      <c r="Y71" s="20" t="b">
        <f t="shared" si="31"/>
        <v>0</v>
      </c>
      <c r="Z71" s="20" t="b">
        <f t="shared" si="32"/>
        <v>0</v>
      </c>
      <c r="AA71" s="20">
        <f t="shared" si="39"/>
        <v>0</v>
      </c>
      <c r="AB71" s="15"/>
    </row>
    <row r="72" spans="1:28" ht="24.95" customHeight="1" x14ac:dyDescent="0.3">
      <c r="A72" s="10">
        <f t="shared" si="33"/>
        <v>4</v>
      </c>
      <c r="B72" s="78" t="str">
        <f t="shared" si="33"/>
        <v>Celulose Fluff  - KG</v>
      </c>
      <c r="C72" s="78"/>
      <c r="D72" s="78"/>
      <c r="E72" s="78"/>
      <c r="F72" s="11">
        <f t="shared" si="34"/>
        <v>200</v>
      </c>
      <c r="G72" s="12" t="str">
        <f t="shared" si="35"/>
        <v>KG</v>
      </c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18">
        <f t="shared" si="36"/>
        <v>0</v>
      </c>
      <c r="S72" s="55" t="str">
        <f t="shared" si="37"/>
        <v>Sem Cotação</v>
      </c>
      <c r="T72" s="55"/>
      <c r="U72" s="72"/>
      <c r="V72" s="20" t="b">
        <f t="shared" si="38"/>
        <v>0</v>
      </c>
      <c r="W72" s="20" t="b">
        <f t="shared" si="29"/>
        <v>0</v>
      </c>
      <c r="X72" s="20" t="b">
        <f t="shared" si="30"/>
        <v>0</v>
      </c>
      <c r="Y72" s="20" t="b">
        <f t="shared" si="31"/>
        <v>0</v>
      </c>
      <c r="Z72" s="20" t="b">
        <f t="shared" si="32"/>
        <v>0</v>
      </c>
      <c r="AA72" s="20">
        <f t="shared" si="39"/>
        <v>0</v>
      </c>
      <c r="AB72" s="15"/>
    </row>
    <row r="73" spans="1:28" ht="24.95" customHeight="1" x14ac:dyDescent="0.3">
      <c r="A73" s="10">
        <f t="shared" si="33"/>
        <v>5</v>
      </c>
      <c r="B73" s="78" t="str">
        <f t="shared" si="33"/>
        <v>Elásticos (Laterais e Cintura) - KG</v>
      </c>
      <c r="C73" s="78"/>
      <c r="D73" s="78"/>
      <c r="E73" s="78"/>
      <c r="F73" s="11">
        <f t="shared" si="34"/>
        <v>200</v>
      </c>
      <c r="G73" s="12" t="str">
        <f t="shared" si="35"/>
        <v>KG</v>
      </c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18">
        <f t="shared" si="36"/>
        <v>0</v>
      </c>
      <c r="S73" s="55" t="str">
        <f t="shared" si="37"/>
        <v>Sem Cotação</v>
      </c>
      <c r="T73" s="55"/>
      <c r="U73" s="72"/>
      <c r="V73" s="20" t="b">
        <f t="shared" si="38"/>
        <v>0</v>
      </c>
      <c r="W73" s="20" t="b">
        <f t="shared" si="29"/>
        <v>0</v>
      </c>
      <c r="X73" s="20" t="b">
        <f t="shared" si="30"/>
        <v>0</v>
      </c>
      <c r="Y73" s="20" t="b">
        <f t="shared" si="31"/>
        <v>0</v>
      </c>
      <c r="Z73" s="20" t="b">
        <f t="shared" si="32"/>
        <v>0</v>
      </c>
      <c r="AA73" s="20">
        <f t="shared" si="39"/>
        <v>0</v>
      </c>
    </row>
    <row r="74" spans="1:28" ht="24.95" customHeight="1" x14ac:dyDescent="0.3">
      <c r="A74" s="10">
        <f t="shared" si="33"/>
        <v>6</v>
      </c>
      <c r="B74" s="78" t="str">
        <f t="shared" si="33"/>
        <v>Fitas Adesivas - M²</v>
      </c>
      <c r="C74" s="78"/>
      <c r="D74" s="78"/>
      <c r="E74" s="78"/>
      <c r="F74" s="11">
        <f t="shared" si="34"/>
        <v>200</v>
      </c>
      <c r="G74" s="12" t="str">
        <f t="shared" si="35"/>
        <v>M²</v>
      </c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18">
        <f t="shared" si="36"/>
        <v>0</v>
      </c>
      <c r="S74" s="55" t="str">
        <f t="shared" si="37"/>
        <v>Sem Cotação</v>
      </c>
      <c r="T74" s="55"/>
      <c r="U74" s="72"/>
      <c r="V74" s="20" t="b">
        <f t="shared" si="38"/>
        <v>0</v>
      </c>
      <c r="W74" s="20" t="b">
        <f t="shared" si="29"/>
        <v>0</v>
      </c>
      <c r="X74" s="20" t="b">
        <f t="shared" si="30"/>
        <v>0</v>
      </c>
      <c r="Y74" s="20" t="b">
        <f t="shared" si="31"/>
        <v>0</v>
      </c>
      <c r="Z74" s="20" t="b">
        <f t="shared" si="32"/>
        <v>0</v>
      </c>
      <c r="AA74" s="20">
        <f t="shared" si="39"/>
        <v>0</v>
      </c>
    </row>
    <row r="75" spans="1:28" ht="24.95" customHeight="1" x14ac:dyDescent="0.3">
      <c r="A75" s="10">
        <f t="shared" si="33"/>
        <v>7</v>
      </c>
      <c r="B75" s="78" t="str">
        <f t="shared" si="33"/>
        <v>Adesivo Construção - KG</v>
      </c>
      <c r="C75" s="78"/>
      <c r="D75" s="78"/>
      <c r="E75" s="78"/>
      <c r="F75" s="11">
        <f t="shared" si="34"/>
        <v>200</v>
      </c>
      <c r="G75" s="12" t="str">
        <f t="shared" si="35"/>
        <v>KG</v>
      </c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18">
        <f t="shared" si="36"/>
        <v>0</v>
      </c>
      <c r="S75" s="55" t="str">
        <f t="shared" si="37"/>
        <v>Sem Cotação</v>
      </c>
      <c r="T75" s="55"/>
      <c r="U75" s="72"/>
      <c r="V75" s="20" t="b">
        <f t="shared" si="38"/>
        <v>0</v>
      </c>
      <c r="W75" s="20" t="b">
        <f t="shared" si="29"/>
        <v>0</v>
      </c>
      <c r="X75" s="20" t="b">
        <f t="shared" si="30"/>
        <v>0</v>
      </c>
      <c r="Y75" s="20" t="b">
        <f t="shared" si="31"/>
        <v>0</v>
      </c>
      <c r="Z75" s="20" t="b">
        <f t="shared" si="32"/>
        <v>0</v>
      </c>
      <c r="AA75" s="20">
        <f t="shared" si="39"/>
        <v>0</v>
      </c>
    </row>
    <row r="76" spans="1:28" ht="24.95" customHeight="1" x14ac:dyDescent="0.3">
      <c r="A76" s="10">
        <f t="shared" si="33"/>
        <v>8</v>
      </c>
      <c r="B76" s="78" t="str">
        <f t="shared" si="33"/>
        <v>Tinta do Indicador de Umidade - Litro</v>
      </c>
      <c r="C76" s="78"/>
      <c r="D76" s="78"/>
      <c r="E76" s="78"/>
      <c r="F76" s="11" t="str">
        <f t="shared" si="34"/>
        <v/>
      </c>
      <c r="G76" s="12" t="str">
        <f t="shared" si="35"/>
        <v>Litro</v>
      </c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18">
        <f t="shared" si="36"/>
        <v>0</v>
      </c>
      <c r="S76" s="55" t="str">
        <f t="shared" si="37"/>
        <v>Sem Cotação</v>
      </c>
      <c r="T76" s="55"/>
      <c r="U76" s="72"/>
      <c r="V76" s="20" t="b">
        <f t="shared" si="38"/>
        <v>0</v>
      </c>
      <c r="W76" s="20" t="b">
        <f t="shared" si="29"/>
        <v>0</v>
      </c>
      <c r="X76" s="20" t="b">
        <f t="shared" si="30"/>
        <v>0</v>
      </c>
      <c r="Y76" s="20" t="b">
        <f t="shared" si="31"/>
        <v>0</v>
      </c>
      <c r="Z76" s="20" t="b">
        <f t="shared" si="32"/>
        <v>0</v>
      </c>
      <c r="AA76" s="20">
        <f t="shared" si="39"/>
        <v>0</v>
      </c>
    </row>
    <row r="77" spans="1:28" ht="24.95" customHeight="1" x14ac:dyDescent="0.3">
      <c r="A77" s="10">
        <f t="shared" si="33"/>
        <v>9</v>
      </c>
      <c r="B77" s="78" t="str">
        <f t="shared" si="33"/>
        <v>Tinta Datadora de Lote - Litro</v>
      </c>
      <c r="C77" s="78"/>
      <c r="D77" s="78"/>
      <c r="E77" s="78"/>
      <c r="F77" s="11" t="str">
        <f t="shared" si="34"/>
        <v/>
      </c>
      <c r="G77" s="12" t="str">
        <f t="shared" si="35"/>
        <v>Litro</v>
      </c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18">
        <f t="shared" si="36"/>
        <v>0</v>
      </c>
      <c r="S77" s="55" t="str">
        <f t="shared" si="37"/>
        <v>Sem Cotação</v>
      </c>
      <c r="T77" s="55"/>
      <c r="U77" s="72"/>
      <c r="V77" s="20" t="b">
        <f t="shared" si="38"/>
        <v>0</v>
      </c>
      <c r="W77" s="20" t="b">
        <f t="shared" si="29"/>
        <v>0</v>
      </c>
      <c r="X77" s="20" t="b">
        <f t="shared" si="30"/>
        <v>0</v>
      </c>
      <c r="Y77" s="20" t="b">
        <f t="shared" si="31"/>
        <v>0</v>
      </c>
      <c r="Z77" s="20" t="b">
        <f t="shared" si="32"/>
        <v>0</v>
      </c>
      <c r="AA77" s="20">
        <f t="shared" si="39"/>
        <v>0</v>
      </c>
    </row>
    <row r="78" spans="1:28" ht="24.95" customHeight="1" x14ac:dyDescent="0.3">
      <c r="A78" s="10">
        <f t="shared" si="33"/>
        <v>10</v>
      </c>
      <c r="B78" s="78" t="str">
        <f t="shared" si="33"/>
        <v>Adesivo Elástico - KG</v>
      </c>
      <c r="C78" s="78"/>
      <c r="D78" s="78"/>
      <c r="E78" s="78"/>
      <c r="F78" s="11">
        <f t="shared" si="34"/>
        <v>200</v>
      </c>
      <c r="G78" s="12" t="str">
        <f t="shared" si="35"/>
        <v>KG</v>
      </c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18">
        <f t="shared" si="36"/>
        <v>0</v>
      </c>
      <c r="S78" s="55" t="str">
        <f t="shared" si="37"/>
        <v>Sem Cotação</v>
      </c>
      <c r="T78" s="55"/>
      <c r="U78" s="72"/>
      <c r="V78" s="20" t="b">
        <f t="shared" si="38"/>
        <v>0</v>
      </c>
      <c r="W78" s="20" t="b">
        <f t="shared" si="29"/>
        <v>0</v>
      </c>
      <c r="X78" s="20" t="b">
        <f t="shared" si="30"/>
        <v>0</v>
      </c>
      <c r="Y78" s="20" t="b">
        <f t="shared" si="31"/>
        <v>0</v>
      </c>
      <c r="Z78" s="20" t="b">
        <f t="shared" si="32"/>
        <v>0</v>
      </c>
      <c r="AA78" s="20">
        <f t="shared" si="39"/>
        <v>0</v>
      </c>
    </row>
    <row r="79" spans="1:28" ht="24.95" customHeight="1" x14ac:dyDescent="0.3">
      <c r="A79" s="10">
        <f t="shared" si="33"/>
        <v>11</v>
      </c>
      <c r="B79" s="78" t="str">
        <f t="shared" si="33"/>
        <v>Fralda M - Polietileno (Filme eterno) - 600mm- kG</v>
      </c>
      <c r="C79" s="78"/>
      <c r="D79" s="78"/>
      <c r="E79" s="78"/>
      <c r="F79" s="11">
        <f t="shared" si="34"/>
        <v>200</v>
      </c>
      <c r="G79" s="12" t="str">
        <f t="shared" si="35"/>
        <v>KG</v>
      </c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18">
        <f t="shared" si="36"/>
        <v>0</v>
      </c>
      <c r="S79" s="55" t="str">
        <f t="shared" si="37"/>
        <v>Sem Cotação</v>
      </c>
      <c r="T79" s="55"/>
      <c r="U79" s="72"/>
      <c r="V79" s="20" t="b">
        <f t="shared" si="38"/>
        <v>0</v>
      </c>
      <c r="W79" s="20" t="b">
        <f t="shared" si="29"/>
        <v>0</v>
      </c>
      <c r="X79" s="20" t="b">
        <f t="shared" si="30"/>
        <v>0</v>
      </c>
      <c r="Y79" s="20" t="b">
        <f t="shared" si="31"/>
        <v>0</v>
      </c>
      <c r="Z79" s="20" t="b">
        <f t="shared" si="32"/>
        <v>0</v>
      </c>
      <c r="AA79" s="20">
        <f t="shared" si="39"/>
        <v>0</v>
      </c>
    </row>
    <row r="80" spans="1:28" ht="24.95" customHeight="1" x14ac:dyDescent="0.3">
      <c r="A80" s="10">
        <f t="shared" si="33"/>
        <v>12</v>
      </c>
      <c r="B80" s="78" t="str">
        <f t="shared" si="33"/>
        <v>Fralda G - Polietileno (Filme eterno) - 660mm - kG</v>
      </c>
      <c r="C80" s="78"/>
      <c r="D80" s="78"/>
      <c r="E80" s="78"/>
      <c r="F80" s="11">
        <f t="shared" si="34"/>
        <v>200</v>
      </c>
      <c r="G80" s="12" t="str">
        <f t="shared" si="35"/>
        <v>KG</v>
      </c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18">
        <f t="shared" si="36"/>
        <v>0</v>
      </c>
      <c r="S80" s="55" t="str">
        <f t="shared" si="37"/>
        <v>Sem Cotação</v>
      </c>
      <c r="T80" s="55"/>
      <c r="U80" s="72"/>
      <c r="V80" s="20" t="b">
        <f t="shared" si="38"/>
        <v>0</v>
      </c>
      <c r="W80" s="20" t="b">
        <f t="shared" si="29"/>
        <v>0</v>
      </c>
      <c r="X80" s="20" t="b">
        <f t="shared" si="30"/>
        <v>0</v>
      </c>
      <c r="Y80" s="20" t="b">
        <f t="shared" si="31"/>
        <v>0</v>
      </c>
      <c r="Z80" s="20" t="b">
        <f t="shared" si="32"/>
        <v>0</v>
      </c>
      <c r="AA80" s="20">
        <f t="shared" si="39"/>
        <v>0</v>
      </c>
    </row>
    <row r="81" spans="1:27" ht="24.95" customHeight="1" x14ac:dyDescent="0.3">
      <c r="A81" s="10">
        <f t="shared" si="33"/>
        <v>13</v>
      </c>
      <c r="B81" s="78" t="str">
        <f t="shared" si="33"/>
        <v>Fralda EG - Polietileno (Filme eterno) - 750mm- kG</v>
      </c>
      <c r="C81" s="78"/>
      <c r="D81" s="78"/>
      <c r="E81" s="78"/>
      <c r="F81" s="11">
        <f t="shared" si="34"/>
        <v>200</v>
      </c>
      <c r="G81" s="12" t="str">
        <f t="shared" si="35"/>
        <v>KG</v>
      </c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18">
        <f t="shared" si="36"/>
        <v>0</v>
      </c>
      <c r="S81" s="55" t="str">
        <f t="shared" si="37"/>
        <v>Sem Cotação</v>
      </c>
      <c r="T81" s="55"/>
      <c r="U81" s="72"/>
      <c r="V81" s="20" t="b">
        <f t="shared" si="38"/>
        <v>0</v>
      </c>
      <c r="W81" s="20" t="b">
        <f t="shared" si="29"/>
        <v>0</v>
      </c>
      <c r="X81" s="20" t="b">
        <f t="shared" si="30"/>
        <v>0</v>
      </c>
      <c r="Y81" s="20" t="b">
        <f t="shared" si="31"/>
        <v>0</v>
      </c>
      <c r="Z81" s="20" t="b">
        <f t="shared" si="32"/>
        <v>0</v>
      </c>
      <c r="AA81" s="20">
        <f t="shared" si="39"/>
        <v>0</v>
      </c>
    </row>
    <row r="82" spans="1:27" ht="24.95" customHeight="1" x14ac:dyDescent="0.3">
      <c r="A82" s="10">
        <f t="shared" si="33"/>
        <v>14</v>
      </c>
      <c r="B82" s="78" t="str">
        <f t="shared" si="33"/>
        <v>Fralda M - TNT (Cobertura - Tecido Não Tecido) - 600mm  - M²</v>
      </c>
      <c r="C82" s="78"/>
      <c r="D82" s="78"/>
      <c r="E82" s="78"/>
      <c r="F82" s="11">
        <f t="shared" si="34"/>
        <v>200</v>
      </c>
      <c r="G82" s="12" t="str">
        <f t="shared" si="35"/>
        <v>M²</v>
      </c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18">
        <f t="shared" si="36"/>
        <v>0</v>
      </c>
      <c r="S82" s="55" t="str">
        <f t="shared" si="37"/>
        <v>Sem Cotação</v>
      </c>
      <c r="T82" s="55"/>
      <c r="U82" s="72"/>
      <c r="V82" s="20" t="b">
        <f t="shared" si="38"/>
        <v>0</v>
      </c>
      <c r="W82" s="20" t="b">
        <f t="shared" si="29"/>
        <v>0</v>
      </c>
      <c r="X82" s="20" t="b">
        <f t="shared" si="30"/>
        <v>0</v>
      </c>
      <c r="Y82" s="20" t="b">
        <f t="shared" si="31"/>
        <v>0</v>
      </c>
      <c r="Z82" s="20" t="b">
        <f t="shared" si="32"/>
        <v>0</v>
      </c>
      <c r="AA82" s="20">
        <f t="shared" si="39"/>
        <v>0</v>
      </c>
    </row>
    <row r="83" spans="1:27" ht="24.95" customHeight="1" x14ac:dyDescent="0.3">
      <c r="A83" s="10">
        <f t="shared" si="33"/>
        <v>15</v>
      </c>
      <c r="B83" s="78" t="str">
        <f t="shared" si="33"/>
        <v>Fralda g - TNT (Cobertura - Tecido Não Tecido) - 650mm - M²</v>
      </c>
      <c r="C83" s="78"/>
      <c r="D83" s="78"/>
      <c r="E83" s="78"/>
      <c r="F83" s="11">
        <f t="shared" si="34"/>
        <v>200</v>
      </c>
      <c r="G83" s="12" t="str">
        <f t="shared" si="35"/>
        <v>M²</v>
      </c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18">
        <f t="shared" si="36"/>
        <v>0</v>
      </c>
      <c r="S83" s="55" t="str">
        <f t="shared" si="37"/>
        <v>Sem Cotação</v>
      </c>
      <c r="T83" s="55"/>
      <c r="U83" s="72"/>
      <c r="V83" s="20" t="b">
        <f t="shared" si="38"/>
        <v>0</v>
      </c>
      <c r="W83" s="20" t="b">
        <f t="shared" si="29"/>
        <v>0</v>
      </c>
      <c r="X83" s="20" t="b">
        <f t="shared" si="30"/>
        <v>0</v>
      </c>
      <c r="Y83" s="20" t="b">
        <f t="shared" si="31"/>
        <v>0</v>
      </c>
      <c r="Z83" s="20" t="b">
        <f t="shared" si="32"/>
        <v>0</v>
      </c>
      <c r="AA83" s="20">
        <f t="shared" si="39"/>
        <v>0</v>
      </c>
    </row>
    <row r="84" spans="1:27" ht="24.95" customHeight="1" x14ac:dyDescent="0.3">
      <c r="A84" s="10">
        <f t="shared" si="33"/>
        <v>16</v>
      </c>
      <c r="B84" s="78" t="str">
        <f t="shared" si="33"/>
        <v>Fralda EG - TNT (Cobertura - Tecido Não Tecido) - 750mm - M²</v>
      </c>
      <c r="C84" s="78"/>
      <c r="D84" s="78"/>
      <c r="E84" s="78"/>
      <c r="F84" s="11">
        <f t="shared" si="34"/>
        <v>200</v>
      </c>
      <c r="G84" s="12" t="str">
        <f t="shared" si="35"/>
        <v>M²</v>
      </c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18">
        <f t="shared" si="36"/>
        <v>0</v>
      </c>
      <c r="S84" s="55" t="str">
        <f t="shared" si="37"/>
        <v>Sem Cotação</v>
      </c>
      <c r="T84" s="55"/>
      <c r="U84" s="72"/>
      <c r="V84" s="20" t="b">
        <f t="shared" si="38"/>
        <v>0</v>
      </c>
      <c r="W84" s="20" t="b">
        <f t="shared" si="29"/>
        <v>0</v>
      </c>
      <c r="X84" s="20" t="b">
        <f t="shared" si="30"/>
        <v>0</v>
      </c>
      <c r="Y84" s="20" t="b">
        <f t="shared" si="31"/>
        <v>0</v>
      </c>
      <c r="Z84" s="20" t="b">
        <f t="shared" si="32"/>
        <v>0</v>
      </c>
      <c r="AA84" s="20">
        <f t="shared" si="39"/>
        <v>0</v>
      </c>
    </row>
    <row r="85" spans="1:27" ht="24.95" customHeight="1" x14ac:dyDescent="0.3">
      <c r="A85" s="10">
        <f t="shared" si="33"/>
        <v>17</v>
      </c>
      <c r="B85" s="78" t="str">
        <f t="shared" si="33"/>
        <v>Embalagem</v>
      </c>
      <c r="C85" s="78"/>
      <c r="D85" s="78"/>
      <c r="E85" s="78"/>
      <c r="F85" s="11">
        <f t="shared" si="34"/>
        <v>1000</v>
      </c>
      <c r="G85" s="12" t="str">
        <f t="shared" si="35"/>
        <v>Unidades</v>
      </c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18">
        <f t="shared" si="36"/>
        <v>0</v>
      </c>
      <c r="S85" s="55" t="str">
        <f t="shared" si="37"/>
        <v>Sem Cotação</v>
      </c>
      <c r="T85" s="55"/>
      <c r="U85" s="72"/>
      <c r="V85" s="20" t="b">
        <f t="shared" si="38"/>
        <v>0</v>
      </c>
      <c r="W85" s="20" t="b">
        <f t="shared" si="29"/>
        <v>0</v>
      </c>
      <c r="X85" s="20" t="b">
        <f t="shared" si="30"/>
        <v>0</v>
      </c>
      <c r="Y85" s="20" t="b">
        <f t="shared" si="31"/>
        <v>0</v>
      </c>
      <c r="Z85" s="20" t="b">
        <f t="shared" si="32"/>
        <v>0</v>
      </c>
      <c r="AA85" s="20">
        <f t="shared" si="39"/>
        <v>0</v>
      </c>
    </row>
    <row r="86" spans="1:27" ht="24.95" customHeight="1" x14ac:dyDescent="0.3">
      <c r="A86" s="10">
        <f t="shared" ref="A86:B93" si="40">IF(OR(ISBLANK(A57), A57=""), "", A57)</f>
        <v>18</v>
      </c>
      <c r="B86" s="78" t="str">
        <f t="shared" si="40"/>
        <v>Fardo</v>
      </c>
      <c r="C86" s="78"/>
      <c r="D86" s="78"/>
      <c r="E86" s="78"/>
      <c r="F86" s="11">
        <f t="shared" si="34"/>
        <v>1000</v>
      </c>
      <c r="G86" s="12" t="str">
        <f t="shared" si="35"/>
        <v>Unidades</v>
      </c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18">
        <f t="shared" si="36"/>
        <v>0</v>
      </c>
      <c r="S86" s="55" t="str">
        <f t="shared" si="37"/>
        <v>Sem Cotação</v>
      </c>
      <c r="T86" s="55"/>
      <c r="U86" s="72"/>
      <c r="V86" s="20" t="b">
        <f t="shared" si="38"/>
        <v>0</v>
      </c>
      <c r="W86" s="20" t="b">
        <f t="shared" si="29"/>
        <v>0</v>
      </c>
      <c r="X86" s="20" t="b">
        <f t="shared" si="30"/>
        <v>0</v>
      </c>
      <c r="Y86" s="20" t="b">
        <f t="shared" si="31"/>
        <v>0</v>
      </c>
      <c r="Z86" s="20" t="b">
        <f t="shared" si="32"/>
        <v>0</v>
      </c>
      <c r="AA86" s="20">
        <f t="shared" si="39"/>
        <v>0</v>
      </c>
    </row>
    <row r="87" spans="1:27" ht="24.95" customHeight="1" x14ac:dyDescent="0.3">
      <c r="A87" s="10">
        <f t="shared" si="40"/>
        <v>19</v>
      </c>
      <c r="B87" s="78" t="str">
        <f t="shared" si="40"/>
        <v/>
      </c>
      <c r="C87" s="78"/>
      <c r="D87" s="78"/>
      <c r="E87" s="78"/>
      <c r="F87" s="11" t="str">
        <f t="shared" si="34"/>
        <v/>
      </c>
      <c r="G87" s="12" t="str">
        <f t="shared" si="35"/>
        <v/>
      </c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18">
        <f t="shared" si="36"/>
        <v>0</v>
      </c>
      <c r="S87" s="55" t="str">
        <f t="shared" si="37"/>
        <v>Sem Cotação</v>
      </c>
      <c r="T87" s="55"/>
      <c r="U87" s="72"/>
      <c r="V87" s="20" t="b">
        <f t="shared" si="38"/>
        <v>0</v>
      </c>
      <c r="W87" s="20" t="b">
        <f t="shared" si="29"/>
        <v>0</v>
      </c>
      <c r="X87" s="20" t="b">
        <f t="shared" si="30"/>
        <v>0</v>
      </c>
      <c r="Y87" s="20" t="b">
        <f t="shared" si="31"/>
        <v>0</v>
      </c>
      <c r="Z87" s="20" t="b">
        <f t="shared" si="32"/>
        <v>0</v>
      </c>
      <c r="AA87" s="20">
        <f t="shared" si="39"/>
        <v>0</v>
      </c>
    </row>
    <row r="88" spans="1:27" ht="24.95" customHeight="1" x14ac:dyDescent="0.3">
      <c r="A88" s="10">
        <f t="shared" si="40"/>
        <v>20</v>
      </c>
      <c r="B88" s="78" t="str">
        <f t="shared" si="40"/>
        <v/>
      </c>
      <c r="C88" s="78"/>
      <c r="D88" s="78"/>
      <c r="E88" s="78"/>
      <c r="F88" s="11" t="str">
        <f t="shared" si="34"/>
        <v/>
      </c>
      <c r="G88" s="12" t="str">
        <f t="shared" si="35"/>
        <v/>
      </c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18">
        <f t="shared" si="36"/>
        <v>0</v>
      </c>
      <c r="S88" s="55" t="str">
        <f t="shared" si="37"/>
        <v>Sem Cotação</v>
      </c>
      <c r="T88" s="55"/>
      <c r="U88" s="72"/>
      <c r="V88" s="20" t="b">
        <f t="shared" si="38"/>
        <v>0</v>
      </c>
      <c r="W88" s="20" t="b">
        <f t="shared" si="29"/>
        <v>0</v>
      </c>
      <c r="X88" s="20" t="b">
        <f t="shared" si="30"/>
        <v>0</v>
      </c>
      <c r="Y88" s="20" t="b">
        <f t="shared" si="31"/>
        <v>0</v>
      </c>
      <c r="Z88" s="20" t="b">
        <f t="shared" si="32"/>
        <v>0</v>
      </c>
      <c r="AA88" s="20">
        <f t="shared" si="39"/>
        <v>0</v>
      </c>
    </row>
    <row r="89" spans="1:27" ht="24.95" customHeight="1" x14ac:dyDescent="0.3">
      <c r="A89" s="10">
        <f t="shared" si="40"/>
        <v>21</v>
      </c>
      <c r="B89" s="78" t="str">
        <f t="shared" si="40"/>
        <v/>
      </c>
      <c r="C89" s="78"/>
      <c r="D89" s="78"/>
      <c r="E89" s="78"/>
      <c r="F89" s="11" t="str">
        <f t="shared" si="34"/>
        <v/>
      </c>
      <c r="G89" s="12" t="str">
        <f t="shared" si="35"/>
        <v/>
      </c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18">
        <f t="shared" si="36"/>
        <v>0</v>
      </c>
      <c r="S89" s="55" t="str">
        <f t="shared" si="37"/>
        <v>Sem Cotação</v>
      </c>
      <c r="T89" s="55"/>
      <c r="U89" s="72"/>
      <c r="V89" s="20" t="b">
        <f t="shared" si="38"/>
        <v>0</v>
      </c>
      <c r="W89" s="20" t="b">
        <f t="shared" si="29"/>
        <v>0</v>
      </c>
      <c r="X89" s="20" t="b">
        <f t="shared" si="30"/>
        <v>0</v>
      </c>
      <c r="Y89" s="20" t="b">
        <f t="shared" si="31"/>
        <v>0</v>
      </c>
      <c r="Z89" s="20" t="b">
        <f t="shared" si="32"/>
        <v>0</v>
      </c>
      <c r="AA89" s="20">
        <f t="shared" si="39"/>
        <v>0</v>
      </c>
    </row>
    <row r="90" spans="1:27" ht="24.95" customHeight="1" x14ac:dyDescent="0.3">
      <c r="A90" s="10">
        <f t="shared" si="40"/>
        <v>22</v>
      </c>
      <c r="B90" s="78" t="str">
        <f t="shared" si="40"/>
        <v/>
      </c>
      <c r="C90" s="78"/>
      <c r="D90" s="78"/>
      <c r="E90" s="78"/>
      <c r="F90" s="11" t="str">
        <f t="shared" si="34"/>
        <v/>
      </c>
      <c r="G90" s="12" t="str">
        <f t="shared" si="35"/>
        <v/>
      </c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18">
        <f t="shared" si="36"/>
        <v>0</v>
      </c>
      <c r="S90" s="55" t="str">
        <f t="shared" si="37"/>
        <v>Sem Cotação</v>
      </c>
      <c r="T90" s="55"/>
      <c r="U90" s="72"/>
      <c r="V90" s="20" t="b">
        <f t="shared" si="38"/>
        <v>0</v>
      </c>
      <c r="W90" s="20" t="b">
        <f t="shared" si="29"/>
        <v>0</v>
      </c>
      <c r="X90" s="20" t="b">
        <f t="shared" si="30"/>
        <v>0</v>
      </c>
      <c r="Y90" s="20" t="b">
        <f t="shared" si="31"/>
        <v>0</v>
      </c>
      <c r="Z90" s="20" t="b">
        <f t="shared" si="32"/>
        <v>0</v>
      </c>
      <c r="AA90" s="20">
        <f t="shared" si="39"/>
        <v>0</v>
      </c>
    </row>
    <row r="91" spans="1:27" ht="24.95" customHeight="1" x14ac:dyDescent="0.3">
      <c r="A91" s="10">
        <f t="shared" si="40"/>
        <v>23</v>
      </c>
      <c r="B91" s="78" t="str">
        <f t="shared" si="40"/>
        <v/>
      </c>
      <c r="C91" s="78"/>
      <c r="D91" s="78"/>
      <c r="E91" s="78"/>
      <c r="F91" s="11" t="str">
        <f t="shared" si="34"/>
        <v/>
      </c>
      <c r="G91" s="12" t="str">
        <f t="shared" si="35"/>
        <v/>
      </c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18">
        <f t="shared" si="36"/>
        <v>0</v>
      </c>
      <c r="S91" s="55" t="str">
        <f t="shared" si="37"/>
        <v>Sem Cotação</v>
      </c>
      <c r="T91" s="55"/>
      <c r="U91" s="72"/>
      <c r="V91" s="20" t="b">
        <f t="shared" si="38"/>
        <v>0</v>
      </c>
      <c r="W91" s="20" t="b">
        <f t="shared" si="29"/>
        <v>0</v>
      </c>
      <c r="X91" s="20" t="b">
        <f t="shared" si="30"/>
        <v>0</v>
      </c>
      <c r="Y91" s="20" t="b">
        <f t="shared" si="31"/>
        <v>0</v>
      </c>
      <c r="Z91" s="20" t="b">
        <f t="shared" si="32"/>
        <v>0</v>
      </c>
      <c r="AA91" s="20">
        <f t="shared" si="39"/>
        <v>0</v>
      </c>
    </row>
    <row r="92" spans="1:27" ht="24.95" customHeight="1" x14ac:dyDescent="0.3">
      <c r="A92" s="10">
        <f t="shared" si="40"/>
        <v>24</v>
      </c>
      <c r="B92" s="78" t="str">
        <f t="shared" si="40"/>
        <v/>
      </c>
      <c r="C92" s="78"/>
      <c r="D92" s="78"/>
      <c r="E92" s="78"/>
      <c r="F92" s="11" t="str">
        <f t="shared" si="34"/>
        <v/>
      </c>
      <c r="G92" s="12" t="str">
        <f t="shared" si="35"/>
        <v/>
      </c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18">
        <f t="shared" si="36"/>
        <v>0</v>
      </c>
      <c r="S92" s="55" t="str">
        <f t="shared" ref="S92" si="41">IF(R92=V92,$H$67,IF(R92=W92,J90,IF(R92=X92,$L$67,IF(R92=Y92,$N$67,IF(R92=Z92,$P$67,"Sem Cotação")))))</f>
        <v>Sem Cotação</v>
      </c>
      <c r="T92" s="55"/>
      <c r="U92" s="72"/>
      <c r="V92" s="20" t="b">
        <f t="shared" si="38"/>
        <v>0</v>
      </c>
      <c r="W92" s="20" t="b">
        <f t="shared" si="29"/>
        <v>0</v>
      </c>
      <c r="X92" s="20" t="b">
        <f t="shared" si="30"/>
        <v>0</v>
      </c>
      <c r="Y92" s="20" t="b">
        <f t="shared" si="31"/>
        <v>0</v>
      </c>
      <c r="Z92" s="20" t="b">
        <f t="shared" si="32"/>
        <v>0</v>
      </c>
      <c r="AA92" s="20">
        <f t="shared" si="39"/>
        <v>0</v>
      </c>
    </row>
    <row r="93" spans="1:27" ht="24.95" customHeight="1" x14ac:dyDescent="0.3">
      <c r="A93" s="10">
        <f t="shared" si="40"/>
        <v>25</v>
      </c>
      <c r="B93" s="78" t="str">
        <f t="shared" si="40"/>
        <v/>
      </c>
      <c r="C93" s="78"/>
      <c r="D93" s="78"/>
      <c r="E93" s="78"/>
      <c r="F93" s="11" t="str">
        <f t="shared" si="34"/>
        <v/>
      </c>
      <c r="G93" s="12" t="str">
        <f t="shared" si="35"/>
        <v/>
      </c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18">
        <f t="shared" si="36"/>
        <v>0</v>
      </c>
      <c r="S93" s="55" t="str">
        <f>IF(R93=V93,$H$67,IF(R93=W93,J90,IF(R93=X93,$L$67,IF(R93=Y93,$N$67,IF(R93=Z93,$P$67,"Sem Cotação")))))</f>
        <v>Sem Cotação</v>
      </c>
      <c r="T93" s="55"/>
      <c r="U93" s="72"/>
      <c r="V93" s="20" t="b">
        <f t="shared" si="38"/>
        <v>0</v>
      </c>
      <c r="W93" s="20" t="b">
        <f t="shared" si="29"/>
        <v>0</v>
      </c>
      <c r="X93" s="20" t="b">
        <f t="shared" si="30"/>
        <v>0</v>
      </c>
      <c r="Y93" s="20" t="b">
        <f t="shared" si="31"/>
        <v>0</v>
      </c>
      <c r="Z93" s="20" t="b">
        <f t="shared" si="32"/>
        <v>0</v>
      </c>
      <c r="AA93" s="20">
        <f t="shared" si="39"/>
        <v>0</v>
      </c>
    </row>
    <row r="94" spans="1:27" ht="36" customHeight="1" x14ac:dyDescent="0.25">
      <c r="A94" s="80" t="s">
        <v>165</v>
      </c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2"/>
    </row>
    <row r="95" spans="1:27" x14ac:dyDescent="0.25">
      <c r="A95" s="83"/>
      <c r="B95" s="84"/>
      <c r="C95" s="84"/>
      <c r="D95" s="84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5"/>
    </row>
    <row r="96" spans="1:27" ht="15" customHeight="1" x14ac:dyDescent="0.25">
      <c r="A96" s="83"/>
      <c r="B96" s="84"/>
      <c r="C96" s="84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5"/>
    </row>
    <row r="97" spans="1:21" ht="15" customHeight="1" x14ac:dyDescent="0.25">
      <c r="A97" s="86"/>
      <c r="B97" s="87"/>
      <c r="C97" s="87"/>
      <c r="D97" s="87"/>
      <c r="E97" s="87"/>
      <c r="F97" s="87"/>
      <c r="G97" s="87"/>
      <c r="H97" s="87"/>
      <c r="I97" s="87"/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8"/>
    </row>
    <row r="98" spans="1:21" ht="15" customHeight="1" x14ac:dyDescent="0.25">
      <c r="A98" s="92" t="str">
        <f>A9</f>
        <v>Código Interno</v>
      </c>
      <c r="B98" s="114" t="s">
        <v>66</v>
      </c>
      <c r="C98" s="114"/>
      <c r="D98" s="114"/>
      <c r="E98" s="114"/>
      <c r="F98" s="114" t="s">
        <v>88</v>
      </c>
      <c r="G98" s="114"/>
      <c r="H98" s="89" t="str">
        <f>(H9)</f>
        <v>PRODHIGI</v>
      </c>
      <c r="I98" s="89"/>
      <c r="J98" s="89" t="str">
        <f>(J9)</f>
        <v>PRIME</v>
      </c>
      <c r="K98" s="89"/>
      <c r="L98" s="89" t="str">
        <f>(L9)</f>
        <v>GAMA</v>
      </c>
      <c r="M98" s="89"/>
      <c r="N98" s="89" t="str">
        <f>(N9)</f>
        <v>NOVA EMBALAGENS</v>
      </c>
      <c r="O98" s="89"/>
      <c r="P98" s="89" t="str">
        <f>(P9)</f>
        <v>MAGSAC</v>
      </c>
      <c r="Q98" s="89"/>
      <c r="R98" s="89" t="s">
        <v>169</v>
      </c>
      <c r="S98" s="89" t="s">
        <v>134</v>
      </c>
      <c r="T98" s="89" t="s">
        <v>109</v>
      </c>
      <c r="U98" s="90"/>
    </row>
    <row r="99" spans="1:21" ht="15" customHeight="1" x14ac:dyDescent="0.25">
      <c r="A99" s="92"/>
      <c r="B99" s="114"/>
      <c r="C99" s="114"/>
      <c r="D99" s="114"/>
      <c r="E99" s="114"/>
      <c r="F99" s="114"/>
      <c r="G99" s="114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90"/>
    </row>
    <row r="100" spans="1:21" ht="24.95" customHeight="1" x14ac:dyDescent="0.3">
      <c r="A100" s="10">
        <f>IF(OR(ISBLANK(A71), A71=""), "", A71)</f>
        <v>3</v>
      </c>
      <c r="B100" s="78" t="str">
        <f>IF(OR(ISBLANK(B71), B71=""), "", B71)</f>
        <v>Gel Superrabisorvente (SAP) - KG</v>
      </c>
      <c r="C100" s="78"/>
      <c r="D100" s="78"/>
      <c r="E100" s="78"/>
      <c r="F100" s="11">
        <f>IF(OR(ISBLANK(F71), F71=""), "", F71)</f>
        <v>200</v>
      </c>
      <c r="G100" s="12" t="str">
        <f>IF(OR(ISBLANK(G71), G71=""), "", G71)</f>
        <v>KG</v>
      </c>
      <c r="H100" s="66">
        <f t="shared" ref="H100:H113" si="42">SUM(H11/$D$7)</f>
        <v>2.6716666666666666E-2</v>
      </c>
      <c r="I100" s="66"/>
      <c r="J100" s="66">
        <f t="shared" ref="J100:J113" si="43">SUM(J11/$D$7)</f>
        <v>0</v>
      </c>
      <c r="K100" s="66"/>
      <c r="L100" s="66">
        <f t="shared" ref="L100:L113" si="44">SUM(L11/$D$7)</f>
        <v>0</v>
      </c>
      <c r="M100" s="66"/>
      <c r="N100" s="66">
        <f t="shared" ref="N100:N113" si="45">SUM(N11/$D$7)</f>
        <v>0</v>
      </c>
      <c r="O100" s="66"/>
      <c r="P100" s="66">
        <f t="shared" ref="P100:P113" si="46">SUM(P11/$D$7)</f>
        <v>0</v>
      </c>
      <c r="Q100" s="66"/>
      <c r="R100" s="19">
        <f>SUM(R11/$D$7)</f>
        <v>2.6716666666666666E-2</v>
      </c>
      <c r="S100" s="19">
        <f>S11/$D$7</f>
        <v>0.19338333333333332</v>
      </c>
      <c r="T100" s="55" t="str">
        <f t="shared" ref="T100:T122" si="47">IF(AA11=V11,$V$9,IF(AA11=W11,$W$9,IF(AA11=X11,$X$9,IF(AA11=Y11,$Y$9,IF(AA11=Z11,$Z$9,"Sem Cotação")))))</f>
        <v>PRODHIGI</v>
      </c>
      <c r="U100" s="72"/>
    </row>
    <row r="101" spans="1:21" ht="24.95" customHeight="1" x14ac:dyDescent="0.3">
      <c r="A101" s="10">
        <f t="shared" ref="A101:B116" si="48">IF(OR(ISBLANK(A72), A72=""), "", A72)</f>
        <v>4</v>
      </c>
      <c r="B101" s="78" t="str">
        <f t="shared" si="48"/>
        <v>Celulose Fluff  - KG</v>
      </c>
      <c r="C101" s="78"/>
      <c r="D101" s="78"/>
      <c r="E101" s="78"/>
      <c r="F101" s="11">
        <f t="shared" ref="F101:F122" si="49">IF(OR(ISTEXT(F72), F72=""), "", F72)</f>
        <v>200</v>
      </c>
      <c r="G101" s="12" t="str">
        <f t="shared" ref="G101:G122" si="50">IF(OR(ISBLANK(G72), G72=""), "", G72)</f>
        <v>KG</v>
      </c>
      <c r="H101" s="66">
        <f t="shared" si="42"/>
        <v>3.805E-2</v>
      </c>
      <c r="I101" s="66"/>
      <c r="J101" s="66">
        <f t="shared" si="43"/>
        <v>0</v>
      </c>
      <c r="K101" s="66"/>
      <c r="L101" s="66">
        <f t="shared" si="44"/>
        <v>0</v>
      </c>
      <c r="M101" s="66"/>
      <c r="N101" s="66">
        <f t="shared" si="45"/>
        <v>0</v>
      </c>
      <c r="O101" s="66"/>
      <c r="P101" s="66">
        <f t="shared" si="46"/>
        <v>0</v>
      </c>
      <c r="Q101" s="66"/>
      <c r="R101" s="19">
        <f t="shared" ref="R101:R122" si="51">SUM(R12/$D$7)</f>
        <v>3.805E-2</v>
      </c>
      <c r="S101" s="19">
        <f t="shared" ref="S101:S122" si="52">S12/$D$7</f>
        <v>3.805E-2</v>
      </c>
      <c r="T101" s="55" t="str">
        <f t="shared" si="47"/>
        <v>PRODHIGI</v>
      </c>
      <c r="U101" s="72"/>
    </row>
    <row r="102" spans="1:21" ht="24.95" customHeight="1" x14ac:dyDescent="0.3">
      <c r="A102" s="10">
        <f t="shared" si="48"/>
        <v>5</v>
      </c>
      <c r="B102" s="78" t="str">
        <f t="shared" si="48"/>
        <v>Elásticos (Laterais e Cintura) - KG</v>
      </c>
      <c r="C102" s="78"/>
      <c r="D102" s="78"/>
      <c r="E102" s="78"/>
      <c r="F102" s="11">
        <f t="shared" si="49"/>
        <v>200</v>
      </c>
      <c r="G102" s="12" t="str">
        <f t="shared" si="50"/>
        <v>KG</v>
      </c>
      <c r="H102" s="66">
        <f t="shared" si="42"/>
        <v>1.9630000000000001</v>
      </c>
      <c r="I102" s="66"/>
      <c r="J102" s="66">
        <f t="shared" si="43"/>
        <v>0</v>
      </c>
      <c r="K102" s="66"/>
      <c r="L102" s="66">
        <f t="shared" si="44"/>
        <v>0</v>
      </c>
      <c r="M102" s="66"/>
      <c r="N102" s="66">
        <f t="shared" si="45"/>
        <v>0</v>
      </c>
      <c r="O102" s="66"/>
      <c r="P102" s="66">
        <f t="shared" si="46"/>
        <v>0</v>
      </c>
      <c r="Q102" s="66"/>
      <c r="R102" s="19">
        <f t="shared" si="51"/>
        <v>1.9630000000000001</v>
      </c>
      <c r="S102" s="19">
        <f t="shared" si="52"/>
        <v>1.9630000000000001</v>
      </c>
      <c r="T102" s="55" t="str">
        <f t="shared" si="47"/>
        <v>PRODHIGI</v>
      </c>
      <c r="U102" s="72"/>
    </row>
    <row r="103" spans="1:21" ht="24.95" customHeight="1" x14ac:dyDescent="0.3">
      <c r="A103" s="10">
        <f t="shared" si="48"/>
        <v>6</v>
      </c>
      <c r="B103" s="78" t="str">
        <f t="shared" si="48"/>
        <v>Fitas Adesivas - M²</v>
      </c>
      <c r="C103" s="78"/>
      <c r="D103" s="78"/>
      <c r="E103" s="78"/>
      <c r="F103" s="11">
        <f t="shared" si="49"/>
        <v>200</v>
      </c>
      <c r="G103" s="12" t="str">
        <f t="shared" si="50"/>
        <v>M²</v>
      </c>
      <c r="H103" s="66">
        <f t="shared" si="42"/>
        <v>1.2180666666666666</v>
      </c>
      <c r="I103" s="66"/>
      <c r="J103" s="66">
        <f t="shared" si="43"/>
        <v>0</v>
      </c>
      <c r="K103" s="66"/>
      <c r="L103" s="66">
        <f t="shared" si="44"/>
        <v>0</v>
      </c>
      <c r="M103" s="66"/>
      <c r="N103" s="66">
        <f t="shared" si="45"/>
        <v>0</v>
      </c>
      <c r="O103" s="66"/>
      <c r="P103" s="66">
        <f t="shared" si="46"/>
        <v>0</v>
      </c>
      <c r="Q103" s="66"/>
      <c r="R103" s="19">
        <f t="shared" si="51"/>
        <v>1.2180666666666666</v>
      </c>
      <c r="S103" s="19">
        <f t="shared" si="52"/>
        <v>1.2180666666666666</v>
      </c>
      <c r="T103" s="55" t="str">
        <f t="shared" si="47"/>
        <v>PRODHIGI</v>
      </c>
      <c r="U103" s="72"/>
    </row>
    <row r="104" spans="1:21" ht="24.95" customHeight="1" x14ac:dyDescent="0.3">
      <c r="A104" s="10">
        <f t="shared" si="48"/>
        <v>7</v>
      </c>
      <c r="B104" s="78" t="str">
        <f t="shared" si="48"/>
        <v>Adesivo Construção - KG</v>
      </c>
      <c r="C104" s="78"/>
      <c r="D104" s="78"/>
      <c r="E104" s="78"/>
      <c r="F104" s="11">
        <f t="shared" si="49"/>
        <v>200</v>
      </c>
      <c r="G104" s="12" t="str">
        <f t="shared" si="50"/>
        <v>KG</v>
      </c>
      <c r="H104" s="66">
        <f t="shared" si="42"/>
        <v>9.7383333333333333</v>
      </c>
      <c r="I104" s="66"/>
      <c r="J104" s="66">
        <f t="shared" si="43"/>
        <v>0</v>
      </c>
      <c r="K104" s="66"/>
      <c r="L104" s="66">
        <f t="shared" si="44"/>
        <v>0</v>
      </c>
      <c r="M104" s="66"/>
      <c r="N104" s="66">
        <f t="shared" si="45"/>
        <v>0</v>
      </c>
      <c r="O104" s="66"/>
      <c r="P104" s="66">
        <f t="shared" si="46"/>
        <v>0</v>
      </c>
      <c r="Q104" s="66"/>
      <c r="R104" s="19">
        <f t="shared" si="51"/>
        <v>9.7383333333333333</v>
      </c>
      <c r="S104" s="19">
        <f t="shared" si="52"/>
        <v>9.7383333333333333</v>
      </c>
      <c r="T104" s="55" t="str">
        <f t="shared" si="47"/>
        <v>PRODHIGI</v>
      </c>
      <c r="U104" s="72"/>
    </row>
    <row r="105" spans="1:21" ht="24.95" customHeight="1" x14ac:dyDescent="0.3">
      <c r="A105" s="10">
        <f t="shared" si="48"/>
        <v>8</v>
      </c>
      <c r="B105" s="78" t="str">
        <f t="shared" si="48"/>
        <v>Tinta do Indicador de Umidade - Litro</v>
      </c>
      <c r="C105" s="78"/>
      <c r="D105" s="78"/>
      <c r="E105" s="78"/>
      <c r="F105" s="11" t="str">
        <f t="shared" si="49"/>
        <v/>
      </c>
      <c r="G105" s="12" t="str">
        <f t="shared" si="50"/>
        <v>Litro</v>
      </c>
      <c r="H105" s="66">
        <f t="shared" si="42"/>
        <v>1.3883333333333334</v>
      </c>
      <c r="I105" s="66"/>
      <c r="J105" s="66">
        <f t="shared" si="43"/>
        <v>0</v>
      </c>
      <c r="K105" s="66"/>
      <c r="L105" s="66">
        <f t="shared" si="44"/>
        <v>0</v>
      </c>
      <c r="M105" s="66"/>
      <c r="N105" s="66">
        <f t="shared" si="45"/>
        <v>0</v>
      </c>
      <c r="O105" s="66"/>
      <c r="P105" s="66">
        <f t="shared" si="46"/>
        <v>0</v>
      </c>
      <c r="Q105" s="66"/>
      <c r="R105" s="19">
        <f t="shared" si="51"/>
        <v>1.3883333333333334</v>
      </c>
      <c r="S105" s="19">
        <f t="shared" si="52"/>
        <v>1.3883333333333334</v>
      </c>
      <c r="T105" s="55" t="str">
        <f t="shared" si="47"/>
        <v>PRODHIGI</v>
      </c>
      <c r="U105" s="72"/>
    </row>
    <row r="106" spans="1:21" ht="24.95" customHeight="1" x14ac:dyDescent="0.3">
      <c r="A106" s="10">
        <f t="shared" si="48"/>
        <v>9</v>
      </c>
      <c r="B106" s="78" t="str">
        <f t="shared" si="48"/>
        <v>Tinta Datadora de Lote - Litro</v>
      </c>
      <c r="C106" s="78"/>
      <c r="D106" s="78"/>
      <c r="E106" s="78"/>
      <c r="F106" s="11" t="str">
        <f t="shared" si="49"/>
        <v/>
      </c>
      <c r="G106" s="12" t="str">
        <f t="shared" si="50"/>
        <v>Litro</v>
      </c>
      <c r="H106" s="66">
        <f t="shared" si="42"/>
        <v>2.4350000000000001</v>
      </c>
      <c r="I106" s="66"/>
      <c r="J106" s="66">
        <f t="shared" si="43"/>
        <v>0</v>
      </c>
      <c r="K106" s="66"/>
      <c r="L106" s="66">
        <f t="shared" si="44"/>
        <v>0</v>
      </c>
      <c r="M106" s="66"/>
      <c r="N106" s="66">
        <f t="shared" si="45"/>
        <v>0</v>
      </c>
      <c r="O106" s="66"/>
      <c r="P106" s="66">
        <f t="shared" si="46"/>
        <v>0</v>
      </c>
      <c r="Q106" s="66"/>
      <c r="R106" s="19">
        <f t="shared" si="51"/>
        <v>2.4350000000000001</v>
      </c>
      <c r="S106" s="19">
        <f t="shared" si="52"/>
        <v>2.4350000000000001</v>
      </c>
      <c r="T106" s="55" t="str">
        <f t="shared" si="47"/>
        <v>PRODHIGI</v>
      </c>
      <c r="U106" s="72"/>
    </row>
    <row r="107" spans="1:21" ht="24.95" customHeight="1" x14ac:dyDescent="0.3">
      <c r="A107" s="10">
        <f t="shared" si="48"/>
        <v>10</v>
      </c>
      <c r="B107" s="78" t="str">
        <f t="shared" si="48"/>
        <v>Adesivo Elástico - KG</v>
      </c>
      <c r="C107" s="78"/>
      <c r="D107" s="78"/>
      <c r="E107" s="78"/>
      <c r="F107" s="11">
        <f t="shared" si="49"/>
        <v>200</v>
      </c>
      <c r="G107" s="12" t="str">
        <f t="shared" si="50"/>
        <v>KG</v>
      </c>
      <c r="H107" s="66">
        <f t="shared" si="42"/>
        <v>0</v>
      </c>
      <c r="I107" s="66"/>
      <c r="J107" s="66">
        <f t="shared" si="43"/>
        <v>0</v>
      </c>
      <c r="K107" s="66"/>
      <c r="L107" s="66">
        <f t="shared" si="44"/>
        <v>0</v>
      </c>
      <c r="M107" s="66"/>
      <c r="N107" s="66">
        <f t="shared" si="45"/>
        <v>0</v>
      </c>
      <c r="O107" s="66"/>
      <c r="P107" s="66">
        <f t="shared" si="46"/>
        <v>0</v>
      </c>
      <c r="Q107" s="66"/>
      <c r="R107" s="19">
        <f t="shared" si="51"/>
        <v>0</v>
      </c>
      <c r="S107" s="19">
        <f t="shared" si="52"/>
        <v>0</v>
      </c>
      <c r="T107" s="55" t="str">
        <f t="shared" si="47"/>
        <v>Sem Cotação</v>
      </c>
      <c r="U107" s="72"/>
    </row>
    <row r="108" spans="1:21" ht="24.95" customHeight="1" x14ac:dyDescent="0.3">
      <c r="A108" s="10">
        <f t="shared" si="48"/>
        <v>11</v>
      </c>
      <c r="B108" s="78" t="str">
        <f t="shared" si="48"/>
        <v>Fralda M - Polietileno (Filme eterno) - 600mm- kG</v>
      </c>
      <c r="C108" s="78"/>
      <c r="D108" s="78"/>
      <c r="E108" s="78"/>
      <c r="F108" s="11">
        <f t="shared" si="49"/>
        <v>200</v>
      </c>
      <c r="G108" s="12" t="str">
        <f t="shared" si="50"/>
        <v>KG</v>
      </c>
      <c r="H108" s="66">
        <f t="shared" si="42"/>
        <v>0</v>
      </c>
      <c r="I108" s="66"/>
      <c r="J108" s="66">
        <f t="shared" si="43"/>
        <v>0</v>
      </c>
      <c r="K108" s="66"/>
      <c r="L108" s="66">
        <f t="shared" si="44"/>
        <v>0</v>
      </c>
      <c r="M108" s="66"/>
      <c r="N108" s="66">
        <f t="shared" si="45"/>
        <v>0</v>
      </c>
      <c r="O108" s="66"/>
      <c r="P108" s="66">
        <f t="shared" si="46"/>
        <v>0</v>
      </c>
      <c r="Q108" s="66"/>
      <c r="R108" s="19">
        <f t="shared" si="51"/>
        <v>0</v>
      </c>
      <c r="S108" s="19">
        <f t="shared" si="52"/>
        <v>0</v>
      </c>
      <c r="T108" s="55" t="str">
        <f t="shared" si="47"/>
        <v>Sem Cotação</v>
      </c>
      <c r="U108" s="72"/>
    </row>
    <row r="109" spans="1:21" ht="24.95" customHeight="1" x14ac:dyDescent="0.3">
      <c r="A109" s="10">
        <f t="shared" si="48"/>
        <v>12</v>
      </c>
      <c r="B109" s="78" t="str">
        <f t="shared" si="48"/>
        <v>Fralda G - Polietileno (Filme eterno) - 660mm - kG</v>
      </c>
      <c r="C109" s="78"/>
      <c r="D109" s="78"/>
      <c r="E109" s="78"/>
      <c r="F109" s="11">
        <f t="shared" si="49"/>
        <v>200</v>
      </c>
      <c r="G109" s="12" t="str">
        <f t="shared" si="50"/>
        <v>KG</v>
      </c>
      <c r="H109" s="66">
        <f t="shared" si="42"/>
        <v>3.0833333333333335</v>
      </c>
      <c r="I109" s="66"/>
      <c r="J109" s="66">
        <f t="shared" si="43"/>
        <v>0</v>
      </c>
      <c r="K109" s="66"/>
      <c r="L109" s="66">
        <f t="shared" si="44"/>
        <v>0</v>
      </c>
      <c r="M109" s="66"/>
      <c r="N109" s="66">
        <f t="shared" si="45"/>
        <v>0</v>
      </c>
      <c r="O109" s="66"/>
      <c r="P109" s="66">
        <f t="shared" si="46"/>
        <v>0</v>
      </c>
      <c r="Q109" s="66"/>
      <c r="R109" s="19">
        <f t="shared" si="51"/>
        <v>3.0833333333333335</v>
      </c>
      <c r="S109" s="19">
        <f t="shared" si="52"/>
        <v>3.0833333333333335</v>
      </c>
      <c r="T109" s="55" t="str">
        <f t="shared" si="47"/>
        <v>PRODHIGI</v>
      </c>
      <c r="U109" s="72"/>
    </row>
    <row r="110" spans="1:21" ht="24.95" customHeight="1" x14ac:dyDescent="0.3">
      <c r="A110" s="10">
        <f t="shared" si="48"/>
        <v>13</v>
      </c>
      <c r="B110" s="78" t="str">
        <f t="shared" si="48"/>
        <v>Fralda EG - Polietileno (Filme eterno) - 750mm- kG</v>
      </c>
      <c r="C110" s="78"/>
      <c r="D110" s="78"/>
      <c r="E110" s="78"/>
      <c r="F110" s="11">
        <f t="shared" si="49"/>
        <v>200</v>
      </c>
      <c r="G110" s="12" t="str">
        <f t="shared" si="50"/>
        <v>KG</v>
      </c>
      <c r="H110" s="66">
        <f t="shared" si="42"/>
        <v>2.6733333333333333</v>
      </c>
      <c r="I110" s="66"/>
      <c r="J110" s="66">
        <f t="shared" si="43"/>
        <v>0</v>
      </c>
      <c r="K110" s="66"/>
      <c r="L110" s="66">
        <f t="shared" si="44"/>
        <v>0</v>
      </c>
      <c r="M110" s="66"/>
      <c r="N110" s="66">
        <f t="shared" si="45"/>
        <v>0</v>
      </c>
      <c r="O110" s="66"/>
      <c r="P110" s="66">
        <f t="shared" si="46"/>
        <v>0</v>
      </c>
      <c r="Q110" s="66"/>
      <c r="R110" s="19">
        <f t="shared" si="51"/>
        <v>2.6733333333333333</v>
      </c>
      <c r="S110" s="19">
        <f t="shared" si="52"/>
        <v>2.6733333333333333</v>
      </c>
      <c r="T110" s="55" t="str">
        <f t="shared" si="47"/>
        <v>PRODHIGI</v>
      </c>
      <c r="U110" s="72"/>
    </row>
    <row r="111" spans="1:21" ht="24.95" customHeight="1" x14ac:dyDescent="0.3">
      <c r="A111" s="10">
        <f t="shared" si="48"/>
        <v>14</v>
      </c>
      <c r="B111" s="78" t="str">
        <f t="shared" si="48"/>
        <v>Fralda M - TNT (Cobertura - Tecido Não Tecido) - 600mm  - M²</v>
      </c>
      <c r="C111" s="78"/>
      <c r="D111" s="78"/>
      <c r="E111" s="78"/>
      <c r="F111" s="11">
        <f t="shared" si="49"/>
        <v>200</v>
      </c>
      <c r="G111" s="12" t="str">
        <f t="shared" si="50"/>
        <v>M²</v>
      </c>
      <c r="H111" s="66">
        <f t="shared" si="42"/>
        <v>2.6716666666666669</v>
      </c>
      <c r="I111" s="66"/>
      <c r="J111" s="66">
        <f t="shared" si="43"/>
        <v>0</v>
      </c>
      <c r="K111" s="66"/>
      <c r="L111" s="66">
        <f t="shared" si="44"/>
        <v>0</v>
      </c>
      <c r="M111" s="66"/>
      <c r="N111" s="66">
        <f t="shared" si="45"/>
        <v>0</v>
      </c>
      <c r="O111" s="66"/>
      <c r="P111" s="66">
        <f t="shared" si="46"/>
        <v>0</v>
      </c>
      <c r="Q111" s="66"/>
      <c r="R111" s="19">
        <f t="shared" si="51"/>
        <v>2.6716666666666669</v>
      </c>
      <c r="S111" s="19">
        <f t="shared" si="52"/>
        <v>2.6716666666666669</v>
      </c>
      <c r="T111" s="55" t="str">
        <f t="shared" si="47"/>
        <v>PRODHIGI</v>
      </c>
      <c r="U111" s="72"/>
    </row>
    <row r="112" spans="1:21" ht="24.95" customHeight="1" x14ac:dyDescent="0.3">
      <c r="A112" s="10">
        <f t="shared" si="48"/>
        <v>15</v>
      </c>
      <c r="B112" s="78" t="str">
        <f t="shared" si="48"/>
        <v>Fralda g - TNT (Cobertura - Tecido Não Tecido) - 650mm - M²</v>
      </c>
      <c r="C112" s="78"/>
      <c r="D112" s="78"/>
      <c r="E112" s="78"/>
      <c r="F112" s="11">
        <f t="shared" si="49"/>
        <v>200</v>
      </c>
      <c r="G112" s="12" t="str">
        <f t="shared" si="50"/>
        <v>M²</v>
      </c>
      <c r="H112" s="66">
        <f t="shared" si="42"/>
        <v>2.6716666666666669</v>
      </c>
      <c r="I112" s="66"/>
      <c r="J112" s="66">
        <f t="shared" si="43"/>
        <v>0</v>
      </c>
      <c r="K112" s="66"/>
      <c r="L112" s="66">
        <f t="shared" si="44"/>
        <v>0</v>
      </c>
      <c r="M112" s="66"/>
      <c r="N112" s="66">
        <f t="shared" si="45"/>
        <v>0</v>
      </c>
      <c r="O112" s="66"/>
      <c r="P112" s="66">
        <f t="shared" si="46"/>
        <v>0</v>
      </c>
      <c r="Q112" s="66"/>
      <c r="R112" s="19">
        <f t="shared" si="51"/>
        <v>2.6716666666666669</v>
      </c>
      <c r="S112" s="19">
        <f t="shared" si="52"/>
        <v>2.6716666666666669</v>
      </c>
      <c r="T112" s="55" t="str">
        <f t="shared" si="47"/>
        <v>PRODHIGI</v>
      </c>
      <c r="U112" s="72"/>
    </row>
    <row r="113" spans="1:21" ht="24.95" customHeight="1" x14ac:dyDescent="0.3">
      <c r="A113" s="10">
        <f t="shared" si="48"/>
        <v>16</v>
      </c>
      <c r="B113" s="78" t="str">
        <f t="shared" si="48"/>
        <v>Fralda EG - TNT (Cobertura - Tecido Não Tecido) - 750mm - M²</v>
      </c>
      <c r="C113" s="78"/>
      <c r="D113" s="78"/>
      <c r="E113" s="78"/>
      <c r="F113" s="11">
        <f t="shared" si="49"/>
        <v>200</v>
      </c>
      <c r="G113" s="12" t="str">
        <f t="shared" si="50"/>
        <v>M²</v>
      </c>
      <c r="H113" s="66">
        <f t="shared" si="42"/>
        <v>2.6716666666666666E-2</v>
      </c>
      <c r="I113" s="66"/>
      <c r="J113" s="66">
        <f t="shared" si="43"/>
        <v>0</v>
      </c>
      <c r="K113" s="66"/>
      <c r="L113" s="66">
        <f t="shared" si="44"/>
        <v>0</v>
      </c>
      <c r="M113" s="66"/>
      <c r="N113" s="66">
        <f t="shared" si="45"/>
        <v>0</v>
      </c>
      <c r="O113" s="66"/>
      <c r="P113" s="66">
        <f t="shared" si="46"/>
        <v>0</v>
      </c>
      <c r="Q113" s="66"/>
      <c r="R113" s="19">
        <f t="shared" si="51"/>
        <v>2.6716666666666666E-2</v>
      </c>
      <c r="S113" s="19">
        <f t="shared" si="52"/>
        <v>2.6716666666666666E-2</v>
      </c>
      <c r="T113" s="55" t="str">
        <f t="shared" si="47"/>
        <v>PRODHIGI</v>
      </c>
      <c r="U113" s="72"/>
    </row>
    <row r="114" spans="1:21" ht="24.95" customHeight="1" x14ac:dyDescent="0.3">
      <c r="A114" s="10">
        <f t="shared" si="48"/>
        <v>17</v>
      </c>
      <c r="B114" s="78" t="str">
        <f t="shared" si="48"/>
        <v>Embalagem</v>
      </c>
      <c r="C114" s="78"/>
      <c r="D114" s="78"/>
      <c r="E114" s="78"/>
      <c r="F114" s="11">
        <f t="shared" si="49"/>
        <v>1000</v>
      </c>
      <c r="G114" s="12" t="str">
        <f t="shared" si="50"/>
        <v>Unidades</v>
      </c>
      <c r="H114" s="66">
        <f t="shared" ref="H114:H122" si="53">SUM(H25/$D$7)</f>
        <v>2.6716666666666666E-2</v>
      </c>
      <c r="I114" s="66"/>
      <c r="J114" s="66">
        <f t="shared" ref="J114:J122" si="54">SUM(J25/$D$7)</f>
        <v>0</v>
      </c>
      <c r="K114" s="66"/>
      <c r="L114" s="66">
        <f t="shared" ref="L114:L122" si="55">SUM(L25/$D$7)</f>
        <v>0</v>
      </c>
      <c r="M114" s="66"/>
      <c r="N114" s="66">
        <f t="shared" ref="N114:N122" si="56">SUM(N25/$D$7)</f>
        <v>0</v>
      </c>
      <c r="O114" s="66"/>
      <c r="P114" s="66">
        <f t="shared" ref="P114:P122" si="57">SUM(P25/$D$7)</f>
        <v>0</v>
      </c>
      <c r="Q114" s="66"/>
      <c r="R114" s="19">
        <f t="shared" si="51"/>
        <v>2.6716666666666666E-2</v>
      </c>
      <c r="S114" s="19">
        <f t="shared" si="52"/>
        <v>2.6716666666666666E-2</v>
      </c>
      <c r="T114" s="55" t="str">
        <f t="shared" si="47"/>
        <v>PRODHIGI</v>
      </c>
      <c r="U114" s="72"/>
    </row>
    <row r="115" spans="1:21" ht="24.95" customHeight="1" x14ac:dyDescent="0.3">
      <c r="A115" s="10">
        <f t="shared" si="48"/>
        <v>18</v>
      </c>
      <c r="B115" s="78" t="str">
        <f t="shared" si="48"/>
        <v>Fardo</v>
      </c>
      <c r="C115" s="78"/>
      <c r="D115" s="78"/>
      <c r="E115" s="78"/>
      <c r="F115" s="11">
        <f t="shared" si="49"/>
        <v>1000</v>
      </c>
      <c r="G115" s="12" t="str">
        <f t="shared" si="50"/>
        <v>Unidades</v>
      </c>
      <c r="H115" s="66">
        <f t="shared" si="53"/>
        <v>2.6716666666666666E-2</v>
      </c>
      <c r="I115" s="66"/>
      <c r="J115" s="66">
        <f t="shared" si="54"/>
        <v>0</v>
      </c>
      <c r="K115" s="66"/>
      <c r="L115" s="66">
        <f t="shared" si="55"/>
        <v>0</v>
      </c>
      <c r="M115" s="66"/>
      <c r="N115" s="66">
        <f t="shared" si="56"/>
        <v>0</v>
      </c>
      <c r="O115" s="66"/>
      <c r="P115" s="66">
        <f t="shared" si="57"/>
        <v>0</v>
      </c>
      <c r="Q115" s="66"/>
      <c r="R115" s="19">
        <f t="shared" si="51"/>
        <v>2.6716666666666666E-2</v>
      </c>
      <c r="S115" s="19">
        <f t="shared" si="52"/>
        <v>2.6716666666666666E-2</v>
      </c>
      <c r="T115" s="55" t="str">
        <f t="shared" si="47"/>
        <v>PRODHIGI</v>
      </c>
      <c r="U115" s="72"/>
    </row>
    <row r="116" spans="1:21" ht="24.95" customHeight="1" x14ac:dyDescent="0.3">
      <c r="A116" s="10">
        <f t="shared" si="48"/>
        <v>19</v>
      </c>
      <c r="B116" s="78" t="str">
        <f t="shared" si="48"/>
        <v/>
      </c>
      <c r="C116" s="78"/>
      <c r="D116" s="78"/>
      <c r="E116" s="78"/>
      <c r="F116" s="11" t="str">
        <f t="shared" si="49"/>
        <v/>
      </c>
      <c r="G116" s="12" t="str">
        <f t="shared" si="50"/>
        <v/>
      </c>
      <c r="H116" s="66">
        <f t="shared" si="53"/>
        <v>5.3333333333333337E-2</v>
      </c>
      <c r="I116" s="66"/>
      <c r="J116" s="66">
        <f t="shared" si="54"/>
        <v>0</v>
      </c>
      <c r="K116" s="66"/>
      <c r="L116" s="66">
        <f t="shared" si="55"/>
        <v>0</v>
      </c>
      <c r="M116" s="66"/>
      <c r="N116" s="66">
        <f t="shared" si="56"/>
        <v>0</v>
      </c>
      <c r="O116" s="66"/>
      <c r="P116" s="66">
        <f t="shared" si="57"/>
        <v>0</v>
      </c>
      <c r="Q116" s="66"/>
      <c r="R116" s="19">
        <f t="shared" si="51"/>
        <v>5.3333333333333337E-2</v>
      </c>
      <c r="S116" s="19">
        <f t="shared" si="52"/>
        <v>5.3333333333333337E-2</v>
      </c>
      <c r="T116" s="55" t="str">
        <f t="shared" si="47"/>
        <v>PRODHIGI</v>
      </c>
      <c r="U116" s="72"/>
    </row>
    <row r="117" spans="1:21" ht="24.95" customHeight="1" x14ac:dyDescent="0.3">
      <c r="A117" s="10">
        <f t="shared" ref="A117:B122" si="58">IF(OR(ISBLANK(A88), A88=""), "", A88)</f>
        <v>20</v>
      </c>
      <c r="B117" s="78" t="str">
        <f t="shared" si="58"/>
        <v/>
      </c>
      <c r="C117" s="78"/>
      <c r="D117" s="78"/>
      <c r="E117" s="78"/>
      <c r="F117" s="11" t="str">
        <f t="shared" si="49"/>
        <v/>
      </c>
      <c r="G117" s="12" t="str">
        <f t="shared" si="50"/>
        <v/>
      </c>
      <c r="H117" s="66">
        <f t="shared" si="53"/>
        <v>5.3333333333333337E-2</v>
      </c>
      <c r="I117" s="66"/>
      <c r="J117" s="66">
        <f t="shared" si="54"/>
        <v>0</v>
      </c>
      <c r="K117" s="66"/>
      <c r="L117" s="66">
        <f t="shared" si="55"/>
        <v>0</v>
      </c>
      <c r="M117" s="66"/>
      <c r="N117" s="66">
        <f t="shared" si="56"/>
        <v>0</v>
      </c>
      <c r="O117" s="66"/>
      <c r="P117" s="66">
        <f t="shared" si="57"/>
        <v>0</v>
      </c>
      <c r="Q117" s="66"/>
      <c r="R117" s="19">
        <f t="shared" si="51"/>
        <v>5.3333333333333337E-2</v>
      </c>
      <c r="S117" s="19">
        <f t="shared" si="52"/>
        <v>5.3333333333333337E-2</v>
      </c>
      <c r="T117" s="55" t="str">
        <f t="shared" si="47"/>
        <v>PRODHIGI</v>
      </c>
      <c r="U117" s="72"/>
    </row>
    <row r="118" spans="1:21" ht="24.95" customHeight="1" x14ac:dyDescent="0.3">
      <c r="A118" s="10">
        <f t="shared" si="58"/>
        <v>21</v>
      </c>
      <c r="B118" s="78" t="str">
        <f t="shared" si="58"/>
        <v/>
      </c>
      <c r="C118" s="78"/>
      <c r="D118" s="78"/>
      <c r="E118" s="78"/>
      <c r="F118" s="11" t="str">
        <f t="shared" si="49"/>
        <v/>
      </c>
      <c r="G118" s="12" t="str">
        <f t="shared" si="50"/>
        <v/>
      </c>
      <c r="H118" s="66">
        <f t="shared" si="53"/>
        <v>0</v>
      </c>
      <c r="I118" s="66"/>
      <c r="J118" s="66">
        <f t="shared" si="54"/>
        <v>0</v>
      </c>
      <c r="K118" s="66"/>
      <c r="L118" s="66">
        <f t="shared" si="55"/>
        <v>0</v>
      </c>
      <c r="M118" s="66"/>
      <c r="N118" s="66">
        <f t="shared" si="56"/>
        <v>0</v>
      </c>
      <c r="O118" s="66"/>
      <c r="P118" s="66">
        <f t="shared" si="57"/>
        <v>0</v>
      </c>
      <c r="Q118" s="66"/>
      <c r="R118" s="19">
        <f t="shared" si="51"/>
        <v>0</v>
      </c>
      <c r="S118" s="19">
        <f t="shared" si="52"/>
        <v>0</v>
      </c>
      <c r="T118" s="55" t="str">
        <f t="shared" si="47"/>
        <v>Sem Cotação</v>
      </c>
      <c r="U118" s="72"/>
    </row>
    <row r="119" spans="1:21" ht="24.95" customHeight="1" x14ac:dyDescent="0.3">
      <c r="A119" s="10">
        <f t="shared" si="58"/>
        <v>22</v>
      </c>
      <c r="B119" s="78" t="str">
        <f t="shared" si="58"/>
        <v/>
      </c>
      <c r="C119" s="78"/>
      <c r="D119" s="78"/>
      <c r="E119" s="78"/>
      <c r="F119" s="11" t="str">
        <f t="shared" si="49"/>
        <v/>
      </c>
      <c r="G119" s="12" t="str">
        <f t="shared" si="50"/>
        <v/>
      </c>
      <c r="H119" s="66">
        <f t="shared" si="53"/>
        <v>0</v>
      </c>
      <c r="I119" s="66"/>
      <c r="J119" s="66">
        <f t="shared" si="54"/>
        <v>0</v>
      </c>
      <c r="K119" s="66"/>
      <c r="L119" s="66">
        <f t="shared" si="55"/>
        <v>0</v>
      </c>
      <c r="M119" s="66"/>
      <c r="N119" s="66">
        <f t="shared" si="56"/>
        <v>0</v>
      </c>
      <c r="O119" s="66"/>
      <c r="P119" s="66">
        <f t="shared" si="57"/>
        <v>0</v>
      </c>
      <c r="Q119" s="66"/>
      <c r="R119" s="19">
        <f t="shared" si="51"/>
        <v>0</v>
      </c>
      <c r="S119" s="19">
        <f t="shared" si="52"/>
        <v>0</v>
      </c>
      <c r="T119" s="55" t="str">
        <f t="shared" si="47"/>
        <v>Sem Cotação</v>
      </c>
      <c r="U119" s="72"/>
    </row>
    <row r="120" spans="1:21" ht="24.95" customHeight="1" x14ac:dyDescent="0.3">
      <c r="A120" s="10">
        <f t="shared" si="58"/>
        <v>23</v>
      </c>
      <c r="B120" s="78" t="str">
        <f t="shared" si="58"/>
        <v/>
      </c>
      <c r="C120" s="78"/>
      <c r="D120" s="78"/>
      <c r="E120" s="78"/>
      <c r="F120" s="11" t="str">
        <f t="shared" si="49"/>
        <v/>
      </c>
      <c r="G120" s="12" t="str">
        <f t="shared" si="50"/>
        <v/>
      </c>
      <c r="H120" s="66">
        <f t="shared" si="53"/>
        <v>0</v>
      </c>
      <c r="I120" s="66"/>
      <c r="J120" s="66">
        <f t="shared" si="54"/>
        <v>0</v>
      </c>
      <c r="K120" s="66"/>
      <c r="L120" s="66">
        <f t="shared" si="55"/>
        <v>0</v>
      </c>
      <c r="M120" s="66"/>
      <c r="N120" s="66">
        <f t="shared" si="56"/>
        <v>0</v>
      </c>
      <c r="O120" s="66"/>
      <c r="P120" s="66">
        <f t="shared" si="57"/>
        <v>0</v>
      </c>
      <c r="Q120" s="66"/>
      <c r="R120" s="19">
        <f t="shared" si="51"/>
        <v>0</v>
      </c>
      <c r="S120" s="19">
        <f t="shared" si="52"/>
        <v>0</v>
      </c>
      <c r="T120" s="55" t="str">
        <f t="shared" si="47"/>
        <v>Sem Cotação</v>
      </c>
      <c r="U120" s="72"/>
    </row>
    <row r="121" spans="1:21" ht="24.95" customHeight="1" x14ac:dyDescent="0.3">
      <c r="A121" s="10">
        <f t="shared" si="58"/>
        <v>24</v>
      </c>
      <c r="B121" s="78" t="str">
        <f t="shared" si="58"/>
        <v/>
      </c>
      <c r="C121" s="78"/>
      <c r="D121" s="78"/>
      <c r="E121" s="78"/>
      <c r="F121" s="11" t="str">
        <f t="shared" si="49"/>
        <v/>
      </c>
      <c r="G121" s="12" t="str">
        <f t="shared" si="50"/>
        <v/>
      </c>
      <c r="H121" s="66">
        <f t="shared" si="53"/>
        <v>0</v>
      </c>
      <c r="I121" s="66"/>
      <c r="J121" s="66">
        <f t="shared" si="54"/>
        <v>0</v>
      </c>
      <c r="K121" s="66"/>
      <c r="L121" s="66">
        <f t="shared" si="55"/>
        <v>0</v>
      </c>
      <c r="M121" s="66"/>
      <c r="N121" s="66">
        <f t="shared" si="56"/>
        <v>0</v>
      </c>
      <c r="O121" s="66"/>
      <c r="P121" s="66">
        <f t="shared" si="57"/>
        <v>0</v>
      </c>
      <c r="Q121" s="66"/>
      <c r="R121" s="19">
        <f t="shared" si="51"/>
        <v>0</v>
      </c>
      <c r="S121" s="19">
        <f t="shared" si="52"/>
        <v>0</v>
      </c>
      <c r="T121" s="55" t="str">
        <f t="shared" si="47"/>
        <v>Sem Cotação</v>
      </c>
      <c r="U121" s="72"/>
    </row>
    <row r="122" spans="1:21" ht="24.95" customHeight="1" x14ac:dyDescent="0.3">
      <c r="A122" s="10">
        <f>IF(OR(ISBLANK(A93), A93=""), "", A93)</f>
        <v>25</v>
      </c>
      <c r="B122" s="78" t="str">
        <f t="shared" si="58"/>
        <v/>
      </c>
      <c r="C122" s="78"/>
      <c r="D122" s="78"/>
      <c r="E122" s="78"/>
      <c r="F122" s="11" t="str">
        <f t="shared" si="49"/>
        <v/>
      </c>
      <c r="G122" s="12" t="str">
        <f t="shared" si="50"/>
        <v/>
      </c>
      <c r="H122" s="66">
        <f t="shared" si="53"/>
        <v>0</v>
      </c>
      <c r="I122" s="66"/>
      <c r="J122" s="66">
        <f t="shared" si="54"/>
        <v>0</v>
      </c>
      <c r="K122" s="66"/>
      <c r="L122" s="66">
        <f t="shared" si="55"/>
        <v>0</v>
      </c>
      <c r="M122" s="66"/>
      <c r="N122" s="66">
        <f t="shared" si="56"/>
        <v>0</v>
      </c>
      <c r="O122" s="66"/>
      <c r="P122" s="66">
        <f t="shared" si="57"/>
        <v>0</v>
      </c>
      <c r="Q122" s="66"/>
      <c r="R122" s="19">
        <f t="shared" si="51"/>
        <v>0</v>
      </c>
      <c r="S122" s="19">
        <f t="shared" si="52"/>
        <v>0</v>
      </c>
      <c r="T122" s="55" t="str">
        <f t="shared" si="47"/>
        <v>Sem Cotação</v>
      </c>
      <c r="U122" s="72"/>
    </row>
  </sheetData>
  <sheetProtection selectLockedCells="1"/>
  <mergeCells count="756">
    <mergeCell ref="V36:AA38"/>
    <mergeCell ref="V65:AA67"/>
    <mergeCell ref="J64:K64"/>
    <mergeCell ref="L64:M64"/>
    <mergeCell ref="N64:O64"/>
    <mergeCell ref="P64:Q64"/>
    <mergeCell ref="S41:U41"/>
    <mergeCell ref="S42:U42"/>
    <mergeCell ref="S43:U43"/>
    <mergeCell ref="S44:U44"/>
    <mergeCell ref="S45:U45"/>
    <mergeCell ref="S46:U46"/>
    <mergeCell ref="S47:U47"/>
    <mergeCell ref="S48:U48"/>
    <mergeCell ref="S49:U49"/>
    <mergeCell ref="S50:U50"/>
    <mergeCell ref="S51:U51"/>
    <mergeCell ref="S52:U52"/>
    <mergeCell ref="S53:U53"/>
    <mergeCell ref="S54:U54"/>
    <mergeCell ref="S60:U60"/>
    <mergeCell ref="S61:U61"/>
    <mergeCell ref="S62:U62"/>
    <mergeCell ref="S63:U63"/>
    <mergeCell ref="H62:I62"/>
    <mergeCell ref="J62:K62"/>
    <mergeCell ref="L62:M62"/>
    <mergeCell ref="N62:O62"/>
    <mergeCell ref="P62:Q62"/>
    <mergeCell ref="H63:I63"/>
    <mergeCell ref="J63:K63"/>
    <mergeCell ref="L63:M63"/>
    <mergeCell ref="N63:O63"/>
    <mergeCell ref="P63:Q63"/>
    <mergeCell ref="L53:M53"/>
    <mergeCell ref="N53:O53"/>
    <mergeCell ref="P53:Q53"/>
    <mergeCell ref="H54:I54"/>
    <mergeCell ref="J54:K54"/>
    <mergeCell ref="L54:M54"/>
    <mergeCell ref="N54:O54"/>
    <mergeCell ref="P54:Q54"/>
    <mergeCell ref="H60:I60"/>
    <mergeCell ref="J60:K60"/>
    <mergeCell ref="L60:M60"/>
    <mergeCell ref="N60:O60"/>
    <mergeCell ref="P60:Q60"/>
    <mergeCell ref="L57:M57"/>
    <mergeCell ref="L58:M58"/>
    <mergeCell ref="L59:M59"/>
    <mergeCell ref="N55:O55"/>
    <mergeCell ref="N56:O56"/>
    <mergeCell ref="N57:O57"/>
    <mergeCell ref="N58:O58"/>
    <mergeCell ref="N59:O59"/>
    <mergeCell ref="P55:Q55"/>
    <mergeCell ref="P56:Q56"/>
    <mergeCell ref="P57:Q57"/>
    <mergeCell ref="H51:I51"/>
    <mergeCell ref="J51:K51"/>
    <mergeCell ref="L51:M51"/>
    <mergeCell ref="N51:O51"/>
    <mergeCell ref="P51:Q51"/>
    <mergeCell ref="H52:I52"/>
    <mergeCell ref="J52:K52"/>
    <mergeCell ref="L52:M52"/>
    <mergeCell ref="N52:O52"/>
    <mergeCell ref="P52:Q52"/>
    <mergeCell ref="L48:M48"/>
    <mergeCell ref="N48:O48"/>
    <mergeCell ref="P48:Q48"/>
    <mergeCell ref="H49:I49"/>
    <mergeCell ref="J49:K49"/>
    <mergeCell ref="L49:M49"/>
    <mergeCell ref="N49:O49"/>
    <mergeCell ref="P49:Q49"/>
    <mergeCell ref="L50:M50"/>
    <mergeCell ref="N50:O50"/>
    <mergeCell ref="P50:Q50"/>
    <mergeCell ref="N45:O45"/>
    <mergeCell ref="P45:Q45"/>
    <mergeCell ref="H46:I46"/>
    <mergeCell ref="J46:K46"/>
    <mergeCell ref="L46:M46"/>
    <mergeCell ref="N46:O46"/>
    <mergeCell ref="P46:Q46"/>
    <mergeCell ref="L47:M47"/>
    <mergeCell ref="N47:O47"/>
    <mergeCell ref="P47:Q47"/>
    <mergeCell ref="B62:E62"/>
    <mergeCell ref="B63:E63"/>
    <mergeCell ref="B64:E64"/>
    <mergeCell ref="H41:I41"/>
    <mergeCell ref="J41:K41"/>
    <mergeCell ref="H42:I42"/>
    <mergeCell ref="J42:K42"/>
    <mergeCell ref="H43:I43"/>
    <mergeCell ref="J43:K43"/>
    <mergeCell ref="H44:I44"/>
    <mergeCell ref="J44:K44"/>
    <mergeCell ref="H47:I47"/>
    <mergeCell ref="J47:K47"/>
    <mergeCell ref="H50:I50"/>
    <mergeCell ref="J50:K50"/>
    <mergeCell ref="H53:I53"/>
    <mergeCell ref="J53:K53"/>
    <mergeCell ref="H61:I61"/>
    <mergeCell ref="J61:K61"/>
    <mergeCell ref="H64:I64"/>
    <mergeCell ref="B48:E48"/>
    <mergeCell ref="B49:E49"/>
    <mergeCell ref="B50:E50"/>
    <mergeCell ref="B51:E51"/>
    <mergeCell ref="B60:E60"/>
    <mergeCell ref="B61:E61"/>
    <mergeCell ref="R38:R39"/>
    <mergeCell ref="S38:U39"/>
    <mergeCell ref="S40:U40"/>
    <mergeCell ref="B41:E41"/>
    <mergeCell ref="B42:E42"/>
    <mergeCell ref="B43:E43"/>
    <mergeCell ref="L41:M41"/>
    <mergeCell ref="N41:O41"/>
    <mergeCell ref="P41:Q41"/>
    <mergeCell ref="L42:M42"/>
    <mergeCell ref="N42:O42"/>
    <mergeCell ref="P42:Q42"/>
    <mergeCell ref="L43:M43"/>
    <mergeCell ref="N43:O43"/>
    <mergeCell ref="P43:Q43"/>
    <mergeCell ref="B40:E40"/>
    <mergeCell ref="H40:I40"/>
    <mergeCell ref="J40:K40"/>
    <mergeCell ref="L40:M40"/>
    <mergeCell ref="L44:M44"/>
    <mergeCell ref="N44:O44"/>
    <mergeCell ref="P44:Q44"/>
    <mergeCell ref="S74:U74"/>
    <mergeCell ref="S75:U75"/>
    <mergeCell ref="N78:O78"/>
    <mergeCell ref="P78:Q78"/>
    <mergeCell ref="S64:U64"/>
    <mergeCell ref="N61:O61"/>
    <mergeCell ref="P61:Q61"/>
    <mergeCell ref="S71:U71"/>
    <mergeCell ref="S72:U72"/>
    <mergeCell ref="S73:U73"/>
    <mergeCell ref="S67:U68"/>
    <mergeCell ref="S79:U79"/>
    <mergeCell ref="S80:U80"/>
    <mergeCell ref="S81:U81"/>
    <mergeCell ref="S82:U82"/>
    <mergeCell ref="S88:U88"/>
    <mergeCell ref="S89:U89"/>
    <mergeCell ref="S83:U83"/>
    <mergeCell ref="S84:U84"/>
    <mergeCell ref="S85:U85"/>
    <mergeCell ref="S86:U86"/>
    <mergeCell ref="S87:U87"/>
    <mergeCell ref="T101:U101"/>
    <mergeCell ref="T102:U102"/>
    <mergeCell ref="T103:U103"/>
    <mergeCell ref="T104:U104"/>
    <mergeCell ref="T105:U105"/>
    <mergeCell ref="T106:U106"/>
    <mergeCell ref="T121:U121"/>
    <mergeCell ref="T122:U122"/>
    <mergeCell ref="T107:U107"/>
    <mergeCell ref="T108:U108"/>
    <mergeCell ref="T109:U109"/>
    <mergeCell ref="T110:U110"/>
    <mergeCell ref="T111:U111"/>
    <mergeCell ref="T112:U112"/>
    <mergeCell ref="T113:U113"/>
    <mergeCell ref="T116:U116"/>
    <mergeCell ref="T117:U117"/>
    <mergeCell ref="T118:U118"/>
    <mergeCell ref="S91:U91"/>
    <mergeCell ref="S93:U93"/>
    <mergeCell ref="S76:U76"/>
    <mergeCell ref="S77:U77"/>
    <mergeCell ref="S78:U78"/>
    <mergeCell ref="B121:E121"/>
    <mergeCell ref="H121:I121"/>
    <mergeCell ref="J121:K121"/>
    <mergeCell ref="L121:M121"/>
    <mergeCell ref="N121:O121"/>
    <mergeCell ref="P121:Q121"/>
    <mergeCell ref="T119:U119"/>
    <mergeCell ref="T120:U120"/>
    <mergeCell ref="J120:K120"/>
    <mergeCell ref="L120:M120"/>
    <mergeCell ref="N120:O120"/>
    <mergeCell ref="P120:Q120"/>
    <mergeCell ref="B112:E112"/>
    <mergeCell ref="H112:I112"/>
    <mergeCell ref="J112:K112"/>
    <mergeCell ref="L112:M112"/>
    <mergeCell ref="N112:O112"/>
    <mergeCell ref="P112:Q112"/>
    <mergeCell ref="T100:U100"/>
    <mergeCell ref="B122:E122"/>
    <mergeCell ref="H122:I122"/>
    <mergeCell ref="J122:K122"/>
    <mergeCell ref="L122:M122"/>
    <mergeCell ref="N122:O122"/>
    <mergeCell ref="P122:Q122"/>
    <mergeCell ref="B114:E114"/>
    <mergeCell ref="B115:E115"/>
    <mergeCell ref="B116:E116"/>
    <mergeCell ref="B117:E117"/>
    <mergeCell ref="B118:E118"/>
    <mergeCell ref="H114:I114"/>
    <mergeCell ref="H115:I115"/>
    <mergeCell ref="H116:I116"/>
    <mergeCell ref="H117:I117"/>
    <mergeCell ref="H118:I118"/>
    <mergeCell ref="B119:E119"/>
    <mergeCell ref="H119:I119"/>
    <mergeCell ref="J119:K119"/>
    <mergeCell ref="L119:M119"/>
    <mergeCell ref="N119:O119"/>
    <mergeCell ref="P119:Q119"/>
    <mergeCell ref="B120:E120"/>
    <mergeCell ref="H120:I120"/>
    <mergeCell ref="B113:E113"/>
    <mergeCell ref="H113:I113"/>
    <mergeCell ref="J113:K113"/>
    <mergeCell ref="L113:M113"/>
    <mergeCell ref="N113:O113"/>
    <mergeCell ref="P113:Q113"/>
    <mergeCell ref="B110:E110"/>
    <mergeCell ref="H110:I110"/>
    <mergeCell ref="J110:K110"/>
    <mergeCell ref="L110:M110"/>
    <mergeCell ref="N110:O110"/>
    <mergeCell ref="P110:Q110"/>
    <mergeCell ref="B111:E111"/>
    <mergeCell ref="H111:I111"/>
    <mergeCell ref="J111:K111"/>
    <mergeCell ref="L111:M111"/>
    <mergeCell ref="N111:O111"/>
    <mergeCell ref="P111:Q111"/>
    <mergeCell ref="B108:E108"/>
    <mergeCell ref="H108:I108"/>
    <mergeCell ref="J108:K108"/>
    <mergeCell ref="L108:M108"/>
    <mergeCell ref="N108:O108"/>
    <mergeCell ref="P108:Q108"/>
    <mergeCell ref="B109:E109"/>
    <mergeCell ref="H109:I109"/>
    <mergeCell ref="J109:K109"/>
    <mergeCell ref="L109:M109"/>
    <mergeCell ref="N109:O109"/>
    <mergeCell ref="P109:Q109"/>
    <mergeCell ref="B106:E106"/>
    <mergeCell ref="H106:I106"/>
    <mergeCell ref="J106:K106"/>
    <mergeCell ref="L106:M106"/>
    <mergeCell ref="N106:O106"/>
    <mergeCell ref="P106:Q106"/>
    <mergeCell ref="B107:E107"/>
    <mergeCell ref="H107:I107"/>
    <mergeCell ref="J107:K107"/>
    <mergeCell ref="L107:M107"/>
    <mergeCell ref="N107:O107"/>
    <mergeCell ref="P107:Q107"/>
    <mergeCell ref="B104:E104"/>
    <mergeCell ref="H104:I104"/>
    <mergeCell ref="J104:K104"/>
    <mergeCell ref="L104:M104"/>
    <mergeCell ref="N104:O104"/>
    <mergeCell ref="P104:Q104"/>
    <mergeCell ref="B105:E105"/>
    <mergeCell ref="H105:I105"/>
    <mergeCell ref="J105:K105"/>
    <mergeCell ref="L105:M105"/>
    <mergeCell ref="N105:O105"/>
    <mergeCell ref="P105:Q105"/>
    <mergeCell ref="B102:E102"/>
    <mergeCell ref="H102:I102"/>
    <mergeCell ref="J102:K102"/>
    <mergeCell ref="L102:M102"/>
    <mergeCell ref="N102:O102"/>
    <mergeCell ref="P102:Q102"/>
    <mergeCell ref="B103:E103"/>
    <mergeCell ref="H103:I103"/>
    <mergeCell ref="J103:K103"/>
    <mergeCell ref="L103:M103"/>
    <mergeCell ref="N103:O103"/>
    <mergeCell ref="P103:Q103"/>
    <mergeCell ref="B100:E100"/>
    <mergeCell ref="H100:I100"/>
    <mergeCell ref="J100:K100"/>
    <mergeCell ref="L100:M100"/>
    <mergeCell ref="N100:O100"/>
    <mergeCell ref="P100:Q100"/>
    <mergeCell ref="B101:E101"/>
    <mergeCell ref="H101:I101"/>
    <mergeCell ref="J101:K101"/>
    <mergeCell ref="L101:M101"/>
    <mergeCell ref="N101:O101"/>
    <mergeCell ref="P101:Q101"/>
    <mergeCell ref="A98:A99"/>
    <mergeCell ref="B98:E99"/>
    <mergeCell ref="F98:G99"/>
    <mergeCell ref="H98:I99"/>
    <mergeCell ref="J98:K99"/>
    <mergeCell ref="L98:M99"/>
    <mergeCell ref="N98:O99"/>
    <mergeCell ref="P98:Q99"/>
    <mergeCell ref="R98:R99"/>
    <mergeCell ref="V7:AA8"/>
    <mergeCell ref="A36:U37"/>
    <mergeCell ref="A65:U66"/>
    <mergeCell ref="J91:K91"/>
    <mergeCell ref="L91:M91"/>
    <mergeCell ref="N91:O91"/>
    <mergeCell ref="P91:Q91"/>
    <mergeCell ref="J80:K80"/>
    <mergeCell ref="L80:M80"/>
    <mergeCell ref="N80:O80"/>
    <mergeCell ref="P80:Q80"/>
    <mergeCell ref="J81:K81"/>
    <mergeCell ref="L81:M81"/>
    <mergeCell ref="N81:O81"/>
    <mergeCell ref="P81:Q81"/>
    <mergeCell ref="J82:K82"/>
    <mergeCell ref="L82:M82"/>
    <mergeCell ref="N82:O82"/>
    <mergeCell ref="P82:Q82"/>
    <mergeCell ref="J77:K77"/>
    <mergeCell ref="L77:M77"/>
    <mergeCell ref="N77:O77"/>
    <mergeCell ref="P79:Q79"/>
    <mergeCell ref="P72:Q72"/>
    <mergeCell ref="J93:K93"/>
    <mergeCell ref="L93:M93"/>
    <mergeCell ref="N93:O93"/>
    <mergeCell ref="P93:Q93"/>
    <mergeCell ref="J88:K88"/>
    <mergeCell ref="L88:M88"/>
    <mergeCell ref="N88:O88"/>
    <mergeCell ref="P88:Q88"/>
    <mergeCell ref="J89:K89"/>
    <mergeCell ref="L89:M89"/>
    <mergeCell ref="N89:O89"/>
    <mergeCell ref="P89:Q89"/>
    <mergeCell ref="J90:K90"/>
    <mergeCell ref="L90:M90"/>
    <mergeCell ref="N90:O90"/>
    <mergeCell ref="P90:Q90"/>
    <mergeCell ref="N92:O92"/>
    <mergeCell ref="L92:M92"/>
    <mergeCell ref="J92:K92"/>
    <mergeCell ref="B91:E91"/>
    <mergeCell ref="B93:E93"/>
    <mergeCell ref="P74:Q74"/>
    <mergeCell ref="J75:K75"/>
    <mergeCell ref="L75:M75"/>
    <mergeCell ref="N75:O75"/>
    <mergeCell ref="P75:Q75"/>
    <mergeCell ref="J76:K76"/>
    <mergeCell ref="L76:M76"/>
    <mergeCell ref="N76:O76"/>
    <mergeCell ref="P76:Q76"/>
    <mergeCell ref="H77:I77"/>
    <mergeCell ref="H78:I78"/>
    <mergeCell ref="H79:I79"/>
    <mergeCell ref="H80:I80"/>
    <mergeCell ref="H81:I81"/>
    <mergeCell ref="H82:I82"/>
    <mergeCell ref="H88:I88"/>
    <mergeCell ref="H89:I89"/>
    <mergeCell ref="L84:M84"/>
    <mergeCell ref="H74:I74"/>
    <mergeCell ref="H75:I75"/>
    <mergeCell ref="H76:I76"/>
    <mergeCell ref="N74:O74"/>
    <mergeCell ref="B90:E90"/>
    <mergeCell ref="H73:I73"/>
    <mergeCell ref="J69:K69"/>
    <mergeCell ref="L69:M69"/>
    <mergeCell ref="N69:O69"/>
    <mergeCell ref="J72:K72"/>
    <mergeCell ref="L72:M72"/>
    <mergeCell ref="N72:O72"/>
    <mergeCell ref="J70:K70"/>
    <mergeCell ref="L70:M70"/>
    <mergeCell ref="N70:O70"/>
    <mergeCell ref="J71:K71"/>
    <mergeCell ref="L71:M71"/>
    <mergeCell ref="J74:K74"/>
    <mergeCell ref="L74:M74"/>
    <mergeCell ref="S90:U90"/>
    <mergeCell ref="B69:E69"/>
    <mergeCell ref="B70:E70"/>
    <mergeCell ref="B71:E71"/>
    <mergeCell ref="B72:E72"/>
    <mergeCell ref="B73:E73"/>
    <mergeCell ref="P69:Q69"/>
    <mergeCell ref="P70:Q70"/>
    <mergeCell ref="N71:O71"/>
    <mergeCell ref="P71:Q71"/>
    <mergeCell ref="J73:K73"/>
    <mergeCell ref="L73:M73"/>
    <mergeCell ref="N73:O73"/>
    <mergeCell ref="P73:Q73"/>
    <mergeCell ref="J87:K87"/>
    <mergeCell ref="L85:M85"/>
    <mergeCell ref="L86:M86"/>
    <mergeCell ref="L87:M87"/>
    <mergeCell ref="N83:O83"/>
    <mergeCell ref="N84:O84"/>
    <mergeCell ref="B81:E81"/>
    <mergeCell ref="B82:E82"/>
    <mergeCell ref="B88:E88"/>
    <mergeCell ref="B89:E89"/>
    <mergeCell ref="X9:X10"/>
    <mergeCell ref="Y9:Y10"/>
    <mergeCell ref="Z9:Z10"/>
    <mergeCell ref="AA9:AA10"/>
    <mergeCell ref="V9:V10"/>
    <mergeCell ref="W9:W10"/>
    <mergeCell ref="T9:U10"/>
    <mergeCell ref="T11:U11"/>
    <mergeCell ref="T12:U12"/>
    <mergeCell ref="P25:Q25"/>
    <mergeCell ref="T21:U21"/>
    <mergeCell ref="T22:U22"/>
    <mergeCell ref="L25:M25"/>
    <mergeCell ref="T19:U19"/>
    <mergeCell ref="T20:U20"/>
    <mergeCell ref="T17:U17"/>
    <mergeCell ref="T18:U18"/>
    <mergeCell ref="L17:M17"/>
    <mergeCell ref="L18:M18"/>
    <mergeCell ref="P20:Q20"/>
    <mergeCell ref="L20:M20"/>
    <mergeCell ref="T23:U23"/>
    <mergeCell ref="T24:U24"/>
    <mergeCell ref="T25:U25"/>
    <mergeCell ref="N23:O23"/>
    <mergeCell ref="P19:Q19"/>
    <mergeCell ref="P18:Q18"/>
    <mergeCell ref="N17:O17"/>
    <mergeCell ref="B17:E17"/>
    <mergeCell ref="T34:U34"/>
    <mergeCell ref="T35:U35"/>
    <mergeCell ref="L34:M34"/>
    <mergeCell ref="L35:M35"/>
    <mergeCell ref="N34:O34"/>
    <mergeCell ref="N35:O35"/>
    <mergeCell ref="P34:Q34"/>
    <mergeCell ref="P35:Q35"/>
    <mergeCell ref="B34:E34"/>
    <mergeCell ref="B35:E35"/>
    <mergeCell ref="H34:I34"/>
    <mergeCell ref="H35:I35"/>
    <mergeCell ref="J34:K34"/>
    <mergeCell ref="J35:K35"/>
    <mergeCell ref="T33:U33"/>
    <mergeCell ref="L33:M33"/>
    <mergeCell ref="N33:O33"/>
    <mergeCell ref="P31:Q31"/>
    <mergeCell ref="P32:Q32"/>
    <mergeCell ref="P33:Q33"/>
    <mergeCell ref="N31:O31"/>
    <mergeCell ref="N32:O32"/>
    <mergeCell ref="B23:E23"/>
    <mergeCell ref="T13:U13"/>
    <mergeCell ref="T14:U14"/>
    <mergeCell ref="T15:U15"/>
    <mergeCell ref="H16:I16"/>
    <mergeCell ref="L13:M13"/>
    <mergeCell ref="B15:E15"/>
    <mergeCell ref="N15:O15"/>
    <mergeCell ref="P9:Q10"/>
    <mergeCell ref="A7:C7"/>
    <mergeCell ref="F7:J7"/>
    <mergeCell ref="N7:R7"/>
    <mergeCell ref="S7:U7"/>
    <mergeCell ref="H11:I11"/>
    <mergeCell ref="H12:I12"/>
    <mergeCell ref="L11:M11"/>
    <mergeCell ref="L12:M12"/>
    <mergeCell ref="L14:M14"/>
    <mergeCell ref="H13:I13"/>
    <mergeCell ref="H14:I14"/>
    <mergeCell ref="B16:E16"/>
    <mergeCell ref="N16:O16"/>
    <mergeCell ref="H15:I15"/>
    <mergeCell ref="T16:U16"/>
    <mergeCell ref="P16:Q16"/>
    <mergeCell ref="J20:K20"/>
    <mergeCell ref="P17:Q17"/>
    <mergeCell ref="H25:I25"/>
    <mergeCell ref="B25:E25"/>
    <mergeCell ref="N25:O25"/>
    <mergeCell ref="H33:I33"/>
    <mergeCell ref="J31:K31"/>
    <mergeCell ref="J32:K32"/>
    <mergeCell ref="L32:M32"/>
    <mergeCell ref="H31:I31"/>
    <mergeCell ref="H32:I32"/>
    <mergeCell ref="L21:M21"/>
    <mergeCell ref="L22:M22"/>
    <mergeCell ref="L23:M23"/>
    <mergeCell ref="L24:M24"/>
    <mergeCell ref="P21:Q21"/>
    <mergeCell ref="P22:Q22"/>
    <mergeCell ref="P23:Q23"/>
    <mergeCell ref="P24:Q24"/>
    <mergeCell ref="J33:K33"/>
    <mergeCell ref="L31:M31"/>
    <mergeCell ref="J25:K25"/>
    <mergeCell ref="J19:K19"/>
    <mergeCell ref="L19:M19"/>
    <mergeCell ref="B24:E24"/>
    <mergeCell ref="N24:O24"/>
    <mergeCell ref="H23:I23"/>
    <mergeCell ref="H24:I24"/>
    <mergeCell ref="J23:K23"/>
    <mergeCell ref="J24:K24"/>
    <mergeCell ref="B21:E21"/>
    <mergeCell ref="N21:O21"/>
    <mergeCell ref="B22:E22"/>
    <mergeCell ref="N22:O22"/>
    <mergeCell ref="H21:I21"/>
    <mergeCell ref="H22:I22"/>
    <mergeCell ref="J21:K21"/>
    <mergeCell ref="J22:K22"/>
    <mergeCell ref="B20:E20"/>
    <mergeCell ref="N20:O20"/>
    <mergeCell ref="B19:E19"/>
    <mergeCell ref="N19:O19"/>
    <mergeCell ref="H19:I19"/>
    <mergeCell ref="H20:I20"/>
    <mergeCell ref="L16:M16"/>
    <mergeCell ref="P13:Q13"/>
    <mergeCell ref="P14:Q14"/>
    <mergeCell ref="B18:E18"/>
    <mergeCell ref="N18:O18"/>
    <mergeCell ref="H17:I17"/>
    <mergeCell ref="H18:I18"/>
    <mergeCell ref="J17:K17"/>
    <mergeCell ref="J18:K18"/>
    <mergeCell ref="P15:Q15"/>
    <mergeCell ref="J13:K13"/>
    <mergeCell ref="J14:K14"/>
    <mergeCell ref="J15:K15"/>
    <mergeCell ref="J16:K16"/>
    <mergeCell ref="B13:E13"/>
    <mergeCell ref="N13:O13"/>
    <mergeCell ref="B14:E14"/>
    <mergeCell ref="N14:O14"/>
    <mergeCell ref="D7:E7"/>
    <mergeCell ref="B11:E11"/>
    <mergeCell ref="N11:O11"/>
    <mergeCell ref="B12:E12"/>
    <mergeCell ref="N12:O12"/>
    <mergeCell ref="B9:E10"/>
    <mergeCell ref="H9:I10"/>
    <mergeCell ref="J9:K10"/>
    <mergeCell ref="L9:M10"/>
    <mergeCell ref="N9:O10"/>
    <mergeCell ref="J11:K11"/>
    <mergeCell ref="J12:K12"/>
    <mergeCell ref="F9:G10"/>
    <mergeCell ref="A8:U8"/>
    <mergeCell ref="A9:A10"/>
    <mergeCell ref="K7:M7"/>
    <mergeCell ref="N38:O39"/>
    <mergeCell ref="A67:A68"/>
    <mergeCell ref="B67:E68"/>
    <mergeCell ref="F67:G68"/>
    <mergeCell ref="H67:I68"/>
    <mergeCell ref="J67:K68"/>
    <mergeCell ref="L67:M68"/>
    <mergeCell ref="N67:O68"/>
    <mergeCell ref="P67:Q68"/>
    <mergeCell ref="B55:E55"/>
    <mergeCell ref="B56:E56"/>
    <mergeCell ref="B57:E57"/>
    <mergeCell ref="B58:E58"/>
    <mergeCell ref="B59:E59"/>
    <mergeCell ref="H57:I57"/>
    <mergeCell ref="H58:I58"/>
    <mergeCell ref="H59:I59"/>
    <mergeCell ref="A38:A39"/>
    <mergeCell ref="B38:E39"/>
    <mergeCell ref="N40:O40"/>
    <mergeCell ref="P40:Q40"/>
    <mergeCell ref="B52:E52"/>
    <mergeCell ref="B53:E53"/>
    <mergeCell ref="B54:E54"/>
    <mergeCell ref="F38:G39"/>
    <mergeCell ref="B44:E44"/>
    <mergeCell ref="B45:E45"/>
    <mergeCell ref="B46:E46"/>
    <mergeCell ref="B47:E47"/>
    <mergeCell ref="J117:K117"/>
    <mergeCell ref="J118:K118"/>
    <mergeCell ref="L114:M114"/>
    <mergeCell ref="L115:M115"/>
    <mergeCell ref="L116:M116"/>
    <mergeCell ref="L117:M117"/>
    <mergeCell ref="L118:M118"/>
    <mergeCell ref="H91:I91"/>
    <mergeCell ref="H93:I93"/>
    <mergeCell ref="A94:U97"/>
    <mergeCell ref="H92:I92"/>
    <mergeCell ref="T114:U114"/>
    <mergeCell ref="T115:U115"/>
    <mergeCell ref="N114:O114"/>
    <mergeCell ref="N115:O115"/>
    <mergeCell ref="P114:Q114"/>
    <mergeCell ref="P115:Q115"/>
    <mergeCell ref="S98:S99"/>
    <mergeCell ref="T98:U99"/>
    <mergeCell ref="H90:I90"/>
    <mergeCell ref="J79:K79"/>
    <mergeCell ref="L79:M79"/>
    <mergeCell ref="H69:I69"/>
    <mergeCell ref="H70:I70"/>
    <mergeCell ref="H71:I71"/>
    <mergeCell ref="H72:I72"/>
    <mergeCell ref="H83:I83"/>
    <mergeCell ref="H84:I84"/>
    <mergeCell ref="H85:I85"/>
    <mergeCell ref="H86:I86"/>
    <mergeCell ref="H87:I87"/>
    <mergeCell ref="J83:K83"/>
    <mergeCell ref="J84:K84"/>
    <mergeCell ref="J85:K85"/>
    <mergeCell ref="J86:K86"/>
    <mergeCell ref="B26:E26"/>
    <mergeCell ref="B27:E27"/>
    <mergeCell ref="B28:E28"/>
    <mergeCell ref="B29:E29"/>
    <mergeCell ref="B30:E30"/>
    <mergeCell ref="L83:M83"/>
    <mergeCell ref="J114:K114"/>
    <mergeCell ref="J115:K115"/>
    <mergeCell ref="J116:K116"/>
    <mergeCell ref="B83:E83"/>
    <mergeCell ref="B84:E84"/>
    <mergeCell ref="B85:E85"/>
    <mergeCell ref="B86:E86"/>
    <mergeCell ref="B87:E87"/>
    <mergeCell ref="B31:E31"/>
    <mergeCell ref="B32:E32"/>
    <mergeCell ref="B33:E33"/>
    <mergeCell ref="B74:E74"/>
    <mergeCell ref="B75:E75"/>
    <mergeCell ref="B76:E76"/>
    <mergeCell ref="B77:E77"/>
    <mergeCell ref="B78:E78"/>
    <mergeCell ref="B79:E79"/>
    <mergeCell ref="B80:E80"/>
    <mergeCell ref="A1:D6"/>
    <mergeCell ref="E1:U6"/>
    <mergeCell ref="B92:E92"/>
    <mergeCell ref="N85:O85"/>
    <mergeCell ref="N86:O86"/>
    <mergeCell ref="N87:O87"/>
    <mergeCell ref="P83:Q83"/>
    <mergeCell ref="P84:Q84"/>
    <mergeCell ref="P85:Q85"/>
    <mergeCell ref="P86:Q86"/>
    <mergeCell ref="P87:Q87"/>
    <mergeCell ref="J55:K55"/>
    <mergeCell ref="J56:K56"/>
    <mergeCell ref="J57:K57"/>
    <mergeCell ref="J58:K58"/>
    <mergeCell ref="J59:K59"/>
    <mergeCell ref="L55:M55"/>
    <mergeCell ref="P26:Q26"/>
    <mergeCell ref="P27:Q27"/>
    <mergeCell ref="P28:Q28"/>
    <mergeCell ref="P29:Q29"/>
    <mergeCell ref="P30:Q30"/>
    <mergeCell ref="S92:U92"/>
    <mergeCell ref="P92:Q92"/>
    <mergeCell ref="N116:O116"/>
    <mergeCell ref="N117:O117"/>
    <mergeCell ref="N118:O118"/>
    <mergeCell ref="P116:Q116"/>
    <mergeCell ref="P117:Q117"/>
    <mergeCell ref="P118:Q118"/>
    <mergeCell ref="T26:U26"/>
    <mergeCell ref="T27:U27"/>
    <mergeCell ref="T28:U28"/>
    <mergeCell ref="T29:U29"/>
    <mergeCell ref="T30:U30"/>
    <mergeCell ref="P38:Q39"/>
    <mergeCell ref="S55:U55"/>
    <mergeCell ref="S56:U56"/>
    <mergeCell ref="S57:U57"/>
    <mergeCell ref="S58:U58"/>
    <mergeCell ref="S59:U59"/>
    <mergeCell ref="P58:Q58"/>
    <mergeCell ref="P59:Q59"/>
    <mergeCell ref="T31:U31"/>
    <mergeCell ref="T32:U32"/>
    <mergeCell ref="R67:R68"/>
    <mergeCell ref="S69:U69"/>
    <mergeCell ref="S70:U70"/>
    <mergeCell ref="N79:O79"/>
    <mergeCell ref="P77:Q77"/>
    <mergeCell ref="J78:K78"/>
    <mergeCell ref="L78:M78"/>
    <mergeCell ref="L61:M61"/>
    <mergeCell ref="AC7:AH8"/>
    <mergeCell ref="AC9:AC10"/>
    <mergeCell ref="AD9:AD10"/>
    <mergeCell ref="AE9:AE10"/>
    <mergeCell ref="AF9:AF10"/>
    <mergeCell ref="AG9:AG10"/>
    <mergeCell ref="AH9:AH10"/>
    <mergeCell ref="N26:O26"/>
    <mergeCell ref="N27:O27"/>
    <mergeCell ref="N28:O28"/>
    <mergeCell ref="N29:O29"/>
    <mergeCell ref="N30:O30"/>
    <mergeCell ref="J38:K39"/>
    <mergeCell ref="L38:M39"/>
    <mergeCell ref="L15:M15"/>
    <mergeCell ref="S9:S10"/>
    <mergeCell ref="R9:R10"/>
    <mergeCell ref="P11:Q11"/>
    <mergeCell ref="P12:Q12"/>
    <mergeCell ref="H55:I55"/>
    <mergeCell ref="H56:I56"/>
    <mergeCell ref="J26:K26"/>
    <mergeCell ref="J27:K27"/>
    <mergeCell ref="J28:K28"/>
    <mergeCell ref="J29:K29"/>
    <mergeCell ref="J30:K30"/>
    <mergeCell ref="L26:M26"/>
    <mergeCell ref="L27:M27"/>
    <mergeCell ref="L28:M28"/>
    <mergeCell ref="L29:M29"/>
    <mergeCell ref="L30:M30"/>
    <mergeCell ref="L56:M56"/>
    <mergeCell ref="H26:I26"/>
    <mergeCell ref="H27:I27"/>
    <mergeCell ref="H28:I28"/>
    <mergeCell ref="H29:I29"/>
    <mergeCell ref="H30:I30"/>
    <mergeCell ref="H38:I39"/>
    <mergeCell ref="H45:I45"/>
    <mergeCell ref="J45:K45"/>
    <mergeCell ref="L45:M45"/>
    <mergeCell ref="H48:I48"/>
    <mergeCell ref="J48:K48"/>
  </mergeCells>
  <phoneticPr fontId="11" type="noConversion"/>
  <conditionalFormatting sqref="S40:U64">
    <cfRule type="cellIs" dxfId="7" priority="3" operator="notEqual">
      <formula>"Sem Cotação"</formula>
    </cfRule>
    <cfRule type="cellIs" dxfId="6" priority="4" operator="equal">
      <formula>"Sem Cotação"</formula>
    </cfRule>
  </conditionalFormatting>
  <conditionalFormatting sqref="S69:U93">
    <cfRule type="cellIs" dxfId="5" priority="5" operator="notEqual">
      <formula>"Sem Cotação"</formula>
    </cfRule>
    <cfRule type="cellIs" dxfId="4" priority="6" operator="equal">
      <formula>"Sem Cotação"</formula>
    </cfRule>
  </conditionalFormatting>
  <conditionalFormatting sqref="T11:U35">
    <cfRule type="cellIs" dxfId="3" priority="1" operator="notEqual">
      <formula>"Sem Cotação"</formula>
    </cfRule>
    <cfRule type="cellIs" dxfId="2" priority="2" operator="equal">
      <formula>"Sem Cotação"</formula>
    </cfRule>
  </conditionalFormatting>
  <conditionalFormatting sqref="T100:U122">
    <cfRule type="cellIs" dxfId="1" priority="9" operator="notEqual">
      <formula>"Sem Cotação"</formula>
    </cfRule>
    <cfRule type="cellIs" dxfId="0" priority="10" operator="equal">
      <formula>"Sem Cotação"</formula>
    </cfRule>
  </conditionalFormatting>
  <pageMargins left="0" right="0" top="0" bottom="0" header="0.31496062992125984" footer="0.31496062992125984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CBC9D-6380-478C-9CBD-6812583F1004}">
  <dimension ref="A1:R50"/>
  <sheetViews>
    <sheetView zoomScale="55" zoomScaleNormal="55" workbookViewId="0">
      <selection activeCell="D10" sqref="D10:E10"/>
    </sheetView>
  </sheetViews>
  <sheetFormatPr defaultRowHeight="15" x14ac:dyDescent="0.25"/>
  <cols>
    <col min="1" max="1" width="22.7109375" customWidth="1"/>
    <col min="2" max="5" width="15.7109375" customWidth="1"/>
    <col min="7" max="7" width="10" customWidth="1"/>
    <col min="8" max="8" width="16.85546875" customWidth="1"/>
    <col min="9" max="9" width="11.7109375" customWidth="1"/>
    <col min="10" max="10" width="23" customWidth="1"/>
    <col min="12" max="14" width="14.7109375" customWidth="1"/>
    <col min="15" max="15" width="11.85546875" bestFit="1" customWidth="1"/>
    <col min="16" max="16" width="10.5703125" customWidth="1"/>
    <col min="17" max="17" width="15.140625" customWidth="1"/>
    <col min="18" max="18" width="26.7109375" hidden="1" customWidth="1"/>
  </cols>
  <sheetData>
    <row r="1" spans="1:17" ht="15" customHeight="1" x14ac:dyDescent="0.25">
      <c r="A1" s="57"/>
      <c r="B1" s="57"/>
      <c r="C1" s="57"/>
      <c r="D1" s="57"/>
      <c r="E1" s="57"/>
      <c r="F1" s="57"/>
      <c r="G1" s="124" t="s">
        <v>153</v>
      </c>
      <c r="H1" s="124"/>
      <c r="I1" s="124"/>
      <c r="J1" s="124"/>
      <c r="K1" s="124"/>
      <c r="L1" s="124"/>
      <c r="M1" s="124"/>
      <c r="N1" s="124"/>
      <c r="O1" s="124"/>
      <c r="P1" s="124"/>
      <c r="Q1" s="124"/>
    </row>
    <row r="2" spans="1:17" ht="15" customHeight="1" x14ac:dyDescent="0.25">
      <c r="A2" s="57"/>
      <c r="B2" s="57"/>
      <c r="C2" s="57"/>
      <c r="D2" s="57"/>
      <c r="E2" s="57"/>
      <c r="F2" s="57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</row>
    <row r="3" spans="1:17" ht="15" customHeight="1" x14ac:dyDescent="0.25">
      <c r="A3" s="57"/>
      <c r="B3" s="57"/>
      <c r="C3" s="57"/>
      <c r="D3" s="57"/>
      <c r="E3" s="57"/>
      <c r="F3" s="57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</row>
    <row r="4" spans="1:17" ht="15.75" x14ac:dyDescent="0.25">
      <c r="A4" s="57"/>
      <c r="B4" s="57"/>
      <c r="C4" s="57"/>
      <c r="D4" s="57"/>
      <c r="E4" s="57"/>
      <c r="F4" s="57"/>
      <c r="G4" s="125" t="s">
        <v>36</v>
      </c>
      <c r="H4" s="126" t="s">
        <v>34</v>
      </c>
      <c r="I4" s="126"/>
      <c r="J4" s="126"/>
      <c r="K4" s="126"/>
      <c r="L4" s="127" t="s">
        <v>159</v>
      </c>
      <c r="M4" s="127"/>
      <c r="N4" s="128" t="s">
        <v>35</v>
      </c>
      <c r="O4" s="127" t="s">
        <v>158</v>
      </c>
      <c r="P4" s="127"/>
      <c r="Q4" s="129" t="s">
        <v>37</v>
      </c>
    </row>
    <row r="5" spans="1:17" x14ac:dyDescent="0.25">
      <c r="A5" s="57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</row>
    <row r="6" spans="1:17" ht="15.75" x14ac:dyDescent="0.25">
      <c r="A6" s="114" t="s">
        <v>166</v>
      </c>
      <c r="B6" s="114"/>
      <c r="C6" s="114"/>
      <c r="D6" s="114" t="s">
        <v>55</v>
      </c>
      <c r="E6" s="114"/>
      <c r="F6" s="114"/>
      <c r="G6" s="57"/>
      <c r="H6" s="132" t="s">
        <v>156</v>
      </c>
      <c r="I6" s="132"/>
      <c r="J6" s="132"/>
      <c r="K6" s="57"/>
      <c r="L6" s="114" t="s">
        <v>157</v>
      </c>
      <c r="M6" s="114"/>
      <c r="N6" s="114"/>
      <c r="O6" s="114" t="s">
        <v>113</v>
      </c>
      <c r="P6" s="114"/>
      <c r="Q6" s="114"/>
    </row>
    <row r="7" spans="1:17" ht="15.75" x14ac:dyDescent="0.25">
      <c r="A7" s="133">
        <f>'Cotação Materia Prima'!D7</f>
        <v>6</v>
      </c>
      <c r="B7" s="133"/>
      <c r="C7" s="114"/>
      <c r="D7" s="134">
        <f>'Cotação Materia Prima'!K7</f>
        <v>45753</v>
      </c>
      <c r="E7" s="134"/>
      <c r="F7" s="134"/>
      <c r="G7" s="57"/>
      <c r="H7" s="135">
        <f>SUM(L13:M37)</f>
        <v>0.75719591333333336</v>
      </c>
      <c r="I7" s="135"/>
      <c r="J7" s="135"/>
      <c r="K7" s="57"/>
      <c r="L7" s="136">
        <f>P38</f>
        <v>75719.59133333333</v>
      </c>
      <c r="M7" s="136"/>
      <c r="N7" s="136"/>
      <c r="O7" s="136">
        <f>P49</f>
        <v>1.0783614040011573</v>
      </c>
      <c r="P7" s="136"/>
      <c r="Q7" s="136"/>
    </row>
    <row r="8" spans="1:17" x14ac:dyDescent="0.25">
      <c r="A8" s="137"/>
      <c r="B8" s="137"/>
      <c r="C8" s="137"/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</row>
    <row r="9" spans="1:17" ht="15.75" x14ac:dyDescent="0.25">
      <c r="A9" s="114" t="s">
        <v>110</v>
      </c>
      <c r="B9" s="114"/>
      <c r="C9" s="114"/>
      <c r="D9" s="114" t="s">
        <v>111</v>
      </c>
      <c r="E9" s="114"/>
      <c r="F9" s="114"/>
      <c r="G9" s="114"/>
      <c r="H9" s="114" t="s">
        <v>160</v>
      </c>
      <c r="I9" s="114"/>
      <c r="J9" s="114"/>
      <c r="K9" s="114"/>
      <c r="L9" s="114" t="s">
        <v>114</v>
      </c>
      <c r="M9" s="114"/>
      <c r="N9" s="114"/>
      <c r="O9" s="114" t="s">
        <v>161</v>
      </c>
      <c r="P9" s="114"/>
      <c r="Q9" s="114"/>
    </row>
    <row r="10" spans="1:17" ht="15.75" x14ac:dyDescent="0.25">
      <c r="A10" s="138">
        <v>100000</v>
      </c>
      <c r="B10" s="139" t="s">
        <v>54</v>
      </c>
      <c r="C10" s="114"/>
      <c r="D10" s="140">
        <v>100000</v>
      </c>
      <c r="E10" s="140"/>
      <c r="F10" s="131" t="s">
        <v>54</v>
      </c>
      <c r="G10" s="131"/>
      <c r="H10" s="141">
        <f>SUM(A10-D10)</f>
        <v>0</v>
      </c>
      <c r="I10" s="141"/>
      <c r="J10" s="131" t="s">
        <v>54</v>
      </c>
      <c r="K10" s="114"/>
      <c r="L10" s="142">
        <f>SUM(P42:Q45)*H10</f>
        <v>0</v>
      </c>
      <c r="M10" s="142"/>
      <c r="N10" s="142"/>
      <c r="O10" s="141">
        <v>57600000</v>
      </c>
      <c r="P10" s="141"/>
      <c r="Q10" s="131" t="s">
        <v>54</v>
      </c>
    </row>
    <row r="11" spans="1:17" x14ac:dyDescent="0.25">
      <c r="A11" s="130"/>
      <c r="B11" s="69" t="s">
        <v>47</v>
      </c>
      <c r="C11" s="69"/>
      <c r="D11" s="69"/>
      <c r="E11" s="69"/>
      <c r="F11" s="69" t="s">
        <v>4</v>
      </c>
      <c r="G11" s="69"/>
      <c r="H11" s="69" t="s">
        <v>56</v>
      </c>
      <c r="I11" s="69"/>
      <c r="J11" s="69" t="s">
        <v>57</v>
      </c>
      <c r="K11" s="69"/>
      <c r="L11" s="69" t="s">
        <v>62</v>
      </c>
      <c r="M11" s="69"/>
      <c r="N11" s="69" t="s">
        <v>63</v>
      </c>
      <c r="O11" s="69"/>
      <c r="P11" s="69" t="s">
        <v>64</v>
      </c>
      <c r="Q11" s="69"/>
    </row>
    <row r="12" spans="1:17" ht="18.75" x14ac:dyDescent="0.3">
      <c r="A12" s="143" t="s">
        <v>163</v>
      </c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</row>
    <row r="13" spans="1:17" ht="24.95" customHeight="1" x14ac:dyDescent="0.25">
      <c r="A13" s="11">
        <f>'Cotação Materia Prima'!A21</f>
        <v>11</v>
      </c>
      <c r="B13" s="47" t="str">
        <f>'Cotação Materia Prima'!B21:E21</f>
        <v>Fralda M - Polietileno (Filme eterno) - 600mm- kG</v>
      </c>
      <c r="C13" s="47"/>
      <c r="D13" s="47"/>
      <c r="E13" s="47"/>
      <c r="F13" s="11">
        <v>10.56</v>
      </c>
      <c r="G13" s="144" t="s">
        <v>51</v>
      </c>
      <c r="H13" s="145">
        <f>SUM(J13)/$A$7</f>
        <v>2.6733333333333333</v>
      </c>
      <c r="I13" s="144" t="s">
        <v>58</v>
      </c>
      <c r="J13" s="146">
        <f>'Cotação Materia Prima'!S21</f>
        <v>16.04</v>
      </c>
      <c r="K13" s="144" t="s">
        <v>58</v>
      </c>
      <c r="L13" s="147">
        <f>SUM(F13/1000)*J13</f>
        <v>0.16938239999999999</v>
      </c>
      <c r="M13" s="147"/>
      <c r="N13" s="148">
        <f>SUM(F13/1000)*$D$10</f>
        <v>1056</v>
      </c>
      <c r="O13" s="144" t="s">
        <v>58</v>
      </c>
      <c r="P13" s="34">
        <f>SUM(N13*J13)</f>
        <v>16938.239999999998</v>
      </c>
      <c r="Q13" s="34"/>
    </row>
    <row r="14" spans="1:17" ht="24.95" customHeight="1" x14ac:dyDescent="0.25">
      <c r="A14" s="11">
        <f>'Cotação Materia Prima'!A24</f>
        <v>14</v>
      </c>
      <c r="B14" s="47" t="str">
        <f>'Cotação Materia Prima'!B24:E24</f>
        <v>Fralda M - TNT (Cobertura - Tecido Não Tecido) - 600mm  - M²</v>
      </c>
      <c r="C14" s="47"/>
      <c r="D14" s="47"/>
      <c r="E14" s="47"/>
      <c r="F14" s="11">
        <v>0.48</v>
      </c>
      <c r="G14" s="144" t="s">
        <v>48</v>
      </c>
      <c r="H14" s="145">
        <f t="shared" ref="H14:H26" si="0">SUM(J14)/$A$7</f>
        <v>2.6716666666666666E-2</v>
      </c>
      <c r="I14" s="144" t="s">
        <v>59</v>
      </c>
      <c r="J14" s="146">
        <f>'Cotação Materia Prima'!S24</f>
        <v>0.1603</v>
      </c>
      <c r="K14" s="144" t="s">
        <v>59</v>
      </c>
      <c r="L14" s="147">
        <f t="shared" ref="L14:L16" si="1">SUM(J14*F14)</f>
        <v>7.6943999999999999E-2</v>
      </c>
      <c r="M14" s="147"/>
      <c r="N14" s="148">
        <f>SUM(F14)*$D$10</f>
        <v>48000</v>
      </c>
      <c r="O14" s="149" t="s">
        <v>69</v>
      </c>
      <c r="P14" s="34">
        <f>SUM(N14*J14)</f>
        <v>7694.4</v>
      </c>
      <c r="Q14" s="34"/>
    </row>
    <row r="15" spans="1:17" ht="24.95" customHeight="1" x14ac:dyDescent="0.25">
      <c r="A15" s="11">
        <f>'Cotação Materia Prima'!A11</f>
        <v>1</v>
      </c>
      <c r="B15" s="47" t="str">
        <f>'Cotação Materia Prima'!B11:E11</f>
        <v>TNT (Tecido Não Tecido) Trasnfer  - M²</v>
      </c>
      <c r="C15" s="47"/>
      <c r="D15" s="47"/>
      <c r="E15" s="47"/>
      <c r="F15" s="11">
        <v>6.1600000000000002E-2</v>
      </c>
      <c r="G15" s="144" t="s">
        <v>50</v>
      </c>
      <c r="H15" s="145">
        <f t="shared" si="0"/>
        <v>0.19338333333333332</v>
      </c>
      <c r="I15" s="144" t="s">
        <v>60</v>
      </c>
      <c r="J15" s="146">
        <f>'Cotação Materia Prima'!S11</f>
        <v>1.1602999999999999</v>
      </c>
      <c r="K15" s="144" t="s">
        <v>60</v>
      </c>
      <c r="L15" s="147">
        <f t="shared" si="1"/>
        <v>7.1474479999999993E-2</v>
      </c>
      <c r="M15" s="147"/>
      <c r="N15" s="148">
        <f>SUM(F15)*$D$10</f>
        <v>6160</v>
      </c>
      <c r="O15" s="144" t="s">
        <v>69</v>
      </c>
      <c r="P15" s="34">
        <f t="shared" ref="P15:P24" si="2">SUM(N15*J15)</f>
        <v>7147.4479999999994</v>
      </c>
      <c r="Q15" s="34"/>
    </row>
    <row r="16" spans="1:17" ht="24.95" customHeight="1" x14ac:dyDescent="0.25">
      <c r="A16" s="11">
        <f>'Cotação Materia Prima'!A12</f>
        <v>2</v>
      </c>
      <c r="B16" s="47" t="str">
        <f>'Cotação Materia Prima'!B12:E12</f>
        <v>TNT (Barreira - Tecido Não Tecido) - M²</v>
      </c>
      <c r="C16" s="47"/>
      <c r="D16" s="47"/>
      <c r="E16" s="47"/>
      <c r="F16" s="11">
        <v>9.6000000000000002E-2</v>
      </c>
      <c r="G16" s="144" t="s">
        <v>50</v>
      </c>
      <c r="H16" s="145">
        <f t="shared" si="0"/>
        <v>3.805E-2</v>
      </c>
      <c r="I16" s="144" t="s">
        <v>60</v>
      </c>
      <c r="J16" s="146">
        <f>'Cotação Materia Prima'!S12</f>
        <v>0.2283</v>
      </c>
      <c r="K16" s="144" t="s">
        <v>60</v>
      </c>
      <c r="L16" s="147">
        <f t="shared" si="1"/>
        <v>2.19168E-2</v>
      </c>
      <c r="M16" s="147"/>
      <c r="N16" s="148">
        <f>SUM(F16)*$D$10</f>
        <v>9600</v>
      </c>
      <c r="O16" s="144" t="s">
        <v>69</v>
      </c>
      <c r="P16" s="34">
        <f t="shared" si="2"/>
        <v>2191.6799999999998</v>
      </c>
      <c r="Q16" s="34"/>
    </row>
    <row r="17" spans="1:17" ht="24.95" customHeight="1" x14ac:dyDescent="0.25">
      <c r="A17" s="11">
        <f>'Cotação Materia Prima'!A13</f>
        <v>3</v>
      </c>
      <c r="B17" s="47" t="str">
        <f>'Cotação Materia Prima'!B13:E13</f>
        <v>Gel Superrabisorvente (SAP) - KG</v>
      </c>
      <c r="C17" s="47"/>
      <c r="D17" s="47"/>
      <c r="E17" s="47"/>
      <c r="F17" s="11">
        <v>6</v>
      </c>
      <c r="G17" s="144" t="s">
        <v>51</v>
      </c>
      <c r="H17" s="145">
        <f t="shared" si="0"/>
        <v>1.9630000000000001</v>
      </c>
      <c r="I17" s="144" t="s">
        <v>58</v>
      </c>
      <c r="J17" s="146">
        <f>'Cotação Materia Prima'!S13</f>
        <v>11.778</v>
      </c>
      <c r="K17" s="144" t="s">
        <v>58</v>
      </c>
      <c r="L17" s="147">
        <f>SUM(F17/1000)*J17</f>
        <v>7.0668000000000009E-2</v>
      </c>
      <c r="M17" s="147"/>
      <c r="N17" s="148">
        <f>SUM(F17/1000)*$D$10</f>
        <v>600</v>
      </c>
      <c r="O17" s="144" t="s">
        <v>58</v>
      </c>
      <c r="P17" s="34">
        <f t="shared" si="2"/>
        <v>7066.8</v>
      </c>
      <c r="Q17" s="34"/>
    </row>
    <row r="18" spans="1:17" ht="24.95" customHeight="1" x14ac:dyDescent="0.25">
      <c r="A18" s="11">
        <f>'Cotação Materia Prima'!A14</f>
        <v>4</v>
      </c>
      <c r="B18" s="47" t="str">
        <f>'Cotação Materia Prima'!B14:E14</f>
        <v>Celulose Fluff  - KG</v>
      </c>
      <c r="C18" s="47"/>
      <c r="D18" s="47"/>
      <c r="E18" s="47"/>
      <c r="F18" s="11">
        <v>30</v>
      </c>
      <c r="G18" s="144" t="s">
        <v>51</v>
      </c>
      <c r="H18" s="145">
        <f t="shared" si="0"/>
        <v>1.2180666666666666</v>
      </c>
      <c r="I18" s="144" t="s">
        <v>58</v>
      </c>
      <c r="J18" s="146">
        <f>'Cotação Materia Prima'!S14</f>
        <v>7.3083999999999998</v>
      </c>
      <c r="K18" s="144" t="s">
        <v>58</v>
      </c>
      <c r="L18" s="147">
        <f>SUM(F18/1000)*J18</f>
        <v>0.21925199999999997</v>
      </c>
      <c r="M18" s="147"/>
      <c r="N18" s="148">
        <f>SUM(F18/1000)*$D$10</f>
        <v>3000</v>
      </c>
      <c r="O18" s="144" t="s">
        <v>58</v>
      </c>
      <c r="P18" s="34">
        <f t="shared" si="2"/>
        <v>21925.200000000001</v>
      </c>
      <c r="Q18" s="34"/>
    </row>
    <row r="19" spans="1:17" ht="24.95" customHeight="1" x14ac:dyDescent="0.25">
      <c r="A19" s="11">
        <f>'Cotação Materia Prima'!A15</f>
        <v>5</v>
      </c>
      <c r="B19" s="47" t="str">
        <f>'Cotação Materia Prima'!B15:E15</f>
        <v>Elásticos (Laterais e Cintura) - KG</v>
      </c>
      <c r="C19" s="47"/>
      <c r="D19" s="47"/>
      <c r="E19" s="47"/>
      <c r="F19" s="11">
        <v>0.11</v>
      </c>
      <c r="G19" s="144" t="s">
        <v>51</v>
      </c>
      <c r="H19" s="145">
        <f t="shared" si="0"/>
        <v>9.7383333333333333</v>
      </c>
      <c r="I19" s="144" t="s">
        <v>58</v>
      </c>
      <c r="J19" s="146">
        <f>'Cotação Materia Prima'!S15</f>
        <v>58.43</v>
      </c>
      <c r="K19" s="144" t="s">
        <v>58</v>
      </c>
      <c r="L19" s="147">
        <f>SUM(F19/1000)*J19</f>
        <v>6.4273000000000004E-3</v>
      </c>
      <c r="M19" s="147"/>
      <c r="N19" s="148">
        <f>SUM(F19/1000)*$D$10</f>
        <v>11</v>
      </c>
      <c r="O19" s="144" t="s">
        <v>58</v>
      </c>
      <c r="P19" s="34">
        <f t="shared" si="2"/>
        <v>642.73</v>
      </c>
      <c r="Q19" s="34"/>
    </row>
    <row r="20" spans="1:17" ht="24.95" customHeight="1" x14ac:dyDescent="0.25">
      <c r="A20" s="11">
        <f>'Cotação Materia Prima'!A16</f>
        <v>6</v>
      </c>
      <c r="B20" s="47" t="str">
        <f>'Cotação Materia Prima'!B16:E16</f>
        <v>Fitas Adesivas - M²</v>
      </c>
      <c r="C20" s="47"/>
      <c r="D20" s="47"/>
      <c r="E20" s="47"/>
      <c r="F20" s="11">
        <v>5.3499999999999997E-3</v>
      </c>
      <c r="G20" s="144" t="s">
        <v>50</v>
      </c>
      <c r="H20" s="145">
        <f t="shared" si="0"/>
        <v>1.3883333333333334</v>
      </c>
      <c r="I20" s="144" t="s">
        <v>60</v>
      </c>
      <c r="J20" s="146">
        <f>'Cotação Materia Prima'!S16</f>
        <v>8.33</v>
      </c>
      <c r="K20" s="144" t="s">
        <v>60</v>
      </c>
      <c r="L20" s="147">
        <f>SUM(J20*F20)</f>
        <v>4.4565500000000001E-2</v>
      </c>
      <c r="M20" s="147"/>
      <c r="N20" s="148">
        <f>SUM(F20)*$D$10</f>
        <v>535</v>
      </c>
      <c r="O20" s="144" t="s">
        <v>69</v>
      </c>
      <c r="P20" s="34">
        <f t="shared" si="2"/>
        <v>4456.55</v>
      </c>
      <c r="Q20" s="34"/>
    </row>
    <row r="21" spans="1:17" ht="24.95" customHeight="1" x14ac:dyDescent="0.25">
      <c r="A21" s="11">
        <f>'Cotação Materia Prima'!A17</f>
        <v>7</v>
      </c>
      <c r="B21" s="47" t="str">
        <f>'Cotação Materia Prima'!B17:E17</f>
        <v>Adesivo Construção - KG</v>
      </c>
      <c r="C21" s="47"/>
      <c r="D21" s="47"/>
      <c r="E21" s="47"/>
      <c r="F21" s="11">
        <v>2.11</v>
      </c>
      <c r="G21" s="144" t="s">
        <v>51</v>
      </c>
      <c r="H21" s="145">
        <f t="shared" si="0"/>
        <v>2.4350000000000001</v>
      </c>
      <c r="I21" s="144" t="s">
        <v>176</v>
      </c>
      <c r="J21" s="146">
        <f>'Cotação Materia Prima'!S17</f>
        <v>14.61</v>
      </c>
      <c r="K21" s="144" t="s">
        <v>58</v>
      </c>
      <c r="L21" s="147">
        <f>SUM(F21/1000)*J21</f>
        <v>3.0827099999999996E-2</v>
      </c>
      <c r="M21" s="147"/>
      <c r="N21" s="148">
        <f>SUM(F21/1000)*$D$10</f>
        <v>211</v>
      </c>
      <c r="O21" s="144" t="s">
        <v>58</v>
      </c>
      <c r="P21" s="34">
        <f>SUM(N21*J21)</f>
        <v>3082.71</v>
      </c>
      <c r="Q21" s="34"/>
    </row>
    <row r="22" spans="1:17" ht="24.95" customHeight="1" x14ac:dyDescent="0.25">
      <c r="A22" s="11">
        <f>'Cotação Materia Prima'!A18</f>
        <v>8</v>
      </c>
      <c r="B22" s="47" t="str">
        <f>'Cotação Materia Prima'!B18:E18</f>
        <v>Tinta do Indicador de Umidade - Litro</v>
      </c>
      <c r="C22" s="47"/>
      <c r="D22" s="47"/>
      <c r="E22" s="47"/>
      <c r="F22" s="11">
        <v>1.2E-2</v>
      </c>
      <c r="G22" s="144" t="s">
        <v>52</v>
      </c>
      <c r="H22" s="145">
        <f t="shared" si="0"/>
        <v>0</v>
      </c>
      <c r="I22" s="144" t="s">
        <v>61</v>
      </c>
      <c r="J22" s="146">
        <f>'Cotação Materia Prima'!S18</f>
        <v>0</v>
      </c>
      <c r="K22" s="144" t="s">
        <v>61</v>
      </c>
      <c r="L22" s="147">
        <f>SUM(F22/1000)*J22</f>
        <v>0</v>
      </c>
      <c r="M22" s="147"/>
      <c r="N22" s="148">
        <f>SUM(F22/1000)*$D$10</f>
        <v>1.2</v>
      </c>
      <c r="O22" s="144" t="s">
        <v>68</v>
      </c>
      <c r="P22" s="34">
        <f t="shared" si="2"/>
        <v>0</v>
      </c>
      <c r="Q22" s="34"/>
    </row>
    <row r="23" spans="1:17" ht="24.95" customHeight="1" x14ac:dyDescent="0.25">
      <c r="A23" s="11">
        <f>'Cotação Materia Prima'!A19</f>
        <v>9</v>
      </c>
      <c r="B23" s="47" t="str">
        <f>'Cotação Materia Prima'!B19:E19</f>
        <v>Tinta Datadora de Lote - Litro</v>
      </c>
      <c r="C23" s="47"/>
      <c r="D23" s="47"/>
      <c r="E23" s="47"/>
      <c r="F23" s="11">
        <v>1.4999999999999999E-2</v>
      </c>
      <c r="G23" s="144" t="s">
        <v>52</v>
      </c>
      <c r="H23" s="145">
        <f t="shared" si="0"/>
        <v>0</v>
      </c>
      <c r="I23" s="144" t="s">
        <v>61</v>
      </c>
      <c r="J23" s="146">
        <f>'Cotação Materia Prima'!S19</f>
        <v>0</v>
      </c>
      <c r="K23" s="144" t="s">
        <v>61</v>
      </c>
      <c r="L23" s="147">
        <f>SUM(F23/1000)*J23</f>
        <v>0</v>
      </c>
      <c r="M23" s="147"/>
      <c r="N23" s="148">
        <f>SUM(F23/1000)*$D$10</f>
        <v>1.4999999999999998</v>
      </c>
      <c r="O23" s="144" t="s">
        <v>68</v>
      </c>
      <c r="P23" s="34">
        <f t="shared" si="2"/>
        <v>0</v>
      </c>
      <c r="Q23" s="34"/>
    </row>
    <row r="24" spans="1:17" ht="24.95" customHeight="1" x14ac:dyDescent="0.25">
      <c r="A24" s="11">
        <f>'Cotação Materia Prima'!A20</f>
        <v>10</v>
      </c>
      <c r="B24" s="47" t="str">
        <f>'Cotação Materia Prima'!B20:E20</f>
        <v>Adesivo Elástico - KG</v>
      </c>
      <c r="C24" s="47"/>
      <c r="D24" s="47"/>
      <c r="E24" s="47"/>
      <c r="F24" s="11">
        <v>0.13</v>
      </c>
      <c r="G24" s="144" t="s">
        <v>51</v>
      </c>
      <c r="H24" s="145">
        <f t="shared" si="0"/>
        <v>3.0833333333333335</v>
      </c>
      <c r="I24" s="144" t="s">
        <v>58</v>
      </c>
      <c r="J24" s="146">
        <f>'Cotação Materia Prima'!S20</f>
        <v>18.5</v>
      </c>
      <c r="K24" s="144" t="s">
        <v>58</v>
      </c>
      <c r="L24" s="147">
        <f>SUM(F24/1000)*J24</f>
        <v>2.4050000000000005E-3</v>
      </c>
      <c r="M24" s="147"/>
      <c r="N24" s="148">
        <f>SUM(F24/1000)*$D$10</f>
        <v>13.000000000000002</v>
      </c>
      <c r="O24" s="144" t="s">
        <v>58</v>
      </c>
      <c r="P24" s="34">
        <f t="shared" si="2"/>
        <v>240.50000000000003</v>
      </c>
      <c r="Q24" s="34"/>
    </row>
    <row r="25" spans="1:17" ht="24.95" customHeight="1" x14ac:dyDescent="0.25">
      <c r="A25" s="11">
        <f>'Cotação Materia Prima'!A21</f>
        <v>11</v>
      </c>
      <c r="B25" s="47" t="str">
        <f>'Cotação Materia Prima'!B27:E27</f>
        <v>Embalagem</v>
      </c>
      <c r="C25" s="47"/>
      <c r="D25" s="47"/>
      <c r="E25" s="47"/>
      <c r="F25" s="11" t="s">
        <v>65</v>
      </c>
      <c r="G25" s="150" t="s">
        <v>65</v>
      </c>
      <c r="H25" s="145">
        <f t="shared" si="0"/>
        <v>5.3333333333333337E-2</v>
      </c>
      <c r="I25" s="150" t="s">
        <v>65</v>
      </c>
      <c r="J25" s="146">
        <f>'Cotação Materia Prima'!S27</f>
        <v>0.32</v>
      </c>
      <c r="K25" s="144" t="s">
        <v>105</v>
      </c>
      <c r="L25" s="147">
        <f>SUM(J25/C42)</f>
        <v>0.04</v>
      </c>
      <c r="M25" s="147"/>
      <c r="N25" s="148">
        <f>$D$10/C42</f>
        <v>12500</v>
      </c>
      <c r="O25" s="150" t="s">
        <v>54</v>
      </c>
      <c r="P25" s="34">
        <f>SUM(N25*J25)</f>
        <v>4000</v>
      </c>
      <c r="Q25" s="34"/>
    </row>
    <row r="26" spans="1:17" ht="24.95" customHeight="1" x14ac:dyDescent="0.25">
      <c r="A26" s="11">
        <f>'Cotação Materia Prima'!A22</f>
        <v>12</v>
      </c>
      <c r="B26" s="47" t="str">
        <f>'Cotação Materia Prima'!B28:E28</f>
        <v>Fardo</v>
      </c>
      <c r="C26" s="47"/>
      <c r="D26" s="47"/>
      <c r="E26" s="47"/>
      <c r="F26" s="11" t="s">
        <v>65</v>
      </c>
      <c r="G26" s="150" t="s">
        <v>65</v>
      </c>
      <c r="H26" s="145">
        <f t="shared" si="0"/>
        <v>5.3333333333333337E-2</v>
      </c>
      <c r="I26" s="150" t="s">
        <v>65</v>
      </c>
      <c r="J26" s="146">
        <f>'Cotação Materia Prima'!S28</f>
        <v>0.32</v>
      </c>
      <c r="K26" s="144" t="s">
        <v>105</v>
      </c>
      <c r="L26" s="147">
        <f>SUM(J26/C43)</f>
        <v>3.3333333333333335E-3</v>
      </c>
      <c r="M26" s="147"/>
      <c r="N26" s="148">
        <f>$D$10/C43</f>
        <v>1041.6666666666667</v>
      </c>
      <c r="O26" s="150" t="s">
        <v>54</v>
      </c>
      <c r="P26" s="34">
        <f t="shared" ref="P26" si="3">SUM(N26*J26)</f>
        <v>333.33333333333337</v>
      </c>
      <c r="Q26" s="34"/>
    </row>
    <row r="27" spans="1:17" ht="24.95" customHeight="1" x14ac:dyDescent="0.25">
      <c r="A27" s="11">
        <f>'Cotação Materia Prima'!A25</f>
        <v>15</v>
      </c>
      <c r="B27" s="47"/>
      <c r="C27" s="47"/>
      <c r="D27" s="47"/>
      <c r="E27" s="47"/>
      <c r="F27" s="11"/>
      <c r="G27" s="150"/>
      <c r="H27" s="145"/>
      <c r="I27" s="150"/>
      <c r="J27" s="146"/>
      <c r="K27" s="144"/>
      <c r="L27" s="147"/>
      <c r="M27" s="147"/>
      <c r="N27" s="151"/>
      <c r="O27" s="150"/>
      <c r="P27" s="34"/>
      <c r="Q27" s="34"/>
    </row>
    <row r="28" spans="1:17" ht="24.95" customHeight="1" x14ac:dyDescent="0.25">
      <c r="A28" s="11">
        <f>'Cotação Materia Prima'!A26</f>
        <v>16</v>
      </c>
      <c r="B28" s="47"/>
      <c r="C28" s="47"/>
      <c r="D28" s="47"/>
      <c r="E28" s="47"/>
      <c r="F28" s="11"/>
      <c r="G28" s="150"/>
      <c r="H28" s="145"/>
      <c r="I28" s="150"/>
      <c r="J28" s="146"/>
      <c r="K28" s="144"/>
      <c r="L28" s="147"/>
      <c r="M28" s="147"/>
      <c r="N28" s="151"/>
      <c r="O28" s="150"/>
      <c r="P28" s="34"/>
      <c r="Q28" s="34"/>
    </row>
    <row r="29" spans="1:17" ht="24.95" customHeight="1" x14ac:dyDescent="0.25">
      <c r="A29" s="11">
        <f>'Cotação Materia Prima'!A27</f>
        <v>17</v>
      </c>
      <c r="B29" s="47"/>
      <c r="C29" s="47"/>
      <c r="D29" s="47"/>
      <c r="E29" s="47"/>
      <c r="F29" s="11"/>
      <c r="G29" s="150"/>
      <c r="H29" s="145"/>
      <c r="I29" s="150"/>
      <c r="J29" s="146"/>
      <c r="K29" s="144"/>
      <c r="L29" s="147"/>
      <c r="M29" s="147"/>
      <c r="N29" s="151"/>
      <c r="O29" s="150"/>
      <c r="P29" s="34"/>
      <c r="Q29" s="34"/>
    </row>
    <row r="30" spans="1:17" ht="24.95" customHeight="1" x14ac:dyDescent="0.25">
      <c r="A30" s="11">
        <f>'Cotação Materia Prima'!A28</f>
        <v>18</v>
      </c>
      <c r="B30" s="47"/>
      <c r="C30" s="47"/>
      <c r="D30" s="47"/>
      <c r="E30" s="47"/>
      <c r="F30" s="11"/>
      <c r="G30" s="150"/>
      <c r="H30" s="145"/>
      <c r="I30" s="150"/>
      <c r="J30" s="146"/>
      <c r="K30" s="144"/>
      <c r="L30" s="147"/>
      <c r="M30" s="147"/>
      <c r="N30" s="151"/>
      <c r="O30" s="150"/>
      <c r="P30" s="34"/>
      <c r="Q30" s="34"/>
    </row>
    <row r="31" spans="1:17" ht="24.95" customHeight="1" x14ac:dyDescent="0.25">
      <c r="A31" s="11">
        <f>'Cotação Materia Prima'!A29</f>
        <v>19</v>
      </c>
      <c r="B31" s="47"/>
      <c r="C31" s="47"/>
      <c r="D31" s="47"/>
      <c r="E31" s="47"/>
      <c r="F31" s="11"/>
      <c r="G31" s="150"/>
      <c r="H31" s="145"/>
      <c r="I31" s="150"/>
      <c r="J31" s="146"/>
      <c r="K31" s="144"/>
      <c r="L31" s="147"/>
      <c r="M31" s="147"/>
      <c r="N31" s="151"/>
      <c r="O31" s="150"/>
      <c r="P31" s="34"/>
      <c r="Q31" s="34"/>
    </row>
    <row r="32" spans="1:17" ht="24.95" customHeight="1" x14ac:dyDescent="0.25">
      <c r="A32" s="11">
        <f>'Cotação Materia Prima'!A30</f>
        <v>20</v>
      </c>
      <c r="B32" s="47"/>
      <c r="C32" s="47"/>
      <c r="D32" s="47"/>
      <c r="E32" s="47"/>
      <c r="F32" s="11"/>
      <c r="G32" s="150"/>
      <c r="H32" s="145"/>
      <c r="I32" s="150"/>
      <c r="J32" s="146"/>
      <c r="K32" s="144"/>
      <c r="L32" s="147"/>
      <c r="M32" s="147"/>
      <c r="N32" s="11"/>
      <c r="O32" s="150"/>
      <c r="P32" s="34"/>
      <c r="Q32" s="34"/>
    </row>
    <row r="33" spans="1:18" ht="24.95" customHeight="1" x14ac:dyDescent="0.25">
      <c r="A33" s="11">
        <f>'Cotação Materia Prima'!A31</f>
        <v>21</v>
      </c>
      <c r="B33" s="47"/>
      <c r="C33" s="47"/>
      <c r="D33" s="47"/>
      <c r="E33" s="47"/>
      <c r="F33" s="11"/>
      <c r="G33" s="150"/>
      <c r="H33" s="145"/>
      <c r="I33" s="150"/>
      <c r="J33" s="146"/>
      <c r="K33" s="11"/>
      <c r="L33" s="147"/>
      <c r="M33" s="147"/>
      <c r="N33" s="11"/>
      <c r="O33" s="150"/>
      <c r="P33" s="34"/>
      <c r="Q33" s="34"/>
    </row>
    <row r="34" spans="1:18" ht="24.95" customHeight="1" x14ac:dyDescent="0.25">
      <c r="A34" s="11">
        <f>'Cotação Materia Prima'!A32</f>
        <v>22</v>
      </c>
      <c r="B34" s="47"/>
      <c r="C34" s="47"/>
      <c r="D34" s="47"/>
      <c r="E34" s="47"/>
      <c r="F34" s="11"/>
      <c r="G34" s="150"/>
      <c r="H34" s="145"/>
      <c r="I34" s="150"/>
      <c r="J34" s="146"/>
      <c r="K34" s="11"/>
      <c r="L34" s="147"/>
      <c r="M34" s="147"/>
      <c r="N34" s="11"/>
      <c r="O34" s="150"/>
      <c r="P34" s="34"/>
      <c r="Q34" s="34"/>
    </row>
    <row r="35" spans="1:18" ht="24.95" customHeight="1" x14ac:dyDescent="0.25">
      <c r="A35" s="11">
        <f>'Cotação Materia Prima'!A33</f>
        <v>23</v>
      </c>
      <c r="B35" s="47"/>
      <c r="C35" s="47"/>
      <c r="D35" s="47"/>
      <c r="E35" s="47"/>
      <c r="F35" s="11"/>
      <c r="G35" s="150"/>
      <c r="H35" s="145"/>
      <c r="I35" s="150"/>
      <c r="J35" s="146"/>
      <c r="K35" s="11"/>
      <c r="L35" s="147"/>
      <c r="M35" s="147"/>
      <c r="N35" s="11"/>
      <c r="O35" s="150"/>
      <c r="P35" s="34"/>
      <c r="Q35" s="34"/>
    </row>
    <row r="36" spans="1:18" ht="24.95" customHeight="1" x14ac:dyDescent="0.25">
      <c r="A36" s="11">
        <f>'Cotação Materia Prima'!A34</f>
        <v>24</v>
      </c>
      <c r="B36" s="47"/>
      <c r="C36" s="47"/>
      <c r="D36" s="47"/>
      <c r="E36" s="47"/>
      <c r="F36" s="11"/>
      <c r="G36" s="150"/>
      <c r="H36" s="145"/>
      <c r="I36" s="150"/>
      <c r="J36" s="146"/>
      <c r="K36" s="11"/>
      <c r="L36" s="147"/>
      <c r="M36" s="147"/>
      <c r="N36" s="11"/>
      <c r="O36" s="150"/>
      <c r="P36" s="34"/>
      <c r="Q36" s="34"/>
    </row>
    <row r="37" spans="1:18" ht="24.95" customHeight="1" x14ac:dyDescent="0.25">
      <c r="A37" s="11">
        <f>'Cotação Materia Prima'!A35</f>
        <v>25</v>
      </c>
      <c r="B37" s="47"/>
      <c r="C37" s="47"/>
      <c r="D37" s="47"/>
      <c r="E37" s="47"/>
      <c r="F37" s="11"/>
      <c r="G37" s="150"/>
      <c r="H37" s="145"/>
      <c r="I37" s="150"/>
      <c r="J37" s="146"/>
      <c r="K37" s="11"/>
      <c r="L37" s="147"/>
      <c r="M37" s="147"/>
      <c r="N37" s="11"/>
      <c r="O37" s="150"/>
      <c r="P37" s="34"/>
      <c r="Q37" s="34"/>
    </row>
    <row r="38" spans="1:18" x14ac:dyDescent="0.25">
      <c r="A38" s="47" t="s">
        <v>157</v>
      </c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34">
        <f>SUM(P13:Q37)</f>
        <v>75719.59133333333</v>
      </c>
      <c r="Q38" s="34"/>
    </row>
    <row r="39" spans="1:18" x14ac:dyDescent="0.25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34"/>
      <c r="Q39" s="34"/>
    </row>
    <row r="40" spans="1:18" x14ac:dyDescent="0.25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</row>
    <row r="41" spans="1:18" s="213" customFormat="1" ht="30" customHeight="1" x14ac:dyDescent="0.5">
      <c r="A41" s="212" t="s">
        <v>17</v>
      </c>
      <c r="B41" s="212"/>
      <c r="C41" s="212"/>
      <c r="D41" s="212"/>
      <c r="E41" s="212"/>
      <c r="F41" s="212"/>
      <c r="G41" s="212"/>
      <c r="H41" s="212"/>
      <c r="I41" s="212"/>
      <c r="J41" s="212"/>
      <c r="K41" s="212"/>
      <c r="L41" s="212"/>
      <c r="M41" s="212"/>
      <c r="N41" s="212"/>
      <c r="O41" s="212"/>
      <c r="P41" s="212"/>
      <c r="Q41" s="212"/>
      <c r="R41" s="213" t="s">
        <v>133</v>
      </c>
    </row>
    <row r="42" spans="1:18" ht="24.95" customHeight="1" x14ac:dyDescent="0.25">
      <c r="A42" s="47" t="s">
        <v>117</v>
      </c>
      <c r="B42" s="47"/>
      <c r="C42" s="153">
        <v>8</v>
      </c>
      <c r="D42" s="11" t="s">
        <v>54</v>
      </c>
      <c r="E42" s="55"/>
      <c r="F42" s="55"/>
      <c r="G42" s="55"/>
      <c r="H42" s="55"/>
      <c r="I42" s="47" t="s">
        <v>152</v>
      </c>
      <c r="J42" s="47"/>
      <c r="K42" s="47"/>
      <c r="L42" s="47"/>
      <c r="M42" s="47"/>
      <c r="N42" s="47"/>
      <c r="O42" s="47"/>
      <c r="P42" s="154">
        <f>SUM('Custo de investimento'!N39:O39)/O10</f>
        <v>2.855424930555556E-2</v>
      </c>
      <c r="Q42" s="154"/>
      <c r="R42" s="3">
        <f>SUM(P42:Q45,L13:M37)</f>
        <v>1.0520599063425928</v>
      </c>
    </row>
    <row r="43" spans="1:18" ht="24.95" customHeight="1" x14ac:dyDescent="0.25">
      <c r="A43" s="47" t="s">
        <v>118</v>
      </c>
      <c r="B43" s="47"/>
      <c r="C43" s="153">
        <v>96</v>
      </c>
      <c r="D43" s="11" t="s">
        <v>54</v>
      </c>
      <c r="E43" s="55"/>
      <c r="F43" s="55"/>
      <c r="G43" s="55"/>
      <c r="H43" s="55"/>
      <c r="I43" s="47" t="s">
        <v>151</v>
      </c>
      <c r="J43" s="47"/>
      <c r="K43" s="47"/>
      <c r="L43" s="47"/>
      <c r="M43" s="47"/>
      <c r="N43" s="47"/>
      <c r="O43" s="47"/>
      <c r="P43" s="154">
        <f>SUM('Custos Fixos'!N35:O35)/((($A$10+'Fralda EG - FM-001-EG'!$A$10+'Fralda G - FM-002-G'!$A$10)))</f>
        <v>0.10841583333333332</v>
      </c>
      <c r="Q43" s="154"/>
      <c r="R43" s="4"/>
    </row>
    <row r="44" spans="1:18" ht="24.95" customHeight="1" x14ac:dyDescent="0.25">
      <c r="A44" s="55"/>
      <c r="B44" s="55"/>
      <c r="C44" s="55"/>
      <c r="D44" s="55"/>
      <c r="E44" s="55"/>
      <c r="F44" s="55"/>
      <c r="G44" s="55"/>
      <c r="H44" s="55"/>
      <c r="I44" s="47" t="s">
        <v>18</v>
      </c>
      <c r="J44" s="47"/>
      <c r="K44" s="47"/>
      <c r="L44" s="47"/>
      <c r="M44" s="47"/>
      <c r="N44" s="47"/>
      <c r="O44" s="47"/>
      <c r="P44" s="154">
        <f>SUM('Custos Mao de obra'!N35)/((($A$10+'Fralda EG - FM-001-EG'!$A$10+'Fralda G - FM-002-G'!$A$10)))</f>
        <v>0.14469391037037035</v>
      </c>
      <c r="Q44" s="154"/>
    </row>
    <row r="45" spans="1:18" ht="24.95" customHeight="1" x14ac:dyDescent="0.25">
      <c r="A45" s="55"/>
      <c r="B45" s="55"/>
      <c r="C45" s="55"/>
      <c r="D45" s="55"/>
      <c r="E45" s="55"/>
      <c r="F45" s="55"/>
      <c r="G45" s="55"/>
      <c r="H45" s="55"/>
      <c r="I45" s="47" t="s">
        <v>19</v>
      </c>
      <c r="J45" s="47"/>
      <c r="K45" s="47"/>
      <c r="L45" s="47"/>
      <c r="M45" s="47"/>
      <c r="N45" s="47"/>
      <c r="O45" s="47"/>
      <c r="P45" s="154">
        <f>SUM('Outros Custos'!N37:O37)/((($A$10+'Fralda EG - FM-001-EG'!$A$10+'Fralda G - FM-002-G'!$A$10)))</f>
        <v>1.32E-2</v>
      </c>
      <c r="Q45" s="154"/>
    </row>
    <row r="46" spans="1:18" ht="24.95" customHeight="1" x14ac:dyDescent="0.25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154"/>
      <c r="Q46" s="154"/>
    </row>
    <row r="47" spans="1:18" ht="24.95" customHeight="1" x14ac:dyDescent="0.25">
      <c r="A47" s="47" t="s">
        <v>167</v>
      </c>
      <c r="B47" s="47"/>
      <c r="C47" s="47"/>
      <c r="D47" s="47"/>
      <c r="E47" s="47"/>
      <c r="F47" s="47"/>
      <c r="G47" s="155">
        <f>SUM(P38)*O48</f>
        <v>1892.9897833333334</v>
      </c>
      <c r="H47" s="155"/>
      <c r="I47" s="55"/>
      <c r="J47" s="55"/>
      <c r="K47" s="55"/>
      <c r="L47" s="55"/>
      <c r="M47" s="55"/>
      <c r="N47" s="55"/>
      <c r="O47" s="55"/>
      <c r="P47" s="154"/>
      <c r="Q47" s="154"/>
    </row>
    <row r="48" spans="1:18" ht="24.95" customHeight="1" x14ac:dyDescent="0.25">
      <c r="A48" s="47" t="s">
        <v>168</v>
      </c>
      <c r="B48" s="47"/>
      <c r="C48" s="47"/>
      <c r="D48" s="47"/>
      <c r="E48" s="47"/>
      <c r="F48" s="47"/>
      <c r="G48" s="155">
        <f>SUM(P48*D10)</f>
        <v>2630.1497658564822</v>
      </c>
      <c r="H48" s="155"/>
      <c r="I48" s="47" t="s">
        <v>115</v>
      </c>
      <c r="J48" s="47"/>
      <c r="K48" s="47"/>
      <c r="L48" s="47"/>
      <c r="M48" s="47"/>
      <c r="N48" s="47"/>
      <c r="O48" s="156">
        <v>2.5000000000000001E-2</v>
      </c>
      <c r="P48" s="154">
        <f>SUM(R42)*O48</f>
        <v>2.6301497658564821E-2</v>
      </c>
      <c r="Q48" s="154"/>
    </row>
    <row r="49" spans="1:17" ht="15" customHeight="1" x14ac:dyDescent="0.25">
      <c r="A49" s="157" t="s">
        <v>108</v>
      </c>
      <c r="B49" s="157"/>
      <c r="C49" s="157"/>
      <c r="D49" s="157"/>
      <c r="E49" s="157"/>
      <c r="F49" s="157"/>
      <c r="G49" s="157"/>
      <c r="H49" s="157"/>
      <c r="I49" s="157"/>
      <c r="J49" s="157"/>
      <c r="K49" s="157"/>
      <c r="L49" s="157"/>
      <c r="M49" s="157"/>
      <c r="N49" s="157"/>
      <c r="O49" s="157"/>
      <c r="P49" s="154">
        <f>SUM(P42:Q48,L13:M38)</f>
        <v>1.0783614040011573</v>
      </c>
      <c r="Q49" s="154"/>
    </row>
    <row r="50" spans="1:17" ht="15" customHeight="1" x14ac:dyDescent="0.25">
      <c r="A50" s="157"/>
      <c r="B50" s="157"/>
      <c r="C50" s="157"/>
      <c r="D50" s="157"/>
      <c r="E50" s="157"/>
      <c r="F50" s="157"/>
      <c r="G50" s="157"/>
      <c r="H50" s="157"/>
      <c r="I50" s="157"/>
      <c r="J50" s="157"/>
      <c r="K50" s="157"/>
      <c r="L50" s="157"/>
      <c r="M50" s="157"/>
      <c r="N50" s="157"/>
      <c r="O50" s="157"/>
      <c r="P50" s="154"/>
      <c r="Q50" s="154"/>
    </row>
  </sheetData>
  <mergeCells count="141">
    <mergeCell ref="A40:Q40"/>
    <mergeCell ref="E42:H46"/>
    <mergeCell ref="A44:D46"/>
    <mergeCell ref="G5:Q5"/>
    <mergeCell ref="K9:K10"/>
    <mergeCell ref="C6:C7"/>
    <mergeCell ref="C9:C10"/>
    <mergeCell ref="D9:G9"/>
    <mergeCell ref="G6:G7"/>
    <mergeCell ref="K6:K7"/>
    <mergeCell ref="G47:H47"/>
    <mergeCell ref="G48:H48"/>
    <mergeCell ref="A47:F47"/>
    <mergeCell ref="A48:F48"/>
    <mergeCell ref="A49:O50"/>
    <mergeCell ref="P47:Q47"/>
    <mergeCell ref="P48:Q48"/>
    <mergeCell ref="A42:B42"/>
    <mergeCell ref="I42:O42"/>
    <mergeCell ref="A43:B43"/>
    <mergeCell ref="I43:O43"/>
    <mergeCell ref="P49:Q50"/>
    <mergeCell ref="P42:Q42"/>
    <mergeCell ref="P43:Q43"/>
    <mergeCell ref="P44:Q44"/>
    <mergeCell ref="P45:Q45"/>
    <mergeCell ref="P46:Q46"/>
    <mergeCell ref="I44:O44"/>
    <mergeCell ref="I45:O45"/>
    <mergeCell ref="I46:O46"/>
    <mergeCell ref="I47:O47"/>
    <mergeCell ref="I48:N48"/>
    <mergeCell ref="B15:E15"/>
    <mergeCell ref="A8:Q8"/>
    <mergeCell ref="L9:N9"/>
    <mergeCell ref="L10:N10"/>
    <mergeCell ref="H9:J9"/>
    <mergeCell ref="D10:E10"/>
    <mergeCell ref="H10:I10"/>
    <mergeCell ref="P14:Q14"/>
    <mergeCell ref="A41:Q41"/>
    <mergeCell ref="A38:O39"/>
    <mergeCell ref="P38:Q39"/>
    <mergeCell ref="P34:Q34"/>
    <mergeCell ref="P35:Q35"/>
    <mergeCell ref="P37:Q37"/>
    <mergeCell ref="P33:Q33"/>
    <mergeCell ref="P24:Q24"/>
    <mergeCell ref="P25:Q25"/>
    <mergeCell ref="P26:Q26"/>
    <mergeCell ref="P32:Q32"/>
    <mergeCell ref="B32:E32"/>
    <mergeCell ref="B33:E33"/>
    <mergeCell ref="B34:E34"/>
    <mergeCell ref="B37:E37"/>
    <mergeCell ref="L34:M34"/>
    <mergeCell ref="L35:M35"/>
    <mergeCell ref="L37:M37"/>
    <mergeCell ref="L33:M33"/>
    <mergeCell ref="B25:E25"/>
    <mergeCell ref="B26:E26"/>
    <mergeCell ref="B27:E27"/>
    <mergeCell ref="B28:E28"/>
    <mergeCell ref="B29:E29"/>
    <mergeCell ref="B30:E30"/>
    <mergeCell ref="B31:E31"/>
    <mergeCell ref="B36:E36"/>
    <mergeCell ref="L36:M36"/>
    <mergeCell ref="H4:K4"/>
    <mergeCell ref="L4:M4"/>
    <mergeCell ref="B14:E14"/>
    <mergeCell ref="B19:E19"/>
    <mergeCell ref="P22:Q22"/>
    <mergeCell ref="L15:M15"/>
    <mergeCell ref="L25:M25"/>
    <mergeCell ref="L26:M26"/>
    <mergeCell ref="L32:M32"/>
    <mergeCell ref="L22:M22"/>
    <mergeCell ref="P23:Q23"/>
    <mergeCell ref="L23:M23"/>
    <mergeCell ref="L24:M24"/>
    <mergeCell ref="L21:M21"/>
    <mergeCell ref="P15:Q15"/>
    <mergeCell ref="P16:Q16"/>
    <mergeCell ref="P17:Q17"/>
    <mergeCell ref="P27:Q27"/>
    <mergeCell ref="P28:Q28"/>
    <mergeCell ref="P29:Q29"/>
    <mergeCell ref="P30:Q30"/>
    <mergeCell ref="P31:Q31"/>
    <mergeCell ref="L27:M27"/>
    <mergeCell ref="L28:M28"/>
    <mergeCell ref="A6:B6"/>
    <mergeCell ref="B11:E12"/>
    <mergeCell ref="B13:E13"/>
    <mergeCell ref="H11:I12"/>
    <mergeCell ref="J11:K12"/>
    <mergeCell ref="L11:M12"/>
    <mergeCell ref="L13:M13"/>
    <mergeCell ref="B21:E21"/>
    <mergeCell ref="A1:F5"/>
    <mergeCell ref="G1:Q3"/>
    <mergeCell ref="O4:P4"/>
    <mergeCell ref="P18:Q18"/>
    <mergeCell ref="O6:Q6"/>
    <mergeCell ref="O7:Q7"/>
    <mergeCell ref="O9:Q9"/>
    <mergeCell ref="O10:P10"/>
    <mergeCell ref="P19:Q19"/>
    <mergeCell ref="P20:Q20"/>
    <mergeCell ref="P21:Q21"/>
    <mergeCell ref="A9:B9"/>
    <mergeCell ref="N11:O12"/>
    <mergeCell ref="P11:Q12"/>
    <mergeCell ref="P13:Q13"/>
    <mergeCell ref="L14:M14"/>
    <mergeCell ref="D6:F6"/>
    <mergeCell ref="D7:F7"/>
    <mergeCell ref="H6:J6"/>
    <mergeCell ref="H7:J7"/>
    <mergeCell ref="L6:N6"/>
    <mergeCell ref="L7:N7"/>
    <mergeCell ref="L16:M16"/>
    <mergeCell ref="L17:M17"/>
    <mergeCell ref="L18:M18"/>
    <mergeCell ref="B16:E16"/>
    <mergeCell ref="B17:E17"/>
    <mergeCell ref="B18:E18"/>
    <mergeCell ref="F11:G12"/>
    <mergeCell ref="B20:E20"/>
    <mergeCell ref="P36:Q36"/>
    <mergeCell ref="B22:E22"/>
    <mergeCell ref="L19:M19"/>
    <mergeCell ref="L20:M20"/>
    <mergeCell ref="B23:E23"/>
    <mergeCell ref="B24:E24"/>
    <mergeCell ref="A7:B7"/>
    <mergeCell ref="L29:M29"/>
    <mergeCell ref="L30:M30"/>
    <mergeCell ref="L31:M31"/>
    <mergeCell ref="B35:E35"/>
  </mergeCells>
  <phoneticPr fontId="11" type="noConversion"/>
  <printOptions horizontalCentered="1"/>
  <pageMargins left="0" right="0" top="0" bottom="0" header="0.31496062992125984" footer="0.31496062992125984"/>
  <pageSetup paperSize="9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55F0C-422F-4F47-9E6B-16FC3B978F77}">
  <dimension ref="A1:R50"/>
  <sheetViews>
    <sheetView zoomScale="70" zoomScaleNormal="70" workbookViewId="0">
      <selection activeCell="A10" sqref="A1:A1048576"/>
    </sheetView>
  </sheetViews>
  <sheetFormatPr defaultRowHeight="15" x14ac:dyDescent="0.25"/>
  <cols>
    <col min="1" max="1" width="22.7109375" customWidth="1"/>
    <col min="2" max="5" width="15.7109375" customWidth="1"/>
    <col min="7" max="7" width="9.28515625" bestFit="1" customWidth="1"/>
    <col min="8" max="8" width="18" customWidth="1"/>
    <col min="9" max="9" width="11.7109375" customWidth="1"/>
    <col min="10" max="10" width="18.85546875" customWidth="1"/>
    <col min="12" max="12" width="9.85546875" customWidth="1"/>
    <col min="13" max="13" width="10.140625" customWidth="1"/>
    <col min="14" max="14" width="12.28515625" customWidth="1"/>
    <col min="15" max="15" width="11.85546875" bestFit="1" customWidth="1"/>
    <col min="16" max="16" width="10.5703125" customWidth="1"/>
    <col min="17" max="17" width="15.140625" customWidth="1"/>
    <col min="18" max="18" width="23.5703125" hidden="1" customWidth="1"/>
  </cols>
  <sheetData>
    <row r="1" spans="1:17" ht="15" customHeight="1" x14ac:dyDescent="0.25">
      <c r="A1" s="53"/>
      <c r="B1" s="49"/>
      <c r="C1" s="49"/>
      <c r="D1" s="49"/>
      <c r="E1" s="49"/>
      <c r="F1" s="49"/>
      <c r="G1" s="171" t="s">
        <v>154</v>
      </c>
      <c r="H1" s="171"/>
      <c r="I1" s="171"/>
      <c r="J1" s="171"/>
      <c r="K1" s="171"/>
      <c r="L1" s="171"/>
      <c r="M1" s="171"/>
      <c r="N1" s="171"/>
      <c r="O1" s="171"/>
      <c r="P1" s="171"/>
      <c r="Q1" s="172"/>
    </row>
    <row r="2" spans="1:17" ht="15" customHeight="1" x14ac:dyDescent="0.25">
      <c r="A2" s="56"/>
      <c r="B2" s="57"/>
      <c r="C2" s="57"/>
      <c r="D2" s="57"/>
      <c r="E2" s="57"/>
      <c r="F2" s="57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73"/>
    </row>
    <row r="3" spans="1:17" ht="15" customHeight="1" x14ac:dyDescent="0.25">
      <c r="A3" s="56"/>
      <c r="B3" s="57"/>
      <c r="C3" s="57"/>
      <c r="D3" s="57"/>
      <c r="E3" s="57"/>
      <c r="F3" s="57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73"/>
    </row>
    <row r="4" spans="1:17" ht="15.75" x14ac:dyDescent="0.25">
      <c r="A4" s="56"/>
      <c r="B4" s="57"/>
      <c r="C4" s="57"/>
      <c r="D4" s="57"/>
      <c r="E4" s="57"/>
      <c r="F4" s="57"/>
      <c r="G4" s="125" t="s">
        <v>36</v>
      </c>
      <c r="H4" s="126" t="s">
        <v>74</v>
      </c>
      <c r="I4" s="126"/>
      <c r="J4" s="126"/>
      <c r="K4" s="126"/>
      <c r="L4" s="127" t="s">
        <v>159</v>
      </c>
      <c r="M4" s="127"/>
      <c r="N4" s="128" t="s">
        <v>75</v>
      </c>
      <c r="O4" s="127" t="s">
        <v>158</v>
      </c>
      <c r="P4" s="127"/>
      <c r="Q4" s="174" t="s">
        <v>76</v>
      </c>
    </row>
    <row r="5" spans="1:17" x14ac:dyDescent="0.25">
      <c r="A5" s="56"/>
      <c r="B5" s="57"/>
      <c r="C5" s="57"/>
      <c r="D5" s="57"/>
      <c r="E5" s="57"/>
      <c r="F5" s="57"/>
      <c r="G5" s="58"/>
      <c r="H5" s="94"/>
      <c r="I5" s="94"/>
      <c r="J5" s="94"/>
      <c r="K5" s="94"/>
      <c r="L5" s="94"/>
      <c r="M5" s="94"/>
      <c r="N5" s="94"/>
      <c r="O5" s="94"/>
      <c r="P5" s="94"/>
      <c r="Q5" s="94"/>
    </row>
    <row r="6" spans="1:17" ht="15.75" x14ac:dyDescent="0.25">
      <c r="A6" s="165" t="s">
        <v>166</v>
      </c>
      <c r="B6" s="114"/>
      <c r="C6" s="169"/>
      <c r="D6" s="114" t="s">
        <v>55</v>
      </c>
      <c r="E6" s="114"/>
      <c r="F6" s="114"/>
      <c r="G6" s="169"/>
      <c r="H6" s="132" t="s">
        <v>156</v>
      </c>
      <c r="I6" s="132"/>
      <c r="J6" s="132"/>
      <c r="K6" s="193"/>
      <c r="L6" s="114" t="s">
        <v>157</v>
      </c>
      <c r="M6" s="114"/>
      <c r="N6" s="114"/>
      <c r="O6" s="114" t="s">
        <v>113</v>
      </c>
      <c r="P6" s="114"/>
      <c r="Q6" s="163"/>
    </row>
    <row r="7" spans="1:17" ht="15.75" x14ac:dyDescent="0.25">
      <c r="A7" s="175">
        <f>'Cotação Materia Prima'!D7</f>
        <v>6</v>
      </c>
      <c r="B7" s="133"/>
      <c r="C7" s="170"/>
      <c r="D7" s="134">
        <f>'Cotação Materia Prima'!K7</f>
        <v>45753</v>
      </c>
      <c r="E7" s="134"/>
      <c r="F7" s="134"/>
      <c r="G7" s="170"/>
      <c r="H7" s="135">
        <f>SUM(L13:M37)</f>
        <v>0.79133474333333342</v>
      </c>
      <c r="I7" s="132"/>
      <c r="J7" s="132"/>
      <c r="K7" s="194"/>
      <c r="L7" s="136">
        <f>P38</f>
        <v>79133.474333333332</v>
      </c>
      <c r="M7" s="136"/>
      <c r="N7" s="136"/>
      <c r="O7" s="136">
        <f>P49</f>
        <v>1.1133537047511575</v>
      </c>
      <c r="P7" s="136"/>
      <c r="Q7" s="166"/>
    </row>
    <row r="8" spans="1:17" x14ac:dyDescent="0.25">
      <c r="A8" s="176"/>
      <c r="B8" s="137"/>
      <c r="C8" s="137"/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77"/>
    </row>
    <row r="9" spans="1:17" ht="15.75" x14ac:dyDescent="0.25">
      <c r="A9" s="165" t="s">
        <v>110</v>
      </c>
      <c r="B9" s="114"/>
      <c r="C9" s="169"/>
      <c r="D9" s="163" t="s">
        <v>111</v>
      </c>
      <c r="E9" s="164"/>
      <c r="F9" s="164"/>
      <c r="G9" s="165"/>
      <c r="H9" s="114" t="s">
        <v>160</v>
      </c>
      <c r="I9" s="114"/>
      <c r="J9" s="114"/>
      <c r="K9" s="169"/>
      <c r="L9" s="114" t="s">
        <v>114</v>
      </c>
      <c r="M9" s="114"/>
      <c r="N9" s="114"/>
      <c r="O9" s="114" t="s">
        <v>161</v>
      </c>
      <c r="P9" s="114"/>
      <c r="Q9" s="163"/>
    </row>
    <row r="10" spans="1:17" ht="15.75" x14ac:dyDescent="0.25">
      <c r="A10" s="178">
        <v>100000</v>
      </c>
      <c r="B10" s="139" t="s">
        <v>54</v>
      </c>
      <c r="C10" s="170"/>
      <c r="D10" s="140">
        <v>100000</v>
      </c>
      <c r="E10" s="140"/>
      <c r="F10" s="131" t="s">
        <v>54</v>
      </c>
      <c r="G10" s="131"/>
      <c r="H10" s="179">
        <f>SUM(A10-D10)</f>
        <v>0</v>
      </c>
      <c r="I10" s="179"/>
      <c r="J10" s="131" t="s">
        <v>54</v>
      </c>
      <c r="K10" s="170"/>
      <c r="L10" s="142">
        <f>SUM(P42:Q45)*H10</f>
        <v>0</v>
      </c>
      <c r="M10" s="114"/>
      <c r="N10" s="114"/>
      <c r="O10" s="141">
        <v>57600000</v>
      </c>
      <c r="P10" s="141"/>
      <c r="Q10" s="180" t="s">
        <v>54</v>
      </c>
    </row>
    <row r="11" spans="1:17" x14ac:dyDescent="0.25">
      <c r="A11" s="181"/>
      <c r="B11" s="69" t="s">
        <v>47</v>
      </c>
      <c r="C11" s="69"/>
      <c r="D11" s="69"/>
      <c r="E11" s="69"/>
      <c r="F11" s="69" t="s">
        <v>4</v>
      </c>
      <c r="G11" s="69"/>
      <c r="H11" s="69" t="s">
        <v>56</v>
      </c>
      <c r="I11" s="69"/>
      <c r="J11" s="69" t="s">
        <v>57</v>
      </c>
      <c r="K11" s="69"/>
      <c r="L11" s="69" t="s">
        <v>62</v>
      </c>
      <c r="M11" s="69"/>
      <c r="N11" s="69" t="s">
        <v>63</v>
      </c>
      <c r="O11" s="69"/>
      <c r="P11" s="69" t="s">
        <v>64</v>
      </c>
      <c r="Q11" s="182"/>
    </row>
    <row r="12" spans="1:17" ht="18.75" x14ac:dyDescent="0.3">
      <c r="A12" s="183" t="s">
        <v>163</v>
      </c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182"/>
    </row>
    <row r="13" spans="1:17" ht="24.95" customHeight="1" x14ac:dyDescent="0.25">
      <c r="A13" s="25">
        <f>'Cotação Materia Prima'!A11</f>
        <v>1</v>
      </c>
      <c r="B13" s="55" t="str">
        <f>'Cotação Materia Prima'!B22:E22</f>
        <v>Fralda G - Polietileno (Filme eterno) - 660mm - kG</v>
      </c>
      <c r="C13" s="55"/>
      <c r="D13" s="55"/>
      <c r="E13" s="55"/>
      <c r="F13" s="11">
        <v>12.05</v>
      </c>
      <c r="G13" s="144" t="s">
        <v>51</v>
      </c>
      <c r="H13" s="145">
        <f>SUM(J13)/$A$7</f>
        <v>2.6716666666666669</v>
      </c>
      <c r="I13" s="144" t="s">
        <v>58</v>
      </c>
      <c r="J13" s="146">
        <f>'Cotação Materia Prima'!S22</f>
        <v>16.03</v>
      </c>
      <c r="K13" s="144" t="s">
        <v>58</v>
      </c>
      <c r="L13" s="147">
        <f>SUM(F13/1000)*J13</f>
        <v>0.19316150000000001</v>
      </c>
      <c r="M13" s="147"/>
      <c r="N13" s="148">
        <f>SUM(F13/1000)*$D$10</f>
        <v>1205</v>
      </c>
      <c r="O13" s="144" t="s">
        <v>58</v>
      </c>
      <c r="P13" s="147">
        <f>SUM(N13*J13)</f>
        <v>19316.150000000001</v>
      </c>
      <c r="Q13" s="184"/>
    </row>
    <row r="14" spans="1:17" ht="24.95" customHeight="1" x14ac:dyDescent="0.25">
      <c r="A14" s="25">
        <f>'Cotação Materia Prima'!A12</f>
        <v>2</v>
      </c>
      <c r="B14" s="55" t="str">
        <f>'Cotação Materia Prima'!B25:E25</f>
        <v>Fralda g - TNT (Cobertura - Tecido Não Tecido) - 650mm - M²</v>
      </c>
      <c r="C14" s="55"/>
      <c r="D14" s="55"/>
      <c r="E14" s="55"/>
      <c r="F14" s="11">
        <v>0.53949999999999998</v>
      </c>
      <c r="G14" s="144" t="s">
        <v>48</v>
      </c>
      <c r="H14" s="145">
        <f t="shared" ref="H14:H25" si="0">SUM(J14)/$A$7</f>
        <v>2.6716666666666666E-2</v>
      </c>
      <c r="I14" s="144" t="s">
        <v>59</v>
      </c>
      <c r="J14" s="146">
        <f>'Cotação Materia Prima'!S25</f>
        <v>0.1603</v>
      </c>
      <c r="K14" s="144" t="s">
        <v>59</v>
      </c>
      <c r="L14" s="147">
        <f t="shared" ref="L14:L16" si="1">SUM(J14*F14)</f>
        <v>8.6481849999999999E-2</v>
      </c>
      <c r="M14" s="147"/>
      <c r="N14" s="148">
        <f>SUM(F14)*$D$10</f>
        <v>53950</v>
      </c>
      <c r="O14" s="149" t="s">
        <v>69</v>
      </c>
      <c r="P14" s="147">
        <f>SUM(N14*J14)</f>
        <v>8648.1849999999995</v>
      </c>
      <c r="Q14" s="184"/>
    </row>
    <row r="15" spans="1:17" ht="24.95" customHeight="1" x14ac:dyDescent="0.25">
      <c r="A15" s="25">
        <f>'Cotação Materia Prima'!A13</f>
        <v>3</v>
      </c>
      <c r="B15" s="55" t="s">
        <v>49</v>
      </c>
      <c r="C15" s="55"/>
      <c r="D15" s="55"/>
      <c r="E15" s="55"/>
      <c r="F15" s="11">
        <v>6.1600000000000002E-2</v>
      </c>
      <c r="G15" s="144" t="s">
        <v>50</v>
      </c>
      <c r="H15" s="145">
        <f t="shared" si="0"/>
        <v>0.19338333333333332</v>
      </c>
      <c r="I15" s="144" t="s">
        <v>60</v>
      </c>
      <c r="J15" s="146">
        <f>'Cotação Materia Prima'!S11</f>
        <v>1.1602999999999999</v>
      </c>
      <c r="K15" s="144" t="s">
        <v>60</v>
      </c>
      <c r="L15" s="147">
        <f t="shared" si="1"/>
        <v>7.1474479999999993E-2</v>
      </c>
      <c r="M15" s="147"/>
      <c r="N15" s="148">
        <f>SUM(F15)*$D$10</f>
        <v>6160</v>
      </c>
      <c r="O15" s="144" t="s">
        <v>69</v>
      </c>
      <c r="P15" s="147">
        <f t="shared" ref="P15:P24" si="2">SUM(N15*J15)</f>
        <v>7147.4479999999994</v>
      </c>
      <c r="Q15" s="184"/>
    </row>
    <row r="16" spans="1:17" ht="24.95" customHeight="1" x14ac:dyDescent="0.25">
      <c r="A16" s="25">
        <f>'Cotação Materia Prima'!A14</f>
        <v>4</v>
      </c>
      <c r="B16" s="55" t="s">
        <v>38</v>
      </c>
      <c r="C16" s="55"/>
      <c r="D16" s="55"/>
      <c r="E16" s="55"/>
      <c r="F16" s="11">
        <v>9.9599999999999994E-2</v>
      </c>
      <c r="G16" s="144" t="s">
        <v>50</v>
      </c>
      <c r="H16" s="145">
        <f t="shared" si="0"/>
        <v>3.805E-2</v>
      </c>
      <c r="I16" s="144" t="s">
        <v>60</v>
      </c>
      <c r="J16" s="146">
        <f>'Cotação Materia Prima'!S12</f>
        <v>0.2283</v>
      </c>
      <c r="K16" s="144" t="s">
        <v>60</v>
      </c>
      <c r="L16" s="147">
        <f t="shared" si="1"/>
        <v>2.2738679999999997E-2</v>
      </c>
      <c r="M16" s="147"/>
      <c r="N16" s="148">
        <f>SUM(F16)*$D$10</f>
        <v>9960</v>
      </c>
      <c r="O16" s="144" t="s">
        <v>69</v>
      </c>
      <c r="P16" s="147">
        <f t="shared" si="2"/>
        <v>2273.8679999999999</v>
      </c>
      <c r="Q16" s="184"/>
    </row>
    <row r="17" spans="1:17" ht="24.95" customHeight="1" x14ac:dyDescent="0.25">
      <c r="A17" s="25">
        <f>'Cotação Materia Prima'!A15</f>
        <v>5</v>
      </c>
      <c r="B17" s="55" t="s">
        <v>39</v>
      </c>
      <c r="C17" s="55"/>
      <c r="D17" s="55"/>
      <c r="E17" s="55"/>
      <c r="F17" s="11">
        <v>6</v>
      </c>
      <c r="G17" s="144" t="s">
        <v>51</v>
      </c>
      <c r="H17" s="145">
        <f t="shared" si="0"/>
        <v>1.9630000000000001</v>
      </c>
      <c r="I17" s="144" t="s">
        <v>58</v>
      </c>
      <c r="J17" s="146">
        <f>'Cotação Materia Prima'!S13</f>
        <v>11.778</v>
      </c>
      <c r="K17" s="144" t="s">
        <v>58</v>
      </c>
      <c r="L17" s="147">
        <f>SUM(F17/1000)*J17</f>
        <v>7.0668000000000009E-2</v>
      </c>
      <c r="M17" s="147"/>
      <c r="N17" s="148">
        <f>SUM(F17/1000)*$D$10</f>
        <v>600</v>
      </c>
      <c r="O17" s="144" t="s">
        <v>58</v>
      </c>
      <c r="P17" s="147">
        <f t="shared" si="2"/>
        <v>7066.8</v>
      </c>
      <c r="Q17" s="184"/>
    </row>
    <row r="18" spans="1:17" ht="24.95" customHeight="1" x14ac:dyDescent="0.25">
      <c r="A18" s="25">
        <f>'Cotação Materia Prima'!A16</f>
        <v>6</v>
      </c>
      <c r="B18" s="55" t="s">
        <v>40</v>
      </c>
      <c r="C18" s="55"/>
      <c r="D18" s="55"/>
      <c r="E18" s="55"/>
      <c r="F18" s="11">
        <v>30</v>
      </c>
      <c r="G18" s="144" t="s">
        <v>51</v>
      </c>
      <c r="H18" s="145">
        <f t="shared" si="0"/>
        <v>1.2180666666666666</v>
      </c>
      <c r="I18" s="144" t="s">
        <v>58</v>
      </c>
      <c r="J18" s="146">
        <f>'Cotação Materia Prima'!S14</f>
        <v>7.3083999999999998</v>
      </c>
      <c r="K18" s="144" t="s">
        <v>58</v>
      </c>
      <c r="L18" s="147">
        <f>SUM(F18/1000)*J18</f>
        <v>0.21925199999999997</v>
      </c>
      <c r="M18" s="147"/>
      <c r="N18" s="148">
        <f>SUM(F18/1000)*$D$10</f>
        <v>3000</v>
      </c>
      <c r="O18" s="144" t="s">
        <v>58</v>
      </c>
      <c r="P18" s="147">
        <f t="shared" si="2"/>
        <v>21925.200000000001</v>
      </c>
      <c r="Q18" s="184"/>
    </row>
    <row r="19" spans="1:17" ht="24.95" customHeight="1" x14ac:dyDescent="0.25">
      <c r="A19" s="25">
        <f>'Cotação Materia Prima'!A17</f>
        <v>7</v>
      </c>
      <c r="B19" s="55" t="s">
        <v>41</v>
      </c>
      <c r="C19" s="55"/>
      <c r="D19" s="55"/>
      <c r="E19" s="55"/>
      <c r="F19" s="11">
        <v>0.11</v>
      </c>
      <c r="G19" s="144" t="s">
        <v>51</v>
      </c>
      <c r="H19" s="145">
        <f t="shared" si="0"/>
        <v>9.7383333333333333</v>
      </c>
      <c r="I19" s="144" t="s">
        <v>58</v>
      </c>
      <c r="J19" s="146">
        <f>'Cotação Materia Prima'!S15</f>
        <v>58.43</v>
      </c>
      <c r="K19" s="144" t="s">
        <v>58</v>
      </c>
      <c r="L19" s="147">
        <f>SUM(F19/1000)*J19</f>
        <v>6.4273000000000004E-3</v>
      </c>
      <c r="M19" s="147"/>
      <c r="N19" s="148">
        <f>SUM(F19/1000)*$D$10</f>
        <v>11</v>
      </c>
      <c r="O19" s="144" t="s">
        <v>58</v>
      </c>
      <c r="P19" s="147">
        <f t="shared" si="2"/>
        <v>642.73</v>
      </c>
      <c r="Q19" s="184"/>
    </row>
    <row r="20" spans="1:17" ht="24.95" customHeight="1" x14ac:dyDescent="0.25">
      <c r="A20" s="25">
        <f>'Cotação Materia Prima'!A18</f>
        <v>8</v>
      </c>
      <c r="B20" s="55" t="s">
        <v>42</v>
      </c>
      <c r="C20" s="55"/>
      <c r="D20" s="55"/>
      <c r="E20" s="55"/>
      <c r="F20" s="11">
        <v>5.3499999999999997E-3</v>
      </c>
      <c r="G20" s="144" t="s">
        <v>50</v>
      </c>
      <c r="H20" s="145">
        <f t="shared" si="0"/>
        <v>1.3883333333333334</v>
      </c>
      <c r="I20" s="144" t="s">
        <v>60</v>
      </c>
      <c r="J20" s="146">
        <f>'Cotação Materia Prima'!S16</f>
        <v>8.33</v>
      </c>
      <c r="K20" s="144" t="s">
        <v>60</v>
      </c>
      <c r="L20" s="147">
        <f>SUM(J20*F20)</f>
        <v>4.4565500000000001E-2</v>
      </c>
      <c r="M20" s="147"/>
      <c r="N20" s="148">
        <f>SUM(F20)*$D$10</f>
        <v>535</v>
      </c>
      <c r="O20" s="144" t="s">
        <v>69</v>
      </c>
      <c r="P20" s="147">
        <f t="shared" si="2"/>
        <v>4456.55</v>
      </c>
      <c r="Q20" s="184"/>
    </row>
    <row r="21" spans="1:17" ht="24.95" customHeight="1" x14ac:dyDescent="0.25">
      <c r="A21" s="25">
        <f>'Cotação Materia Prima'!A19</f>
        <v>9</v>
      </c>
      <c r="B21" s="55" t="s">
        <v>43</v>
      </c>
      <c r="C21" s="55"/>
      <c r="D21" s="55"/>
      <c r="E21" s="55"/>
      <c r="F21" s="11">
        <v>2.11</v>
      </c>
      <c r="G21" s="144" t="s">
        <v>51</v>
      </c>
      <c r="H21" s="145">
        <f t="shared" si="0"/>
        <v>2.4350000000000001</v>
      </c>
      <c r="I21" s="144" t="s">
        <v>58</v>
      </c>
      <c r="J21" s="146">
        <f>'Cotação Materia Prima'!S17</f>
        <v>14.61</v>
      </c>
      <c r="K21" s="144" t="s">
        <v>58</v>
      </c>
      <c r="L21" s="147">
        <f>SUM(F21/1000)*J21</f>
        <v>3.0827099999999996E-2</v>
      </c>
      <c r="M21" s="147"/>
      <c r="N21" s="148">
        <f>SUM(F21/1000)*$D$10</f>
        <v>211</v>
      </c>
      <c r="O21" s="144" t="s">
        <v>58</v>
      </c>
      <c r="P21" s="147">
        <f>SUM(N21*J21)</f>
        <v>3082.71</v>
      </c>
      <c r="Q21" s="184"/>
    </row>
    <row r="22" spans="1:17" ht="24.95" customHeight="1" x14ac:dyDescent="0.25">
      <c r="A22" s="25">
        <f>'Cotação Materia Prima'!A20</f>
        <v>10</v>
      </c>
      <c r="B22" s="55" t="s">
        <v>44</v>
      </c>
      <c r="C22" s="55"/>
      <c r="D22" s="55"/>
      <c r="E22" s="55"/>
      <c r="F22" s="11">
        <v>1.2E-2</v>
      </c>
      <c r="G22" s="144" t="s">
        <v>52</v>
      </c>
      <c r="H22" s="145">
        <f t="shared" si="0"/>
        <v>0</v>
      </c>
      <c r="I22" s="144" t="s">
        <v>61</v>
      </c>
      <c r="J22" s="146">
        <f>'Cotação Materia Prima'!S18</f>
        <v>0</v>
      </c>
      <c r="K22" s="144" t="s">
        <v>61</v>
      </c>
      <c r="L22" s="147">
        <f>SUM(F22)*J22</f>
        <v>0</v>
      </c>
      <c r="M22" s="147"/>
      <c r="N22" s="148">
        <f>SUM(F22/1000)*$D$10</f>
        <v>1.2</v>
      </c>
      <c r="O22" s="144" t="s">
        <v>68</v>
      </c>
      <c r="P22" s="147">
        <f t="shared" si="2"/>
        <v>0</v>
      </c>
      <c r="Q22" s="184"/>
    </row>
    <row r="23" spans="1:17" ht="24.95" customHeight="1" x14ac:dyDescent="0.25">
      <c r="A23" s="25">
        <f>'Cotação Materia Prima'!A21</f>
        <v>11</v>
      </c>
      <c r="B23" s="55" t="s">
        <v>45</v>
      </c>
      <c r="C23" s="55"/>
      <c r="D23" s="55"/>
      <c r="E23" s="55"/>
      <c r="F23" s="11">
        <v>1.4999999999999999E-2</v>
      </c>
      <c r="G23" s="144" t="s">
        <v>52</v>
      </c>
      <c r="H23" s="145">
        <f t="shared" si="0"/>
        <v>0</v>
      </c>
      <c r="I23" s="144" t="s">
        <v>61</v>
      </c>
      <c r="J23" s="146">
        <f>'Cotação Materia Prima'!S19</f>
        <v>0</v>
      </c>
      <c r="K23" s="144" t="s">
        <v>61</v>
      </c>
      <c r="L23" s="147">
        <f>SUM(F23/1000)*J23</f>
        <v>0</v>
      </c>
      <c r="M23" s="147"/>
      <c r="N23" s="148">
        <f>SUM(F23/1000)*$D$10</f>
        <v>1.4999999999999998</v>
      </c>
      <c r="O23" s="144" t="s">
        <v>68</v>
      </c>
      <c r="P23" s="147">
        <f t="shared" si="2"/>
        <v>0</v>
      </c>
      <c r="Q23" s="184"/>
    </row>
    <row r="24" spans="1:17" ht="24.95" customHeight="1" x14ac:dyDescent="0.25">
      <c r="A24" s="25">
        <f>'Cotação Materia Prima'!A22</f>
        <v>12</v>
      </c>
      <c r="B24" s="55" t="s">
        <v>46</v>
      </c>
      <c r="C24" s="55"/>
      <c r="D24" s="55"/>
      <c r="E24" s="55"/>
      <c r="F24" s="11">
        <v>0.13</v>
      </c>
      <c r="G24" s="144" t="s">
        <v>51</v>
      </c>
      <c r="H24" s="145">
        <f t="shared" si="0"/>
        <v>3.0833333333333335</v>
      </c>
      <c r="I24" s="144" t="s">
        <v>58</v>
      </c>
      <c r="J24" s="146">
        <f>'Cotação Materia Prima'!S20</f>
        <v>18.5</v>
      </c>
      <c r="K24" s="144" t="s">
        <v>58</v>
      </c>
      <c r="L24" s="147">
        <f>SUM(F24/1000)*J24</f>
        <v>2.4050000000000005E-3</v>
      </c>
      <c r="M24" s="147"/>
      <c r="N24" s="148">
        <f>SUM(F24/1000)*$D$10</f>
        <v>13.000000000000002</v>
      </c>
      <c r="O24" s="144" t="s">
        <v>58</v>
      </c>
      <c r="P24" s="147">
        <f t="shared" si="2"/>
        <v>240.50000000000003</v>
      </c>
      <c r="Q24" s="184"/>
    </row>
    <row r="25" spans="1:17" ht="24.95" customHeight="1" x14ac:dyDescent="0.25">
      <c r="A25" s="25">
        <f>'Cotação Materia Prima'!A23</f>
        <v>13</v>
      </c>
      <c r="B25" s="55" t="str">
        <f>'Cotação Materia Prima'!B27:E27</f>
        <v>Embalagem</v>
      </c>
      <c r="C25" s="55"/>
      <c r="D25" s="55"/>
      <c r="E25" s="55"/>
      <c r="F25" s="11" t="s">
        <v>65</v>
      </c>
      <c r="G25" s="150" t="s">
        <v>65</v>
      </c>
      <c r="H25" s="145">
        <f t="shared" si="0"/>
        <v>5.3333333333333337E-2</v>
      </c>
      <c r="I25" s="150" t="s">
        <v>65</v>
      </c>
      <c r="J25" s="146">
        <f>'Cotação Materia Prima'!S27</f>
        <v>0.32</v>
      </c>
      <c r="K25" s="144" t="s">
        <v>54</v>
      </c>
      <c r="L25" s="147">
        <f>SUM(J25/C42)</f>
        <v>0.04</v>
      </c>
      <c r="M25" s="147"/>
      <c r="N25" s="148">
        <f>SUM($D$10/C42)</f>
        <v>12500</v>
      </c>
      <c r="O25" s="150" t="s">
        <v>54</v>
      </c>
      <c r="P25" s="147">
        <f>SUM(N25*J25)</f>
        <v>4000</v>
      </c>
      <c r="Q25" s="184"/>
    </row>
    <row r="26" spans="1:17" ht="24.95" customHeight="1" x14ac:dyDescent="0.25">
      <c r="A26" s="25">
        <f>'Cotação Materia Prima'!A24</f>
        <v>14</v>
      </c>
      <c r="B26" s="55" t="str">
        <f>'Cotação Materia Prima'!B28:E28</f>
        <v>Fardo</v>
      </c>
      <c r="C26" s="55"/>
      <c r="D26" s="55"/>
      <c r="E26" s="55"/>
      <c r="F26" s="11" t="s">
        <v>65</v>
      </c>
      <c r="G26" s="150" t="s">
        <v>65</v>
      </c>
      <c r="H26" s="145"/>
      <c r="I26" s="150"/>
      <c r="J26" s="146">
        <f>'Cotação Materia Prima'!S28</f>
        <v>0.32</v>
      </c>
      <c r="K26" s="144" t="s">
        <v>54</v>
      </c>
      <c r="L26" s="147">
        <f>SUM(J26/C43)</f>
        <v>3.3333333333333335E-3</v>
      </c>
      <c r="M26" s="147"/>
      <c r="N26" s="148">
        <f>SUM($D$10/C43)</f>
        <v>1041.6666666666667</v>
      </c>
      <c r="O26" s="150" t="s">
        <v>54</v>
      </c>
      <c r="P26" s="147">
        <f>SUM(N26*J26)</f>
        <v>333.33333333333337</v>
      </c>
      <c r="Q26" s="184"/>
    </row>
    <row r="27" spans="1:17" ht="24.95" customHeight="1" x14ac:dyDescent="0.25">
      <c r="A27" s="25">
        <f>'Cotação Materia Prima'!A25</f>
        <v>15</v>
      </c>
      <c r="B27" s="55"/>
      <c r="C27" s="55"/>
      <c r="D27" s="55"/>
      <c r="E27" s="55"/>
      <c r="F27" s="11"/>
      <c r="G27" s="150"/>
      <c r="H27" s="145"/>
      <c r="I27" s="150"/>
      <c r="J27" s="146"/>
      <c r="K27" s="144"/>
      <c r="L27" s="147"/>
      <c r="M27" s="147"/>
      <c r="N27" s="151"/>
      <c r="O27" s="150"/>
      <c r="P27" s="147"/>
      <c r="Q27" s="184"/>
    </row>
    <row r="28" spans="1:17" ht="24.95" customHeight="1" x14ac:dyDescent="0.25">
      <c r="A28" s="25">
        <f>'Cotação Materia Prima'!A26</f>
        <v>16</v>
      </c>
      <c r="B28" s="55"/>
      <c r="C28" s="55"/>
      <c r="D28" s="55"/>
      <c r="E28" s="55"/>
      <c r="F28" s="11"/>
      <c r="G28" s="150"/>
      <c r="H28" s="145"/>
      <c r="I28" s="150"/>
      <c r="J28" s="146"/>
      <c r="K28" s="144"/>
      <c r="L28" s="147"/>
      <c r="M28" s="147"/>
      <c r="N28" s="151"/>
      <c r="O28" s="150"/>
      <c r="P28" s="147"/>
      <c r="Q28" s="184"/>
    </row>
    <row r="29" spans="1:17" ht="24.95" customHeight="1" x14ac:dyDescent="0.25">
      <c r="A29" s="25">
        <f>'Cotação Materia Prima'!A27</f>
        <v>17</v>
      </c>
      <c r="B29" s="55"/>
      <c r="C29" s="55"/>
      <c r="D29" s="55"/>
      <c r="E29" s="55"/>
      <c r="F29" s="11"/>
      <c r="G29" s="150"/>
      <c r="H29" s="145"/>
      <c r="I29" s="150"/>
      <c r="J29" s="146"/>
      <c r="K29" s="144"/>
      <c r="L29" s="147"/>
      <c r="M29" s="147"/>
      <c r="N29" s="151"/>
      <c r="O29" s="150"/>
      <c r="P29" s="147"/>
      <c r="Q29" s="184"/>
    </row>
    <row r="30" spans="1:17" ht="24.95" customHeight="1" x14ac:dyDescent="0.25">
      <c r="A30" s="25">
        <f>'Cotação Materia Prima'!A28</f>
        <v>18</v>
      </c>
      <c r="B30" s="55"/>
      <c r="C30" s="55"/>
      <c r="D30" s="55"/>
      <c r="E30" s="55"/>
      <c r="F30" s="11"/>
      <c r="G30" s="150"/>
      <c r="H30" s="145"/>
      <c r="I30" s="150"/>
      <c r="J30" s="146"/>
      <c r="K30" s="144"/>
      <c r="L30" s="147"/>
      <c r="M30" s="147"/>
      <c r="N30" s="151"/>
      <c r="O30" s="150"/>
      <c r="P30" s="147"/>
      <c r="Q30" s="184"/>
    </row>
    <row r="31" spans="1:17" ht="24.95" customHeight="1" x14ac:dyDescent="0.25">
      <c r="A31" s="25">
        <f>'Cotação Materia Prima'!A29</f>
        <v>19</v>
      </c>
      <c r="B31" s="55"/>
      <c r="C31" s="55"/>
      <c r="D31" s="55"/>
      <c r="E31" s="55"/>
      <c r="F31" s="11"/>
      <c r="G31" s="150"/>
      <c r="H31" s="145"/>
      <c r="I31" s="150"/>
      <c r="J31" s="146"/>
      <c r="K31" s="144"/>
      <c r="L31" s="147"/>
      <c r="M31" s="147"/>
      <c r="N31" s="151"/>
      <c r="O31" s="150"/>
      <c r="P31" s="147"/>
      <c r="Q31" s="184"/>
    </row>
    <row r="32" spans="1:17" ht="24.95" customHeight="1" x14ac:dyDescent="0.25">
      <c r="A32" s="25">
        <f>'Cotação Materia Prima'!A30</f>
        <v>20</v>
      </c>
      <c r="B32" s="55"/>
      <c r="C32" s="55"/>
      <c r="D32" s="55"/>
      <c r="E32" s="55"/>
      <c r="F32" s="11"/>
      <c r="G32" s="150"/>
      <c r="H32" s="145"/>
      <c r="I32" s="150"/>
      <c r="J32" s="146"/>
      <c r="K32" s="144"/>
      <c r="L32" s="147"/>
      <c r="M32" s="147"/>
      <c r="N32" s="151"/>
      <c r="O32" s="150"/>
      <c r="P32" s="147"/>
      <c r="Q32" s="184"/>
    </row>
    <row r="33" spans="1:18" ht="24.95" customHeight="1" x14ac:dyDescent="0.25">
      <c r="A33" s="25">
        <f>'Cotação Materia Prima'!A31</f>
        <v>21</v>
      </c>
      <c r="B33" s="55"/>
      <c r="C33" s="55"/>
      <c r="D33" s="55"/>
      <c r="E33" s="55"/>
      <c r="F33" s="11"/>
      <c r="G33" s="150"/>
      <c r="H33" s="145"/>
      <c r="I33" s="150"/>
      <c r="J33" s="146"/>
      <c r="K33" s="144"/>
      <c r="L33" s="147"/>
      <c r="M33" s="147"/>
      <c r="N33" s="11"/>
      <c r="O33" s="150"/>
      <c r="P33" s="147"/>
      <c r="Q33" s="184"/>
    </row>
    <row r="34" spans="1:18" ht="24.95" customHeight="1" x14ac:dyDescent="0.25">
      <c r="A34" s="25">
        <f>'Cotação Materia Prima'!A32</f>
        <v>22</v>
      </c>
      <c r="B34" s="55"/>
      <c r="C34" s="55"/>
      <c r="D34" s="55"/>
      <c r="E34" s="55"/>
      <c r="F34" s="11"/>
      <c r="G34" s="150"/>
      <c r="H34" s="145"/>
      <c r="I34" s="150"/>
      <c r="J34" s="146"/>
      <c r="K34" s="11"/>
      <c r="L34" s="147"/>
      <c r="M34" s="147"/>
      <c r="N34" s="11"/>
      <c r="O34" s="150"/>
      <c r="P34" s="147"/>
      <c r="Q34" s="184"/>
    </row>
    <row r="35" spans="1:18" ht="24.95" customHeight="1" x14ac:dyDescent="0.25">
      <c r="A35" s="25">
        <f>'Cotação Materia Prima'!A33</f>
        <v>23</v>
      </c>
      <c r="B35" s="55"/>
      <c r="C35" s="55"/>
      <c r="D35" s="55"/>
      <c r="E35" s="55"/>
      <c r="F35" s="11"/>
      <c r="G35" s="150"/>
      <c r="H35" s="145"/>
      <c r="I35" s="150"/>
      <c r="J35" s="146"/>
      <c r="K35" s="11"/>
      <c r="L35" s="147"/>
      <c r="M35" s="147"/>
      <c r="N35" s="11"/>
      <c r="O35" s="150"/>
      <c r="P35" s="147"/>
      <c r="Q35" s="184"/>
    </row>
    <row r="36" spans="1:18" ht="24.95" customHeight="1" x14ac:dyDescent="0.25">
      <c r="A36" s="25">
        <f>'Cotação Materia Prima'!A34</f>
        <v>24</v>
      </c>
      <c r="B36" s="55"/>
      <c r="C36" s="55"/>
      <c r="D36" s="55"/>
      <c r="E36" s="55"/>
      <c r="F36" s="11"/>
      <c r="G36" s="150"/>
      <c r="H36" s="145"/>
      <c r="I36" s="150"/>
      <c r="J36" s="146"/>
      <c r="K36" s="11"/>
      <c r="L36" s="147"/>
      <c r="M36" s="147"/>
      <c r="N36" s="11"/>
      <c r="O36" s="150"/>
      <c r="P36" s="147"/>
      <c r="Q36" s="184"/>
    </row>
    <row r="37" spans="1:18" ht="24.95" customHeight="1" x14ac:dyDescent="0.25">
      <c r="A37" s="25">
        <f>'Cotação Materia Prima'!A35</f>
        <v>25</v>
      </c>
      <c r="B37" s="55"/>
      <c r="C37" s="55"/>
      <c r="D37" s="55"/>
      <c r="E37" s="55"/>
      <c r="F37" s="11"/>
      <c r="G37" s="150"/>
      <c r="H37" s="145"/>
      <c r="I37" s="150"/>
      <c r="J37" s="146"/>
      <c r="K37" s="11"/>
      <c r="L37" s="147"/>
      <c r="M37" s="147"/>
      <c r="N37" s="11"/>
      <c r="O37" s="150"/>
      <c r="P37" s="147"/>
      <c r="Q37" s="184"/>
    </row>
    <row r="38" spans="1:18" x14ac:dyDescent="0.25">
      <c r="A38" s="46" t="s">
        <v>157</v>
      </c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147">
        <f>SUM(P13:Q37)</f>
        <v>79133.474333333332</v>
      </c>
      <c r="Q38" s="184"/>
    </row>
    <row r="39" spans="1:18" x14ac:dyDescent="0.25">
      <c r="A39" s="46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147"/>
      <c r="Q39" s="184"/>
    </row>
    <row r="40" spans="1:18" x14ac:dyDescent="0.25">
      <c r="A40" s="54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158"/>
    </row>
    <row r="41" spans="1:18" ht="21" x14ac:dyDescent="0.35">
      <c r="A41" s="185" t="s">
        <v>17</v>
      </c>
      <c r="B41" s="152"/>
      <c r="C41" s="152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86"/>
      <c r="R41" t="s">
        <v>133</v>
      </c>
    </row>
    <row r="42" spans="1:18" ht="24.95" customHeight="1" x14ac:dyDescent="0.25">
      <c r="A42" s="46" t="s">
        <v>117</v>
      </c>
      <c r="B42" s="47"/>
      <c r="C42" s="153">
        <v>8</v>
      </c>
      <c r="D42" s="11" t="s">
        <v>54</v>
      </c>
      <c r="E42" s="118"/>
      <c r="F42" s="119"/>
      <c r="G42" s="119"/>
      <c r="H42" s="41"/>
      <c r="I42" s="47" t="s">
        <v>152</v>
      </c>
      <c r="J42" s="47"/>
      <c r="K42" s="47"/>
      <c r="L42" s="47"/>
      <c r="M42" s="47"/>
      <c r="N42" s="47"/>
      <c r="O42" s="47"/>
      <c r="P42" s="155">
        <f>SUM('Custo de investimento'!N39:O39)/O10</f>
        <v>2.855424930555556E-2</v>
      </c>
      <c r="Q42" s="187"/>
      <c r="R42" s="20">
        <f>SUM(P42:Q45,L13:M37)</f>
        <v>1.0861987363425927</v>
      </c>
    </row>
    <row r="43" spans="1:18" ht="24.95" customHeight="1" x14ac:dyDescent="0.25">
      <c r="A43" s="46" t="s">
        <v>118</v>
      </c>
      <c r="B43" s="47"/>
      <c r="C43" s="153">
        <v>96</v>
      </c>
      <c r="D43" s="11" t="s">
        <v>54</v>
      </c>
      <c r="E43" s="123"/>
      <c r="F43" s="122"/>
      <c r="G43" s="122"/>
      <c r="H43" s="159"/>
      <c r="I43" s="47" t="s">
        <v>151</v>
      </c>
      <c r="J43" s="47"/>
      <c r="K43" s="47"/>
      <c r="L43" s="47"/>
      <c r="M43" s="47"/>
      <c r="N43" s="47"/>
      <c r="O43" s="47"/>
      <c r="P43" s="155">
        <f>SUM('Custos Fixos'!N35)/((($A$10+'Fralda EG - FM-001-EG'!$A$10+'Fralda M - FM-003-M'!$A$10)))</f>
        <v>0.10841583333333332</v>
      </c>
      <c r="Q43" s="187"/>
    </row>
    <row r="44" spans="1:18" ht="24.95" customHeight="1" x14ac:dyDescent="0.25">
      <c r="A44" s="119"/>
      <c r="B44" s="119"/>
      <c r="C44" s="119"/>
      <c r="D44" s="41"/>
      <c r="E44" s="123"/>
      <c r="F44" s="122"/>
      <c r="G44" s="122"/>
      <c r="H44" s="159"/>
      <c r="I44" s="47" t="s">
        <v>18</v>
      </c>
      <c r="J44" s="47"/>
      <c r="K44" s="47"/>
      <c r="L44" s="47"/>
      <c r="M44" s="47"/>
      <c r="N44" s="47"/>
      <c r="O44" s="47"/>
      <c r="P44" s="155">
        <f>SUM('Custos Mao de obra'!N35)/((($A$10+'Fralda EG - FM-001-EG'!$A$10+'Fralda M - FM-003-M'!$A$10)))</f>
        <v>0.14469391037037035</v>
      </c>
      <c r="Q44" s="187"/>
    </row>
    <row r="45" spans="1:18" ht="24.95" customHeight="1" x14ac:dyDescent="0.25">
      <c r="A45" s="122"/>
      <c r="B45" s="122"/>
      <c r="C45" s="122"/>
      <c r="D45" s="159"/>
      <c r="E45" s="123"/>
      <c r="F45" s="122"/>
      <c r="G45" s="122"/>
      <c r="H45" s="159"/>
      <c r="I45" s="47" t="s">
        <v>19</v>
      </c>
      <c r="J45" s="47"/>
      <c r="K45" s="47"/>
      <c r="L45" s="47"/>
      <c r="M45" s="47"/>
      <c r="N45" s="47"/>
      <c r="O45" s="47"/>
      <c r="P45" s="155">
        <f>SUM('Outros Custos'!N37)/((($A$10+'Fralda EG - FM-001-EG'!$A$10+'Fralda M - FM-003-M'!$A$10)))</f>
        <v>1.32E-2</v>
      </c>
      <c r="Q45" s="187"/>
    </row>
    <row r="46" spans="1:18" ht="24.95" customHeight="1" x14ac:dyDescent="0.25">
      <c r="A46" s="161"/>
      <c r="B46" s="161"/>
      <c r="C46" s="161"/>
      <c r="D46" s="162"/>
      <c r="E46" s="160"/>
      <c r="F46" s="161"/>
      <c r="G46" s="161"/>
      <c r="H46" s="162"/>
      <c r="I46" s="55"/>
      <c r="J46" s="55"/>
      <c r="K46" s="55"/>
      <c r="L46" s="55"/>
      <c r="M46" s="55"/>
      <c r="N46" s="55"/>
      <c r="O46" s="55"/>
      <c r="P46" s="155"/>
      <c r="Q46" s="187"/>
    </row>
    <row r="47" spans="1:18" ht="24.95" customHeight="1" x14ac:dyDescent="0.25">
      <c r="A47" s="46" t="s">
        <v>167</v>
      </c>
      <c r="B47" s="47"/>
      <c r="C47" s="47"/>
      <c r="D47" s="47"/>
      <c r="E47" s="47"/>
      <c r="F47" s="47"/>
      <c r="G47" s="155">
        <f>SUM(P38)*O48</f>
        <v>1978.3368583333333</v>
      </c>
      <c r="H47" s="155"/>
      <c r="I47" s="55"/>
      <c r="J47" s="55"/>
      <c r="K47" s="55"/>
      <c r="L47" s="55"/>
      <c r="M47" s="55"/>
      <c r="N47" s="55"/>
      <c r="O47" s="55"/>
      <c r="P47" s="155"/>
      <c r="Q47" s="187"/>
    </row>
    <row r="48" spans="1:18" ht="24.95" customHeight="1" x14ac:dyDescent="0.25">
      <c r="A48" s="46" t="s">
        <v>168</v>
      </c>
      <c r="B48" s="47"/>
      <c r="C48" s="47"/>
      <c r="D48" s="47"/>
      <c r="E48" s="47"/>
      <c r="F48" s="47"/>
      <c r="G48" s="155">
        <f>SUM(P48*D10)</f>
        <v>2715.4968408564819</v>
      </c>
      <c r="H48" s="155"/>
      <c r="I48" s="47" t="s">
        <v>115</v>
      </c>
      <c r="J48" s="47"/>
      <c r="K48" s="47"/>
      <c r="L48" s="47"/>
      <c r="M48" s="47"/>
      <c r="N48" s="47"/>
      <c r="O48" s="156">
        <v>2.5000000000000001E-2</v>
      </c>
      <c r="P48" s="155">
        <f>SUM(R42)*O48</f>
        <v>2.7154968408564819E-2</v>
      </c>
      <c r="Q48" s="187"/>
    </row>
    <row r="49" spans="1:17" ht="15" customHeight="1" x14ac:dyDescent="0.25">
      <c r="A49" s="188" t="s">
        <v>108</v>
      </c>
      <c r="B49" s="157"/>
      <c r="C49" s="157"/>
      <c r="D49" s="157"/>
      <c r="E49" s="157"/>
      <c r="F49" s="157"/>
      <c r="G49" s="157"/>
      <c r="H49" s="157"/>
      <c r="I49" s="157"/>
      <c r="J49" s="157"/>
      <c r="K49" s="157"/>
      <c r="L49" s="157"/>
      <c r="M49" s="157"/>
      <c r="N49" s="157"/>
      <c r="O49" s="157"/>
      <c r="P49" s="155">
        <f>SUM(P42:Q48,L13:M38)</f>
        <v>1.1133537047511575</v>
      </c>
      <c r="Q49" s="187"/>
    </row>
    <row r="50" spans="1:17" ht="15" customHeight="1" x14ac:dyDescent="0.25">
      <c r="A50" s="189"/>
      <c r="B50" s="190"/>
      <c r="C50" s="190"/>
      <c r="D50" s="190"/>
      <c r="E50" s="190"/>
      <c r="F50" s="190"/>
      <c r="G50" s="190"/>
      <c r="H50" s="190"/>
      <c r="I50" s="190"/>
      <c r="J50" s="190"/>
      <c r="K50" s="190"/>
      <c r="L50" s="190"/>
      <c r="M50" s="190"/>
      <c r="N50" s="190"/>
      <c r="O50" s="190"/>
      <c r="P50" s="191"/>
      <c r="Q50" s="192"/>
    </row>
  </sheetData>
  <mergeCells count="141">
    <mergeCell ref="G5:Q5"/>
    <mergeCell ref="G6:G7"/>
    <mergeCell ref="K6:K7"/>
    <mergeCell ref="K9:K10"/>
    <mergeCell ref="C6:C7"/>
    <mergeCell ref="C9:C10"/>
    <mergeCell ref="D9:G9"/>
    <mergeCell ref="E42:H46"/>
    <mergeCell ref="A44:D46"/>
    <mergeCell ref="A49:O50"/>
    <mergeCell ref="P49:Q50"/>
    <mergeCell ref="P48:Q48"/>
    <mergeCell ref="P47:Q47"/>
    <mergeCell ref="I46:O46"/>
    <mergeCell ref="I47:O47"/>
    <mergeCell ref="I48:N48"/>
    <mergeCell ref="A47:F47"/>
    <mergeCell ref="G47:H47"/>
    <mergeCell ref="A48:F48"/>
    <mergeCell ref="G48:H48"/>
    <mergeCell ref="P44:Q44"/>
    <mergeCell ref="P45:Q45"/>
    <mergeCell ref="P46:Q46"/>
    <mergeCell ref="I44:O44"/>
    <mergeCell ref="I45:O45"/>
    <mergeCell ref="P38:Q39"/>
    <mergeCell ref="A41:Q41"/>
    <mergeCell ref="P42:Q42"/>
    <mergeCell ref="P43:Q43"/>
    <mergeCell ref="A42:B42"/>
    <mergeCell ref="I42:O42"/>
    <mergeCell ref="A43:B43"/>
    <mergeCell ref="I43:O43"/>
    <mergeCell ref="B36:E36"/>
    <mergeCell ref="L36:M36"/>
    <mergeCell ref="P36:Q36"/>
    <mergeCell ref="B37:E37"/>
    <mergeCell ref="L37:M37"/>
    <mergeCell ref="P37:Q37"/>
    <mergeCell ref="D10:E10"/>
    <mergeCell ref="H10:I10"/>
    <mergeCell ref="L10:N10"/>
    <mergeCell ref="O10:P10"/>
    <mergeCell ref="B11:E12"/>
    <mergeCell ref="F11:G12"/>
    <mergeCell ref="H11:I12"/>
    <mergeCell ref="J11:K12"/>
    <mergeCell ref="L11:M12"/>
    <mergeCell ref="N11:O12"/>
    <mergeCell ref="P11:Q12"/>
    <mergeCell ref="L24:M24"/>
    <mergeCell ref="P24:Q24"/>
    <mergeCell ref="B21:E21"/>
    <mergeCell ref="L21:M21"/>
    <mergeCell ref="P21:Q21"/>
    <mergeCell ref="B22:E22"/>
    <mergeCell ref="L22:M22"/>
    <mergeCell ref="B25:E25"/>
    <mergeCell ref="L25:M25"/>
    <mergeCell ref="P25:Q25"/>
    <mergeCell ref="B32:E32"/>
    <mergeCell ref="L32:M32"/>
    <mergeCell ref="P32:Q32"/>
    <mergeCell ref="B23:E23"/>
    <mergeCell ref="L23:M23"/>
    <mergeCell ref="P23:Q23"/>
    <mergeCell ref="B24:E24"/>
    <mergeCell ref="B26:E26"/>
    <mergeCell ref="B27:E27"/>
    <mergeCell ref="B28:E28"/>
    <mergeCell ref="B29:E29"/>
    <mergeCell ref="B30:E30"/>
    <mergeCell ref="B31:E31"/>
    <mergeCell ref="L26:M26"/>
    <mergeCell ref="L27:M27"/>
    <mergeCell ref="L28:M28"/>
    <mergeCell ref="L29:M29"/>
    <mergeCell ref="L30:M30"/>
    <mergeCell ref="L31:M31"/>
    <mergeCell ref="P26:Q26"/>
    <mergeCell ref="P27:Q27"/>
    <mergeCell ref="B35:E35"/>
    <mergeCell ref="L35:M35"/>
    <mergeCell ref="P35:Q35"/>
    <mergeCell ref="B33:E33"/>
    <mergeCell ref="L33:M33"/>
    <mergeCell ref="P33:Q33"/>
    <mergeCell ref="B34:E34"/>
    <mergeCell ref="L34:M34"/>
    <mergeCell ref="P34:Q34"/>
    <mergeCell ref="A6:B6"/>
    <mergeCell ref="D6:F6"/>
    <mergeCell ref="H6:J6"/>
    <mergeCell ref="L6:N6"/>
    <mergeCell ref="O6:Q6"/>
    <mergeCell ref="A8:Q8"/>
    <mergeCell ref="A9:B9"/>
    <mergeCell ref="H9:J9"/>
    <mergeCell ref="L9:N9"/>
    <mergeCell ref="O9:Q9"/>
    <mergeCell ref="A7:B7"/>
    <mergeCell ref="D7:F7"/>
    <mergeCell ref="H7:J7"/>
    <mergeCell ref="L7:N7"/>
    <mergeCell ref="O7:Q7"/>
    <mergeCell ref="B19:E19"/>
    <mergeCell ref="L19:M19"/>
    <mergeCell ref="P19:Q19"/>
    <mergeCell ref="B20:E20"/>
    <mergeCell ref="L20:M20"/>
    <mergeCell ref="P20:Q20"/>
    <mergeCell ref="B17:E17"/>
    <mergeCell ref="L17:M17"/>
    <mergeCell ref="P17:Q17"/>
    <mergeCell ref="B18:E18"/>
    <mergeCell ref="L18:M18"/>
    <mergeCell ref="P18:Q18"/>
    <mergeCell ref="P28:Q28"/>
    <mergeCell ref="P29:Q29"/>
    <mergeCell ref="P30:Q30"/>
    <mergeCell ref="P31:Q31"/>
    <mergeCell ref="A40:Q40"/>
    <mergeCell ref="A1:F5"/>
    <mergeCell ref="G1:Q3"/>
    <mergeCell ref="H4:K4"/>
    <mergeCell ref="L4:M4"/>
    <mergeCell ref="O4:P4"/>
    <mergeCell ref="A38:O39"/>
    <mergeCell ref="B15:E15"/>
    <mergeCell ref="L15:M15"/>
    <mergeCell ref="P15:Q15"/>
    <mergeCell ref="B16:E16"/>
    <mergeCell ref="L16:M16"/>
    <mergeCell ref="P16:Q16"/>
    <mergeCell ref="B13:E13"/>
    <mergeCell ref="L13:M13"/>
    <mergeCell ref="P13:Q13"/>
    <mergeCell ref="B14:E14"/>
    <mergeCell ref="L14:M14"/>
    <mergeCell ref="P14:Q14"/>
    <mergeCell ref="P22:Q22"/>
  </mergeCell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E1567-CDFE-4490-8E6E-0BC2FB1D5855}">
  <dimension ref="A1:R50"/>
  <sheetViews>
    <sheetView zoomScale="55" zoomScaleNormal="55" workbookViewId="0">
      <selection activeCell="A10" sqref="A1:A1048576"/>
    </sheetView>
  </sheetViews>
  <sheetFormatPr defaultRowHeight="15" x14ac:dyDescent="0.25"/>
  <cols>
    <col min="1" max="1" width="22.7109375" customWidth="1"/>
    <col min="2" max="5" width="15.7109375" customWidth="1"/>
    <col min="7" max="7" width="9.28515625" bestFit="1" customWidth="1"/>
    <col min="8" max="8" width="17.5703125" customWidth="1"/>
    <col min="9" max="9" width="11.7109375" customWidth="1"/>
    <col min="10" max="10" width="21" customWidth="1"/>
    <col min="12" max="12" width="9.85546875" customWidth="1"/>
    <col min="13" max="13" width="23.7109375" customWidth="1"/>
    <col min="14" max="14" width="12.28515625" customWidth="1"/>
    <col min="15" max="15" width="11.85546875" bestFit="1" customWidth="1"/>
    <col min="16" max="16" width="10.5703125" customWidth="1"/>
    <col min="17" max="17" width="15.140625" customWidth="1"/>
    <col min="18" max="18" width="23.5703125" hidden="1" customWidth="1"/>
  </cols>
  <sheetData>
    <row r="1" spans="1:17" ht="15" customHeight="1" x14ac:dyDescent="0.25">
      <c r="A1" s="53"/>
      <c r="B1" s="49"/>
      <c r="C1" s="49"/>
      <c r="D1" s="49"/>
      <c r="E1" s="49"/>
      <c r="F1" s="49"/>
      <c r="G1" s="171" t="s">
        <v>155</v>
      </c>
      <c r="H1" s="171"/>
      <c r="I1" s="171"/>
      <c r="J1" s="171"/>
      <c r="K1" s="171"/>
      <c r="L1" s="171"/>
      <c r="M1" s="171"/>
      <c r="N1" s="171"/>
      <c r="O1" s="171"/>
      <c r="P1" s="171"/>
      <c r="Q1" s="172"/>
    </row>
    <row r="2" spans="1:17" ht="15" customHeight="1" x14ac:dyDescent="0.25">
      <c r="A2" s="56"/>
      <c r="B2" s="57"/>
      <c r="C2" s="57"/>
      <c r="D2" s="57"/>
      <c r="E2" s="57"/>
      <c r="F2" s="57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73"/>
    </row>
    <row r="3" spans="1:17" ht="15" customHeight="1" x14ac:dyDescent="0.25">
      <c r="A3" s="56"/>
      <c r="B3" s="57"/>
      <c r="C3" s="57"/>
      <c r="D3" s="57"/>
      <c r="E3" s="57"/>
      <c r="F3" s="57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73"/>
    </row>
    <row r="4" spans="1:17" ht="15.75" x14ac:dyDescent="0.25">
      <c r="A4" s="56"/>
      <c r="B4" s="57"/>
      <c r="C4" s="57"/>
      <c r="D4" s="57"/>
      <c r="E4" s="57"/>
      <c r="F4" s="57"/>
      <c r="G4" s="125" t="s">
        <v>36</v>
      </c>
      <c r="H4" s="126" t="s">
        <v>77</v>
      </c>
      <c r="I4" s="126"/>
      <c r="J4" s="126"/>
      <c r="K4" s="126"/>
      <c r="L4" s="127" t="s">
        <v>159</v>
      </c>
      <c r="M4" s="127"/>
      <c r="N4" s="128" t="s">
        <v>35</v>
      </c>
      <c r="O4" s="127" t="s">
        <v>158</v>
      </c>
      <c r="P4" s="127"/>
      <c r="Q4" s="174" t="s">
        <v>78</v>
      </c>
    </row>
    <row r="5" spans="1:17" x14ac:dyDescent="0.25">
      <c r="A5" s="56"/>
      <c r="B5" s="57"/>
      <c r="C5" s="57"/>
      <c r="D5" s="57"/>
      <c r="E5" s="57"/>
      <c r="F5" s="57"/>
      <c r="G5" s="58"/>
      <c r="H5" s="94"/>
      <c r="I5" s="94"/>
      <c r="J5" s="94"/>
      <c r="K5" s="94"/>
      <c r="L5" s="94"/>
      <c r="M5" s="94"/>
      <c r="N5" s="94"/>
      <c r="O5" s="94"/>
      <c r="P5" s="94"/>
      <c r="Q5" s="94"/>
    </row>
    <row r="6" spans="1:17" ht="15.75" x14ac:dyDescent="0.25">
      <c r="A6" s="165" t="s">
        <v>112</v>
      </c>
      <c r="B6" s="114"/>
      <c r="C6" s="169"/>
      <c r="D6" s="114" t="s">
        <v>166</v>
      </c>
      <c r="E6" s="114"/>
      <c r="F6" s="114"/>
      <c r="G6" s="169"/>
      <c r="H6" s="132" t="s">
        <v>156</v>
      </c>
      <c r="I6" s="132"/>
      <c r="J6" s="132"/>
      <c r="K6" s="193"/>
      <c r="L6" s="114" t="s">
        <v>157</v>
      </c>
      <c r="M6" s="114"/>
      <c r="N6" s="114"/>
      <c r="O6" s="114" t="s">
        <v>113</v>
      </c>
      <c r="P6" s="114"/>
      <c r="Q6" s="163"/>
    </row>
    <row r="7" spans="1:17" ht="15.75" x14ac:dyDescent="0.25">
      <c r="A7" s="175">
        <f>'Cotação Materia Prima'!D7</f>
        <v>6</v>
      </c>
      <c r="B7" s="133"/>
      <c r="C7" s="170"/>
      <c r="D7" s="134">
        <f>'Cotação Materia Prima'!K7</f>
        <v>45753</v>
      </c>
      <c r="E7" s="134"/>
      <c r="F7" s="134"/>
      <c r="G7" s="170"/>
      <c r="H7" s="135">
        <f>SUM(L13:M37)</f>
        <v>0.84956294952380962</v>
      </c>
      <c r="I7" s="132"/>
      <c r="J7" s="132"/>
      <c r="K7" s="194"/>
      <c r="L7" s="136">
        <f>P38</f>
        <v>84956.294952380951</v>
      </c>
      <c r="M7" s="136"/>
      <c r="N7" s="136"/>
      <c r="O7" s="136">
        <f>P49</f>
        <v>1.1730376160963953</v>
      </c>
      <c r="P7" s="136"/>
      <c r="Q7" s="166"/>
    </row>
    <row r="8" spans="1:17" x14ac:dyDescent="0.25">
      <c r="A8" s="176"/>
      <c r="B8" s="137"/>
      <c r="C8" s="137"/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77"/>
    </row>
    <row r="9" spans="1:17" ht="15.75" x14ac:dyDescent="0.25">
      <c r="A9" s="165" t="s">
        <v>110</v>
      </c>
      <c r="B9" s="114"/>
      <c r="C9" s="169"/>
      <c r="D9" s="163" t="s">
        <v>111</v>
      </c>
      <c r="E9" s="164"/>
      <c r="F9" s="164"/>
      <c r="G9" s="165"/>
      <c r="H9" s="114" t="s">
        <v>160</v>
      </c>
      <c r="I9" s="114"/>
      <c r="J9" s="114"/>
      <c r="K9" s="169"/>
      <c r="L9" s="114" t="s">
        <v>114</v>
      </c>
      <c r="M9" s="114"/>
      <c r="N9" s="114"/>
      <c r="O9" s="114" t="s">
        <v>161</v>
      </c>
      <c r="P9" s="114"/>
      <c r="Q9" s="163"/>
    </row>
    <row r="10" spans="1:17" ht="15.75" x14ac:dyDescent="0.25">
      <c r="A10" s="178">
        <v>100000</v>
      </c>
      <c r="B10" s="139" t="s">
        <v>54</v>
      </c>
      <c r="C10" s="170"/>
      <c r="D10" s="140">
        <v>100000</v>
      </c>
      <c r="E10" s="140"/>
      <c r="F10" s="131" t="s">
        <v>54</v>
      </c>
      <c r="G10" s="131"/>
      <c r="H10" s="179">
        <f>SUM(A10-D10)</f>
        <v>0</v>
      </c>
      <c r="I10" s="179"/>
      <c r="J10" s="131" t="s">
        <v>54</v>
      </c>
      <c r="K10" s="170"/>
      <c r="L10" s="142">
        <f>SUM(P42:Q45)*H10</f>
        <v>0</v>
      </c>
      <c r="M10" s="114"/>
      <c r="N10" s="114"/>
      <c r="O10" s="141">
        <v>57600000</v>
      </c>
      <c r="P10" s="141"/>
      <c r="Q10" s="180" t="s">
        <v>54</v>
      </c>
    </row>
    <row r="11" spans="1:17" x14ac:dyDescent="0.25">
      <c r="A11" s="181"/>
      <c r="B11" s="69" t="s">
        <v>47</v>
      </c>
      <c r="C11" s="69"/>
      <c r="D11" s="69"/>
      <c r="E11" s="69"/>
      <c r="F11" s="69" t="s">
        <v>4</v>
      </c>
      <c r="G11" s="69"/>
      <c r="H11" s="69" t="s">
        <v>56</v>
      </c>
      <c r="I11" s="69"/>
      <c r="J11" s="69" t="s">
        <v>57</v>
      </c>
      <c r="K11" s="69"/>
      <c r="L11" s="69" t="s">
        <v>62</v>
      </c>
      <c r="M11" s="69"/>
      <c r="N11" s="69" t="s">
        <v>63</v>
      </c>
      <c r="O11" s="69"/>
      <c r="P11" s="69" t="s">
        <v>64</v>
      </c>
      <c r="Q11" s="182"/>
    </row>
    <row r="12" spans="1:17" ht="18.75" x14ac:dyDescent="0.3">
      <c r="A12" s="183" t="s">
        <v>163</v>
      </c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182"/>
    </row>
    <row r="13" spans="1:17" ht="24.95" customHeight="1" x14ac:dyDescent="0.25">
      <c r="A13" s="25">
        <f>'Cotação Materia Prima'!A23</f>
        <v>13</v>
      </c>
      <c r="B13" s="55" t="str">
        <f>'Cotação Materia Prima'!B23:E23</f>
        <v>Fralda EG - Polietileno (Filme eterno) - 750mm- kG</v>
      </c>
      <c r="C13" s="55"/>
      <c r="D13" s="55"/>
      <c r="E13" s="55"/>
      <c r="F13" s="11">
        <v>14.19</v>
      </c>
      <c r="G13" s="144" t="s">
        <v>51</v>
      </c>
      <c r="H13" s="145">
        <f>SUM(J13)/$A$7</f>
        <v>2.6716666666666669</v>
      </c>
      <c r="I13" s="144" t="s">
        <v>58</v>
      </c>
      <c r="J13" s="146">
        <f>'Cotação Materia Prima'!S23</f>
        <v>16.03</v>
      </c>
      <c r="K13" s="144" t="s">
        <v>58</v>
      </c>
      <c r="L13" s="155">
        <f>SUM(F13/1000)*J13</f>
        <v>0.22746570000000002</v>
      </c>
      <c r="M13" s="155"/>
      <c r="N13" s="148">
        <f>SUM(F13/1000)*$D$10</f>
        <v>1419</v>
      </c>
      <c r="O13" s="144" t="s">
        <v>58</v>
      </c>
      <c r="P13" s="147">
        <f>SUM(N13*J13)</f>
        <v>22746.570000000003</v>
      </c>
      <c r="Q13" s="184"/>
    </row>
    <row r="14" spans="1:17" ht="24.95" customHeight="1" x14ac:dyDescent="0.25">
      <c r="A14" s="25">
        <f>'Cotação Materia Prima'!A26</f>
        <v>16</v>
      </c>
      <c r="B14" s="55" t="str">
        <f>'Cotação Materia Prima'!B26:E26</f>
        <v>Fralda EG - TNT (Cobertura - Tecido Não Tecido) - 750mm - M²</v>
      </c>
      <c r="C14" s="55"/>
      <c r="D14" s="55"/>
      <c r="E14" s="55"/>
      <c r="F14" s="11">
        <v>0.64500000000000002</v>
      </c>
      <c r="G14" s="144" t="s">
        <v>48</v>
      </c>
      <c r="H14" s="145">
        <f t="shared" ref="H14:H26" si="0">SUM(J14)/$A$7</f>
        <v>2.6716666666666666E-2</v>
      </c>
      <c r="I14" s="144" t="s">
        <v>59</v>
      </c>
      <c r="J14" s="146">
        <f>'Cotação Materia Prima'!S26</f>
        <v>0.1603</v>
      </c>
      <c r="K14" s="144" t="s">
        <v>59</v>
      </c>
      <c r="L14" s="155">
        <f t="shared" ref="L14:L16" si="1">SUM(J14*F14)</f>
        <v>0.1033935</v>
      </c>
      <c r="M14" s="155"/>
      <c r="N14" s="148">
        <f>SUM(F14)*$D$10</f>
        <v>64500</v>
      </c>
      <c r="O14" s="149" t="s">
        <v>69</v>
      </c>
      <c r="P14" s="147">
        <f>SUM(N14*J14)</f>
        <v>10339.35</v>
      </c>
      <c r="Q14" s="184"/>
    </row>
    <row r="15" spans="1:17" ht="24.95" customHeight="1" x14ac:dyDescent="0.25">
      <c r="A15" s="25">
        <f>'Cotação Materia Prima'!A13</f>
        <v>3</v>
      </c>
      <c r="B15" s="55" t="s">
        <v>49</v>
      </c>
      <c r="C15" s="55"/>
      <c r="D15" s="55"/>
      <c r="E15" s="55"/>
      <c r="F15" s="11">
        <v>6.1600000000000002E-2</v>
      </c>
      <c r="G15" s="144" t="s">
        <v>50</v>
      </c>
      <c r="H15" s="145">
        <f t="shared" si="0"/>
        <v>0.19338333333333332</v>
      </c>
      <c r="I15" s="144" t="s">
        <v>60</v>
      </c>
      <c r="J15" s="146">
        <f>'Cotação Materia Prima'!S11</f>
        <v>1.1602999999999999</v>
      </c>
      <c r="K15" s="144" t="s">
        <v>60</v>
      </c>
      <c r="L15" s="155">
        <f t="shared" si="1"/>
        <v>7.1474479999999993E-2</v>
      </c>
      <c r="M15" s="155"/>
      <c r="N15" s="148">
        <f>SUM(F15)*$D$10</f>
        <v>6160</v>
      </c>
      <c r="O15" s="144" t="s">
        <v>69</v>
      </c>
      <c r="P15" s="147">
        <f t="shared" ref="P15:P24" si="2">SUM(N15*J15)</f>
        <v>7147.4479999999994</v>
      </c>
      <c r="Q15" s="184"/>
    </row>
    <row r="16" spans="1:17" ht="24.95" customHeight="1" x14ac:dyDescent="0.25">
      <c r="A16" s="25">
        <f>'Cotação Materia Prima'!A14</f>
        <v>4</v>
      </c>
      <c r="B16" s="55" t="s">
        <v>38</v>
      </c>
      <c r="C16" s="55"/>
      <c r="D16" s="55"/>
      <c r="E16" s="55"/>
      <c r="F16" s="11">
        <v>0.1032</v>
      </c>
      <c r="G16" s="144" t="s">
        <v>50</v>
      </c>
      <c r="H16" s="145">
        <f t="shared" si="0"/>
        <v>3.805E-2</v>
      </c>
      <c r="I16" s="144" t="s">
        <v>60</v>
      </c>
      <c r="J16" s="146">
        <f>'Cotação Materia Prima'!S12</f>
        <v>0.2283</v>
      </c>
      <c r="K16" s="144" t="s">
        <v>60</v>
      </c>
      <c r="L16" s="155">
        <f t="shared" si="1"/>
        <v>2.3560560000000001E-2</v>
      </c>
      <c r="M16" s="155"/>
      <c r="N16" s="148">
        <f>SUM(F16)*$D$10</f>
        <v>10320</v>
      </c>
      <c r="O16" s="144" t="s">
        <v>69</v>
      </c>
      <c r="P16" s="147">
        <f t="shared" si="2"/>
        <v>2356.056</v>
      </c>
      <c r="Q16" s="184"/>
    </row>
    <row r="17" spans="1:17" ht="24.95" customHeight="1" x14ac:dyDescent="0.25">
      <c r="A17" s="25">
        <f>'Cotação Materia Prima'!A15</f>
        <v>5</v>
      </c>
      <c r="B17" s="55" t="s">
        <v>39</v>
      </c>
      <c r="C17" s="55"/>
      <c r="D17" s="55"/>
      <c r="E17" s="55"/>
      <c r="F17" s="11">
        <v>6</v>
      </c>
      <c r="G17" s="144" t="s">
        <v>51</v>
      </c>
      <c r="H17" s="145">
        <f t="shared" si="0"/>
        <v>1.9630000000000001</v>
      </c>
      <c r="I17" s="144" t="s">
        <v>58</v>
      </c>
      <c r="J17" s="146">
        <f>'Cotação Materia Prima'!S13</f>
        <v>11.778</v>
      </c>
      <c r="K17" s="144" t="s">
        <v>58</v>
      </c>
      <c r="L17" s="155">
        <f>SUM(F17/1000)*J17</f>
        <v>7.0668000000000009E-2</v>
      </c>
      <c r="M17" s="155"/>
      <c r="N17" s="148">
        <f>SUM(F17/1000)*$D$10</f>
        <v>600</v>
      </c>
      <c r="O17" s="144" t="s">
        <v>58</v>
      </c>
      <c r="P17" s="147">
        <f t="shared" si="2"/>
        <v>7066.8</v>
      </c>
      <c r="Q17" s="184"/>
    </row>
    <row r="18" spans="1:17" ht="24.95" customHeight="1" x14ac:dyDescent="0.25">
      <c r="A18" s="25">
        <f>'Cotação Materia Prima'!A16</f>
        <v>6</v>
      </c>
      <c r="B18" s="55" t="s">
        <v>40</v>
      </c>
      <c r="C18" s="55"/>
      <c r="D18" s="55"/>
      <c r="E18" s="55"/>
      <c r="F18" s="11">
        <v>30</v>
      </c>
      <c r="G18" s="144" t="s">
        <v>51</v>
      </c>
      <c r="H18" s="145">
        <f t="shared" si="0"/>
        <v>1.2180666666666666</v>
      </c>
      <c r="I18" s="144" t="s">
        <v>58</v>
      </c>
      <c r="J18" s="146">
        <f>'Cotação Materia Prima'!S14</f>
        <v>7.3083999999999998</v>
      </c>
      <c r="K18" s="144" t="s">
        <v>58</v>
      </c>
      <c r="L18" s="155">
        <f>SUM(F18/1000)*J18</f>
        <v>0.21925199999999997</v>
      </c>
      <c r="M18" s="155"/>
      <c r="N18" s="148">
        <f>SUM(F18/1000)*$D$10</f>
        <v>3000</v>
      </c>
      <c r="O18" s="144" t="s">
        <v>58</v>
      </c>
      <c r="P18" s="147">
        <f t="shared" si="2"/>
        <v>21925.200000000001</v>
      </c>
      <c r="Q18" s="184"/>
    </row>
    <row r="19" spans="1:17" ht="24.95" customHeight="1" x14ac:dyDescent="0.25">
      <c r="A19" s="25">
        <f>'Cotação Materia Prima'!A17</f>
        <v>7</v>
      </c>
      <c r="B19" s="55" t="s">
        <v>41</v>
      </c>
      <c r="C19" s="55"/>
      <c r="D19" s="55"/>
      <c r="E19" s="55"/>
      <c r="F19" s="11">
        <v>0.11</v>
      </c>
      <c r="G19" s="144" t="s">
        <v>51</v>
      </c>
      <c r="H19" s="145">
        <f t="shared" si="0"/>
        <v>9.7383333333333333</v>
      </c>
      <c r="I19" s="144" t="s">
        <v>58</v>
      </c>
      <c r="J19" s="146">
        <f>'Cotação Materia Prima'!S15</f>
        <v>58.43</v>
      </c>
      <c r="K19" s="144" t="s">
        <v>58</v>
      </c>
      <c r="L19" s="155">
        <f>SUM(F19/1000)*J19</f>
        <v>6.4273000000000004E-3</v>
      </c>
      <c r="M19" s="155"/>
      <c r="N19" s="148">
        <f>SUM(F19/1000)*$D$10</f>
        <v>11</v>
      </c>
      <c r="O19" s="144" t="s">
        <v>58</v>
      </c>
      <c r="P19" s="147">
        <f t="shared" si="2"/>
        <v>642.73</v>
      </c>
      <c r="Q19" s="184"/>
    </row>
    <row r="20" spans="1:17" ht="24.95" customHeight="1" x14ac:dyDescent="0.25">
      <c r="A20" s="25">
        <f>'Cotação Materia Prima'!A18</f>
        <v>8</v>
      </c>
      <c r="B20" s="55" t="s">
        <v>42</v>
      </c>
      <c r="C20" s="55"/>
      <c r="D20" s="55"/>
      <c r="E20" s="55"/>
      <c r="F20" s="11">
        <v>5.3499999999999997E-3</v>
      </c>
      <c r="G20" s="144" t="s">
        <v>50</v>
      </c>
      <c r="H20" s="145">
        <f t="shared" si="0"/>
        <v>1.3883333333333334</v>
      </c>
      <c r="I20" s="144" t="s">
        <v>60</v>
      </c>
      <c r="J20" s="146">
        <f>'Cotação Materia Prima'!S16</f>
        <v>8.33</v>
      </c>
      <c r="K20" s="144" t="s">
        <v>60</v>
      </c>
      <c r="L20" s="155">
        <f>SUM(J20*F20)</f>
        <v>4.4565500000000001E-2</v>
      </c>
      <c r="M20" s="155"/>
      <c r="N20" s="148">
        <f>SUM(F20)*$D$10</f>
        <v>535</v>
      </c>
      <c r="O20" s="144" t="s">
        <v>69</v>
      </c>
      <c r="P20" s="147">
        <f t="shared" si="2"/>
        <v>4456.55</v>
      </c>
      <c r="Q20" s="184"/>
    </row>
    <row r="21" spans="1:17" ht="24.95" customHeight="1" x14ac:dyDescent="0.25">
      <c r="A21" s="25">
        <f>'Cotação Materia Prima'!A19</f>
        <v>9</v>
      </c>
      <c r="B21" s="55" t="s">
        <v>43</v>
      </c>
      <c r="C21" s="55"/>
      <c r="D21" s="55"/>
      <c r="E21" s="55"/>
      <c r="F21" s="11">
        <v>2.11</v>
      </c>
      <c r="G21" s="144" t="s">
        <v>51</v>
      </c>
      <c r="H21" s="145">
        <f t="shared" si="0"/>
        <v>2.4350000000000001</v>
      </c>
      <c r="I21" s="144" t="s">
        <v>58</v>
      </c>
      <c r="J21" s="146">
        <f>'Cotação Materia Prima'!S17</f>
        <v>14.61</v>
      </c>
      <c r="K21" s="144" t="s">
        <v>58</v>
      </c>
      <c r="L21" s="155">
        <f>SUM(F21/1000)*J21</f>
        <v>3.0827099999999996E-2</v>
      </c>
      <c r="M21" s="155"/>
      <c r="N21" s="148">
        <f>SUM(F21/1000)*$D$10</f>
        <v>211</v>
      </c>
      <c r="O21" s="144" t="s">
        <v>58</v>
      </c>
      <c r="P21" s="147">
        <f>SUM(N21*J21)</f>
        <v>3082.71</v>
      </c>
      <c r="Q21" s="184"/>
    </row>
    <row r="22" spans="1:17" ht="24.95" customHeight="1" x14ac:dyDescent="0.25">
      <c r="A22" s="25">
        <f>'Cotação Materia Prima'!A20</f>
        <v>10</v>
      </c>
      <c r="B22" s="55" t="s">
        <v>44</v>
      </c>
      <c r="C22" s="55"/>
      <c r="D22" s="55"/>
      <c r="E22" s="55"/>
      <c r="F22" s="11">
        <v>1.2E-2</v>
      </c>
      <c r="G22" s="144" t="s">
        <v>52</v>
      </c>
      <c r="H22" s="145">
        <f t="shared" si="0"/>
        <v>0</v>
      </c>
      <c r="I22" s="144" t="s">
        <v>61</v>
      </c>
      <c r="J22" s="146">
        <f>'Cotação Materia Prima'!S18</f>
        <v>0</v>
      </c>
      <c r="K22" s="144" t="s">
        <v>61</v>
      </c>
      <c r="L22" s="155">
        <f>SUM(F22/1000)*J22</f>
        <v>0</v>
      </c>
      <c r="M22" s="155"/>
      <c r="N22" s="148">
        <f>SUM(F22/1000)*$D$10</f>
        <v>1.2</v>
      </c>
      <c r="O22" s="144" t="s">
        <v>68</v>
      </c>
      <c r="P22" s="147">
        <f t="shared" si="2"/>
        <v>0</v>
      </c>
      <c r="Q22" s="184"/>
    </row>
    <row r="23" spans="1:17" ht="24.95" customHeight="1" x14ac:dyDescent="0.25">
      <c r="A23" s="25">
        <f>'Cotação Materia Prima'!A21</f>
        <v>11</v>
      </c>
      <c r="B23" s="55" t="s">
        <v>45</v>
      </c>
      <c r="C23" s="55"/>
      <c r="D23" s="55"/>
      <c r="E23" s="55"/>
      <c r="F23" s="11">
        <v>1.4999999999999999E-2</v>
      </c>
      <c r="G23" s="144" t="s">
        <v>52</v>
      </c>
      <c r="H23" s="145">
        <f t="shared" si="0"/>
        <v>0</v>
      </c>
      <c r="I23" s="144" t="s">
        <v>61</v>
      </c>
      <c r="J23" s="146">
        <f>'Cotação Materia Prima'!S19</f>
        <v>0</v>
      </c>
      <c r="K23" s="144" t="s">
        <v>61</v>
      </c>
      <c r="L23" s="155">
        <f>SUM(F23/1000)*J23</f>
        <v>0</v>
      </c>
      <c r="M23" s="155"/>
      <c r="N23" s="148">
        <f>SUM(F23/1000)*$D$10</f>
        <v>1.4999999999999998</v>
      </c>
      <c r="O23" s="144" t="s">
        <v>68</v>
      </c>
      <c r="P23" s="147">
        <f t="shared" si="2"/>
        <v>0</v>
      </c>
      <c r="Q23" s="184"/>
    </row>
    <row r="24" spans="1:17" ht="24.95" customHeight="1" x14ac:dyDescent="0.25">
      <c r="A24" s="25">
        <f>'Cotação Materia Prima'!A22</f>
        <v>12</v>
      </c>
      <c r="B24" s="55" t="s">
        <v>46</v>
      </c>
      <c r="C24" s="55"/>
      <c r="D24" s="55"/>
      <c r="E24" s="55"/>
      <c r="F24" s="11">
        <v>0.13</v>
      </c>
      <c r="G24" s="144" t="s">
        <v>51</v>
      </c>
      <c r="H24" s="145">
        <f t="shared" si="0"/>
        <v>3.0833333333333335</v>
      </c>
      <c r="I24" s="144" t="s">
        <v>58</v>
      </c>
      <c r="J24" s="146">
        <f>'Cotação Materia Prima'!S20</f>
        <v>18.5</v>
      </c>
      <c r="K24" s="144" t="s">
        <v>58</v>
      </c>
      <c r="L24" s="155">
        <f>SUM(F24/1000)*J24</f>
        <v>2.4050000000000005E-3</v>
      </c>
      <c r="M24" s="155"/>
      <c r="N24" s="148">
        <f>SUM(F24/1000)*$D$10</f>
        <v>13.000000000000002</v>
      </c>
      <c r="O24" s="144" t="s">
        <v>58</v>
      </c>
      <c r="P24" s="147">
        <f t="shared" si="2"/>
        <v>240.50000000000003</v>
      </c>
      <c r="Q24" s="184"/>
    </row>
    <row r="25" spans="1:17" ht="24.95" customHeight="1" x14ac:dyDescent="0.25">
      <c r="A25" s="25">
        <f>'Cotação Materia Prima'!A23</f>
        <v>13</v>
      </c>
      <c r="B25" s="55" t="s">
        <v>120</v>
      </c>
      <c r="C25" s="55"/>
      <c r="D25" s="55"/>
      <c r="E25" s="55"/>
      <c r="F25" s="11" t="s">
        <v>65</v>
      </c>
      <c r="G25" s="150" t="s">
        <v>65</v>
      </c>
      <c r="H25" s="145">
        <f t="shared" si="0"/>
        <v>5.3333333333333337E-2</v>
      </c>
      <c r="I25" s="150" t="s">
        <v>65</v>
      </c>
      <c r="J25" s="146">
        <f>'Cotação Materia Prima'!S27</f>
        <v>0.32</v>
      </c>
      <c r="K25" s="144">
        <v>1</v>
      </c>
      <c r="L25" s="155">
        <f>SUM(J25/C42)</f>
        <v>4.5714285714285714E-2</v>
      </c>
      <c r="M25" s="155"/>
      <c r="N25" s="148">
        <f>$D$10/C42</f>
        <v>14285.714285714286</v>
      </c>
      <c r="O25" s="150" t="s">
        <v>54</v>
      </c>
      <c r="P25" s="147">
        <f>SUM(N25*J25)</f>
        <v>4571.4285714285716</v>
      </c>
      <c r="Q25" s="184"/>
    </row>
    <row r="26" spans="1:17" ht="24.95" customHeight="1" x14ac:dyDescent="0.25">
      <c r="A26" s="25">
        <f>'Cotação Materia Prima'!A24</f>
        <v>14</v>
      </c>
      <c r="B26" s="55" t="s">
        <v>119</v>
      </c>
      <c r="C26" s="55"/>
      <c r="D26" s="55"/>
      <c r="E26" s="55"/>
      <c r="F26" s="11" t="s">
        <v>65</v>
      </c>
      <c r="G26" s="150" t="s">
        <v>65</v>
      </c>
      <c r="H26" s="145">
        <f t="shared" si="0"/>
        <v>5.3333333333333337E-2</v>
      </c>
      <c r="I26" s="150" t="s">
        <v>65</v>
      </c>
      <c r="J26" s="146">
        <f>'Cotação Materia Prima'!S28</f>
        <v>0.32</v>
      </c>
      <c r="K26" s="144">
        <v>1</v>
      </c>
      <c r="L26" s="155">
        <f>SUM(J26/C43)</f>
        <v>3.8095238095238095E-3</v>
      </c>
      <c r="M26" s="155"/>
      <c r="N26" s="148">
        <f>$D$10/C43</f>
        <v>1190.4761904761904</v>
      </c>
      <c r="O26" s="150" t="s">
        <v>54</v>
      </c>
      <c r="P26" s="147">
        <f>SUM(N26*J26)</f>
        <v>380.95238095238091</v>
      </c>
      <c r="Q26" s="184"/>
    </row>
    <row r="27" spans="1:17" ht="24.95" customHeight="1" x14ac:dyDescent="0.25">
      <c r="A27" s="25">
        <f>'Cotação Materia Prima'!A25</f>
        <v>15</v>
      </c>
      <c r="B27" s="55"/>
      <c r="C27" s="55"/>
      <c r="D27" s="55"/>
      <c r="E27" s="55"/>
      <c r="F27" s="11"/>
      <c r="G27" s="150"/>
      <c r="H27" s="145"/>
      <c r="I27" s="150"/>
      <c r="J27" s="146"/>
      <c r="K27" s="144"/>
      <c r="L27" s="155"/>
      <c r="M27" s="155"/>
      <c r="N27" s="151"/>
      <c r="O27" s="150"/>
      <c r="P27" s="147"/>
      <c r="Q27" s="184"/>
    </row>
    <row r="28" spans="1:17" ht="24.95" customHeight="1" x14ac:dyDescent="0.25">
      <c r="A28" s="25">
        <f>'Cotação Materia Prima'!A26</f>
        <v>16</v>
      </c>
      <c r="B28" s="55"/>
      <c r="C28" s="55"/>
      <c r="D28" s="55"/>
      <c r="E28" s="55"/>
      <c r="F28" s="11"/>
      <c r="G28" s="150"/>
      <c r="H28" s="145"/>
      <c r="I28" s="150"/>
      <c r="J28" s="146"/>
      <c r="K28" s="144"/>
      <c r="L28" s="155"/>
      <c r="M28" s="155"/>
      <c r="N28" s="151"/>
      <c r="O28" s="150"/>
      <c r="P28" s="147"/>
      <c r="Q28" s="184"/>
    </row>
    <row r="29" spans="1:17" ht="24.95" customHeight="1" x14ac:dyDescent="0.25">
      <c r="A29" s="25">
        <f>'Cotação Materia Prima'!A27</f>
        <v>17</v>
      </c>
      <c r="B29" s="55"/>
      <c r="C29" s="55"/>
      <c r="D29" s="55"/>
      <c r="E29" s="55"/>
      <c r="F29" s="11"/>
      <c r="G29" s="150"/>
      <c r="H29" s="145"/>
      <c r="I29" s="150"/>
      <c r="J29" s="146"/>
      <c r="K29" s="144"/>
      <c r="L29" s="155"/>
      <c r="M29" s="155"/>
      <c r="N29" s="151"/>
      <c r="O29" s="150"/>
      <c r="P29" s="147"/>
      <c r="Q29" s="184"/>
    </row>
    <row r="30" spans="1:17" ht="24.95" customHeight="1" x14ac:dyDescent="0.25">
      <c r="A30" s="25">
        <f>'Cotação Materia Prima'!A28</f>
        <v>18</v>
      </c>
      <c r="B30" s="55"/>
      <c r="C30" s="55"/>
      <c r="D30" s="55"/>
      <c r="E30" s="55"/>
      <c r="F30" s="11"/>
      <c r="G30" s="150"/>
      <c r="H30" s="145"/>
      <c r="I30" s="150"/>
      <c r="J30" s="146"/>
      <c r="K30" s="144"/>
      <c r="L30" s="155"/>
      <c r="M30" s="155"/>
      <c r="N30" s="151"/>
      <c r="O30" s="150"/>
      <c r="P30" s="147"/>
      <c r="Q30" s="184"/>
    </row>
    <row r="31" spans="1:17" ht="24.95" customHeight="1" x14ac:dyDescent="0.25">
      <c r="A31" s="25">
        <f>'Cotação Materia Prima'!A29</f>
        <v>19</v>
      </c>
      <c r="B31" s="55"/>
      <c r="C31" s="55"/>
      <c r="D31" s="55"/>
      <c r="E31" s="55"/>
      <c r="F31" s="11"/>
      <c r="G31" s="150"/>
      <c r="H31" s="145"/>
      <c r="I31" s="150"/>
      <c r="J31" s="146"/>
      <c r="K31" s="144"/>
      <c r="L31" s="155"/>
      <c r="M31" s="155"/>
      <c r="N31" s="151"/>
      <c r="O31" s="150"/>
      <c r="P31" s="147"/>
      <c r="Q31" s="184"/>
    </row>
    <row r="32" spans="1:17" ht="24.95" customHeight="1" x14ac:dyDescent="0.25">
      <c r="A32" s="25">
        <f>'Cotação Materia Prima'!A30</f>
        <v>20</v>
      </c>
      <c r="B32" s="55"/>
      <c r="C32" s="55"/>
      <c r="D32" s="55"/>
      <c r="E32" s="55"/>
      <c r="F32" s="11"/>
      <c r="G32" s="150"/>
      <c r="H32" s="145"/>
      <c r="I32" s="150"/>
      <c r="J32" s="146"/>
      <c r="K32" s="144"/>
      <c r="L32" s="155"/>
      <c r="M32" s="155"/>
      <c r="N32" s="11"/>
      <c r="O32" s="150"/>
      <c r="P32" s="147"/>
      <c r="Q32" s="184"/>
    </row>
    <row r="33" spans="1:18" ht="24.95" customHeight="1" x14ac:dyDescent="0.25">
      <c r="A33" s="25">
        <f>'Cotação Materia Prima'!A31</f>
        <v>21</v>
      </c>
      <c r="B33" s="55"/>
      <c r="C33" s="55"/>
      <c r="D33" s="55"/>
      <c r="E33" s="55"/>
      <c r="F33" s="11"/>
      <c r="G33" s="150"/>
      <c r="H33" s="145"/>
      <c r="I33" s="150"/>
      <c r="J33" s="146"/>
      <c r="K33" s="11"/>
      <c r="L33" s="155"/>
      <c r="M33" s="155"/>
      <c r="N33" s="11"/>
      <c r="O33" s="150"/>
      <c r="P33" s="147"/>
      <c r="Q33" s="184"/>
    </row>
    <row r="34" spans="1:18" ht="24.95" customHeight="1" x14ac:dyDescent="0.25">
      <c r="A34" s="25">
        <f>'Cotação Materia Prima'!A32</f>
        <v>22</v>
      </c>
      <c r="B34" s="55"/>
      <c r="C34" s="55"/>
      <c r="D34" s="55"/>
      <c r="E34" s="55"/>
      <c r="F34" s="11"/>
      <c r="G34" s="150"/>
      <c r="H34" s="145"/>
      <c r="I34" s="150"/>
      <c r="J34" s="146"/>
      <c r="K34" s="11"/>
      <c r="L34" s="155"/>
      <c r="M34" s="155"/>
      <c r="N34" s="11"/>
      <c r="O34" s="150"/>
      <c r="P34" s="147"/>
      <c r="Q34" s="184"/>
    </row>
    <row r="35" spans="1:18" ht="24.95" customHeight="1" x14ac:dyDescent="0.25">
      <c r="A35" s="25">
        <f>'Cotação Materia Prima'!A33</f>
        <v>23</v>
      </c>
      <c r="B35" s="55"/>
      <c r="C35" s="55"/>
      <c r="D35" s="55"/>
      <c r="E35" s="55"/>
      <c r="F35" s="11"/>
      <c r="G35" s="150"/>
      <c r="H35" s="145"/>
      <c r="I35" s="150"/>
      <c r="J35" s="146"/>
      <c r="K35" s="11"/>
      <c r="L35" s="155"/>
      <c r="M35" s="155"/>
      <c r="N35" s="11"/>
      <c r="O35" s="150"/>
      <c r="P35" s="147"/>
      <c r="Q35" s="184"/>
    </row>
    <row r="36" spans="1:18" ht="24.95" customHeight="1" x14ac:dyDescent="0.25">
      <c r="A36" s="25">
        <f>'Cotação Materia Prima'!A34</f>
        <v>24</v>
      </c>
      <c r="B36" s="55"/>
      <c r="C36" s="55"/>
      <c r="D36" s="55"/>
      <c r="E36" s="55"/>
      <c r="F36" s="11"/>
      <c r="G36" s="150"/>
      <c r="H36" s="145"/>
      <c r="I36" s="150"/>
      <c r="J36" s="146"/>
      <c r="K36" s="11"/>
      <c r="L36" s="155"/>
      <c r="M36" s="155"/>
      <c r="N36" s="11"/>
      <c r="O36" s="150"/>
      <c r="P36" s="147"/>
      <c r="Q36" s="184"/>
    </row>
    <row r="37" spans="1:18" ht="24.95" customHeight="1" x14ac:dyDescent="0.25">
      <c r="A37" s="25">
        <f>'Cotação Materia Prima'!A35</f>
        <v>25</v>
      </c>
      <c r="B37" s="55"/>
      <c r="C37" s="55"/>
      <c r="D37" s="55"/>
      <c r="E37" s="55"/>
      <c r="F37" s="11"/>
      <c r="G37" s="150"/>
      <c r="H37" s="145"/>
      <c r="I37" s="150"/>
      <c r="J37" s="146"/>
      <c r="K37" s="11"/>
      <c r="L37" s="155"/>
      <c r="M37" s="155"/>
      <c r="N37" s="11"/>
      <c r="O37" s="150"/>
      <c r="P37" s="147"/>
      <c r="Q37" s="184"/>
    </row>
    <row r="38" spans="1:18" x14ac:dyDescent="0.25">
      <c r="A38" s="46" t="s">
        <v>157</v>
      </c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147">
        <f>SUM(P13:Q37)</f>
        <v>84956.294952380951</v>
      </c>
      <c r="Q38" s="184"/>
    </row>
    <row r="39" spans="1:18" x14ac:dyDescent="0.25">
      <c r="A39" s="46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147"/>
      <c r="Q39" s="184"/>
    </row>
    <row r="40" spans="1:18" x14ac:dyDescent="0.25">
      <c r="A40" s="56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8"/>
    </row>
    <row r="41" spans="1:18" ht="21" x14ac:dyDescent="0.35">
      <c r="A41" s="185" t="s">
        <v>116</v>
      </c>
      <c r="B41" s="152"/>
      <c r="C41" s="152"/>
      <c r="D41" s="152"/>
      <c r="E41" s="152"/>
      <c r="F41" s="152"/>
      <c r="G41" s="152"/>
      <c r="H41" s="152"/>
      <c r="I41" s="152" t="s">
        <v>17</v>
      </c>
      <c r="J41" s="152"/>
      <c r="K41" s="152"/>
      <c r="L41" s="152"/>
      <c r="M41" s="152"/>
      <c r="N41" s="152"/>
      <c r="O41" s="152"/>
      <c r="P41" s="152"/>
      <c r="Q41" s="186"/>
      <c r="R41" t="s">
        <v>133</v>
      </c>
    </row>
    <row r="42" spans="1:18" ht="24.95" customHeight="1" x14ac:dyDescent="0.25">
      <c r="A42" s="46" t="s">
        <v>117</v>
      </c>
      <c r="B42" s="47"/>
      <c r="C42" s="153">
        <v>7</v>
      </c>
      <c r="D42" s="11" t="s">
        <v>54</v>
      </c>
      <c r="E42" s="118"/>
      <c r="F42" s="119"/>
      <c r="G42" s="119"/>
      <c r="H42" s="41"/>
      <c r="I42" s="47" t="s">
        <v>152</v>
      </c>
      <c r="J42" s="47"/>
      <c r="K42" s="47"/>
      <c r="L42" s="47"/>
      <c r="M42" s="47"/>
      <c r="N42" s="47"/>
      <c r="O42" s="47"/>
      <c r="P42" s="155">
        <f>SUM('Custo de investimento'!N39:O39)/O10</f>
        <v>2.855424930555556E-2</v>
      </c>
      <c r="Q42" s="187"/>
      <c r="R42" s="3">
        <f>SUM(P42:Q45,L13:M38)</f>
        <v>1.1444269425330686</v>
      </c>
    </row>
    <row r="43" spans="1:18" ht="24.95" customHeight="1" x14ac:dyDescent="0.25">
      <c r="A43" s="46" t="s">
        <v>118</v>
      </c>
      <c r="B43" s="47"/>
      <c r="C43" s="153">
        <v>84</v>
      </c>
      <c r="D43" s="11" t="s">
        <v>54</v>
      </c>
      <c r="E43" s="123"/>
      <c r="F43" s="122"/>
      <c r="G43" s="122"/>
      <c r="H43" s="159"/>
      <c r="I43" s="47" t="s">
        <v>151</v>
      </c>
      <c r="J43" s="47"/>
      <c r="K43" s="47"/>
      <c r="L43" s="47"/>
      <c r="M43" s="47"/>
      <c r="N43" s="47"/>
      <c r="O43" s="47"/>
      <c r="P43" s="155">
        <f>SUM('Custos Fixos'!N35:O35)/((($A$10+'Fralda M - FM-003-M'!$A$10+'Fralda G - FM-002-G'!$A$10)))</f>
        <v>0.10841583333333332</v>
      </c>
      <c r="Q43" s="187"/>
      <c r="R43" s="4"/>
    </row>
    <row r="44" spans="1:18" ht="24.95" customHeight="1" x14ac:dyDescent="0.25">
      <c r="A44" s="119"/>
      <c r="B44" s="119"/>
      <c r="C44" s="119"/>
      <c r="D44" s="41"/>
      <c r="E44" s="123"/>
      <c r="F44" s="122"/>
      <c r="G44" s="122"/>
      <c r="H44" s="159"/>
      <c r="I44" s="47" t="s">
        <v>18</v>
      </c>
      <c r="J44" s="47"/>
      <c r="K44" s="47"/>
      <c r="L44" s="47"/>
      <c r="M44" s="47"/>
      <c r="N44" s="47"/>
      <c r="O44" s="47"/>
      <c r="P44" s="155">
        <f>SUM('Custos Mao de obra'!N35)/((($A$10+'Fralda M - FM-003-M'!$A$10+'Fralda G - FM-002-G'!$A$10)))</f>
        <v>0.14469391037037035</v>
      </c>
      <c r="Q44" s="187"/>
    </row>
    <row r="45" spans="1:18" ht="24.95" customHeight="1" x14ac:dyDescent="0.25">
      <c r="A45" s="122"/>
      <c r="B45" s="122"/>
      <c r="C45" s="122"/>
      <c r="D45" s="159"/>
      <c r="E45" s="123"/>
      <c r="F45" s="122"/>
      <c r="G45" s="122"/>
      <c r="H45" s="159"/>
      <c r="I45" s="47" t="s">
        <v>19</v>
      </c>
      <c r="J45" s="47"/>
      <c r="K45" s="47"/>
      <c r="L45" s="47"/>
      <c r="M45" s="47"/>
      <c r="N45" s="47"/>
      <c r="O45" s="47"/>
      <c r="P45" s="155">
        <f>SUM('Outros Custos'!N37:O37)/((($A$10+'Fralda M - FM-003-M'!$A$10+'Fralda G - FM-002-G'!$A$10)))</f>
        <v>1.32E-2</v>
      </c>
      <c r="Q45" s="187"/>
    </row>
    <row r="46" spans="1:18" ht="24.95" customHeight="1" x14ac:dyDescent="0.25">
      <c r="A46" s="161"/>
      <c r="B46" s="161"/>
      <c r="C46" s="161"/>
      <c r="D46" s="162"/>
      <c r="E46" s="160"/>
      <c r="F46" s="161"/>
      <c r="G46" s="161"/>
      <c r="H46" s="162"/>
      <c r="I46" s="55"/>
      <c r="J46" s="55"/>
      <c r="K46" s="55"/>
      <c r="L46" s="55"/>
      <c r="M46" s="55"/>
      <c r="N46" s="55"/>
      <c r="O46" s="55"/>
      <c r="P46" s="155"/>
      <c r="Q46" s="35"/>
    </row>
    <row r="47" spans="1:18" ht="24.95" customHeight="1" x14ac:dyDescent="0.25">
      <c r="A47" s="46" t="s">
        <v>167</v>
      </c>
      <c r="B47" s="47"/>
      <c r="C47" s="47"/>
      <c r="D47" s="47"/>
      <c r="E47" s="47"/>
      <c r="F47" s="47"/>
      <c r="G47" s="155">
        <f>SUM(P38)*O48</f>
        <v>2123.907373809524</v>
      </c>
      <c r="H47" s="155"/>
      <c r="I47" s="55"/>
      <c r="J47" s="55"/>
      <c r="K47" s="55"/>
      <c r="L47" s="55"/>
      <c r="M47" s="55"/>
      <c r="N47" s="55"/>
      <c r="O47" s="55"/>
      <c r="P47" s="155"/>
      <c r="Q47" s="187"/>
    </row>
    <row r="48" spans="1:18" ht="24.95" customHeight="1" x14ac:dyDescent="0.25">
      <c r="A48" s="46" t="s">
        <v>168</v>
      </c>
      <c r="B48" s="47"/>
      <c r="C48" s="47"/>
      <c r="D48" s="47"/>
      <c r="E48" s="47"/>
      <c r="F48" s="47"/>
      <c r="G48" s="155">
        <f>SUM(P48*D10)</f>
        <v>2861.0673563326718</v>
      </c>
      <c r="H48" s="155"/>
      <c r="I48" s="47" t="s">
        <v>115</v>
      </c>
      <c r="J48" s="47"/>
      <c r="K48" s="47"/>
      <c r="L48" s="47"/>
      <c r="M48" s="47"/>
      <c r="N48" s="47"/>
      <c r="O48" s="156">
        <v>2.5000000000000001E-2</v>
      </c>
      <c r="P48" s="155">
        <f>SUM(R42)*O48</f>
        <v>2.8610673563326718E-2</v>
      </c>
      <c r="Q48" s="187"/>
    </row>
    <row r="49" spans="1:17" ht="15" customHeight="1" x14ac:dyDescent="0.25">
      <c r="A49" s="188" t="s">
        <v>108</v>
      </c>
      <c r="B49" s="157"/>
      <c r="C49" s="157"/>
      <c r="D49" s="157"/>
      <c r="E49" s="157"/>
      <c r="F49" s="157"/>
      <c r="G49" s="157"/>
      <c r="H49" s="157"/>
      <c r="I49" s="157"/>
      <c r="J49" s="157"/>
      <c r="K49" s="157"/>
      <c r="L49" s="157"/>
      <c r="M49" s="157"/>
      <c r="N49" s="157"/>
      <c r="O49" s="157"/>
      <c r="P49" s="155">
        <f>SUM(P42:Q48,L13:M38)</f>
        <v>1.1730376160963953</v>
      </c>
      <c r="Q49" s="187"/>
    </row>
    <row r="50" spans="1:17" ht="15" customHeight="1" x14ac:dyDescent="0.25">
      <c r="A50" s="189"/>
      <c r="B50" s="190"/>
      <c r="C50" s="190"/>
      <c r="D50" s="190"/>
      <c r="E50" s="190"/>
      <c r="F50" s="190"/>
      <c r="G50" s="190"/>
      <c r="H50" s="190"/>
      <c r="I50" s="190"/>
      <c r="J50" s="190"/>
      <c r="K50" s="190"/>
      <c r="L50" s="190"/>
      <c r="M50" s="190"/>
      <c r="N50" s="190"/>
      <c r="O50" s="190"/>
      <c r="P50" s="191"/>
      <c r="Q50" s="192"/>
    </row>
  </sheetData>
  <mergeCells count="142">
    <mergeCell ref="C6:C7"/>
    <mergeCell ref="G5:Q5"/>
    <mergeCell ref="G6:G7"/>
    <mergeCell ref="K6:K7"/>
    <mergeCell ref="K9:K10"/>
    <mergeCell ref="D9:G9"/>
    <mergeCell ref="C9:C10"/>
    <mergeCell ref="E42:H46"/>
    <mergeCell ref="A44:D46"/>
    <mergeCell ref="P46:Q46"/>
    <mergeCell ref="A49:O50"/>
    <mergeCell ref="P49:Q50"/>
    <mergeCell ref="P47:Q47"/>
    <mergeCell ref="P48:Q48"/>
    <mergeCell ref="I48:N48"/>
    <mergeCell ref="I46:O46"/>
    <mergeCell ref="I47:O47"/>
    <mergeCell ref="A47:F47"/>
    <mergeCell ref="G47:H47"/>
    <mergeCell ref="A48:F48"/>
    <mergeCell ref="G48:H48"/>
    <mergeCell ref="B21:E21"/>
    <mergeCell ref="L21:M21"/>
    <mergeCell ref="P21:Q21"/>
    <mergeCell ref="B22:E22"/>
    <mergeCell ref="L22:M22"/>
    <mergeCell ref="P43:Q43"/>
    <mergeCell ref="P44:Q44"/>
    <mergeCell ref="P45:Q45"/>
    <mergeCell ref="I43:O43"/>
    <mergeCell ref="I44:O44"/>
    <mergeCell ref="I45:O45"/>
    <mergeCell ref="A43:B43"/>
    <mergeCell ref="P42:Q42"/>
    <mergeCell ref="I42:O42"/>
    <mergeCell ref="I41:Q41"/>
    <mergeCell ref="A41:H41"/>
    <mergeCell ref="A42:B42"/>
    <mergeCell ref="B35:E35"/>
    <mergeCell ref="L35:M35"/>
    <mergeCell ref="P35:Q35"/>
    <mergeCell ref="B37:E37"/>
    <mergeCell ref="L37:M37"/>
    <mergeCell ref="P37:Q37"/>
    <mergeCell ref="P22:Q22"/>
    <mergeCell ref="P33:Q33"/>
    <mergeCell ref="P11:Q12"/>
    <mergeCell ref="A6:B6"/>
    <mergeCell ref="D6:F6"/>
    <mergeCell ref="H6:J6"/>
    <mergeCell ref="L6:N6"/>
    <mergeCell ref="O6:Q6"/>
    <mergeCell ref="A7:B7"/>
    <mergeCell ref="D7:F7"/>
    <mergeCell ref="H7:J7"/>
    <mergeCell ref="L7:N7"/>
    <mergeCell ref="O7:Q7"/>
    <mergeCell ref="A8:Q8"/>
    <mergeCell ref="A9:B9"/>
    <mergeCell ref="B25:E25"/>
    <mergeCell ref="L25:M25"/>
    <mergeCell ref="P25:Q25"/>
    <mergeCell ref="P27:Q27"/>
    <mergeCell ref="P28:Q28"/>
    <mergeCell ref="P29:Q29"/>
    <mergeCell ref="B15:E15"/>
    <mergeCell ref="L15:M15"/>
    <mergeCell ref="A1:F5"/>
    <mergeCell ref="G1:Q3"/>
    <mergeCell ref="H4:K4"/>
    <mergeCell ref="L4:M4"/>
    <mergeCell ref="O4:P4"/>
    <mergeCell ref="B13:E13"/>
    <mergeCell ref="L13:M13"/>
    <mergeCell ref="P13:Q13"/>
    <mergeCell ref="B14:E14"/>
    <mergeCell ref="L14:M14"/>
    <mergeCell ref="P14:Q14"/>
    <mergeCell ref="H9:J9"/>
    <mergeCell ref="L9:N9"/>
    <mergeCell ref="O9:Q9"/>
    <mergeCell ref="D10:E10"/>
    <mergeCell ref="H10:I10"/>
    <mergeCell ref="L10:N10"/>
    <mergeCell ref="O10:P10"/>
    <mergeCell ref="B11:E12"/>
    <mergeCell ref="F11:G12"/>
    <mergeCell ref="H11:I12"/>
    <mergeCell ref="J11:K12"/>
    <mergeCell ref="L11:M12"/>
    <mergeCell ref="N11:O12"/>
    <mergeCell ref="P15:Q15"/>
    <mergeCell ref="B16:E16"/>
    <mergeCell ref="L16:M16"/>
    <mergeCell ref="P16:Q16"/>
    <mergeCell ref="B19:E19"/>
    <mergeCell ref="L19:M19"/>
    <mergeCell ref="P19:Q19"/>
    <mergeCell ref="B20:E20"/>
    <mergeCell ref="L20:M20"/>
    <mergeCell ref="P20:Q20"/>
    <mergeCell ref="B17:E17"/>
    <mergeCell ref="L17:M17"/>
    <mergeCell ref="P17:Q17"/>
    <mergeCell ref="B18:E18"/>
    <mergeCell ref="L18:M18"/>
    <mergeCell ref="P18:Q18"/>
    <mergeCell ref="B23:E23"/>
    <mergeCell ref="L23:M23"/>
    <mergeCell ref="P23:Q23"/>
    <mergeCell ref="B24:E24"/>
    <mergeCell ref="L24:M24"/>
    <mergeCell ref="P24:Q24"/>
    <mergeCell ref="P30:Q30"/>
    <mergeCell ref="P31:Q31"/>
    <mergeCell ref="B36:E36"/>
    <mergeCell ref="P36:Q36"/>
    <mergeCell ref="B26:E26"/>
    <mergeCell ref="L26:M26"/>
    <mergeCell ref="P26:Q26"/>
    <mergeCell ref="A40:Q40"/>
    <mergeCell ref="L36:M36"/>
    <mergeCell ref="B27:E27"/>
    <mergeCell ref="B28:E28"/>
    <mergeCell ref="B29:E29"/>
    <mergeCell ref="B30:E30"/>
    <mergeCell ref="B31:E31"/>
    <mergeCell ref="L27:M27"/>
    <mergeCell ref="L28:M28"/>
    <mergeCell ref="L29:M29"/>
    <mergeCell ref="L30:M30"/>
    <mergeCell ref="L31:M31"/>
    <mergeCell ref="B34:E34"/>
    <mergeCell ref="L34:M34"/>
    <mergeCell ref="P34:Q34"/>
    <mergeCell ref="B32:E32"/>
    <mergeCell ref="L32:M32"/>
    <mergeCell ref="P32:Q32"/>
    <mergeCell ref="B33:E33"/>
    <mergeCell ref="L33:M33"/>
    <mergeCell ref="A38:O39"/>
    <mergeCell ref="P38:Q39"/>
  </mergeCells>
  <phoneticPr fontId="11" type="noConversion"/>
  <pageMargins left="0.511811024" right="0.511811024" top="0.78740157499999996" bottom="0.78740157499999996" header="0.31496062000000002" footer="0.31496062000000002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Dashboard</vt:lpstr>
      <vt:lpstr>Custo de investimento</vt:lpstr>
      <vt:lpstr>Custos Fixos</vt:lpstr>
      <vt:lpstr>Custos Mao de obra</vt:lpstr>
      <vt:lpstr>Outros Custos</vt:lpstr>
      <vt:lpstr>Cotação Materia Prima</vt:lpstr>
      <vt:lpstr>Fralda M - FM-003-M</vt:lpstr>
      <vt:lpstr>Fralda G - FM-002-G</vt:lpstr>
      <vt:lpstr>Fralda EG - FM-001-EG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2025-04-02T05:07:17Z</cp:lastPrinted>
  <dcterms:created xsi:type="dcterms:W3CDTF">2025-03-25T20:42:37Z</dcterms:created>
  <dcterms:modified xsi:type="dcterms:W3CDTF">2025-04-08T00:35:18Z</dcterms:modified>
</cp:coreProperties>
</file>