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mp" sheetId="1" r:id="rId1"/>
  </sheets>
  <definedNames>
    <definedName name="BoardQty">'amp'!$I$1</definedName>
    <definedName name="digikey_part_data">'amp'!$J$5:$O$34</definedName>
    <definedName name="global_part_data">'amp'!$A$5:$I$34</definedName>
    <definedName name="mouser_part_data">'amp'!$P$5:$U$34</definedName>
    <definedName name="newark_part_data">'amp'!$V$5:$AA$34</definedName>
    <definedName name="rs_part_data">'amp'!$AB$5:$AG$34</definedName>
    <definedName name="TotalCost">'amp'!$I$2</definedName>
  </definedName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6" authorId="0">
      <text>
        <r>
          <rPr>
            <sz val="8"/>
            <color indexed="81"/>
            <rFont val="Tahoma"/>
            <family val="2"/>
          </rPr>
          <t>Schematic identifier for each part.</t>
        </r>
      </text>
    </comment>
    <comment ref="B6" authorId="0">
      <text>
        <r>
          <rPr>
            <sz val="8"/>
            <color indexed="81"/>
            <rFont val="Tahoma"/>
            <family val="2"/>
          </rPr>
          <t>Value of each part.</t>
        </r>
      </text>
    </comment>
    <comment ref="C6" authorId="0">
      <text>
        <r>
          <rPr>
            <sz val="8"/>
            <color indexed="81"/>
            <rFont val="Tahoma"/>
            <family val="2"/>
          </rPr>
          <t>Description of each part.</t>
        </r>
      </text>
    </comment>
    <comment ref="D6" authorId="0">
      <text>
        <r>
          <rPr>
            <sz val="8"/>
            <color indexed="81"/>
            <rFont val="Tahoma"/>
            <family val="2"/>
          </rPr>
          <t>PCB footprint for each part.</t>
        </r>
      </text>
    </comment>
    <comment ref="E6" authorId="0">
      <text>
        <r>
          <rPr>
            <sz val="8"/>
            <color indexed="81"/>
            <rFont val="Tahoma"/>
            <family val="2"/>
          </rPr>
          <t>Manufacturer of each part.</t>
        </r>
      </text>
    </comment>
    <comment ref="F6" authorId="0">
      <text>
        <r>
          <rPr>
            <sz val="8"/>
            <color indexed="81"/>
            <rFont val="Tahoma"/>
            <family val="2"/>
          </rPr>
          <t>Manufacturer number for each part.</t>
        </r>
      </text>
    </comment>
    <comment ref="G6" authorId="0">
      <text>
        <r>
          <rPr>
            <sz val="8"/>
            <color indexed="81"/>
            <rFont val="Tahoma"/>
            <family val="2"/>
          </rPr>
          <t>Total number of each part needed to assemble the board.</t>
        </r>
      </text>
    </comment>
    <comment ref="H6" authorId="0">
      <text>
        <r>
          <rPr>
            <sz val="8"/>
            <color indexed="81"/>
            <rFont val="Tahoma"/>
            <family val="2"/>
          </rPr>
          <t>Minimum unit price for each part across all distributors.</t>
        </r>
      </text>
    </comment>
    <comment ref="I6" authorId="0">
      <text>
        <r>
          <rPr>
            <sz val="8"/>
            <color indexed="81"/>
            <rFont val="Tahoma"/>
            <family val="2"/>
          </rPr>
          <t>Minimum extended price for each part across all distributors.</t>
        </r>
      </text>
    </comment>
    <comment ref="J6" authorId="0">
      <text>
        <r>
          <rPr>
            <sz val="8"/>
            <color indexed="81"/>
            <rFont val="Tahoma"/>
            <family val="2"/>
          </rPr>
          <t>Available quantity of each part at the distributor.</t>
        </r>
      </text>
    </comment>
    <comment ref="K6" authorId="0">
      <text>
        <r>
          <rPr>
            <sz val="8"/>
            <color indexed="81"/>
            <rFont val="Tahoma"/>
            <family val="2"/>
          </rPr>
          <t>Purchase quantity of each part from this distributor.</t>
        </r>
      </text>
    </comment>
    <comment ref="L6" authorId="0">
      <text>
        <r>
          <rPr>
            <sz val="8"/>
            <color indexed="81"/>
            <rFont val="Tahoma"/>
            <family val="2"/>
          </rPr>
          <t>Unit price of each part from this distributor.</t>
        </r>
      </text>
    </comment>
    <comment ref="M6" authorId="0">
      <text>
        <r>
          <rPr>
            <sz val="8"/>
            <color indexed="81"/>
            <rFont val="Tahoma"/>
            <family val="2"/>
          </rPr>
          <t>(Unit Price) x (Purchase Qty) of each part from this distributor.</t>
        </r>
      </text>
    </comment>
    <comment ref="N6" authorId="0">
      <text>
        <r>
          <rPr>
            <sz val="8"/>
            <color indexed="81"/>
            <rFont val="Tahoma"/>
            <family val="2"/>
          </rPr>
          <t>Distributor-assigned part number for each part.</t>
        </r>
      </text>
    </comment>
    <comment ref="O6" authorId="0">
      <text>
        <r>
          <rPr>
            <sz val="8"/>
            <color indexed="81"/>
            <rFont val="Tahoma"/>
            <family val="2"/>
          </rPr>
          <t>Link to distributor webpage for each part.</t>
        </r>
      </text>
    </comment>
    <comment ref="P6" authorId="0">
      <text>
        <r>
          <rPr>
            <sz val="8"/>
            <color indexed="81"/>
            <rFont val="Tahoma"/>
            <family val="2"/>
          </rPr>
          <t>Available quantity of each part at the distributor.</t>
        </r>
      </text>
    </comment>
    <comment ref="Q6" authorId="0">
      <text>
        <r>
          <rPr>
            <sz val="8"/>
            <color indexed="81"/>
            <rFont val="Tahoma"/>
            <family val="2"/>
          </rPr>
          <t>Purchase quantity of each part from this distributor.</t>
        </r>
      </text>
    </comment>
    <comment ref="R6" authorId="0">
      <text>
        <r>
          <rPr>
            <sz val="8"/>
            <color indexed="81"/>
            <rFont val="Tahoma"/>
            <family val="2"/>
          </rPr>
          <t>Unit price of each part from this distributor.</t>
        </r>
      </text>
    </comment>
    <comment ref="S6" authorId="0">
      <text>
        <r>
          <rPr>
            <sz val="8"/>
            <color indexed="81"/>
            <rFont val="Tahoma"/>
            <family val="2"/>
          </rPr>
          <t>(Unit Price) x (Purchase Qty) of each part from this distributor.</t>
        </r>
      </text>
    </comment>
    <comment ref="T6" authorId="0">
      <text>
        <r>
          <rPr>
            <sz val="8"/>
            <color indexed="81"/>
            <rFont val="Tahoma"/>
            <family val="2"/>
          </rPr>
          <t>Distributor-assigned part number for each part.</t>
        </r>
      </text>
    </comment>
    <comment ref="U6" authorId="0">
      <text>
        <r>
          <rPr>
            <sz val="8"/>
            <color indexed="81"/>
            <rFont val="Tahoma"/>
            <family val="2"/>
          </rPr>
          <t>Link to distributor webpage for each part.</t>
        </r>
      </text>
    </comment>
    <comment ref="V6" authorId="0">
      <text>
        <r>
          <rPr>
            <sz val="8"/>
            <color indexed="81"/>
            <rFont val="Tahoma"/>
            <family val="2"/>
          </rPr>
          <t>Available quantity of each part at the distributor.</t>
        </r>
      </text>
    </comment>
    <comment ref="W6" authorId="0">
      <text>
        <r>
          <rPr>
            <sz val="8"/>
            <color indexed="81"/>
            <rFont val="Tahoma"/>
            <family val="2"/>
          </rPr>
          <t>Purchase quantity of each part from this distributor.</t>
        </r>
      </text>
    </comment>
    <comment ref="X6" authorId="0">
      <text>
        <r>
          <rPr>
            <sz val="8"/>
            <color indexed="81"/>
            <rFont val="Tahoma"/>
            <family val="2"/>
          </rPr>
          <t>Unit price of each part from this distributor.</t>
        </r>
      </text>
    </comment>
    <comment ref="Y6" authorId="0">
      <text>
        <r>
          <rPr>
            <sz val="8"/>
            <color indexed="81"/>
            <rFont val="Tahoma"/>
            <family val="2"/>
          </rPr>
          <t>(Unit Price) x (Purchase Qty) of each part from this distributor.</t>
        </r>
      </text>
    </comment>
    <comment ref="Z6" authorId="0">
      <text>
        <r>
          <rPr>
            <sz val="8"/>
            <color indexed="81"/>
            <rFont val="Tahoma"/>
            <family val="2"/>
          </rPr>
          <t>Distributor-assigned part number for each part.</t>
        </r>
      </text>
    </comment>
    <comment ref="AA6" authorId="0">
      <text>
        <r>
          <rPr>
            <sz val="8"/>
            <color indexed="81"/>
            <rFont val="Tahoma"/>
            <family val="2"/>
          </rPr>
          <t>Link to distributor webpage for each part.</t>
        </r>
      </text>
    </comment>
    <comment ref="AB6" authorId="0">
      <text>
        <r>
          <rPr>
            <sz val="8"/>
            <color indexed="81"/>
            <rFont val="Tahoma"/>
            <family val="2"/>
          </rPr>
          <t>Available quantity of each part at the distributor.</t>
        </r>
      </text>
    </comment>
    <comment ref="AC6" authorId="0">
      <text>
        <r>
          <rPr>
            <sz val="8"/>
            <color indexed="81"/>
            <rFont val="Tahoma"/>
            <family val="2"/>
          </rPr>
          <t>Purchase quantity of each part from this distributor.</t>
        </r>
      </text>
    </comment>
    <comment ref="AD6" authorId="0">
      <text>
        <r>
          <rPr>
            <sz val="8"/>
            <color indexed="81"/>
            <rFont val="Tahoma"/>
            <family val="2"/>
          </rPr>
          <t>Unit price of each part from this distributor.</t>
        </r>
      </text>
    </comment>
    <comment ref="AE6" authorId="0">
      <text>
        <r>
          <rPr>
            <sz val="8"/>
            <color indexed="81"/>
            <rFont val="Tahoma"/>
            <family val="2"/>
          </rPr>
          <t>(Unit Price) x (Purchase Qty) of each part from this distributor.</t>
        </r>
      </text>
    </comment>
    <comment ref="AF6" authorId="0">
      <text>
        <r>
          <rPr>
            <sz val="8"/>
            <color indexed="81"/>
            <rFont val="Tahoma"/>
            <family val="2"/>
          </rPr>
          <t>Distributor-assigned part number for each part.</t>
        </r>
      </text>
    </comment>
    <comment ref="AG6" authorId="0">
      <text>
        <r>
          <rPr>
            <sz val="8"/>
            <color indexed="81"/>
            <rFont val="Tahoma"/>
            <family val="2"/>
          </rPr>
          <t>Link to distributor webpage for each part.</t>
        </r>
      </text>
    </comment>
  </commentList>
</comments>
</file>

<file path=xl/sharedStrings.xml><?xml version="1.0" encoding="utf-8"?>
<sst xmlns="http://schemas.openxmlformats.org/spreadsheetml/2006/main" count="302" uniqueCount="181">
  <si>
    <t>Global Part Info</t>
  </si>
  <si>
    <t>Unit$</t>
  </si>
  <si>
    <t>Value</t>
  </si>
  <si>
    <t>Qty</t>
  </si>
  <si>
    <t>Ext$</t>
  </si>
  <si>
    <t>Manf</t>
  </si>
  <si>
    <t>Desc</t>
  </si>
  <si>
    <t>Manf#</t>
  </si>
  <si>
    <t>Refs</t>
  </si>
  <si>
    <t>Footprint</t>
  </si>
  <si>
    <t>novalue6</t>
  </si>
  <si>
    <t>wire2con</t>
  </si>
  <si>
    <t>3-640440-2</t>
  </si>
  <si>
    <t>R4,R11</t>
  </si>
  <si>
    <t>68K</t>
  </si>
  <si>
    <t>MCMF0W4FF6802A50</t>
  </si>
  <si>
    <t>scimpy_library:R_Axial_DIN0204_L3.6mm_D1.6mm_P5.08mm_Horizontal</t>
  </si>
  <si>
    <t>R16</t>
  </si>
  <si>
    <t>47K</t>
  </si>
  <si>
    <t>MCMF0W4FF4702A50</t>
  </si>
  <si>
    <t>SW1</t>
  </si>
  <si>
    <t>Standby</t>
  </si>
  <si>
    <t>640456-2</t>
  </si>
  <si>
    <t>Connectors_Molex:Molex_KK-6410-03_03x2.54mm_Straight</t>
  </si>
  <si>
    <t>novalue7</t>
  </si>
  <si>
    <t>Amp-Enclosure</t>
  </si>
  <si>
    <t>AC-404</t>
  </si>
  <si>
    <t>D1</t>
  </si>
  <si>
    <t>5.1V</t>
  </si>
  <si>
    <t>TZX5V1B-TAP</t>
  </si>
  <si>
    <t>Diodes_ThroughHole:Diode_DO-35_SOD27_Horizontal_RM10</t>
  </si>
  <si>
    <t>novalue8</t>
  </si>
  <si>
    <t>Amp-Enclosure-Cover</t>
  </si>
  <si>
    <t>BPA-1591</t>
  </si>
  <si>
    <t>novalue3</t>
  </si>
  <si>
    <t>Standby-switch</t>
  </si>
  <si>
    <t>SRJ23A3BBBNN</t>
  </si>
  <si>
    <t>Q1</t>
  </si>
  <si>
    <t>BC107</t>
  </si>
  <si>
    <t>TO_SOT_Packages_THT:TO-18-3</t>
  </si>
  <si>
    <t>U1,U2</t>
  </si>
  <si>
    <t>TDA7292</t>
  </si>
  <si>
    <t>tda7292</t>
  </si>
  <si>
    <t>TO_SOT_Packages_THT:Multiwatt-11_Vertical_StaggeredType1</t>
  </si>
  <si>
    <t>R6,R14</t>
  </si>
  <si>
    <t>1K5</t>
  </si>
  <si>
    <t>MCMF0W4FF1501A50</t>
  </si>
  <si>
    <t>RV1,RV2</t>
  </si>
  <si>
    <t>1K POT</t>
  </si>
  <si>
    <t>3306P-1-102</t>
  </si>
  <si>
    <t>Potentiometers:Potentiometer_Bourns_3339P_Angular_ScrewUp</t>
  </si>
  <si>
    <t>P3</t>
  </si>
  <si>
    <t>CONN_01X03</t>
  </si>
  <si>
    <t>1935174</t>
  </si>
  <si>
    <t>Terminal_Blocks:TerminalBlock_Pheonix_MKDS1.5-3pol</t>
  </si>
  <si>
    <t>P2</t>
  </si>
  <si>
    <t>CONN_01X07</t>
  </si>
  <si>
    <t>0022286070</t>
  </si>
  <si>
    <t>Pin_Headers:Pin_Header_Angled_1x07</t>
  </si>
  <si>
    <t>SW2</t>
  </si>
  <si>
    <t>Mute</t>
  </si>
  <si>
    <t>Connectors_Molex:Molex_KK-6410-02_02x2.54mm_Straight</t>
  </si>
  <si>
    <t>C1,C5,C9,C14</t>
  </si>
  <si>
    <t>1u-audio</t>
  </si>
  <si>
    <t>UKW1H010MDD1TD</t>
  </si>
  <si>
    <t>Capacitors_ThroughHole:C_Radial_D5_L11_P2</t>
  </si>
  <si>
    <t>novalue5</t>
  </si>
  <si>
    <t>R10,R15</t>
  </si>
  <si>
    <t>15K</t>
  </si>
  <si>
    <t>MCMF0W4FF1502A50</t>
  </si>
  <si>
    <t>C2,C4,C6,C8,C10,C12,C15,C17</t>
  </si>
  <si>
    <t>100n</t>
  </si>
  <si>
    <t>K104K15X7RF53L2</t>
  </si>
  <si>
    <t>Capacitors_ThroughHole:C_Disc_D3_P2.5</t>
  </si>
  <si>
    <t>R1,R7</t>
  </si>
  <si>
    <t>18K</t>
  </si>
  <si>
    <t>LR0204F10K</t>
  </si>
  <si>
    <t>R3,R9</t>
  </si>
  <si>
    <t>560R</t>
  </si>
  <si>
    <t>LR0204F560R</t>
  </si>
  <si>
    <t>P1,P4</t>
  </si>
  <si>
    <t>CONN_01X04</t>
  </si>
  <si>
    <t>1935187</t>
  </si>
  <si>
    <t>Terminal_Blocks:TerminalBlock_Pheonix_MKDS1.5-4pol</t>
  </si>
  <si>
    <t>novalue1,novalue2</t>
  </si>
  <si>
    <t>HEATSINK FOR TDA7292</t>
  </si>
  <si>
    <t>6400BG</t>
  </si>
  <si>
    <t>C3,C7,C11,C16</t>
  </si>
  <si>
    <t>1000u</t>
  </si>
  <si>
    <t>105CKR050M</t>
  </si>
  <si>
    <t>Capacitors_ThroughHole:C_Radial_D10_L20_P5</t>
  </si>
  <si>
    <t>R13</t>
  </si>
  <si>
    <t>10K</t>
  </si>
  <si>
    <t>R2,R5,R8,R12</t>
  </si>
  <si>
    <t>4.7R</t>
  </si>
  <si>
    <t>MCCFR0W4J047JA50</t>
  </si>
  <si>
    <t>novalue4</t>
  </si>
  <si>
    <t>Mute-switch</t>
  </si>
  <si>
    <t>R13-23B-05-BW</t>
  </si>
  <si>
    <t>C13</t>
  </si>
  <si>
    <t>1u</t>
  </si>
  <si>
    <t>105CKH050M</t>
  </si>
  <si>
    <t>Board Qty:</t>
  </si>
  <si>
    <t>Total Cost:</t>
  </si>
  <si>
    <t>Unit Cost:</t>
  </si>
  <si>
    <t>Digi-Key</t>
  </si>
  <si>
    <t>Doc</t>
  </si>
  <si>
    <t>Avail</t>
  </si>
  <si>
    <t>Cat#</t>
  </si>
  <si>
    <t>Purch</t>
  </si>
  <si>
    <t>Link</t>
  </si>
  <si>
    <t>A31080-ND</t>
  </si>
  <si>
    <t>A1921-ND</t>
  </si>
  <si>
    <t>TZX5V1B-TAP-ND</t>
  </si>
  <si>
    <t>377-1048-ND</t>
  </si>
  <si>
    <t>CH876-ND</t>
  </si>
  <si>
    <t>497-11952-5-ND</t>
  </si>
  <si>
    <t>3306P-102-ND</t>
  </si>
  <si>
    <t>277-1578-ND</t>
  </si>
  <si>
    <t>0022286070-ND</t>
  </si>
  <si>
    <t>493-10792-1-ND</t>
  </si>
  <si>
    <t>BC3324-ND</t>
  </si>
  <si>
    <t>LR0204F10K-ND</t>
  </si>
  <si>
    <t>LR0204F560R-ND</t>
  </si>
  <si>
    <t>277-1579-ND</t>
  </si>
  <si>
    <t>6400BG-ND</t>
  </si>
  <si>
    <t>1572-1269-ND</t>
  </si>
  <si>
    <t>1572-1268-ND</t>
  </si>
  <si>
    <t>Mouser</t>
  </si>
  <si>
    <t>571-3-640440-2</t>
  </si>
  <si>
    <t>571-6404562</t>
  </si>
  <si>
    <t>563-AC-404</t>
  </si>
  <si>
    <t>78-TZX5V1B-TAP</t>
  </si>
  <si>
    <t>563-BPA-1591</t>
  </si>
  <si>
    <t>540-SRJ23A3BBBNN</t>
  </si>
  <si>
    <t>610-BC107</t>
  </si>
  <si>
    <t>511-TDA7292</t>
  </si>
  <si>
    <t>652-3306P-1-102</t>
  </si>
  <si>
    <t>651-1935174</t>
  </si>
  <si>
    <t>Not Assigned</t>
  </si>
  <si>
    <t>647-UKW1H010MDD1TD</t>
  </si>
  <si>
    <t>594-K104K15X7RF53L2</t>
  </si>
  <si>
    <t>279-LR0204F10K</t>
  </si>
  <si>
    <t>279-LR0204F560R</t>
  </si>
  <si>
    <t>651-1935187</t>
  </si>
  <si>
    <t>532-6400BG</t>
  </si>
  <si>
    <t>598-105CKR050M</t>
  </si>
  <si>
    <t>598-105CKH050M</t>
  </si>
  <si>
    <t>Newark</t>
  </si>
  <si>
    <t>52K4337</t>
  </si>
  <si>
    <t>58K3875</t>
  </si>
  <si>
    <t>58K3860</t>
  </si>
  <si>
    <t>90F4250</t>
  </si>
  <si>
    <t>90F947</t>
  </si>
  <si>
    <t>20H7297</t>
  </si>
  <si>
    <t>90F862</t>
  </si>
  <si>
    <t>25K9861</t>
  </si>
  <si>
    <t>96K6822</t>
  </si>
  <si>
    <t>52R2330</t>
  </si>
  <si>
    <t>58K3812</t>
  </si>
  <si>
    <t>46F1082</t>
  </si>
  <si>
    <t>70R0065</t>
  </si>
  <si>
    <t>70R1167</t>
  </si>
  <si>
    <t>58K3813</t>
  </si>
  <si>
    <t>67C2584</t>
  </si>
  <si>
    <t>95W7695</t>
  </si>
  <si>
    <t>95W7782</t>
  </si>
  <si>
    <t>70R0067</t>
  </si>
  <si>
    <t>18M8220</t>
  </si>
  <si>
    <t>69K7854</t>
  </si>
  <si>
    <t>58K5053</t>
  </si>
  <si>
    <t>03P2466</t>
  </si>
  <si>
    <t>69K7895</t>
  </si>
  <si>
    <t>Rs Components</t>
  </si>
  <si>
    <t>535-4857</t>
  </si>
  <si>
    <t>112-0978</t>
  </si>
  <si>
    <t>868-1565</t>
  </si>
  <si>
    <t>124-8277</t>
  </si>
  <si>
    <t>488-5300</t>
  </si>
  <si>
    <t>548-7244</t>
  </si>
  <si>
    <t>852-3273</t>
  </si>
</sst>
</file>

<file path=xl/styles.xml><?xml version="1.0" encoding="utf-8"?>
<styleSheet xmlns="http://schemas.openxmlformats.org/spreadsheetml/2006/main">
  <numFmts count="1">
    <numFmt numFmtId="164" formatCode="$#,##0.00"/>
    <numFmt numFmtId="164" formatCode="$#,##0.00"/>
    <numFmt numFmtId="164" formatCode="$#,##0.00"/>
  </numFmts>
  <fonts count="7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3"/>
      <color theme="1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sz val="13"/>
      <color rgb="FF008000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303030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004A85"/>
        <bgColor indexed="64"/>
      </patternFill>
    </fill>
    <fill>
      <patternFill patternType="solid">
        <fgColor rgb="FFA2AE06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 vertical="center"/>
    </xf>
    <xf numFmtId="164" fontId="3" fillId="0" borderId="0" xfId="0" applyNumberFormat="1" applyFont="1" applyAlignment="1">
      <alignment vertical="center"/>
    </xf>
    <xf numFmtId="164" fontId="4" fillId="0" borderId="0" xfId="0" applyNumberFormat="1" applyFont="1" applyAlignment="1">
      <alignment vertical="center"/>
    </xf>
    <xf numFmtId="0" fontId="5" fillId="2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 wrapText="1"/>
    </xf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1">
    <dxf>
      <fill>
        <patternFill>
          <bgColor rgb="FF80FF8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digikey.com/scripts/DkSearch/dksus.dll?WT.z_header=search_go&amp;lang=en&amp;keywords=3-640440-2%20" TargetMode="External"/><Relationship Id="rId2" Type="http://schemas.openxmlformats.org/officeDocument/2006/relationships/hyperlink" Target="http://www.mouser.com/Search/../ProductDetail/TE-Connectivity-AMP/3-640440-2/?qs=sGAEpiMZZMs%252bGHln7q6pm48SVpWlpfsE187NiTLT78U%3d" TargetMode="External"/><Relationship Id="rId3" Type="http://schemas.openxmlformats.org/officeDocument/2006/relationships/hyperlink" Target="http://www.newark.com/webapp/wcs/stores/servlet/Search?catalogId=15003&amp;langId=-1&amp;storeId=10194&amp;gs=true&amp;st=3-640440-2%20" TargetMode="External"/><Relationship Id="rId4" Type="http://schemas.openxmlformats.org/officeDocument/2006/relationships/hyperlink" Target="http://it.rs-online.com/web/c/?searchTerm=3-640440-2%20" TargetMode="External"/><Relationship Id="rId5" Type="http://schemas.openxmlformats.org/officeDocument/2006/relationships/hyperlink" Target="http://www.newark.com/multicomp/mcmf0w4ff6802a50/metal-film-resistor-68kohm-250mw/dp/58K3875" TargetMode="External"/><Relationship Id="rId6" Type="http://schemas.openxmlformats.org/officeDocument/2006/relationships/hyperlink" Target="http://www.newark.com/multicomp/mcmf0w4ff4702a50/metal-film-resistor-47kohm-250mw/dp/58K3860" TargetMode="External"/><Relationship Id="rId7" Type="http://schemas.openxmlformats.org/officeDocument/2006/relationships/hyperlink" Target="http://www.digikey.com/product-detail/en/te-connectivity-amp-connectors/640456-2/A1921-ND/109003" TargetMode="External"/><Relationship Id="rId8" Type="http://schemas.openxmlformats.org/officeDocument/2006/relationships/hyperlink" Target="http://www.mouser.com/Search/../ProductDetail/TE-Connectivity-AMP/640456-2/?qs=sGAEpiMZZMs%252bGHln7q6pm5E1Eb6qwPl2BxUqTDN3Uy8%3d" TargetMode="External"/><Relationship Id="rId9" Type="http://schemas.openxmlformats.org/officeDocument/2006/relationships/hyperlink" Target="http://www.newark.com/amp-te-connectivity/640456-2/wire-board-connector-header-2/dp/90F4250" TargetMode="External"/><Relationship Id="rId10" Type="http://schemas.openxmlformats.org/officeDocument/2006/relationships/hyperlink" Target="http://www.mouser.com/Search/../ProductDetail/Bud-Industries/AC-404/?qs=sGAEpiMZZMu2Wyq3DnRvIiytboFPwli%2f" TargetMode="External"/><Relationship Id="rId11" Type="http://schemas.openxmlformats.org/officeDocument/2006/relationships/hyperlink" Target="http://www.newark.com/bud-industries/ac-404/enclosure-chassis-aluminium/dp/90F947" TargetMode="External"/><Relationship Id="rId12" Type="http://schemas.openxmlformats.org/officeDocument/2006/relationships/hyperlink" Target="http://www.digikey.com/scripts/DkSearch/dksus.dll?WT.z_header=search_go&amp;lang=en&amp;keywords=TZX5V1B-TAP%20" TargetMode="External"/><Relationship Id="rId13" Type="http://schemas.openxmlformats.org/officeDocument/2006/relationships/hyperlink" Target="http://www.mouser.com/Search/../ProductDetail/Vishay-Semiconductors/TZX5V1B-TAP/?qs=sGAEpiMZZMtQ8nqTKtFS%2fFF%2fyV2TDb8zLX9OENSXbNU%3d" TargetMode="External"/><Relationship Id="rId14" Type="http://schemas.openxmlformats.org/officeDocument/2006/relationships/hyperlink" Target="http://www.newark.com/webapp/wcs/stores/servlet/Search?catalogId=15003&amp;langId=-1&amp;storeId=10194&amp;gs=true&amp;st=TZX5V1B-TAP%20" TargetMode="External"/><Relationship Id="rId15" Type="http://schemas.openxmlformats.org/officeDocument/2006/relationships/hyperlink" Target="http://www.digikey.com/scripts/DkSearch/dksus.dll?WT.z_header=search_go&amp;lang=en&amp;keywords=BPA-1591%20" TargetMode="External"/><Relationship Id="rId16" Type="http://schemas.openxmlformats.org/officeDocument/2006/relationships/hyperlink" Target="http://www.mouser.com/Search/Refine.aspx?Keyword=BPA-1591%20" TargetMode="External"/><Relationship Id="rId17" Type="http://schemas.openxmlformats.org/officeDocument/2006/relationships/hyperlink" Target="http://www.newark.com/webapp/wcs/stores/servlet/Search?catalogId=15003&amp;langId=-1&amp;storeId=10194&amp;gs=true&amp;st=BPA-1591%20" TargetMode="External"/><Relationship Id="rId18" Type="http://schemas.openxmlformats.org/officeDocument/2006/relationships/hyperlink" Target="http://it.rs-online.com/web/c/?searchTerm=BPA-1591%20" TargetMode="External"/><Relationship Id="rId19" Type="http://schemas.openxmlformats.org/officeDocument/2006/relationships/hyperlink" Target="http://www.digikey.com/scripts/DkSearch/dksus.dll?WT.z_header=search_go&amp;lang=en&amp;keywords=SRJ23A3BBBNN%20" TargetMode="External"/><Relationship Id="rId20" Type="http://schemas.openxmlformats.org/officeDocument/2006/relationships/hyperlink" Target="http://www.mouser.com/Search/Refine.aspx?Keyword=SRJ23A3BBBNN%20" TargetMode="External"/><Relationship Id="rId21" Type="http://schemas.openxmlformats.org/officeDocument/2006/relationships/hyperlink" Target="http://www.newark.com/webapp/wcs/stores/servlet/Search?catalogId=15003&amp;langId=-1&amp;storeId=10194&amp;gs=true&amp;st=SRJ23A3BBBNN%20" TargetMode="External"/><Relationship Id="rId22" Type="http://schemas.openxmlformats.org/officeDocument/2006/relationships/hyperlink" Target="http://it.rs-online.com/web/c/?searchTerm=SRJ23A3BBBNN%20" TargetMode="External"/><Relationship Id="rId23" Type="http://schemas.openxmlformats.org/officeDocument/2006/relationships/hyperlink" Target="http://www.mouser.com/Search/../ProductDetail/Central-Semiconductor/BC107/?qs=sGAEpiMZZMutncetXCRkfoKXz7yFcx2V" TargetMode="External"/><Relationship Id="rId24" Type="http://schemas.openxmlformats.org/officeDocument/2006/relationships/hyperlink" Target="http://www.newark.com/multicomp/bc107/transistor-bipolar-npn-45v-100ma/dp/96K6822" TargetMode="External"/><Relationship Id="rId25" Type="http://schemas.openxmlformats.org/officeDocument/2006/relationships/hyperlink" Target="http://it.rs-online.com/web/c/?searchTerm=BC107%20" TargetMode="External"/><Relationship Id="rId26" Type="http://schemas.openxmlformats.org/officeDocument/2006/relationships/hyperlink" Target="http://www.digikey.com/scripts/DkSearch/dksus.dll?WT.z_header=search_go&amp;lang=en&amp;keywords=tda7292%20" TargetMode="External"/><Relationship Id="rId27" Type="http://schemas.openxmlformats.org/officeDocument/2006/relationships/hyperlink" Target="http://www.mouser.com/Search/Refine.aspx?Keyword=tda7292%20" TargetMode="External"/><Relationship Id="rId28" Type="http://schemas.openxmlformats.org/officeDocument/2006/relationships/hyperlink" Target="http://www.newark.com/webapp/wcs/stores/servlet/Search?catalogId=15003&amp;langId=-1&amp;storeId=10194&amp;gs=true&amp;st=tda7292%20" TargetMode="External"/><Relationship Id="rId29" Type="http://schemas.openxmlformats.org/officeDocument/2006/relationships/hyperlink" Target="http://www.newark.com/multicomp/mcmf0w4ff1501a50/metal-film-resistor-1-5kohm-250mw/dp/58K3812" TargetMode="External"/><Relationship Id="rId30" Type="http://schemas.openxmlformats.org/officeDocument/2006/relationships/hyperlink" Target="http://www.digikey.com/scripts/DkSearch/dksus.dll?WT.z_header=search_go&amp;lang=en&amp;keywords=3306P-1-102%20" TargetMode="External"/><Relationship Id="rId31" Type="http://schemas.openxmlformats.org/officeDocument/2006/relationships/hyperlink" Target="http://www.mouser.com/Search/Refine.aspx?Keyword=3306P-1-102%20" TargetMode="External"/><Relationship Id="rId32" Type="http://schemas.openxmlformats.org/officeDocument/2006/relationships/hyperlink" Target="http://www.newark.com/webapp/wcs/stores/servlet/Search?catalogId=15003&amp;langId=-1&amp;storeId=10194&amp;gs=true&amp;st=3306P-1-102%20" TargetMode="External"/><Relationship Id="rId33" Type="http://schemas.openxmlformats.org/officeDocument/2006/relationships/hyperlink" Target="http://it.rs-online.com/web/c/?searchTerm=3306P-1-102%20" TargetMode="External"/><Relationship Id="rId34" Type="http://schemas.openxmlformats.org/officeDocument/2006/relationships/hyperlink" Target="http://www.digikey.com/scripts/DkSearch/dksus.dll?WT.z_header=search_go&amp;lang=en&amp;keywords=1935174%20" TargetMode="External"/><Relationship Id="rId35" Type="http://schemas.openxmlformats.org/officeDocument/2006/relationships/hyperlink" Target="http://www.mouser.com/Search/../ProductDetail/Phoenix-Contact/1935174/?qs=sGAEpiMZZMv8kklI404QlRtyRP1DYqWx" TargetMode="External"/><Relationship Id="rId36" Type="http://schemas.openxmlformats.org/officeDocument/2006/relationships/hyperlink" Target="http://www.newark.com/webapp/wcs/stores/servlet/Search?catalogId=15003&amp;langId=-1&amp;storeId=10194&amp;gs=true&amp;st=1935174%20" TargetMode="External"/><Relationship Id="rId37" Type="http://schemas.openxmlformats.org/officeDocument/2006/relationships/hyperlink" Target="http://it.rs-online.com/web/c/?searchTerm=1935174%20" TargetMode="External"/><Relationship Id="rId38" Type="http://schemas.openxmlformats.org/officeDocument/2006/relationships/hyperlink" Target="http://www.digikey.com/scripts/DkSearch/dksus.dll?WT.z_header=search_go&amp;lang=en&amp;keywords=0022286070%20" TargetMode="External"/><Relationship Id="rId39" Type="http://schemas.openxmlformats.org/officeDocument/2006/relationships/hyperlink" Target="http://www.mouser.com/Search/../ProductDetail/Molex/0022286070/?qs=sGAEpiMZZMs%252bGHln7q6pm%2f0ypBDGb74ReAZIuSVGqGGVLogEcczEqA%3d%3d" TargetMode="External"/><Relationship Id="rId40" Type="http://schemas.openxmlformats.org/officeDocument/2006/relationships/hyperlink" Target="http://www.digikey.com/product-detail/en/te-connectivity-amp-connectors/640456-2/A1921-ND/109003" TargetMode="External"/><Relationship Id="rId41" Type="http://schemas.openxmlformats.org/officeDocument/2006/relationships/hyperlink" Target="http://www.mouser.com/Search/../ProductDetail/TE-Connectivity-AMP/640456-2/?qs=sGAEpiMZZMs%252bGHln7q6pm5E1Eb6qwPl2BxUqTDN3Uy8%3d" TargetMode="External"/><Relationship Id="rId42" Type="http://schemas.openxmlformats.org/officeDocument/2006/relationships/hyperlink" Target="http://www.newark.com/amp-te-connectivity/640456-2/wire-board-connector-header-2/dp/90F4250" TargetMode="External"/><Relationship Id="rId43" Type="http://schemas.openxmlformats.org/officeDocument/2006/relationships/hyperlink" Target="http://www.digikey.com/product-detail/en/nichicon/UKW1H010MDD1TD/493-10792-1-ND/4317768" TargetMode="External"/><Relationship Id="rId44" Type="http://schemas.openxmlformats.org/officeDocument/2006/relationships/hyperlink" Target="http://www.mouser.com/Search/Refine.aspx?Keyword=UKW1H010MDD1TD%20" TargetMode="External"/><Relationship Id="rId45" Type="http://schemas.openxmlformats.org/officeDocument/2006/relationships/hyperlink" Target="http://www.newark.com/nichicon/ukw1h010mdd1td/aluminum-electrolytic-capacitor/dp/70R1167" TargetMode="External"/><Relationship Id="rId46" Type="http://schemas.openxmlformats.org/officeDocument/2006/relationships/hyperlink" Target="http://www.digikey.com/scripts/DkSearch/dksus.dll?WT.z_header=search_go&amp;lang=en&amp;keywords=3-640440-2%20" TargetMode="External"/><Relationship Id="rId47" Type="http://schemas.openxmlformats.org/officeDocument/2006/relationships/hyperlink" Target="http://www.mouser.com/Search/../ProductDetail/TE-Connectivity-AMP/3-640440-2/?qs=sGAEpiMZZMs%252bGHln7q6pm48SVpWlpfsE187NiTLT78U%3d" TargetMode="External"/><Relationship Id="rId48" Type="http://schemas.openxmlformats.org/officeDocument/2006/relationships/hyperlink" Target="http://www.newark.com/webapp/wcs/stores/servlet/Search?catalogId=15003&amp;langId=-1&amp;storeId=10194&amp;gs=true&amp;st=3-640440-2%20" TargetMode="External"/><Relationship Id="rId49" Type="http://schemas.openxmlformats.org/officeDocument/2006/relationships/hyperlink" Target="http://it.rs-online.com/web/c/?searchTerm=3-640440-2%20" TargetMode="External"/><Relationship Id="rId50" Type="http://schemas.openxmlformats.org/officeDocument/2006/relationships/hyperlink" Target="http://www.newark.com/multicomp/mcmf0w4ff1502a50/metal-film-resistor-15kohm-250mw/dp/58K3813" TargetMode="External"/><Relationship Id="rId51" Type="http://schemas.openxmlformats.org/officeDocument/2006/relationships/hyperlink" Target="http://www.digikey.com/scripts/DkSearch/dksus.dll?WT.z_header=search_go&amp;lang=en&amp;keywords=K104K15X7RF53L2%20" TargetMode="External"/><Relationship Id="rId52" Type="http://schemas.openxmlformats.org/officeDocument/2006/relationships/hyperlink" Target="http://www.mouser.com/Search/Refine.aspx?Keyword=K104K15X7RF53L2%20" TargetMode="External"/><Relationship Id="rId53" Type="http://schemas.openxmlformats.org/officeDocument/2006/relationships/hyperlink" Target="http://www.newark.com/webapp/wcs/stores/servlet/Search?catalogId=15003&amp;langId=-1&amp;storeId=10194&amp;gs=true&amp;st=K104K15X7RF53L2%20" TargetMode="External"/><Relationship Id="rId54" Type="http://schemas.openxmlformats.org/officeDocument/2006/relationships/hyperlink" Target="http://it.rs-online.com/web/c/?searchTerm=K104K15X7RF53L2%20" TargetMode="External"/><Relationship Id="rId55" Type="http://schemas.openxmlformats.org/officeDocument/2006/relationships/hyperlink" Target="http://www.digikey.com/scripts/DkSearch/dksus.dll?WT.z_header=search_go&amp;lang=en&amp;keywords=LR0204F10K%20" TargetMode="External"/><Relationship Id="rId56" Type="http://schemas.openxmlformats.org/officeDocument/2006/relationships/hyperlink" Target="http://www.mouser.com/Search/Refine.aspx?Keyword=LR0204F10K%20" TargetMode="External"/><Relationship Id="rId57" Type="http://schemas.openxmlformats.org/officeDocument/2006/relationships/hyperlink" Target="http://www.newark.com/webapp/wcs/stores/servlet/Search?catalogId=15003&amp;langId=-1&amp;storeId=10194&amp;gs=true&amp;st=LR0204F10K%20" TargetMode="External"/><Relationship Id="rId58" Type="http://schemas.openxmlformats.org/officeDocument/2006/relationships/hyperlink" Target="http://www.digikey.com/scripts/DkSearch/dksus.dll?WT.z_header=search_go&amp;lang=en&amp;keywords=LR0204F560R%20" TargetMode="External"/><Relationship Id="rId59" Type="http://schemas.openxmlformats.org/officeDocument/2006/relationships/hyperlink" Target="http://www.mouser.com/Search/Refine.aspx?Keyword=LR0204F560R%20" TargetMode="External"/><Relationship Id="rId60" Type="http://schemas.openxmlformats.org/officeDocument/2006/relationships/hyperlink" Target="http://www.newark.com/webapp/wcs/stores/servlet/Search?catalogId=15003&amp;langId=-1&amp;storeId=10194&amp;gs=true&amp;st=LR0204F560R%20" TargetMode="External"/><Relationship Id="rId61" Type="http://schemas.openxmlformats.org/officeDocument/2006/relationships/hyperlink" Target="http://www.digikey.com/scripts/DkSearch/dksus.dll?WT.z_header=search_go&amp;lang=en&amp;keywords=277-1579-ND%20" TargetMode="External"/><Relationship Id="rId62" Type="http://schemas.openxmlformats.org/officeDocument/2006/relationships/hyperlink" Target="http://www.mouser.com/Search/../ProductDetail/Phoenix-Contact/1935187/?qs=sGAEpiMZZMv8kklI404QlSsyX35pXTxu" TargetMode="External"/><Relationship Id="rId63" Type="http://schemas.openxmlformats.org/officeDocument/2006/relationships/hyperlink" Target="http://www.newark.com/webapp/wcs/stores/servlet/Search?catalogId=15003&amp;langId=-1&amp;storeId=10194&amp;gs=true&amp;st=1935187%20" TargetMode="External"/><Relationship Id="rId64" Type="http://schemas.openxmlformats.org/officeDocument/2006/relationships/hyperlink" Target="http://www.digikey.com/scripts/DkSearch/dksus.dll?WT.z_header=search_go&amp;lang=en&amp;keywords=6400BG%20" TargetMode="External"/><Relationship Id="rId65" Type="http://schemas.openxmlformats.org/officeDocument/2006/relationships/hyperlink" Target="http://www.mouser.com/Search/Refine.aspx?Keyword=6400BG%20" TargetMode="External"/><Relationship Id="rId66" Type="http://schemas.openxmlformats.org/officeDocument/2006/relationships/hyperlink" Target="http://www.newark.com/webapp/wcs/stores/servlet/Search?catalogId=15003&amp;langId=-1&amp;storeId=10194&amp;gs=true&amp;st=6400BG%20" TargetMode="External"/><Relationship Id="rId67" Type="http://schemas.openxmlformats.org/officeDocument/2006/relationships/hyperlink" Target="http://www.digikey.com/scripts/DkSearch/dksus.dll?WT.z_header=search_go&amp;lang=en&amp;keywords=105CKR050M%20" TargetMode="External"/><Relationship Id="rId68" Type="http://schemas.openxmlformats.org/officeDocument/2006/relationships/hyperlink" Target="http://www.mouser.com/Search/Refine.aspx?Keyword=105CKR050M%20" TargetMode="External"/><Relationship Id="rId69" Type="http://schemas.openxmlformats.org/officeDocument/2006/relationships/hyperlink" Target="http://www.newark.com/webapp/wcs/stores/servlet/Search?catalogId=15003&amp;langId=-1&amp;storeId=10194&amp;gs=true&amp;st=105CKR050M%20" TargetMode="External"/><Relationship Id="rId70" Type="http://schemas.openxmlformats.org/officeDocument/2006/relationships/hyperlink" Target="http://www.digikey.com/scripts/DkSearch/dksus.dll?WT.z_header=search_go&amp;lang=en&amp;keywords=LR0204F10K%20" TargetMode="External"/><Relationship Id="rId71" Type="http://schemas.openxmlformats.org/officeDocument/2006/relationships/hyperlink" Target="http://www.mouser.com/Search/Refine.aspx?Keyword=LR0204F10K%20" TargetMode="External"/><Relationship Id="rId72" Type="http://schemas.openxmlformats.org/officeDocument/2006/relationships/hyperlink" Target="http://www.newark.com/webapp/wcs/stores/servlet/Search?catalogId=15003&amp;langId=-1&amp;storeId=10194&amp;gs=true&amp;st=LR0204F10K%20" TargetMode="External"/><Relationship Id="rId73" Type="http://schemas.openxmlformats.org/officeDocument/2006/relationships/hyperlink" Target="http://www.newark.com/multicomp/mccfr0w4j047ja50/carbon-film-resistor-4-7-ohm-250mw/dp/58K5053" TargetMode="External"/><Relationship Id="rId74" Type="http://schemas.openxmlformats.org/officeDocument/2006/relationships/hyperlink" Target="http://www.mouser.com/Search/Refine.aspx?Keyword=R13-23B-05-BW%20" TargetMode="External"/><Relationship Id="rId75" Type="http://schemas.openxmlformats.org/officeDocument/2006/relationships/hyperlink" Target="http://www.newark.com/webapp/wcs/stores/servlet/Search?catalogId=15003&amp;langId=-1&amp;storeId=10194&amp;gs=true&amp;st=R13-23B-05-BW%20" TargetMode="External"/><Relationship Id="rId76" Type="http://schemas.openxmlformats.org/officeDocument/2006/relationships/hyperlink" Target="http://www.digikey.com/scripts/DkSearch/dksus.dll?WT.z_header=search_go&amp;lang=en&amp;keywords=105CKH050M%20" TargetMode="External"/><Relationship Id="rId77" Type="http://schemas.openxmlformats.org/officeDocument/2006/relationships/hyperlink" Target="http://www.mouser.com/Search/Refine.aspx?Keyword=105CKH050M%20" TargetMode="External"/><Relationship Id="rId78" Type="http://schemas.openxmlformats.org/officeDocument/2006/relationships/hyperlink" Target="http://www.newark.com/webapp/wcs/stores/servlet/Search?catalogId=15003&amp;langId=-1&amp;storeId=10194&amp;gs=true&amp;st=105CKH050M%20" TargetMode="External"/><Relationship Id="rId79" Type="http://schemas.openxmlformats.org/officeDocument/2006/relationships/vmlDrawing" Target="../drawings/vmlDrawing1.vml"/><Relationship Id="rId80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63"/>
  <sheetViews>
    <sheetView tabSelected="1" workbookViewId="0">
      <pane xSplit="9" ySplit="6" topLeftCell="J7" activePane="bottomRight" state="frozen"/>
      <selection pane="topRight" activeCell="J1" sqref="J1"/>
      <selection pane="bottomLeft" activeCell="A7" sqref="A7"/>
      <selection pane="bottomRight"/>
    </sheetView>
  </sheetViews>
  <sheetFormatPr defaultRowHeight="15" outlineLevelCol="2"/>
  <cols>
    <col min="1" max="1" width="9.140625"/>
    <col min="2" max="2" width="9.140625"/>
    <col min="3" max="3" width="9.140625"/>
    <col min="4" max="4" width="9.140625"/>
    <col min="5" max="5" width="9.140625"/>
    <col min="6" max="6" width="9.140625"/>
    <col min="7" max="7" width="9.140625"/>
    <col min="8" max="8" width="9.140625"/>
    <col min="9" max="9" width="15.7109375" customWidth="1"/>
    <col min="10" max="10" width="9.140625" outlineLevel="1"/>
    <col min="11" max="11" width="9.140625" outlineLevel="2"/>
    <col min="12" max="12" width="9.140625" outlineLevel="2"/>
    <col min="13" max="13" width="15.7109375" customWidth="1"/>
    <col min="14" max="14" width="9.140625" outlineLevel="2"/>
    <col min="15" max="15" width="9.140625" outlineLevel="2"/>
    <col min="16" max="16" width="9.140625" outlineLevel="1"/>
    <col min="17" max="17" width="9.140625" outlineLevel="2"/>
    <col min="18" max="18" width="9.140625" outlineLevel="2"/>
    <col min="19" max="19" width="15.7109375" customWidth="1"/>
    <col min="20" max="20" width="9.140625" outlineLevel="2"/>
    <col min="21" max="21" width="9.140625" outlineLevel="2"/>
    <col min="22" max="22" width="9.140625" outlineLevel="1"/>
    <col min="23" max="23" width="9.140625" outlineLevel="2"/>
    <col min="24" max="24" width="9.140625" outlineLevel="2"/>
    <col min="25" max="25" width="15.7109375" customWidth="1"/>
    <col min="26" max="26" width="9.140625" outlineLevel="2"/>
    <col min="27" max="27" width="9.140625" outlineLevel="2"/>
    <col min="28" max="28" width="9.140625" outlineLevel="1"/>
    <col min="29" max="29" width="9.140625" outlineLevel="2"/>
    <col min="30" max="30" width="9.140625" outlineLevel="2"/>
    <col min="31" max="31" width="15.7109375" customWidth="1"/>
    <col min="32" max="32" width="9.140625" outlineLevel="2"/>
    <col min="33" max="33" width="9.140625" outlineLevel="2"/>
  </cols>
  <sheetData>
    <row r="1" spans="1:33">
      <c r="H1" s="2" t="s">
        <v>102</v>
      </c>
      <c r="I1" s="2">
        <v>100</v>
      </c>
    </row>
    <row r="2" spans="1:33">
      <c r="H2" s="3" t="s">
        <v>103</v>
      </c>
      <c r="I2" s="4">
        <f>sum(I7:I34)</f>
        <v>0</v>
      </c>
      <c r="M2" s="4">
        <f>sum(M7:M34)</f>
        <v>0</v>
      </c>
      <c r="S2" s="4">
        <f>sum(S7:S34)</f>
        <v>0</v>
      </c>
      <c r="Y2" s="4">
        <f>sum(Y7:Y34)</f>
        <v>0</v>
      </c>
      <c r="AE2" s="4">
        <f>sum(AE7:AE34)</f>
        <v>0</v>
      </c>
    </row>
    <row r="3" spans="1:33">
      <c r="H3" s="3" t="s">
        <v>104</v>
      </c>
      <c r="I3" s="5">
        <f>TotalCost/BoardQty</f>
        <v>0</v>
      </c>
    </row>
    <row r="5" spans="1:33">
      <c r="A5" s="6" t="s">
        <v>0</v>
      </c>
      <c r="B5" s="6"/>
      <c r="C5" s="6"/>
      <c r="D5" s="6"/>
      <c r="E5" s="6"/>
      <c r="F5" s="6"/>
      <c r="G5" s="6"/>
      <c r="H5" s="6"/>
      <c r="I5" s="6"/>
      <c r="J5" s="7" t="s">
        <v>105</v>
      </c>
      <c r="K5" s="7"/>
      <c r="L5" s="7"/>
      <c r="M5" s="7"/>
      <c r="N5" s="7"/>
      <c r="O5" s="7"/>
      <c r="P5" s="8" t="s">
        <v>128</v>
      </c>
      <c r="Q5" s="8"/>
      <c r="R5" s="8"/>
      <c r="S5" s="8"/>
      <c r="T5" s="8"/>
      <c r="U5" s="8"/>
      <c r="V5" s="9" t="s">
        <v>148</v>
      </c>
      <c r="W5" s="9"/>
      <c r="X5" s="9"/>
      <c r="Y5" s="9"/>
      <c r="Z5" s="9"/>
      <c r="AA5" s="9"/>
      <c r="AB5" s="10" t="s">
        <v>173</v>
      </c>
      <c r="AC5" s="10"/>
      <c r="AD5" s="10"/>
      <c r="AE5" s="10"/>
      <c r="AF5" s="10"/>
      <c r="AG5" s="10"/>
    </row>
    <row r="6" spans="1:33">
      <c r="A6" s="11" t="s">
        <v>8</v>
      </c>
      <c r="B6" s="11" t="s">
        <v>2</v>
      </c>
      <c r="C6" s="11" t="s">
        <v>6</v>
      </c>
      <c r="D6" s="11" t="s">
        <v>9</v>
      </c>
      <c r="E6" s="11" t="s">
        <v>5</v>
      </c>
      <c r="F6" s="11" t="s">
        <v>7</v>
      </c>
      <c r="G6" s="11" t="s">
        <v>3</v>
      </c>
      <c r="H6" s="11" t="s">
        <v>1</v>
      </c>
      <c r="I6" s="11" t="s">
        <v>4</v>
      </c>
      <c r="J6" s="11" t="s">
        <v>107</v>
      </c>
      <c r="K6" s="11" t="s">
        <v>109</v>
      </c>
      <c r="L6" s="11" t="s">
        <v>1</v>
      </c>
      <c r="M6" s="11" t="s">
        <v>4</v>
      </c>
      <c r="N6" s="11" t="s">
        <v>108</v>
      </c>
      <c r="O6" s="11" t="s">
        <v>106</v>
      </c>
      <c r="P6" s="11" t="s">
        <v>107</v>
      </c>
      <c r="Q6" s="11" t="s">
        <v>109</v>
      </c>
      <c r="R6" s="11" t="s">
        <v>1</v>
      </c>
      <c r="S6" s="11" t="s">
        <v>4</v>
      </c>
      <c r="T6" s="11" t="s">
        <v>108</v>
      </c>
      <c r="U6" s="11" t="s">
        <v>106</v>
      </c>
      <c r="V6" s="11" t="s">
        <v>107</v>
      </c>
      <c r="W6" s="11" t="s">
        <v>109</v>
      </c>
      <c r="X6" s="11" t="s">
        <v>1</v>
      </c>
      <c r="Y6" s="11" t="s">
        <v>4</v>
      </c>
      <c r="Z6" s="11" t="s">
        <v>108</v>
      </c>
      <c r="AA6" s="11" t="s">
        <v>106</v>
      </c>
      <c r="AB6" s="11" t="s">
        <v>107</v>
      </c>
      <c r="AC6" s="11" t="s">
        <v>109</v>
      </c>
      <c r="AD6" s="11" t="s">
        <v>1</v>
      </c>
      <c r="AE6" s="11" t="s">
        <v>4</v>
      </c>
      <c r="AF6" s="11" t="s">
        <v>108</v>
      </c>
      <c r="AG6" s="11" t="s">
        <v>106</v>
      </c>
    </row>
    <row r="7" spans="1:33">
      <c r="A7" t="s">
        <v>10</v>
      </c>
      <c r="B7" t="s">
        <v>11</v>
      </c>
      <c r="F7" t="s">
        <v>12</v>
      </c>
      <c r="G7">
        <f>BoardQty*1</f>
        <v>0</v>
      </c>
      <c r="H7" s="12">
        <f>MINA(INDIRECT(ADDRESS(ROW(),COLUMN(mouser_part_data)+2)),INDIRECT(ADDRESS(ROW(),COLUMN(digikey_part_data)+2)),INDIRECT(ADDRESS(ROW(),COLUMN(rs_part_data)+2)),INDIRECT(ADDRESS(ROW(),COLUMN(newark_part_data)+2)))</f>
        <v>0</v>
      </c>
      <c r="I7" s="12">
        <f>iferror(G7*H7,"")</f>
        <v>0</v>
      </c>
      <c r="J7">
        <v>15435</v>
      </c>
      <c r="L7" s="12">
        <f>iferror(lookup(if(K7="",G7,K7),{0,1,10,25,50,100,250,500,1000,2500},{0.0,0.14,0.134,0.1,0.0858,0.0829,0.07148,0.06862,0.06004,0.05432}),"")</f>
        <v>0</v>
      </c>
      <c r="M7" s="12">
        <f>iferror(if(K7="",G7,K7)*L7,"")</f>
        <v>0</v>
      </c>
      <c r="N7" t="s">
        <v>111</v>
      </c>
      <c r="O7" s="13" t="s">
        <v>110</v>
      </c>
      <c r="P7">
        <v>21635</v>
      </c>
      <c r="R7" s="12">
        <f>iferror(lookup(if(Q7="",G7,Q7),{0,1,10,1000},{0.0,0.1,0.07,0.061}),"")</f>
        <v>0</v>
      </c>
      <c r="S7" s="12">
        <f>iferror(if(Q7="",G7,Q7)*R7,"")</f>
        <v>0</v>
      </c>
      <c r="T7" t="s">
        <v>129</v>
      </c>
      <c r="U7" s="13" t="s">
        <v>110</v>
      </c>
      <c r="X7" s="12">
        <f>iferror(lookup(if(W7="",G7,W7),{0,1,10,100,500,1000,25000},{0.0,0.1,0.07,0.06,0.06,0.05,0.05}),"")</f>
        <v>0</v>
      </c>
      <c r="Y7" s="12">
        <f>iferror(if(W7="",G7,W7)*X7,"")</f>
        <v>0</v>
      </c>
      <c r="Z7" t="s">
        <v>149</v>
      </c>
      <c r="AA7" s="13" t="s">
        <v>110</v>
      </c>
      <c r="AB7">
        <v>200</v>
      </c>
      <c r="AD7" s="12">
        <f>iferror(lookup(if(AC7="",G7,AC7),{0,1,10,50},{0.0,0.18177300000000002,0.18177300000000002,0.125434}),"")</f>
        <v>0</v>
      </c>
      <c r="AE7" s="12">
        <f>iferror(if(AC7="",G7,AC7)*AD7,"")</f>
        <v>0</v>
      </c>
      <c r="AF7" t="s">
        <v>174</v>
      </c>
      <c r="AG7" s="13" t="s">
        <v>110</v>
      </c>
    </row>
    <row r="8" spans="1:33">
      <c r="A8" t="s">
        <v>13</v>
      </c>
      <c r="B8" t="s">
        <v>14</v>
      </c>
      <c r="D8" t="s">
        <v>16</v>
      </c>
      <c r="F8" t="s">
        <v>15</v>
      </c>
      <c r="G8">
        <f>BoardQty*2</f>
        <v>0</v>
      </c>
      <c r="H8" s="12">
        <f>MINA(INDIRECT(ADDRESS(ROW(),COLUMN(mouser_part_data)+2)),INDIRECT(ADDRESS(ROW(),COLUMN(digikey_part_data)+2)),INDIRECT(ADDRESS(ROW(),COLUMN(rs_part_data)+2)),INDIRECT(ADDRESS(ROW(),COLUMN(newark_part_data)+2)))</f>
        <v>0</v>
      </c>
      <c r="I8" s="12">
        <f>iferror(G8*H8,"")</f>
        <v>0</v>
      </c>
      <c r="X8" s="12">
        <f>iferror(lookup(if(W8="",G8,W8),{0,1,50,100,500,1000,2000},{0.0,0.112,0.095,0.07,0.05,0.043,0.04}),"")</f>
        <v>0</v>
      </c>
      <c r="Y8" s="12">
        <f>iferror(if(W8="",G8,W8)*X8,"")</f>
        <v>0</v>
      </c>
      <c r="Z8" t="s">
        <v>150</v>
      </c>
      <c r="AA8" s="13" t="s">
        <v>110</v>
      </c>
    </row>
    <row r="9" spans="1:33">
      <c r="A9" t="s">
        <v>17</v>
      </c>
      <c r="B9" t="s">
        <v>18</v>
      </c>
      <c r="D9" t="s">
        <v>16</v>
      </c>
      <c r="F9" t="s">
        <v>19</v>
      </c>
      <c r="G9">
        <f>BoardQty*1</f>
        <v>0</v>
      </c>
      <c r="H9" s="12">
        <f>MINA(INDIRECT(ADDRESS(ROW(),COLUMN(mouser_part_data)+2)),INDIRECT(ADDRESS(ROW(),COLUMN(digikey_part_data)+2)),INDIRECT(ADDRESS(ROW(),COLUMN(rs_part_data)+2)),INDIRECT(ADDRESS(ROW(),COLUMN(newark_part_data)+2)))</f>
        <v>0</v>
      </c>
      <c r="I9" s="12">
        <f>iferror(G9*H9,"")</f>
        <v>0</v>
      </c>
      <c r="X9" s="12">
        <f>iferror(lookup(if(W9="",G9,W9),{0,1,50,100,500,1000,2000},{0.0,0.112,0.095,0.07,0.05,0.043,0.04}),"")</f>
        <v>0</v>
      </c>
      <c r="Y9" s="12">
        <f>iferror(if(W9="",G9,W9)*X9,"")</f>
        <v>0</v>
      </c>
      <c r="Z9" t="s">
        <v>151</v>
      </c>
      <c r="AA9" s="13" t="s">
        <v>110</v>
      </c>
    </row>
    <row r="10" spans="1:33">
      <c r="A10" t="s">
        <v>20</v>
      </c>
      <c r="B10" t="s">
        <v>21</v>
      </c>
      <c r="D10" t="s">
        <v>23</v>
      </c>
      <c r="F10" t="s">
        <v>22</v>
      </c>
      <c r="G10">
        <f>BoardQty*1</f>
        <v>0</v>
      </c>
      <c r="H10" s="12">
        <f>MINA(INDIRECT(ADDRESS(ROW(),COLUMN(mouser_part_data)+2)),INDIRECT(ADDRESS(ROW(),COLUMN(digikey_part_data)+2)),INDIRECT(ADDRESS(ROW(),COLUMN(rs_part_data)+2)),INDIRECT(ADDRESS(ROW(),COLUMN(newark_part_data)+2)))</f>
        <v>0</v>
      </c>
      <c r="I10" s="12">
        <f>iferror(G10*H10,"")</f>
        <v>0</v>
      </c>
      <c r="J10">
        <v>118499</v>
      </c>
      <c r="L10" s="12">
        <f>iferror(lookup(if(K10="",G10,K10),{0,1,10,50,100,250,500,1000,2500},{0.0,0.12,0.117,0.0748,0.0724,0.0624,0.05992,0.05243,0.04744}),"")</f>
        <v>0</v>
      </c>
      <c r="M10" s="12">
        <f>iferror(if(K10="",G10,K10)*L10,"")</f>
        <v>0</v>
      </c>
      <c r="N10" t="s">
        <v>112</v>
      </c>
      <c r="O10" s="13" t="s">
        <v>110</v>
      </c>
      <c r="P10">
        <v>85919</v>
      </c>
      <c r="R10" s="12">
        <f>iferror(lookup(if(Q10="",G10,Q10),{0,1,10,100,500,1000,2500,10000,25000},{0.0,0.1,0.071,0.061,0.05,0.043,0.04,0.037,0.036}),"")</f>
        <v>0</v>
      </c>
      <c r="S10" s="12">
        <f>iferror(if(Q10="",G10,Q10)*R10,"")</f>
        <v>0</v>
      </c>
      <c r="T10" t="s">
        <v>130</v>
      </c>
      <c r="U10" s="13" t="s">
        <v>110</v>
      </c>
      <c r="X10" s="12">
        <f>iferror(lookup(if(W10="",G10,W10),{0,1,10,100,500,1000,2500,10000,25000},{0.0,0.1,0.07,0.06,0.05,0.04,0.04,0.04,0.04}),"")</f>
        <v>0</v>
      </c>
      <c r="Y10" s="12">
        <f>iferror(if(W10="",G10,W10)*X10,"")</f>
        <v>0</v>
      </c>
      <c r="Z10" t="s">
        <v>152</v>
      </c>
      <c r="AA10" s="13" t="s">
        <v>110</v>
      </c>
    </row>
    <row r="11" spans="1:33">
      <c r="A11" t="s">
        <v>24</v>
      </c>
      <c r="B11" t="s">
        <v>25</v>
      </c>
      <c r="F11" t="s">
        <v>26</v>
      </c>
      <c r="G11">
        <f>BoardQty*1</f>
        <v>0</v>
      </c>
      <c r="H11" s="12">
        <f>MINA(INDIRECT(ADDRESS(ROW(),COLUMN(mouser_part_data)+2)),INDIRECT(ADDRESS(ROW(),COLUMN(digikey_part_data)+2)),INDIRECT(ADDRESS(ROW(),COLUMN(rs_part_data)+2)),INDIRECT(ADDRESS(ROW(),COLUMN(newark_part_data)+2)))</f>
        <v>0</v>
      </c>
      <c r="I11" s="12">
        <f>iferror(G11*H11,"")</f>
        <v>0</v>
      </c>
      <c r="P11">
        <v>15</v>
      </c>
      <c r="R11" s="12">
        <f>iferror(lookup(if(Q11="",G11,Q11),{0,1,10,25,50},{0.0,18.4,15.62,14.08,12.49}),"")</f>
        <v>0</v>
      </c>
      <c r="S11" s="12">
        <f>iferror(if(Q11="",G11,Q11)*R11,"")</f>
        <v>0</v>
      </c>
      <c r="T11" t="s">
        <v>131</v>
      </c>
      <c r="U11" s="13" t="s">
        <v>110</v>
      </c>
      <c r="X11" s="12">
        <f>iferror(lookup(if(W11="",G11,W11),{0,1,5,10,25,50},{0.0,17.26,15.96,14.65,13.2,11.71}),"")</f>
        <v>0</v>
      </c>
      <c r="Y11" s="12">
        <f>iferror(if(W11="",G11,W11)*X11,"")</f>
        <v>0</v>
      </c>
      <c r="Z11" t="s">
        <v>153</v>
      </c>
      <c r="AA11" s="13" t="s">
        <v>110</v>
      </c>
    </row>
    <row r="12" spans="1:33">
      <c r="A12" t="s">
        <v>27</v>
      </c>
      <c r="B12" t="s">
        <v>28</v>
      </c>
      <c r="D12" t="s">
        <v>30</v>
      </c>
      <c r="F12" t="s">
        <v>29</v>
      </c>
      <c r="G12">
        <f>BoardQty*1</f>
        <v>0</v>
      </c>
      <c r="H12" s="12">
        <f>MINA(INDIRECT(ADDRESS(ROW(),COLUMN(mouser_part_data)+2)),INDIRECT(ADDRESS(ROW(),COLUMN(digikey_part_data)+2)),INDIRECT(ADDRESS(ROW(),COLUMN(rs_part_data)+2)),INDIRECT(ADDRESS(ROW(),COLUMN(newark_part_data)+2)))</f>
        <v>0</v>
      </c>
      <c r="I12" s="12">
        <f>iferror(G12*H12,"")</f>
        <v>0</v>
      </c>
      <c r="L12" s="12">
        <f>iferror(lookup(if(K12="",G12,K12),{0,1,30000},{0.0,0.0234,0.0234}),"")</f>
        <v>0</v>
      </c>
      <c r="M12" s="12">
        <f>iferror(if(K12="",G12,K12)*L12,"")</f>
        <v>0</v>
      </c>
      <c r="N12" t="s">
        <v>113</v>
      </c>
      <c r="O12" s="13" t="s">
        <v>110</v>
      </c>
      <c r="P12">
        <v>14589</v>
      </c>
      <c r="R12" s="12">
        <f>iferror(lookup(if(Q12="",G12,Q12),{0,1,10,100,500,1000,2500,5000,10000,20000},{0.0,0.2,0.167,0.071,0.059,0.041,0.034,0.03,0.027,0.024}),"")</f>
        <v>0</v>
      </c>
      <c r="S12" s="12">
        <f>iferror(if(Q12="",G12,Q12)*R12,"")</f>
        <v>0</v>
      </c>
      <c r="T12" t="s">
        <v>132</v>
      </c>
      <c r="U12" s="13" t="s">
        <v>110</v>
      </c>
      <c r="X12" s="12">
        <f>iferror(lookup(if(W12="",G12,W12),{0,1,100,250,500,1000,2500,5000},{0.0,0.19,0.071,0.065,0.059,0.04,0.033,0.03}),"")</f>
        <v>0</v>
      </c>
      <c r="Y12" s="12">
        <f>iferror(if(W12="",G12,W12)*X12,"")</f>
        <v>0</v>
      </c>
      <c r="Z12" t="s">
        <v>154</v>
      </c>
      <c r="AA12" s="13" t="s">
        <v>110</v>
      </c>
    </row>
    <row r="13" spans="1:33">
      <c r="A13" t="s">
        <v>31</v>
      </c>
      <c r="B13" t="s">
        <v>32</v>
      </c>
      <c r="F13" t="s">
        <v>33</v>
      </c>
      <c r="G13">
        <f>BoardQty*1</f>
        <v>0</v>
      </c>
      <c r="H13" s="12">
        <f>MINA(INDIRECT(ADDRESS(ROW(),COLUMN(mouser_part_data)+2)),INDIRECT(ADDRESS(ROW(),COLUMN(digikey_part_data)+2)),INDIRECT(ADDRESS(ROW(),COLUMN(rs_part_data)+2)),INDIRECT(ADDRESS(ROW(),COLUMN(newark_part_data)+2)))</f>
        <v>0</v>
      </c>
      <c r="I13" s="12">
        <f>iferror(G13*H13,"")</f>
        <v>0</v>
      </c>
      <c r="J13">
        <v>8</v>
      </c>
      <c r="L13" s="12">
        <f>iferror(lookup(if(K13="",G13,K13),{0,1,6,100,200,300},{0.0,4.9,4.1,3.7,3.3,3.26003}),"")</f>
        <v>0</v>
      </c>
      <c r="M13" s="12">
        <f>iferror(if(K13="",G13,K13)*L13,"")</f>
        <v>0</v>
      </c>
      <c r="N13" t="s">
        <v>114</v>
      </c>
      <c r="O13" s="13" t="s">
        <v>110</v>
      </c>
      <c r="P13">
        <v>12</v>
      </c>
      <c r="R13" s="12">
        <f>iferror(lookup(if(Q13="",G13,Q13),{0,1,10,50,100,200},{0.0,5.23,4.37,3.94,3.52,3.48}),"")</f>
        <v>0</v>
      </c>
      <c r="S13" s="12">
        <f>iferror(if(Q13="",G13,Q13)*R13,"")</f>
        <v>0</v>
      </c>
      <c r="T13" t="s">
        <v>133</v>
      </c>
      <c r="U13" s="13" t="s">
        <v>110</v>
      </c>
      <c r="X13" s="12">
        <f>iferror(lookup(if(W13="",G13,W13),{0,1,10,25,50,100,250},{0.0,4.9,4.1,3.9,3.7,3.3,3.26}),"")</f>
        <v>0</v>
      </c>
      <c r="Y13" s="12">
        <f>iferror(if(W13="",G13,W13)*X13,"")</f>
        <v>0</v>
      </c>
      <c r="Z13" t="s">
        <v>155</v>
      </c>
      <c r="AA13" s="13" t="s">
        <v>110</v>
      </c>
      <c r="AF13" t="s">
        <v>175</v>
      </c>
      <c r="AG13" s="13" t="s">
        <v>110</v>
      </c>
    </row>
    <row r="14" spans="1:33">
      <c r="A14" t="s">
        <v>34</v>
      </c>
      <c r="B14" t="s">
        <v>35</v>
      </c>
      <c r="F14" t="s">
        <v>36</v>
      </c>
      <c r="G14">
        <f>BoardQty*1</f>
        <v>0</v>
      </c>
      <c r="H14" s="12">
        <f>MINA(INDIRECT(ADDRESS(ROW(),COLUMN(mouser_part_data)+2)),INDIRECT(ADDRESS(ROW(),COLUMN(digikey_part_data)+2)),INDIRECT(ADDRESS(ROW(),COLUMN(rs_part_data)+2)),INDIRECT(ADDRESS(ROW(),COLUMN(newark_part_data)+2)))</f>
        <v>0</v>
      </c>
      <c r="I14" s="12">
        <f>iferror(G14*H14,"")</f>
        <v>0</v>
      </c>
      <c r="J14">
        <v>1024</v>
      </c>
      <c r="L14" s="12">
        <f>iferror(lookup(if(K14="",G14,K14),{0,1,10,25,50,100,250,500,1000,5000},{0.0,1.5,1.43,1.3652,1.3,1.235,1.20252,1.1375,1.0075,0.975}),"")</f>
        <v>0</v>
      </c>
      <c r="M14" s="12">
        <f>iferror(if(K14="",G14,K14)*L14,"")</f>
        <v>0</v>
      </c>
      <c r="N14" t="s">
        <v>115</v>
      </c>
      <c r="O14" s="13" t="s">
        <v>110</v>
      </c>
      <c r="P14">
        <v>916</v>
      </c>
      <c r="R14" s="12">
        <f>iferror(lookup(if(Q14="",G14,Q14),{0,1,10,50,100,200,500,1000,2000,5000},{0.0,1.47,1.41,1.28,1.22,1.18,1.12,0.99,0.939,0.906}),"")</f>
        <v>0</v>
      </c>
      <c r="S14" s="12">
        <f>iferror(if(Q14="",G14,Q14)*R14,"")</f>
        <v>0</v>
      </c>
      <c r="T14" t="s">
        <v>134</v>
      </c>
      <c r="U14" s="13" t="s">
        <v>110</v>
      </c>
      <c r="X14" s="12">
        <f>iferror(lookup(if(W14="",G14,W14),{0,1,10,25,50,100,250,500,1000},{0.0,1.62,1.49,1.43,1.3,1.14,1.07,1.01,0.94}),"")</f>
        <v>0</v>
      </c>
      <c r="Y14" s="12">
        <f>iferror(if(W14="",G14,W14)*X14,"")</f>
        <v>0</v>
      </c>
      <c r="Z14" t="s">
        <v>156</v>
      </c>
      <c r="AA14" s="13" t="s">
        <v>110</v>
      </c>
      <c r="AF14" t="s">
        <v>176</v>
      </c>
      <c r="AG14" s="13" t="s">
        <v>110</v>
      </c>
    </row>
    <row r="15" spans="1:33">
      <c r="A15" t="s">
        <v>37</v>
      </c>
      <c r="B15" t="s">
        <v>38</v>
      </c>
      <c r="D15" t="s">
        <v>39</v>
      </c>
      <c r="F15" t="s">
        <v>38</v>
      </c>
      <c r="G15">
        <f>BoardQty*1</f>
        <v>0</v>
      </c>
      <c r="H15" s="12">
        <f>MINA(INDIRECT(ADDRESS(ROW(),COLUMN(mouser_part_data)+2)),INDIRECT(ADDRESS(ROW(),COLUMN(digikey_part_data)+2)),INDIRECT(ADDRESS(ROW(),COLUMN(rs_part_data)+2)),INDIRECT(ADDRESS(ROW(),COLUMN(newark_part_data)+2)))</f>
        <v>0</v>
      </c>
      <c r="I15" s="12">
        <f>iferror(G15*H15,"")</f>
        <v>0</v>
      </c>
      <c r="P15">
        <v>959</v>
      </c>
      <c r="R15" s="12">
        <f>iferror(lookup(if(Q15="",G15,Q15),{0,1,10,100,500,1000,2000,4000,10000},{0.0,2.31,2.05,1.64,1.44,1.19,1.11,1.07,1.06}),"")</f>
        <v>0</v>
      </c>
      <c r="S15" s="12">
        <f>iferror(if(Q15="",G15,Q15)*R15,"")</f>
        <v>0</v>
      </c>
      <c r="T15" t="s">
        <v>135</v>
      </c>
      <c r="U15" s="13" t="s">
        <v>110</v>
      </c>
      <c r="X15" s="12">
        <f>iferror(lookup(if(W15="",G15,W15),{0,1,10,50,100,500,1000,5000,10000},{0.0,0.562,0.455,0.34,0.296,0.279,0.236,0.214,0.204}),"")</f>
        <v>0</v>
      </c>
      <c r="Y15" s="12">
        <f>iferror(if(W15="",G15,W15)*X15,"")</f>
        <v>0</v>
      </c>
      <c r="Z15" t="s">
        <v>157</v>
      </c>
      <c r="AA15" s="13" t="s">
        <v>110</v>
      </c>
      <c r="AB15">
        <v>4910</v>
      </c>
      <c r="AD15" s="12">
        <f>iferror(lookup(if(AC15="",G15,AC15),{0,1,10,50,100,250,500},{0.0,0.195592,0.195592,0.19027699999999997,0.18389899999999998,0.178584,0.160513}),"")</f>
        <v>0</v>
      </c>
      <c r="AE15" s="12">
        <f>iferror(if(AC15="",G15,AC15)*AD15,"")</f>
        <v>0</v>
      </c>
      <c r="AF15" t="s">
        <v>177</v>
      </c>
      <c r="AG15" s="13" t="s">
        <v>110</v>
      </c>
    </row>
    <row r="16" spans="1:33">
      <c r="A16" t="s">
        <v>40</v>
      </c>
      <c r="B16" t="s">
        <v>41</v>
      </c>
      <c r="D16" t="s">
        <v>43</v>
      </c>
      <c r="F16" t="s">
        <v>42</v>
      </c>
      <c r="G16">
        <f>BoardQty*2</f>
        <v>0</v>
      </c>
      <c r="H16" s="12">
        <f>MINA(INDIRECT(ADDRESS(ROW(),COLUMN(mouser_part_data)+2)),INDIRECT(ADDRESS(ROW(),COLUMN(digikey_part_data)+2)),INDIRECT(ADDRESS(ROW(),COLUMN(rs_part_data)+2)),INDIRECT(ADDRESS(ROW(),COLUMN(newark_part_data)+2)))</f>
        <v>0</v>
      </c>
      <c r="I16" s="12">
        <f>iferror(G16*H16,"")</f>
        <v>0</v>
      </c>
      <c r="J16">
        <v>398</v>
      </c>
      <c r="L16" s="12">
        <f>iferror(lookup(if(K16="",G16,K16),{0,1,10,100,500,1000},{0.0,5.03,4.517,3.7011,3.15068,2.6572}),"")</f>
        <v>0</v>
      </c>
      <c r="M16" s="12">
        <f>iferror(if(K16="",G16,K16)*L16,"")</f>
        <v>0</v>
      </c>
      <c r="N16" t="s">
        <v>116</v>
      </c>
      <c r="O16" s="13" t="s">
        <v>110</v>
      </c>
      <c r="P16">
        <v>465</v>
      </c>
      <c r="R16" s="12">
        <f>iferror(lookup(if(Q16="",G16,Q16),{0,1,10,100,250,500,1000,2500,5000},{0.0,5.02,4.27,3.71,3.52,3.16,2.66,2.53,2.47}),"")</f>
        <v>0</v>
      </c>
      <c r="S16" s="12">
        <f>iferror(if(Q16="",G16,Q16)*R16,"")</f>
        <v>0</v>
      </c>
      <c r="T16" t="s">
        <v>136</v>
      </c>
      <c r="U16" s="13" t="s">
        <v>110</v>
      </c>
      <c r="X16" s="12">
        <f>iferror(lookup(if(W16="",G16,W16),{0,1,10,25,50,100,250,500,1000},{0.0,4.65,4.02,3.57,3.26,2.98,2.54,2.33,2.28}),"")</f>
        <v>0</v>
      </c>
      <c r="Y16" s="12">
        <f>iferror(if(W16="",G16,W16)*X16,"")</f>
        <v>0</v>
      </c>
      <c r="Z16" t="s">
        <v>158</v>
      </c>
      <c r="AA16" s="13" t="s">
        <v>110</v>
      </c>
    </row>
    <row r="17" spans="1:33">
      <c r="A17" t="s">
        <v>44</v>
      </c>
      <c r="B17" t="s">
        <v>45</v>
      </c>
      <c r="D17" t="s">
        <v>16</v>
      </c>
      <c r="F17" t="s">
        <v>46</v>
      </c>
      <c r="G17">
        <f>BoardQty*2</f>
        <v>0</v>
      </c>
      <c r="H17" s="12">
        <f>MINA(INDIRECT(ADDRESS(ROW(),COLUMN(mouser_part_data)+2)),INDIRECT(ADDRESS(ROW(),COLUMN(digikey_part_data)+2)),INDIRECT(ADDRESS(ROW(),COLUMN(rs_part_data)+2)),INDIRECT(ADDRESS(ROW(),COLUMN(newark_part_data)+2)))</f>
        <v>0</v>
      </c>
      <c r="I17" s="12">
        <f>iferror(G17*H17,"")</f>
        <v>0</v>
      </c>
      <c r="X17" s="12">
        <f>iferror(lookup(if(W17="",G17,W17),{0,1,50,100,500,1000,2000},{0.0,0.112,0.095,0.07,0.05,0.043,0.04}),"")</f>
        <v>0</v>
      </c>
      <c r="Y17" s="12">
        <f>iferror(if(W17="",G17,W17)*X17,"")</f>
        <v>0</v>
      </c>
      <c r="Z17" t="s">
        <v>159</v>
      </c>
      <c r="AA17" s="13" t="s">
        <v>110</v>
      </c>
    </row>
    <row r="18" spans="1:33">
      <c r="A18" t="s">
        <v>47</v>
      </c>
      <c r="B18" t="s">
        <v>48</v>
      </c>
      <c r="D18" t="s">
        <v>50</v>
      </c>
      <c r="F18" t="s">
        <v>49</v>
      </c>
      <c r="G18">
        <f>BoardQty*2</f>
        <v>0</v>
      </c>
      <c r="H18" s="12">
        <f>MINA(INDIRECT(ADDRESS(ROW(),COLUMN(mouser_part_data)+2)),INDIRECT(ADDRESS(ROW(),COLUMN(digikey_part_data)+2)),INDIRECT(ADDRESS(ROW(),COLUMN(rs_part_data)+2)),INDIRECT(ADDRESS(ROW(),COLUMN(newark_part_data)+2)))</f>
        <v>0</v>
      </c>
      <c r="I18" s="12">
        <f>iferror(G18*H18,"")</f>
        <v>0</v>
      </c>
      <c r="J18">
        <v>4685</v>
      </c>
      <c r="L18" s="12">
        <f>iferror(lookup(if(K18="",G18,K18),{0,1,10,25,50,100,250,500,1000,5000},{0.0,0.43,0.4,0.36,0.348,0.336,0.312,0.288,0.27,0.204}),"")</f>
        <v>0</v>
      </c>
      <c r="M18" s="12">
        <f>iferror(if(K18="",G18,K18)*L18,"")</f>
        <v>0</v>
      </c>
      <c r="N18" t="s">
        <v>117</v>
      </c>
      <c r="O18" s="13" t="s">
        <v>110</v>
      </c>
      <c r="P18">
        <v>1854</v>
      </c>
      <c r="R18" s="12">
        <f>iferror(lookup(if(Q18="",G18,Q18),{0,1,10,50,100,500,1000,2000,5000,10000},{0.0,0.431,0.361,0.35,0.313,0.289,0.271,0.229,0.205,0.204}),"")</f>
        <v>0</v>
      </c>
      <c r="S18" s="12">
        <f>iferror(if(Q18="",G18,Q18)*R18,"")</f>
        <v>0</v>
      </c>
      <c r="T18" t="s">
        <v>137</v>
      </c>
      <c r="U18" s="13" t="s">
        <v>110</v>
      </c>
      <c r="X18" s="12">
        <f>iferror(lookup(if(W18="",G18,W18),{0,1,10,25,100,500,1000,2500},{0.0,0.43,0.36,0.336,0.312,0.288,0.27,0.228}),"")</f>
        <v>0</v>
      </c>
      <c r="Y18" s="12">
        <f>iferror(if(W18="",G18,W18)*X18,"")</f>
        <v>0</v>
      </c>
      <c r="Z18" t="s">
        <v>160</v>
      </c>
      <c r="AA18" s="13" t="s">
        <v>110</v>
      </c>
      <c r="AB18">
        <v>20</v>
      </c>
      <c r="AD18" s="12">
        <f>iferror(lookup(if(AC18="",G18,AC18),{0,1,10,50},{0.0,0.33378199999999997,0.33378199999999997,0.31677399999999994}),"")</f>
        <v>0</v>
      </c>
      <c r="AE18" s="12">
        <f>iferror(if(AC18="",G18,AC18)*AD18,"")</f>
        <v>0</v>
      </c>
      <c r="AF18" t="s">
        <v>178</v>
      </c>
      <c r="AG18" s="13" t="s">
        <v>110</v>
      </c>
    </row>
    <row r="19" spans="1:33">
      <c r="A19" t="s">
        <v>51</v>
      </c>
      <c r="B19" t="s">
        <v>52</v>
      </c>
      <c r="D19" t="s">
        <v>54</v>
      </c>
      <c r="F19" t="s">
        <v>53</v>
      </c>
      <c r="G19">
        <f>BoardQty*1</f>
        <v>0</v>
      </c>
      <c r="H19" s="12">
        <f>MINA(INDIRECT(ADDRESS(ROW(),COLUMN(mouser_part_data)+2)),INDIRECT(ADDRESS(ROW(),COLUMN(digikey_part_data)+2)),INDIRECT(ADDRESS(ROW(),COLUMN(rs_part_data)+2)),INDIRECT(ADDRESS(ROW(),COLUMN(newark_part_data)+2)))</f>
        <v>0</v>
      </c>
      <c r="I19" s="12">
        <f>iferror(G19*H19,"")</f>
        <v>0</v>
      </c>
      <c r="J19">
        <v>12714</v>
      </c>
      <c r="L19" s="12">
        <f>iferror(lookup(if(K19="",G19,K19),{0,1,10,50,100,250,500,1000},{0.0,0.55,0.529,0.506,0.4922,0.46,0.4232,0.391}),"")</f>
        <v>0</v>
      </c>
      <c r="M19" s="12">
        <f>iferror(if(K19="",G19,K19)*L19,"")</f>
        <v>0</v>
      </c>
      <c r="N19" t="s">
        <v>118</v>
      </c>
      <c r="O19" s="13" t="s">
        <v>110</v>
      </c>
      <c r="P19">
        <v>5151</v>
      </c>
      <c r="R19" s="12">
        <f>iferror(lookup(if(Q19="",G19,Q19),{0,1,10,25,50,100,250,500,1000},{0.0,0.55,0.528,0.513,0.506,0.492,0.46,0.423,0.407}),"")</f>
        <v>0</v>
      </c>
      <c r="S19" s="12">
        <f>iferror(if(Q19="",G19,Q19)*R19,"")</f>
        <v>0</v>
      </c>
      <c r="T19" t="s">
        <v>138</v>
      </c>
      <c r="U19" s="13" t="s">
        <v>110</v>
      </c>
      <c r="X19" s="12">
        <f>iferror(lookup(if(W19="",G19,W19),{0,1,10,25,50,100,250,500,1000},{0.0,0.55,0.528,0.513,0.506,0.492,0.46,0.423,0.391}),"")</f>
        <v>0</v>
      </c>
      <c r="Y19" s="12">
        <f>iferror(if(W19="",G19,W19)*X19,"")</f>
        <v>0</v>
      </c>
      <c r="Z19" t="s">
        <v>161</v>
      </c>
      <c r="AA19" s="13" t="s">
        <v>110</v>
      </c>
      <c r="AB19">
        <v>35</v>
      </c>
      <c r="AD19" s="12">
        <f>iferror(lookup(if(AC19="",G19,AC19),{0,1,5,75,250,500,1000},{0.0,0.599532,0.599532,0.550634,0.514492,0.493232,0.46771999999999997}),"")</f>
        <v>0</v>
      </c>
      <c r="AE19" s="12">
        <f>iferror(if(AC19="",G19,AC19)*AD19,"")</f>
        <v>0</v>
      </c>
      <c r="AF19" t="s">
        <v>179</v>
      </c>
      <c r="AG19" s="13" t="s">
        <v>110</v>
      </c>
    </row>
    <row r="20" spans="1:33">
      <c r="A20" t="s">
        <v>55</v>
      </c>
      <c r="B20" t="s">
        <v>56</v>
      </c>
      <c r="D20" t="s">
        <v>58</v>
      </c>
      <c r="F20" t="s">
        <v>57</v>
      </c>
      <c r="G20">
        <f>BoardQty*1</f>
        <v>0</v>
      </c>
      <c r="H20" s="12">
        <f>MINA(INDIRECT(ADDRESS(ROW(),COLUMN(mouser_part_data)+2)),INDIRECT(ADDRESS(ROW(),COLUMN(digikey_part_data)+2)),INDIRECT(ADDRESS(ROW(),COLUMN(rs_part_data)+2)),INDIRECT(ADDRESS(ROW(),COLUMN(newark_part_data)+2)))</f>
        <v>0</v>
      </c>
      <c r="I20" s="12">
        <f>iferror(G20*H20,"")</f>
        <v>0</v>
      </c>
      <c r="L20" s="12">
        <f>iferror(lookup(if(K20="",G20,K20),{0,1,12000},{0.0,0.22743,0.22743}),"")</f>
        <v>0</v>
      </c>
      <c r="M20" s="12">
        <f>iferror(if(K20="",G20,K20)*L20,"")</f>
        <v>0</v>
      </c>
      <c r="N20" t="s">
        <v>119</v>
      </c>
      <c r="O20" s="13" t="s">
        <v>110</v>
      </c>
      <c r="T20" t="s">
        <v>139</v>
      </c>
      <c r="U20" s="13" t="s">
        <v>110</v>
      </c>
    </row>
    <row r="21" spans="1:33">
      <c r="A21" t="s">
        <v>59</v>
      </c>
      <c r="B21" t="s">
        <v>60</v>
      </c>
      <c r="D21" t="s">
        <v>61</v>
      </c>
      <c r="F21" t="s">
        <v>22</v>
      </c>
      <c r="G21">
        <f>BoardQty*1</f>
        <v>0</v>
      </c>
      <c r="H21" s="12">
        <f>MINA(INDIRECT(ADDRESS(ROW(),COLUMN(mouser_part_data)+2)),INDIRECT(ADDRESS(ROW(),COLUMN(digikey_part_data)+2)),INDIRECT(ADDRESS(ROW(),COLUMN(rs_part_data)+2)),INDIRECT(ADDRESS(ROW(),COLUMN(newark_part_data)+2)))</f>
        <v>0</v>
      </c>
      <c r="I21" s="12">
        <f>iferror(G21*H21,"")</f>
        <v>0</v>
      </c>
      <c r="J21">
        <v>118499</v>
      </c>
      <c r="L21" s="12">
        <f>iferror(lookup(if(K21="",G21,K21),{0,1,10,50,100,250,500,1000,2500},{0.0,0.12,0.117,0.0748,0.0724,0.0624,0.05992,0.05243,0.04744}),"")</f>
        <v>0</v>
      </c>
      <c r="M21" s="12">
        <f>iferror(if(K21="",G21,K21)*L21,"")</f>
        <v>0</v>
      </c>
      <c r="N21" t="s">
        <v>112</v>
      </c>
      <c r="O21" s="13" t="s">
        <v>110</v>
      </c>
      <c r="P21">
        <v>85919</v>
      </c>
      <c r="R21" s="12">
        <f>iferror(lookup(if(Q21="",G21,Q21),{0,1,10,100,500,1000,2500,10000,25000},{0.0,0.1,0.071,0.061,0.05,0.043,0.04,0.037,0.036}),"")</f>
        <v>0</v>
      </c>
      <c r="S21" s="12">
        <f>iferror(if(Q21="",G21,Q21)*R21,"")</f>
        <v>0</v>
      </c>
      <c r="T21" t="s">
        <v>130</v>
      </c>
      <c r="U21" s="13" t="s">
        <v>110</v>
      </c>
      <c r="X21" s="12">
        <f>iferror(lookup(if(W21="",G21,W21),{0,1,10,100,500,1000,2500,10000,25000},{0.0,0.1,0.07,0.06,0.05,0.04,0.04,0.04,0.04}),"")</f>
        <v>0</v>
      </c>
      <c r="Y21" s="12">
        <f>iferror(if(W21="",G21,W21)*X21,"")</f>
        <v>0</v>
      </c>
      <c r="Z21" t="s">
        <v>152</v>
      </c>
      <c r="AA21" s="13" t="s">
        <v>110</v>
      </c>
    </row>
    <row r="22" spans="1:33">
      <c r="A22" t="s">
        <v>62</v>
      </c>
      <c r="B22" t="s">
        <v>63</v>
      </c>
      <c r="D22" t="s">
        <v>65</v>
      </c>
      <c r="F22" t="s">
        <v>64</v>
      </c>
      <c r="G22">
        <f>BoardQty*4</f>
        <v>0</v>
      </c>
      <c r="H22" s="12">
        <f>MINA(INDIRECT(ADDRESS(ROW(),COLUMN(mouser_part_data)+2)),INDIRECT(ADDRESS(ROW(),COLUMN(digikey_part_data)+2)),INDIRECT(ADDRESS(ROW(),COLUMN(rs_part_data)+2)),INDIRECT(ADDRESS(ROW(),COLUMN(newark_part_data)+2)))</f>
        <v>0</v>
      </c>
      <c r="I22" s="12">
        <f>iferror(G22*H22,"")</f>
        <v>0</v>
      </c>
      <c r="J22">
        <v>1397</v>
      </c>
      <c r="L22" s="12">
        <f>iferror(lookup(if(K22="",G22,K22),{0,1,10,25,50,100,250,500,1000,2000,4000,10000,14000,50000,100000},{0.0,0.29,0.198,0.158,0.1318,0.112,0.08892,0.07904,0.06915,0.0588,0.05439,0.05145,0.0488,0.0441,0.03896}),"")</f>
        <v>0</v>
      </c>
      <c r="M22" s="12">
        <f>iferror(if(K22="",G22,K22)*L22,"")</f>
        <v>0</v>
      </c>
      <c r="N22" t="s">
        <v>120</v>
      </c>
      <c r="O22" s="13" t="s">
        <v>110</v>
      </c>
      <c r="P22">
        <v>3788</v>
      </c>
      <c r="R22" s="12">
        <f>iferror(lookup(if(Q22="",G22,Q22),{0,1,10,100,500,1000,2000,4000,8000,12000,24000},{0.0,0.289,0.131,0.088,0.078,0.058,0.058,0.054,0.051,0.048,0.038}),"")</f>
        <v>0</v>
      </c>
      <c r="S22" s="12">
        <f>iferror(if(Q22="",G22,Q22)*R22,"")</f>
        <v>0</v>
      </c>
      <c r="T22" t="s">
        <v>140</v>
      </c>
      <c r="U22" s="13" t="s">
        <v>110</v>
      </c>
      <c r="X22" s="12">
        <f>iferror(lookup(if(W22="",G22,W22),{0,1,10,25,50,100,250,500,1000},{0.0,0.281,0.262,0.172,0.144,0.122,0.099,0.087,0.077}),"")</f>
        <v>0</v>
      </c>
      <c r="Y22" s="12">
        <f>iferror(if(W22="",G22,W22)*X22,"")</f>
        <v>0</v>
      </c>
      <c r="Z22" t="s">
        <v>162</v>
      </c>
      <c r="AA22" s="13" t="s">
        <v>110</v>
      </c>
    </row>
    <row r="23" spans="1:33">
      <c r="A23" t="s">
        <v>66</v>
      </c>
      <c r="B23" t="s">
        <v>11</v>
      </c>
      <c r="F23" t="s">
        <v>12</v>
      </c>
      <c r="G23">
        <f>BoardQty*1</f>
        <v>0</v>
      </c>
      <c r="H23" s="12">
        <f>MINA(INDIRECT(ADDRESS(ROW(),COLUMN(mouser_part_data)+2)),INDIRECT(ADDRESS(ROW(),COLUMN(digikey_part_data)+2)),INDIRECT(ADDRESS(ROW(),COLUMN(rs_part_data)+2)),INDIRECT(ADDRESS(ROW(),COLUMN(newark_part_data)+2)))</f>
        <v>0</v>
      </c>
      <c r="I23" s="12">
        <f>iferror(G23*H23,"")</f>
        <v>0</v>
      </c>
      <c r="J23">
        <v>15435</v>
      </c>
      <c r="L23" s="12">
        <f>iferror(lookup(if(K23="",G23,K23),{0,1,10,25,50,100,250,500,1000,2500},{0.0,0.14,0.134,0.1,0.0858,0.0829,0.07148,0.06862,0.06004,0.05432}),"")</f>
        <v>0</v>
      </c>
      <c r="M23" s="12">
        <f>iferror(if(K23="",G23,K23)*L23,"")</f>
        <v>0</v>
      </c>
      <c r="N23" t="s">
        <v>111</v>
      </c>
      <c r="O23" s="13" t="s">
        <v>110</v>
      </c>
      <c r="P23">
        <v>21635</v>
      </c>
      <c r="R23" s="12">
        <f>iferror(lookup(if(Q23="",G23,Q23),{0,1,10,1000},{0.0,0.1,0.07,0.061}),"")</f>
        <v>0</v>
      </c>
      <c r="S23" s="12">
        <f>iferror(if(Q23="",G23,Q23)*R23,"")</f>
        <v>0</v>
      </c>
      <c r="T23" t="s">
        <v>129</v>
      </c>
      <c r="U23" s="13" t="s">
        <v>110</v>
      </c>
      <c r="X23" s="12">
        <f>iferror(lookup(if(W23="",G23,W23),{0,1,10,100,500,1000,25000},{0.0,0.1,0.07,0.06,0.06,0.05,0.05}),"")</f>
        <v>0</v>
      </c>
      <c r="Y23" s="12">
        <f>iferror(if(W23="",G23,W23)*X23,"")</f>
        <v>0</v>
      </c>
      <c r="Z23" t="s">
        <v>149</v>
      </c>
      <c r="AA23" s="13" t="s">
        <v>110</v>
      </c>
      <c r="AB23">
        <v>200</v>
      </c>
      <c r="AD23" s="12">
        <f>iferror(lookup(if(AC23="",G23,AC23),{0,1,10,50},{0.0,0.18177300000000002,0.18177300000000002,0.125434}),"")</f>
        <v>0</v>
      </c>
      <c r="AE23" s="12">
        <f>iferror(if(AC23="",G23,AC23)*AD23,"")</f>
        <v>0</v>
      </c>
      <c r="AF23" t="s">
        <v>174</v>
      </c>
      <c r="AG23" s="13" t="s">
        <v>110</v>
      </c>
    </row>
    <row r="24" spans="1:33">
      <c r="A24" t="s">
        <v>67</v>
      </c>
      <c r="B24" t="s">
        <v>68</v>
      </c>
      <c r="D24" t="s">
        <v>16</v>
      </c>
      <c r="F24" t="s">
        <v>69</v>
      </c>
      <c r="G24">
        <f>BoardQty*2</f>
        <v>0</v>
      </c>
      <c r="H24" s="12">
        <f>MINA(INDIRECT(ADDRESS(ROW(),COLUMN(mouser_part_data)+2)),INDIRECT(ADDRESS(ROW(),COLUMN(digikey_part_data)+2)),INDIRECT(ADDRESS(ROW(),COLUMN(rs_part_data)+2)),INDIRECT(ADDRESS(ROW(),COLUMN(newark_part_data)+2)))</f>
        <v>0</v>
      </c>
      <c r="I24" s="12">
        <f>iferror(G24*H24,"")</f>
        <v>0</v>
      </c>
      <c r="X24" s="12">
        <f>iferror(lookup(if(W24="",G24,W24),{0,1,50,100,500,1000,2000},{0.0,0.112,0.095,0.07,0.05,0.043,0.04}),"")</f>
        <v>0</v>
      </c>
      <c r="Y24" s="12">
        <f>iferror(if(W24="",G24,W24)*X24,"")</f>
        <v>0</v>
      </c>
      <c r="Z24" t="s">
        <v>163</v>
      </c>
      <c r="AA24" s="13" t="s">
        <v>110</v>
      </c>
    </row>
    <row r="25" spans="1:33">
      <c r="A25" t="s">
        <v>70</v>
      </c>
      <c r="B25" t="s">
        <v>71</v>
      </c>
      <c r="D25" t="s">
        <v>73</v>
      </c>
      <c r="F25" t="s">
        <v>72</v>
      </c>
      <c r="G25">
        <f>BoardQty*8</f>
        <v>0</v>
      </c>
      <c r="H25" s="12">
        <f>MINA(INDIRECT(ADDRESS(ROW(),COLUMN(mouser_part_data)+2)),INDIRECT(ADDRESS(ROW(),COLUMN(digikey_part_data)+2)),INDIRECT(ADDRESS(ROW(),COLUMN(rs_part_data)+2)),INDIRECT(ADDRESS(ROW(),COLUMN(newark_part_data)+2)))</f>
        <v>0</v>
      </c>
      <c r="I25" s="12">
        <f>iferror(G25*H25,"")</f>
        <v>0</v>
      </c>
      <c r="J25">
        <v>117509</v>
      </c>
      <c r="L25" s="12">
        <f>iferror(lookup(if(K25="",G25,K25),{0,1,10,100,500,1000,2500,4000,5000,8000,12000,20000,28000,100000},{0.0,0.2,0.134,0.068,0.04654,0.04117,0.03938,0.0358,0.0358,0.03401,0.03222,0.03222,0.03043,0.02417}),"")</f>
        <v>0</v>
      </c>
      <c r="M25" s="12">
        <f>iferror(if(K25="",G25,K25)*L25,"")</f>
        <v>0</v>
      </c>
      <c r="N25" t="s">
        <v>121</v>
      </c>
      <c r="O25" s="13" t="s">
        <v>110</v>
      </c>
      <c r="P25">
        <v>31843</v>
      </c>
      <c r="R25" s="12">
        <f>iferror(lookup(if(Q25="",G25,Q25),{0,1,50,100,1000,5000,30000},{0.0,0.1,0.054,0.043,0.037,0.033,0.031}),"")</f>
        <v>0</v>
      </c>
      <c r="S25" s="12">
        <f>iferror(if(Q25="",G25,Q25)*R25,"")</f>
        <v>0</v>
      </c>
      <c r="T25" t="s">
        <v>141</v>
      </c>
      <c r="U25" s="13" t="s">
        <v>110</v>
      </c>
      <c r="X25" s="12">
        <f>iferror(lookup(if(W25="",G25,W25),{0,1,10,100,500,1000,5000},{0.0,0.1,0.072,0.044,0.041,0.037,0.033}),"")</f>
        <v>0</v>
      </c>
      <c r="Y25" s="12">
        <f>iferror(if(W25="",G25,W25)*X25,"")</f>
        <v>0</v>
      </c>
      <c r="Z25" t="s">
        <v>164</v>
      </c>
      <c r="AA25" s="13" t="s">
        <v>110</v>
      </c>
      <c r="AF25" t="s">
        <v>180</v>
      </c>
      <c r="AG25" s="13" t="s">
        <v>110</v>
      </c>
    </row>
    <row r="26" spans="1:33">
      <c r="A26" t="s">
        <v>74</v>
      </c>
      <c r="B26" t="s">
        <v>75</v>
      </c>
      <c r="D26" t="s">
        <v>16</v>
      </c>
      <c r="F26" t="s">
        <v>76</v>
      </c>
      <c r="G26">
        <f>BoardQty*2</f>
        <v>0</v>
      </c>
      <c r="H26" s="12">
        <f>MINA(INDIRECT(ADDRESS(ROW(),COLUMN(mouser_part_data)+2)),INDIRECT(ADDRESS(ROW(),COLUMN(digikey_part_data)+2)),INDIRECT(ADDRESS(ROW(),COLUMN(rs_part_data)+2)),INDIRECT(ADDRESS(ROW(),COLUMN(newark_part_data)+2)))</f>
        <v>0</v>
      </c>
      <c r="I26" s="12">
        <f>iferror(G26*H26,"")</f>
        <v>0</v>
      </c>
      <c r="L26" s="12">
        <f>iferror(lookup(if(K26="",G26,K26),{0,1,4000},{0.0,0.01323,0.01323}),"")</f>
        <v>0</v>
      </c>
      <c r="M26" s="12">
        <f>iferror(if(K26="",G26,K26)*L26,"")</f>
        <v>0</v>
      </c>
      <c r="N26" t="s">
        <v>122</v>
      </c>
      <c r="O26" s="13" t="s">
        <v>110</v>
      </c>
      <c r="P26">
        <v>8000</v>
      </c>
      <c r="R26" s="12">
        <f>iferror(lookup(if(Q26="",G26,Q26),{0,1,4000,8000,12000,24000},{0.0,0.023,0.023,0.021,0.019,0.017}),"")</f>
        <v>0</v>
      </c>
      <c r="S26" s="12">
        <f>iferror(if(Q26="",G26,Q26)*R26,"")</f>
        <v>0</v>
      </c>
      <c r="T26" t="s">
        <v>142</v>
      </c>
      <c r="U26" s="13" t="s">
        <v>110</v>
      </c>
      <c r="X26" s="12">
        <f>iferror(lookup(if(W26="",G26,W26),{0,1,10,25,50,100,250,500,1000},{0.0,0.038,0.036,0.027,0.023,0.023,0.02,0.019,0.017}),"")</f>
        <v>0</v>
      </c>
      <c r="Y26" s="12">
        <f>iferror(if(W26="",G26,W26)*X26,"")</f>
        <v>0</v>
      </c>
      <c r="Z26" t="s">
        <v>165</v>
      </c>
      <c r="AA26" s="13" t="s">
        <v>110</v>
      </c>
    </row>
    <row r="27" spans="1:33">
      <c r="A27" t="s">
        <v>77</v>
      </c>
      <c r="B27" t="s">
        <v>78</v>
      </c>
      <c r="D27" t="s">
        <v>16</v>
      </c>
      <c r="F27" t="s">
        <v>79</v>
      </c>
      <c r="G27">
        <f>BoardQty*2</f>
        <v>0</v>
      </c>
      <c r="H27" s="12">
        <f>MINA(INDIRECT(ADDRESS(ROW(),COLUMN(mouser_part_data)+2)),INDIRECT(ADDRESS(ROW(),COLUMN(digikey_part_data)+2)),INDIRECT(ADDRESS(ROW(),COLUMN(rs_part_data)+2)),INDIRECT(ADDRESS(ROW(),COLUMN(newark_part_data)+2)))</f>
        <v>0</v>
      </c>
      <c r="I27" s="12">
        <f>iferror(G27*H27,"")</f>
        <v>0</v>
      </c>
      <c r="L27" s="12">
        <f>iferror(lookup(if(K27="",G27,K27),{0,1,4000},{0.0,0.01323,0.01323}),"")</f>
        <v>0</v>
      </c>
      <c r="M27" s="12">
        <f>iferror(if(K27="",G27,K27)*L27,"")</f>
        <v>0</v>
      </c>
      <c r="N27" t="s">
        <v>123</v>
      </c>
      <c r="O27" s="13" t="s">
        <v>110</v>
      </c>
      <c r="R27" s="12">
        <f>iferror(lookup(if(Q27="",G27,Q27),{0,1,4000,8000,12000,24000},{0.0,0.023,0.023,0.021,0.019,0.017}),"")</f>
        <v>0</v>
      </c>
      <c r="S27" s="12">
        <f>iferror(if(Q27="",G27,Q27)*R27,"")</f>
        <v>0</v>
      </c>
      <c r="T27" t="s">
        <v>143</v>
      </c>
      <c r="U27" s="13" t="s">
        <v>110</v>
      </c>
      <c r="X27" s="12">
        <f>iferror(lookup(if(W27="",G27,W27),{0,1,10,25,50,100,250,500,1000},{0.0,0.038,0.036,0.027,0.023,0.023,0.02,0.019,0.017}),"")</f>
        <v>0</v>
      </c>
      <c r="Y27" s="12">
        <f>iferror(if(W27="",G27,W27)*X27,"")</f>
        <v>0</v>
      </c>
      <c r="Z27" t="s">
        <v>166</v>
      </c>
      <c r="AA27" s="13" t="s">
        <v>110</v>
      </c>
    </row>
    <row r="28" spans="1:33">
      <c r="A28" t="s">
        <v>80</v>
      </c>
      <c r="B28" t="s">
        <v>81</v>
      </c>
      <c r="D28" t="s">
        <v>83</v>
      </c>
      <c r="F28" t="s">
        <v>82</v>
      </c>
      <c r="G28">
        <f>BoardQty*2</f>
        <v>0</v>
      </c>
      <c r="H28" s="12">
        <f>MINA(INDIRECT(ADDRESS(ROW(),COLUMN(mouser_part_data)+2)),INDIRECT(ADDRESS(ROW(),COLUMN(digikey_part_data)+2)),INDIRECT(ADDRESS(ROW(),COLUMN(rs_part_data)+2)),INDIRECT(ADDRESS(ROW(),COLUMN(newark_part_data)+2)))</f>
        <v>0</v>
      </c>
      <c r="I28" s="12">
        <f>iferror(G28*H28,"")</f>
        <v>0</v>
      </c>
      <c r="J28">
        <v>4723</v>
      </c>
      <c r="L28" s="12">
        <f>iferror(lookup(if(K28="",G28,K28),{0,1,10,50,100,250,500,1000},{0.0,0.78,0.751,0.718,0.6985,0.6528,0.60058,0.544}),"")</f>
        <v>0</v>
      </c>
      <c r="M28" s="12">
        <f>iferror(if(K28="",G28,K28)*L28,"")</f>
        <v>0</v>
      </c>
      <c r="N28" t="s">
        <v>124</v>
      </c>
      <c r="O28" s="13" t="s">
        <v>110</v>
      </c>
      <c r="P28">
        <v>2941</v>
      </c>
      <c r="R28" s="12">
        <f>iferror(lookup(if(Q28="",G28,Q28),{0,1,10,25,50,100,250,500,1000},{0.0,0.76,0.735,0.712,0.704,0.684,0.64,0.588,0.565}),"")</f>
        <v>0</v>
      </c>
      <c r="S28" s="12">
        <f>iferror(if(Q28="",G28,Q28)*R28,"")</f>
        <v>0</v>
      </c>
      <c r="T28" t="s">
        <v>144</v>
      </c>
      <c r="U28" s="13" t="s">
        <v>110</v>
      </c>
      <c r="X28" s="12">
        <f>iferror(lookup(if(W28="",G28,W28),{0,1,10,25,50,100,250,500,1000},{0.0,0.76,0.735,0.713,0.704,0.684,0.64,0.589,0.544}),"")</f>
        <v>0</v>
      </c>
      <c r="Y28" s="12">
        <f>iferror(if(W28="",G28,W28)*X28,"")</f>
        <v>0</v>
      </c>
      <c r="Z28" t="s">
        <v>167</v>
      </c>
      <c r="AA28" s="13" t="s">
        <v>110</v>
      </c>
    </row>
    <row r="29" spans="1:33">
      <c r="A29" t="s">
        <v>84</v>
      </c>
      <c r="B29" t="s">
        <v>85</v>
      </c>
      <c r="F29" t="s">
        <v>86</v>
      </c>
      <c r="G29">
        <f>BoardQty*2</f>
        <v>0</v>
      </c>
      <c r="H29" s="12">
        <f>MINA(INDIRECT(ADDRESS(ROW(),COLUMN(mouser_part_data)+2)),INDIRECT(ADDRESS(ROW(),COLUMN(digikey_part_data)+2)),INDIRECT(ADDRESS(ROW(),COLUMN(rs_part_data)+2)),INDIRECT(ADDRESS(ROW(),COLUMN(newark_part_data)+2)))</f>
        <v>0</v>
      </c>
      <c r="I29" s="12">
        <f>iferror(G29*H29,"")</f>
        <v>0</v>
      </c>
      <c r="J29">
        <v>3350</v>
      </c>
      <c r="L29" s="12">
        <f>iferror(lookup(if(K29="",G29,K29),{0,1,10,25,50,100,250,500,1000,5000},{0.0,2.66,2.589,2.5184,2.3786,2.2387,2.0988,2.02884,1.81896,1.78398}),"")</f>
        <v>0</v>
      </c>
      <c r="M29" s="12">
        <f>iferror(if(K29="",G29,K29)*L29,"")</f>
        <v>0</v>
      </c>
      <c r="N29" t="s">
        <v>125</v>
      </c>
      <c r="O29" s="13" t="s">
        <v>110</v>
      </c>
      <c r="R29" s="12">
        <f>iferror(lookup(if(Q29="",G29,Q29),{0,1,2500},{0.0,1.71,1.71}),"")</f>
        <v>0</v>
      </c>
      <c r="S29" s="12">
        <f>iferror(if(Q29="",G29,Q29)*R29,"")</f>
        <v>0</v>
      </c>
      <c r="T29" t="s">
        <v>145</v>
      </c>
      <c r="U29" s="13" t="s">
        <v>110</v>
      </c>
      <c r="X29" s="12">
        <f>iferror(lookup(if(W29="",G29,W29),{0,1,10,25,50,100,250,500,1000},{0.0,3.92,3.77,3.65,3.37,3.08,2.7,2.42,2.27}),"")</f>
        <v>0</v>
      </c>
      <c r="Y29" s="12">
        <f>iferror(if(W29="",G29,W29)*X29,"")</f>
        <v>0</v>
      </c>
      <c r="Z29" t="s">
        <v>168</v>
      </c>
      <c r="AA29" s="13" t="s">
        <v>110</v>
      </c>
    </row>
    <row r="30" spans="1:33">
      <c r="A30" t="s">
        <v>87</v>
      </c>
      <c r="B30" t="s">
        <v>88</v>
      </c>
      <c r="D30" t="s">
        <v>90</v>
      </c>
      <c r="F30" t="s">
        <v>89</v>
      </c>
      <c r="G30">
        <f>BoardQty*4</f>
        <v>0</v>
      </c>
      <c r="H30" s="12">
        <f>MINA(INDIRECT(ADDRESS(ROW(),COLUMN(mouser_part_data)+2)),INDIRECT(ADDRESS(ROW(),COLUMN(digikey_part_data)+2)),INDIRECT(ADDRESS(ROW(),COLUMN(rs_part_data)+2)),INDIRECT(ADDRESS(ROW(),COLUMN(newark_part_data)+2)))</f>
        <v>0</v>
      </c>
      <c r="I30" s="12">
        <f>iferror(G30*H30,"")</f>
        <v>0</v>
      </c>
      <c r="J30">
        <v>9320</v>
      </c>
      <c r="L30" s="12">
        <f>iferror(lookup(if(K30="",G30,K30),{0,1,10,100,500,1000,2500,5000},{0.0,0.22,0.15,0.0758,0.05188,0.04589,0.04389,0.0399}),"")</f>
        <v>0</v>
      </c>
      <c r="M30" s="12">
        <f>iferror(if(K30="",G30,K30)*L30,"")</f>
        <v>0</v>
      </c>
      <c r="N30" t="s">
        <v>126</v>
      </c>
      <c r="O30" s="13" t="s">
        <v>110</v>
      </c>
      <c r="P30">
        <v>4102</v>
      </c>
      <c r="R30" s="12">
        <f>iferror(lookup(if(Q30="",G30,Q30),{0,1,10,100,500,1000,2000,10000,25000,50000},{0.0,0.2,0.082,0.067,0.061,0.043,0.038,0.036,0.034,0.03}),"")</f>
        <v>0</v>
      </c>
      <c r="S30" s="12">
        <f>iferror(if(Q30="",G30,Q30)*R30,"")</f>
        <v>0</v>
      </c>
      <c r="T30" t="s">
        <v>146</v>
      </c>
      <c r="U30" s="13" t="s">
        <v>110</v>
      </c>
      <c r="X30" s="12">
        <f>iferror(lookup(if(W30="",G30,W30),{0,1,25,100,250},{0.0,0.032,0.029,0.026,0.023}),"")</f>
        <v>0</v>
      </c>
      <c r="Y30" s="12">
        <f>iferror(if(W30="",G30,W30)*X30,"")</f>
        <v>0</v>
      </c>
      <c r="Z30" t="s">
        <v>169</v>
      </c>
      <c r="AA30" s="13" t="s">
        <v>110</v>
      </c>
    </row>
    <row r="31" spans="1:33">
      <c r="A31" t="s">
        <v>91</v>
      </c>
      <c r="B31" t="s">
        <v>92</v>
      </c>
      <c r="D31" t="s">
        <v>16</v>
      </c>
      <c r="F31" t="s">
        <v>76</v>
      </c>
      <c r="G31">
        <f>BoardQty*1</f>
        <v>0</v>
      </c>
      <c r="H31" s="12">
        <f>MINA(INDIRECT(ADDRESS(ROW(),COLUMN(mouser_part_data)+2)),INDIRECT(ADDRESS(ROW(),COLUMN(digikey_part_data)+2)),INDIRECT(ADDRESS(ROW(),COLUMN(rs_part_data)+2)),INDIRECT(ADDRESS(ROW(),COLUMN(newark_part_data)+2)))</f>
        <v>0</v>
      </c>
      <c r="I31" s="12">
        <f>iferror(G31*H31,"")</f>
        <v>0</v>
      </c>
      <c r="L31" s="12">
        <f>iferror(lookup(if(K31="",G31,K31),{0,1,4000},{0.0,0.01323,0.01323}),"")</f>
        <v>0</v>
      </c>
      <c r="M31" s="12">
        <f>iferror(if(K31="",G31,K31)*L31,"")</f>
        <v>0</v>
      </c>
      <c r="N31" t="s">
        <v>122</v>
      </c>
      <c r="O31" s="13" t="s">
        <v>110</v>
      </c>
      <c r="P31">
        <v>8000</v>
      </c>
      <c r="R31" s="12">
        <f>iferror(lookup(if(Q31="",G31,Q31),{0,1,4000,8000,12000,24000},{0.0,0.023,0.023,0.021,0.019,0.017}),"")</f>
        <v>0</v>
      </c>
      <c r="S31" s="12">
        <f>iferror(if(Q31="",G31,Q31)*R31,"")</f>
        <v>0</v>
      </c>
      <c r="T31" t="s">
        <v>142</v>
      </c>
      <c r="U31" s="13" t="s">
        <v>110</v>
      </c>
      <c r="X31" s="12">
        <f>iferror(lookup(if(W31="",G31,W31),{0,1,10,25,50,100,250,500,1000},{0.0,0.038,0.036,0.027,0.023,0.023,0.02,0.019,0.017}),"")</f>
        <v>0</v>
      </c>
      <c r="Y31" s="12">
        <f>iferror(if(W31="",G31,W31)*X31,"")</f>
        <v>0</v>
      </c>
      <c r="Z31" t="s">
        <v>165</v>
      </c>
      <c r="AA31" s="13" t="s">
        <v>110</v>
      </c>
    </row>
    <row r="32" spans="1:33">
      <c r="A32" t="s">
        <v>93</v>
      </c>
      <c r="B32" t="s">
        <v>94</v>
      </c>
      <c r="D32" t="s">
        <v>16</v>
      </c>
      <c r="F32" t="s">
        <v>95</v>
      </c>
      <c r="G32">
        <f>BoardQty*4</f>
        <v>0</v>
      </c>
      <c r="H32" s="12">
        <f>MINA(INDIRECT(ADDRESS(ROW(),COLUMN(mouser_part_data)+2)),INDIRECT(ADDRESS(ROW(),COLUMN(digikey_part_data)+2)),INDIRECT(ADDRESS(ROW(),COLUMN(rs_part_data)+2)),INDIRECT(ADDRESS(ROW(),COLUMN(newark_part_data)+2)))</f>
        <v>0</v>
      </c>
      <c r="I32" s="12">
        <f>iferror(G32*H32,"")</f>
        <v>0</v>
      </c>
      <c r="X32" s="12">
        <f>iferror(lookup(if(W32="",G32,W32),{0,1,10,100,1000},{0.0,0.067,0.036,0.023,0.013}),"")</f>
        <v>0</v>
      </c>
      <c r="Y32" s="12">
        <f>iferror(if(W32="",G32,W32)*X32,"")</f>
        <v>0</v>
      </c>
      <c r="Z32" t="s">
        <v>170</v>
      </c>
      <c r="AA32" s="13" t="s">
        <v>110</v>
      </c>
    </row>
    <row r="33" spans="1:31">
      <c r="A33" t="s">
        <v>96</v>
      </c>
      <c r="B33" t="s">
        <v>97</v>
      </c>
      <c r="F33" t="s">
        <v>98</v>
      </c>
      <c r="G33">
        <f>BoardQty*1</f>
        <v>0</v>
      </c>
      <c r="H33" s="12">
        <f>MINA(INDIRECT(ADDRESS(ROW(),COLUMN(mouser_part_data)+2)),INDIRECT(ADDRESS(ROW(),COLUMN(digikey_part_data)+2)),INDIRECT(ADDRESS(ROW(),COLUMN(rs_part_data)+2)),INDIRECT(ADDRESS(ROW(),COLUMN(newark_part_data)+2)))</f>
        <v>0</v>
      </c>
      <c r="I33" s="12">
        <f>iferror(G33*H33,"")</f>
        <v>0</v>
      </c>
      <c r="T33" t="s">
        <v>139</v>
      </c>
      <c r="U33" s="13" t="s">
        <v>110</v>
      </c>
      <c r="X33" s="12">
        <f>iferror(lookup(if(W33="",G33,W33),{0,1,25,50,100},{0.0,1.62,1.55,1.48,1.41}),"")</f>
        <v>0</v>
      </c>
      <c r="Y33" s="12">
        <f>iferror(if(W33="",G33,W33)*X33,"")</f>
        <v>0</v>
      </c>
      <c r="Z33" t="s">
        <v>171</v>
      </c>
      <c r="AA33" s="13" t="s">
        <v>110</v>
      </c>
    </row>
    <row r="34" spans="1:31">
      <c r="A34" t="s">
        <v>99</v>
      </c>
      <c r="B34" t="s">
        <v>100</v>
      </c>
      <c r="D34" t="s">
        <v>65</v>
      </c>
      <c r="F34" t="s">
        <v>101</v>
      </c>
      <c r="G34">
        <f>BoardQty*1</f>
        <v>0</v>
      </c>
      <c r="H34" s="12">
        <f>MINA(INDIRECT(ADDRESS(ROW(),COLUMN(mouser_part_data)+2)),INDIRECT(ADDRESS(ROW(),COLUMN(digikey_part_data)+2)),INDIRECT(ADDRESS(ROW(),COLUMN(rs_part_data)+2)),INDIRECT(ADDRESS(ROW(),COLUMN(newark_part_data)+2)))</f>
        <v>0</v>
      </c>
      <c r="I34" s="12">
        <f>iferror(G34*H34,"")</f>
        <v>0</v>
      </c>
      <c r="J34">
        <v>3294</v>
      </c>
      <c r="L34" s="12">
        <f>iferror(lookup(if(K34="",G34,K34),{0,1,10,100,500,1000,2500,5000},{0.0,0.21,0.142,0.0718,0.04914,0.04347,0.04158,0.0378}),"")</f>
        <v>0</v>
      </c>
      <c r="M34" s="12">
        <f>iferror(if(K34="",G34,K34)*L34,"")</f>
        <v>0</v>
      </c>
      <c r="N34" t="s">
        <v>127</v>
      </c>
      <c r="O34" s="13" t="s">
        <v>110</v>
      </c>
      <c r="P34">
        <v>3123</v>
      </c>
      <c r="R34" s="12">
        <f>iferror(lookup(if(Q34="",G34,Q34),{0,1,10,100,500,1000,2000,10000,25000,50000},{0.0,0.19,0.078,0.063,0.058,0.041,0.036,0.034,0.032,0.029}),"")</f>
        <v>0</v>
      </c>
      <c r="S34" s="12">
        <f>iferror(if(Q34="",G34,Q34)*R34,"")</f>
        <v>0</v>
      </c>
      <c r="T34" t="s">
        <v>147</v>
      </c>
      <c r="U34" s="13" t="s">
        <v>110</v>
      </c>
      <c r="X34" s="12">
        <f>iferror(lookup(if(W34="",G34,W34),{0,1,25,100,250},{0.0,0.062,0.054,0.048,0.044}),"")</f>
        <v>0</v>
      </c>
      <c r="Y34" s="12">
        <f>iferror(if(W34="",G34,W34)*X34,"")</f>
        <v>0</v>
      </c>
      <c r="Z34" t="s">
        <v>172</v>
      </c>
      <c r="AA34" s="13" t="s">
        <v>110</v>
      </c>
    </row>
    <row r="36" spans="1:31">
      <c r="K36">
        <f t="array" ref="K36">IFERROR(CONCATENATE(TEXT(INDEX($K$7:$K$34,SMALL(IF($N$7:$N$34&lt;&gt;"",IF($K$7:$K$34&lt;&gt;"",ROW($K$7:$K$34)-MIN(ROW($K$7:$K$34))+1,""),""),ROW()-ROW(A$36)+1)),"##0"),","),"")</f>
        <v>0</v>
      </c>
      <c r="L36">
        <f t="array" ref="L36">IFERROR(CONCATENATE((INDEX($N$7:$N$34,SMALL(IF($N$7:$N$34&lt;&gt;"",IF($K$7:$K$34&lt;&gt;"",ROW($K$7:$K$34)-MIN(ROW($K$7:$K$34))+1,""),""),ROW()-ROW(A$36)+1))),","),"")</f>
        <v>0</v>
      </c>
      <c r="M36">
        <f t="array" ref="M36">IFERROR(CONCATENATE((INDEX($A$7:$A$34,SMALL(IF($N$7:$N$34&lt;&gt;"",IF($K$7:$K$34&lt;&gt;"",ROW($K$7:$K$34)-MIN(ROW($K$7:$K$34))+1,""),""),ROW()-ROW(A$36)+1))),),"")</f>
        <v>0</v>
      </c>
      <c r="Q36">
        <f t="array" ref="Q36">IFERROR(CONCATENATE((INDEX($T$7:$T$34,SMALL(IF($T$7:$T$34&lt;&gt;"",IF($Q$7:$Q$34&lt;&gt;"",ROW($Q$7:$Q$34)-MIN(ROW($Q$7:$Q$34))+1,""),""),ROW()-ROW(A$36)+1)))," "),"")</f>
        <v>0</v>
      </c>
      <c r="R36">
        <f t="array" ref="R36">IFERROR(CONCATENATE(TEXT(INDEX($Q$7:$Q$34,SMALL(IF($T$7:$T$34&lt;&gt;"",IF($Q$7:$Q$34&lt;&gt;"",ROW($Q$7:$Q$34)-MIN(ROW($Q$7:$Q$34))+1,""),""),ROW()-ROW(A$36)+1)),"##0")," "),"")</f>
        <v>0</v>
      </c>
      <c r="S36">
        <f t="array" ref="S36">IFERROR(CONCATENATE((INDEX($A$7:$A$34,SMALL(IF($T$7:$T$34&lt;&gt;"",IF($Q$7:$Q$34&lt;&gt;"",ROW($Q$7:$Q$34)-MIN(ROW($Q$7:$Q$34))+1,""),""),ROW()-ROW(A$36)+1))),),"")</f>
        <v>0</v>
      </c>
      <c r="W36">
        <f t="array" ref="W36">IFERROR(CONCATENATE((INDEX($Z$7:$Z$34,SMALL(IF($Z$7:$Z$34&lt;&gt;"",IF($W$7:$W$34&lt;&gt;"",ROW($W$7:$W$34)-MIN(ROW($W$7:$W$34))+1,""),""),ROW()-ROW(A$36)+1))),","),"")</f>
        <v>0</v>
      </c>
      <c r="X36">
        <f t="array" ref="X36">IFERROR(CONCATENATE(TEXT(INDEX($W$7:$W$34,SMALL(IF($Z$7:$Z$34&lt;&gt;"",IF($W$7:$W$34&lt;&gt;"",ROW($W$7:$W$34)-MIN(ROW($W$7:$W$34))+1,""),""),ROW()-ROW(A$36)+1)),"##0"),","),"")</f>
        <v>0</v>
      </c>
      <c r="Y36">
        <f t="array" ref="Y36">IFERROR(CONCATENATE((INDEX($A$7:$A$34,SMALL(IF($Z$7:$Z$34&lt;&gt;"",IF($W$7:$W$34&lt;&gt;"",ROW($W$7:$W$34)-MIN(ROW($W$7:$W$34))+1,""),""),ROW()-ROW(A$36)+1))),),"")</f>
        <v>0</v>
      </c>
      <c r="AC36">
        <f t="array" ref="AC36">IFERROR(CONCATENATE((INDEX($AF$7:$AF$34,SMALL(IF($AF$7:$AF$34&lt;&gt;"",IF($AC$7:$AC$34&lt;&gt;"",ROW($AC$7:$AC$34)-MIN(ROW($AC$7:$AC$34))+1,""),""),ROW()-ROW(A$36)+1)))," "),"")</f>
        <v>0</v>
      </c>
      <c r="AD36">
        <f t="array" ref="AD36">IFERROR(CONCATENATE(TEXT(INDEX($AC$7:$AC$34,SMALL(IF($AF$7:$AF$34&lt;&gt;"",IF($AC$7:$AC$34&lt;&gt;"",ROW($AC$7:$AC$34)-MIN(ROW($AC$7:$AC$34))+1,""),""),ROW()-ROW(A$36)+1)),"##0")," "),"")</f>
        <v>0</v>
      </c>
      <c r="AE36">
        <f t="array" ref="AE36">IFERROR(CONCATENATE((INDEX($A$7:$A$34,SMALL(IF($AF$7:$AF$34&lt;&gt;"",IF($AC$7:$AC$34&lt;&gt;"",ROW($AC$7:$AC$34)-MIN(ROW($AC$7:$AC$34))+1,""),""),ROW()-ROW(A$36)+1))),),"")</f>
        <v>0</v>
      </c>
    </row>
    <row r="37" spans="1:31">
      <c r="K37">
        <f t="array" ref="K37">IFERROR(CONCATENATE(TEXT(INDEX($K$7:$K$34,SMALL(IF($N$7:$N$34&lt;&gt;"",IF($K$7:$K$34&lt;&gt;"",ROW($K$7:$K$34)-MIN(ROW($K$7:$K$34))+1,""),""),ROW()-ROW(A$36)+1)),"##0"),","),"")</f>
        <v>0</v>
      </c>
      <c r="L37">
        <f t="array" ref="L37">IFERROR(CONCATENATE((INDEX($N$7:$N$34,SMALL(IF($N$7:$N$34&lt;&gt;"",IF($K$7:$K$34&lt;&gt;"",ROW($K$7:$K$34)-MIN(ROW($K$7:$K$34))+1,""),""),ROW()-ROW(A$36)+1))),","),"")</f>
        <v>0</v>
      </c>
      <c r="M37">
        <f t="array" ref="M37">IFERROR(CONCATENATE((INDEX($A$7:$A$34,SMALL(IF($N$7:$N$34&lt;&gt;"",IF($K$7:$K$34&lt;&gt;"",ROW($K$7:$K$34)-MIN(ROW($K$7:$K$34))+1,""),""),ROW()-ROW(A$36)+1))),),"")</f>
        <v>0</v>
      </c>
      <c r="Q37">
        <f t="array" ref="Q37">IFERROR(CONCATENATE((INDEX($T$7:$T$34,SMALL(IF($T$7:$T$34&lt;&gt;"",IF($Q$7:$Q$34&lt;&gt;"",ROW($Q$7:$Q$34)-MIN(ROW($Q$7:$Q$34))+1,""),""),ROW()-ROW(A$36)+1)))," "),"")</f>
        <v>0</v>
      </c>
      <c r="R37">
        <f t="array" ref="R37">IFERROR(CONCATENATE(TEXT(INDEX($Q$7:$Q$34,SMALL(IF($T$7:$T$34&lt;&gt;"",IF($Q$7:$Q$34&lt;&gt;"",ROW($Q$7:$Q$34)-MIN(ROW($Q$7:$Q$34))+1,""),""),ROW()-ROW(A$36)+1)),"##0")," "),"")</f>
        <v>0</v>
      </c>
      <c r="S37">
        <f t="array" ref="S37">IFERROR(CONCATENATE((INDEX($A$7:$A$34,SMALL(IF($T$7:$T$34&lt;&gt;"",IF($Q$7:$Q$34&lt;&gt;"",ROW($Q$7:$Q$34)-MIN(ROW($Q$7:$Q$34))+1,""),""),ROW()-ROW(A$36)+1))),),"")</f>
        <v>0</v>
      </c>
      <c r="W37">
        <f t="array" ref="W37">IFERROR(CONCATENATE((INDEX($Z$7:$Z$34,SMALL(IF($Z$7:$Z$34&lt;&gt;"",IF($W$7:$W$34&lt;&gt;"",ROW($W$7:$W$34)-MIN(ROW($W$7:$W$34))+1,""),""),ROW()-ROW(A$36)+1))),","),"")</f>
        <v>0</v>
      </c>
      <c r="X37">
        <f t="array" ref="X37">IFERROR(CONCATENATE(TEXT(INDEX($W$7:$W$34,SMALL(IF($Z$7:$Z$34&lt;&gt;"",IF($W$7:$W$34&lt;&gt;"",ROW($W$7:$W$34)-MIN(ROW($W$7:$W$34))+1,""),""),ROW()-ROW(A$36)+1)),"##0"),","),"")</f>
        <v>0</v>
      </c>
      <c r="Y37">
        <f t="array" ref="Y37">IFERROR(CONCATENATE((INDEX($A$7:$A$34,SMALL(IF($Z$7:$Z$34&lt;&gt;"",IF($W$7:$W$34&lt;&gt;"",ROW($W$7:$W$34)-MIN(ROW($W$7:$W$34))+1,""),""),ROW()-ROW(A$36)+1))),),"")</f>
        <v>0</v>
      </c>
      <c r="AC37">
        <f t="array" ref="AC37">IFERROR(CONCATENATE((INDEX($AF$7:$AF$34,SMALL(IF($AF$7:$AF$34&lt;&gt;"",IF($AC$7:$AC$34&lt;&gt;"",ROW($AC$7:$AC$34)-MIN(ROW($AC$7:$AC$34))+1,""),""),ROW()-ROW(A$36)+1)))," "),"")</f>
        <v>0</v>
      </c>
      <c r="AD37">
        <f t="array" ref="AD37">IFERROR(CONCATENATE(TEXT(INDEX($AC$7:$AC$34,SMALL(IF($AF$7:$AF$34&lt;&gt;"",IF($AC$7:$AC$34&lt;&gt;"",ROW($AC$7:$AC$34)-MIN(ROW($AC$7:$AC$34))+1,""),""),ROW()-ROW(A$36)+1)),"##0")," "),"")</f>
        <v>0</v>
      </c>
      <c r="AE37">
        <f t="array" ref="AE37">IFERROR(CONCATENATE((INDEX($A$7:$A$34,SMALL(IF($AF$7:$AF$34&lt;&gt;"",IF($AC$7:$AC$34&lt;&gt;"",ROW($AC$7:$AC$34)-MIN(ROW($AC$7:$AC$34))+1,""),""),ROW()-ROW(A$36)+1))),),"")</f>
        <v>0</v>
      </c>
    </row>
    <row r="38" spans="1:31">
      <c r="K38">
        <f t="array" ref="K38">IFERROR(CONCATENATE(TEXT(INDEX($K$7:$K$34,SMALL(IF($N$7:$N$34&lt;&gt;"",IF($K$7:$K$34&lt;&gt;"",ROW($K$7:$K$34)-MIN(ROW($K$7:$K$34))+1,""),""),ROW()-ROW(A$36)+1)),"##0"),","),"")</f>
        <v>0</v>
      </c>
      <c r="L38">
        <f t="array" ref="L38">IFERROR(CONCATENATE((INDEX($N$7:$N$34,SMALL(IF($N$7:$N$34&lt;&gt;"",IF($K$7:$K$34&lt;&gt;"",ROW($K$7:$K$34)-MIN(ROW($K$7:$K$34))+1,""),""),ROW()-ROW(A$36)+1))),","),"")</f>
        <v>0</v>
      </c>
      <c r="M38">
        <f t="array" ref="M38">IFERROR(CONCATENATE((INDEX($A$7:$A$34,SMALL(IF($N$7:$N$34&lt;&gt;"",IF($K$7:$K$34&lt;&gt;"",ROW($K$7:$K$34)-MIN(ROW($K$7:$K$34))+1,""),""),ROW()-ROW(A$36)+1))),),"")</f>
        <v>0</v>
      </c>
      <c r="Q38">
        <f t="array" ref="Q38">IFERROR(CONCATENATE((INDEX($T$7:$T$34,SMALL(IF($T$7:$T$34&lt;&gt;"",IF($Q$7:$Q$34&lt;&gt;"",ROW($Q$7:$Q$34)-MIN(ROW($Q$7:$Q$34))+1,""),""),ROW()-ROW(A$36)+1)))," "),"")</f>
        <v>0</v>
      </c>
      <c r="R38">
        <f t="array" ref="R38">IFERROR(CONCATENATE(TEXT(INDEX($Q$7:$Q$34,SMALL(IF($T$7:$T$34&lt;&gt;"",IF($Q$7:$Q$34&lt;&gt;"",ROW($Q$7:$Q$34)-MIN(ROW($Q$7:$Q$34))+1,""),""),ROW()-ROW(A$36)+1)),"##0")," "),"")</f>
        <v>0</v>
      </c>
      <c r="S38">
        <f t="array" ref="S38">IFERROR(CONCATENATE((INDEX($A$7:$A$34,SMALL(IF($T$7:$T$34&lt;&gt;"",IF($Q$7:$Q$34&lt;&gt;"",ROW($Q$7:$Q$34)-MIN(ROW($Q$7:$Q$34))+1,""),""),ROW()-ROW(A$36)+1))),),"")</f>
        <v>0</v>
      </c>
      <c r="W38">
        <f t="array" ref="W38">IFERROR(CONCATENATE((INDEX($Z$7:$Z$34,SMALL(IF($Z$7:$Z$34&lt;&gt;"",IF($W$7:$W$34&lt;&gt;"",ROW($W$7:$W$34)-MIN(ROW($W$7:$W$34))+1,""),""),ROW()-ROW(A$36)+1))),","),"")</f>
        <v>0</v>
      </c>
      <c r="X38">
        <f t="array" ref="X38">IFERROR(CONCATENATE(TEXT(INDEX($W$7:$W$34,SMALL(IF($Z$7:$Z$34&lt;&gt;"",IF($W$7:$W$34&lt;&gt;"",ROW($W$7:$W$34)-MIN(ROW($W$7:$W$34))+1,""),""),ROW()-ROW(A$36)+1)),"##0"),","),"")</f>
        <v>0</v>
      </c>
      <c r="Y38">
        <f t="array" ref="Y38">IFERROR(CONCATENATE((INDEX($A$7:$A$34,SMALL(IF($Z$7:$Z$34&lt;&gt;"",IF($W$7:$W$34&lt;&gt;"",ROW($W$7:$W$34)-MIN(ROW($W$7:$W$34))+1,""),""),ROW()-ROW(A$36)+1))),),"")</f>
        <v>0</v>
      </c>
      <c r="AC38">
        <f t="array" ref="AC38">IFERROR(CONCATENATE((INDEX($AF$7:$AF$34,SMALL(IF($AF$7:$AF$34&lt;&gt;"",IF($AC$7:$AC$34&lt;&gt;"",ROW($AC$7:$AC$34)-MIN(ROW($AC$7:$AC$34))+1,""),""),ROW()-ROW(A$36)+1)))," "),"")</f>
        <v>0</v>
      </c>
      <c r="AD38">
        <f t="array" ref="AD38">IFERROR(CONCATENATE(TEXT(INDEX($AC$7:$AC$34,SMALL(IF($AF$7:$AF$34&lt;&gt;"",IF($AC$7:$AC$34&lt;&gt;"",ROW($AC$7:$AC$34)-MIN(ROW($AC$7:$AC$34))+1,""),""),ROW()-ROW(A$36)+1)),"##0")," "),"")</f>
        <v>0</v>
      </c>
      <c r="AE38">
        <f t="array" ref="AE38">IFERROR(CONCATENATE((INDEX($A$7:$A$34,SMALL(IF($AF$7:$AF$34&lt;&gt;"",IF($AC$7:$AC$34&lt;&gt;"",ROW($AC$7:$AC$34)-MIN(ROW($AC$7:$AC$34))+1,""),""),ROW()-ROW(A$36)+1))),),"")</f>
        <v>0</v>
      </c>
    </row>
    <row r="39" spans="1:31">
      <c r="K39">
        <f t="array" ref="K39">IFERROR(CONCATENATE(TEXT(INDEX($K$7:$K$34,SMALL(IF($N$7:$N$34&lt;&gt;"",IF($K$7:$K$34&lt;&gt;"",ROW($K$7:$K$34)-MIN(ROW($K$7:$K$34))+1,""),""),ROW()-ROW(A$36)+1)),"##0"),","),"")</f>
        <v>0</v>
      </c>
      <c r="L39">
        <f t="array" ref="L39">IFERROR(CONCATENATE((INDEX($N$7:$N$34,SMALL(IF($N$7:$N$34&lt;&gt;"",IF($K$7:$K$34&lt;&gt;"",ROW($K$7:$K$34)-MIN(ROW($K$7:$K$34))+1,""),""),ROW()-ROW(A$36)+1))),","),"")</f>
        <v>0</v>
      </c>
      <c r="M39">
        <f t="array" ref="M39">IFERROR(CONCATENATE((INDEX($A$7:$A$34,SMALL(IF($N$7:$N$34&lt;&gt;"",IF($K$7:$K$34&lt;&gt;"",ROW($K$7:$K$34)-MIN(ROW($K$7:$K$34))+1,""),""),ROW()-ROW(A$36)+1))),),"")</f>
        <v>0</v>
      </c>
      <c r="Q39">
        <f t="array" ref="Q39">IFERROR(CONCATENATE((INDEX($T$7:$T$34,SMALL(IF($T$7:$T$34&lt;&gt;"",IF($Q$7:$Q$34&lt;&gt;"",ROW($Q$7:$Q$34)-MIN(ROW($Q$7:$Q$34))+1,""),""),ROW()-ROW(A$36)+1)))," "),"")</f>
        <v>0</v>
      </c>
      <c r="R39">
        <f t="array" ref="R39">IFERROR(CONCATENATE(TEXT(INDEX($Q$7:$Q$34,SMALL(IF($T$7:$T$34&lt;&gt;"",IF($Q$7:$Q$34&lt;&gt;"",ROW($Q$7:$Q$34)-MIN(ROW($Q$7:$Q$34))+1,""),""),ROW()-ROW(A$36)+1)),"##0")," "),"")</f>
        <v>0</v>
      </c>
      <c r="S39">
        <f t="array" ref="S39">IFERROR(CONCATENATE((INDEX($A$7:$A$34,SMALL(IF($T$7:$T$34&lt;&gt;"",IF($Q$7:$Q$34&lt;&gt;"",ROW($Q$7:$Q$34)-MIN(ROW($Q$7:$Q$34))+1,""),""),ROW()-ROW(A$36)+1))),),"")</f>
        <v>0</v>
      </c>
      <c r="W39">
        <f t="array" ref="W39">IFERROR(CONCATENATE((INDEX($Z$7:$Z$34,SMALL(IF($Z$7:$Z$34&lt;&gt;"",IF($W$7:$W$34&lt;&gt;"",ROW($W$7:$W$34)-MIN(ROW($W$7:$W$34))+1,""),""),ROW()-ROW(A$36)+1))),","),"")</f>
        <v>0</v>
      </c>
      <c r="X39">
        <f t="array" ref="X39">IFERROR(CONCATENATE(TEXT(INDEX($W$7:$W$34,SMALL(IF($Z$7:$Z$34&lt;&gt;"",IF($W$7:$W$34&lt;&gt;"",ROW($W$7:$W$34)-MIN(ROW($W$7:$W$34))+1,""),""),ROW()-ROW(A$36)+1)),"##0"),","),"")</f>
        <v>0</v>
      </c>
      <c r="Y39">
        <f t="array" ref="Y39">IFERROR(CONCATENATE((INDEX($A$7:$A$34,SMALL(IF($Z$7:$Z$34&lt;&gt;"",IF($W$7:$W$34&lt;&gt;"",ROW($W$7:$W$34)-MIN(ROW($W$7:$W$34))+1,""),""),ROW()-ROW(A$36)+1))),),"")</f>
        <v>0</v>
      </c>
      <c r="AC39">
        <f t="array" ref="AC39">IFERROR(CONCATENATE((INDEX($AF$7:$AF$34,SMALL(IF($AF$7:$AF$34&lt;&gt;"",IF($AC$7:$AC$34&lt;&gt;"",ROW($AC$7:$AC$34)-MIN(ROW($AC$7:$AC$34))+1,""),""),ROW()-ROW(A$36)+1)))," "),"")</f>
        <v>0</v>
      </c>
      <c r="AD39">
        <f t="array" ref="AD39">IFERROR(CONCATENATE(TEXT(INDEX($AC$7:$AC$34,SMALL(IF($AF$7:$AF$34&lt;&gt;"",IF($AC$7:$AC$34&lt;&gt;"",ROW($AC$7:$AC$34)-MIN(ROW($AC$7:$AC$34))+1,""),""),ROW()-ROW(A$36)+1)),"##0")," "),"")</f>
        <v>0</v>
      </c>
      <c r="AE39">
        <f t="array" ref="AE39">IFERROR(CONCATENATE((INDEX($A$7:$A$34,SMALL(IF($AF$7:$AF$34&lt;&gt;"",IF($AC$7:$AC$34&lt;&gt;"",ROW($AC$7:$AC$34)-MIN(ROW($AC$7:$AC$34))+1,""),""),ROW()-ROW(A$36)+1))),),"")</f>
        <v>0</v>
      </c>
    </row>
    <row r="40" spans="1:31">
      <c r="K40">
        <f t="array" ref="K40">IFERROR(CONCATENATE(TEXT(INDEX($K$7:$K$34,SMALL(IF($N$7:$N$34&lt;&gt;"",IF($K$7:$K$34&lt;&gt;"",ROW($K$7:$K$34)-MIN(ROW($K$7:$K$34))+1,""),""),ROW()-ROW(A$36)+1)),"##0"),","),"")</f>
        <v>0</v>
      </c>
      <c r="L40">
        <f t="array" ref="L40">IFERROR(CONCATENATE((INDEX($N$7:$N$34,SMALL(IF($N$7:$N$34&lt;&gt;"",IF($K$7:$K$34&lt;&gt;"",ROW($K$7:$K$34)-MIN(ROW($K$7:$K$34))+1,""),""),ROW()-ROW(A$36)+1))),","),"")</f>
        <v>0</v>
      </c>
      <c r="M40">
        <f t="array" ref="M40">IFERROR(CONCATENATE((INDEX($A$7:$A$34,SMALL(IF($N$7:$N$34&lt;&gt;"",IF($K$7:$K$34&lt;&gt;"",ROW($K$7:$K$34)-MIN(ROW($K$7:$K$34))+1,""),""),ROW()-ROW(A$36)+1))),),"")</f>
        <v>0</v>
      </c>
      <c r="Q40">
        <f t="array" ref="Q40">IFERROR(CONCATENATE((INDEX($T$7:$T$34,SMALL(IF($T$7:$T$34&lt;&gt;"",IF($Q$7:$Q$34&lt;&gt;"",ROW($Q$7:$Q$34)-MIN(ROW($Q$7:$Q$34))+1,""),""),ROW()-ROW(A$36)+1)))," "),"")</f>
        <v>0</v>
      </c>
      <c r="R40">
        <f t="array" ref="R40">IFERROR(CONCATENATE(TEXT(INDEX($Q$7:$Q$34,SMALL(IF($T$7:$T$34&lt;&gt;"",IF($Q$7:$Q$34&lt;&gt;"",ROW($Q$7:$Q$34)-MIN(ROW($Q$7:$Q$34))+1,""),""),ROW()-ROW(A$36)+1)),"##0")," "),"")</f>
        <v>0</v>
      </c>
      <c r="S40">
        <f t="array" ref="S40">IFERROR(CONCATENATE((INDEX($A$7:$A$34,SMALL(IF($T$7:$T$34&lt;&gt;"",IF($Q$7:$Q$34&lt;&gt;"",ROW($Q$7:$Q$34)-MIN(ROW($Q$7:$Q$34))+1,""),""),ROW()-ROW(A$36)+1))),),"")</f>
        <v>0</v>
      </c>
      <c r="W40">
        <f t="array" ref="W40">IFERROR(CONCATENATE((INDEX($Z$7:$Z$34,SMALL(IF($Z$7:$Z$34&lt;&gt;"",IF($W$7:$W$34&lt;&gt;"",ROW($W$7:$W$34)-MIN(ROW($W$7:$W$34))+1,""),""),ROW()-ROW(A$36)+1))),","),"")</f>
        <v>0</v>
      </c>
      <c r="X40">
        <f t="array" ref="X40">IFERROR(CONCATENATE(TEXT(INDEX($W$7:$W$34,SMALL(IF($Z$7:$Z$34&lt;&gt;"",IF($W$7:$W$34&lt;&gt;"",ROW($W$7:$W$34)-MIN(ROW($W$7:$W$34))+1,""),""),ROW()-ROW(A$36)+1)),"##0"),","),"")</f>
        <v>0</v>
      </c>
      <c r="Y40">
        <f t="array" ref="Y40">IFERROR(CONCATENATE((INDEX($A$7:$A$34,SMALL(IF($Z$7:$Z$34&lt;&gt;"",IF($W$7:$W$34&lt;&gt;"",ROW($W$7:$W$34)-MIN(ROW($W$7:$W$34))+1,""),""),ROW()-ROW(A$36)+1))),),"")</f>
        <v>0</v>
      </c>
      <c r="AC40">
        <f t="array" ref="AC40">IFERROR(CONCATENATE((INDEX($AF$7:$AF$34,SMALL(IF($AF$7:$AF$34&lt;&gt;"",IF($AC$7:$AC$34&lt;&gt;"",ROW($AC$7:$AC$34)-MIN(ROW($AC$7:$AC$34))+1,""),""),ROW()-ROW(A$36)+1)))," "),"")</f>
        <v>0</v>
      </c>
      <c r="AD40">
        <f t="array" ref="AD40">IFERROR(CONCATENATE(TEXT(INDEX($AC$7:$AC$34,SMALL(IF($AF$7:$AF$34&lt;&gt;"",IF($AC$7:$AC$34&lt;&gt;"",ROW($AC$7:$AC$34)-MIN(ROW($AC$7:$AC$34))+1,""),""),ROW()-ROW(A$36)+1)),"##0")," "),"")</f>
        <v>0</v>
      </c>
      <c r="AE40">
        <f t="array" ref="AE40">IFERROR(CONCATENATE((INDEX($A$7:$A$34,SMALL(IF($AF$7:$AF$34&lt;&gt;"",IF($AC$7:$AC$34&lt;&gt;"",ROW($AC$7:$AC$34)-MIN(ROW($AC$7:$AC$34))+1,""),""),ROW()-ROW(A$36)+1))),),"")</f>
        <v>0</v>
      </c>
    </row>
    <row r="41" spans="1:31">
      <c r="K41">
        <f t="array" ref="K41">IFERROR(CONCATENATE(TEXT(INDEX($K$7:$K$34,SMALL(IF($N$7:$N$34&lt;&gt;"",IF($K$7:$K$34&lt;&gt;"",ROW($K$7:$K$34)-MIN(ROW($K$7:$K$34))+1,""),""),ROW()-ROW(A$36)+1)),"##0"),","),"")</f>
        <v>0</v>
      </c>
      <c r="L41">
        <f t="array" ref="L41">IFERROR(CONCATENATE((INDEX($N$7:$N$34,SMALL(IF($N$7:$N$34&lt;&gt;"",IF($K$7:$K$34&lt;&gt;"",ROW($K$7:$K$34)-MIN(ROW($K$7:$K$34))+1,""),""),ROW()-ROW(A$36)+1))),","),"")</f>
        <v>0</v>
      </c>
      <c r="M41">
        <f t="array" ref="M41">IFERROR(CONCATENATE((INDEX($A$7:$A$34,SMALL(IF($N$7:$N$34&lt;&gt;"",IF($K$7:$K$34&lt;&gt;"",ROW($K$7:$K$34)-MIN(ROW($K$7:$K$34))+1,""),""),ROW()-ROW(A$36)+1))),),"")</f>
        <v>0</v>
      </c>
      <c r="Q41">
        <f t="array" ref="Q41">IFERROR(CONCATENATE((INDEX($T$7:$T$34,SMALL(IF($T$7:$T$34&lt;&gt;"",IF($Q$7:$Q$34&lt;&gt;"",ROW($Q$7:$Q$34)-MIN(ROW($Q$7:$Q$34))+1,""),""),ROW()-ROW(A$36)+1)))," "),"")</f>
        <v>0</v>
      </c>
      <c r="R41">
        <f t="array" ref="R41">IFERROR(CONCATENATE(TEXT(INDEX($Q$7:$Q$34,SMALL(IF($T$7:$T$34&lt;&gt;"",IF($Q$7:$Q$34&lt;&gt;"",ROW($Q$7:$Q$34)-MIN(ROW($Q$7:$Q$34))+1,""),""),ROW()-ROW(A$36)+1)),"##0")," "),"")</f>
        <v>0</v>
      </c>
      <c r="S41">
        <f t="array" ref="S41">IFERROR(CONCATENATE((INDEX($A$7:$A$34,SMALL(IF($T$7:$T$34&lt;&gt;"",IF($Q$7:$Q$34&lt;&gt;"",ROW($Q$7:$Q$34)-MIN(ROW($Q$7:$Q$34))+1,""),""),ROW()-ROW(A$36)+1))),),"")</f>
        <v>0</v>
      </c>
      <c r="W41">
        <f t="array" ref="W41">IFERROR(CONCATENATE((INDEX($Z$7:$Z$34,SMALL(IF($Z$7:$Z$34&lt;&gt;"",IF($W$7:$W$34&lt;&gt;"",ROW($W$7:$W$34)-MIN(ROW($W$7:$W$34))+1,""),""),ROW()-ROW(A$36)+1))),","),"")</f>
        <v>0</v>
      </c>
      <c r="X41">
        <f t="array" ref="X41">IFERROR(CONCATENATE(TEXT(INDEX($W$7:$W$34,SMALL(IF($Z$7:$Z$34&lt;&gt;"",IF($W$7:$W$34&lt;&gt;"",ROW($W$7:$W$34)-MIN(ROW($W$7:$W$34))+1,""),""),ROW()-ROW(A$36)+1)),"##0"),","),"")</f>
        <v>0</v>
      </c>
      <c r="Y41">
        <f t="array" ref="Y41">IFERROR(CONCATENATE((INDEX($A$7:$A$34,SMALL(IF($Z$7:$Z$34&lt;&gt;"",IF($W$7:$W$34&lt;&gt;"",ROW($W$7:$W$34)-MIN(ROW($W$7:$W$34))+1,""),""),ROW()-ROW(A$36)+1))),),"")</f>
        <v>0</v>
      </c>
      <c r="AC41">
        <f t="array" ref="AC41">IFERROR(CONCATENATE((INDEX($AF$7:$AF$34,SMALL(IF($AF$7:$AF$34&lt;&gt;"",IF($AC$7:$AC$34&lt;&gt;"",ROW($AC$7:$AC$34)-MIN(ROW($AC$7:$AC$34))+1,""),""),ROW()-ROW(A$36)+1)))," "),"")</f>
        <v>0</v>
      </c>
      <c r="AD41">
        <f t="array" ref="AD41">IFERROR(CONCATENATE(TEXT(INDEX($AC$7:$AC$34,SMALL(IF($AF$7:$AF$34&lt;&gt;"",IF($AC$7:$AC$34&lt;&gt;"",ROW($AC$7:$AC$34)-MIN(ROW($AC$7:$AC$34))+1,""),""),ROW()-ROW(A$36)+1)),"##0")," "),"")</f>
        <v>0</v>
      </c>
      <c r="AE41">
        <f t="array" ref="AE41">IFERROR(CONCATENATE((INDEX($A$7:$A$34,SMALL(IF($AF$7:$AF$34&lt;&gt;"",IF($AC$7:$AC$34&lt;&gt;"",ROW($AC$7:$AC$34)-MIN(ROW($AC$7:$AC$34))+1,""),""),ROW()-ROW(A$36)+1))),),"")</f>
        <v>0</v>
      </c>
    </row>
    <row r="42" spans="1:31">
      <c r="K42">
        <f t="array" ref="K42">IFERROR(CONCATENATE(TEXT(INDEX($K$7:$K$34,SMALL(IF($N$7:$N$34&lt;&gt;"",IF($K$7:$K$34&lt;&gt;"",ROW($K$7:$K$34)-MIN(ROW($K$7:$K$34))+1,""),""),ROW()-ROW(A$36)+1)),"##0"),","),"")</f>
        <v>0</v>
      </c>
      <c r="L42">
        <f t="array" ref="L42">IFERROR(CONCATENATE((INDEX($N$7:$N$34,SMALL(IF($N$7:$N$34&lt;&gt;"",IF($K$7:$K$34&lt;&gt;"",ROW($K$7:$K$34)-MIN(ROW($K$7:$K$34))+1,""),""),ROW()-ROW(A$36)+1))),","),"")</f>
        <v>0</v>
      </c>
      <c r="M42">
        <f t="array" ref="M42">IFERROR(CONCATENATE((INDEX($A$7:$A$34,SMALL(IF($N$7:$N$34&lt;&gt;"",IF($K$7:$K$34&lt;&gt;"",ROW($K$7:$K$34)-MIN(ROW($K$7:$K$34))+1,""),""),ROW()-ROW(A$36)+1))),),"")</f>
        <v>0</v>
      </c>
      <c r="Q42">
        <f t="array" ref="Q42">IFERROR(CONCATENATE((INDEX($T$7:$T$34,SMALL(IF($T$7:$T$34&lt;&gt;"",IF($Q$7:$Q$34&lt;&gt;"",ROW($Q$7:$Q$34)-MIN(ROW($Q$7:$Q$34))+1,""),""),ROW()-ROW(A$36)+1)))," "),"")</f>
        <v>0</v>
      </c>
      <c r="R42">
        <f t="array" ref="R42">IFERROR(CONCATENATE(TEXT(INDEX($Q$7:$Q$34,SMALL(IF($T$7:$T$34&lt;&gt;"",IF($Q$7:$Q$34&lt;&gt;"",ROW($Q$7:$Q$34)-MIN(ROW($Q$7:$Q$34))+1,""),""),ROW()-ROW(A$36)+1)),"##0")," "),"")</f>
        <v>0</v>
      </c>
      <c r="S42">
        <f t="array" ref="S42">IFERROR(CONCATENATE((INDEX($A$7:$A$34,SMALL(IF($T$7:$T$34&lt;&gt;"",IF($Q$7:$Q$34&lt;&gt;"",ROW($Q$7:$Q$34)-MIN(ROW($Q$7:$Q$34))+1,""),""),ROW()-ROW(A$36)+1))),),"")</f>
        <v>0</v>
      </c>
      <c r="W42">
        <f t="array" ref="W42">IFERROR(CONCATENATE((INDEX($Z$7:$Z$34,SMALL(IF($Z$7:$Z$34&lt;&gt;"",IF($W$7:$W$34&lt;&gt;"",ROW($W$7:$W$34)-MIN(ROW($W$7:$W$34))+1,""),""),ROW()-ROW(A$36)+1))),","),"")</f>
        <v>0</v>
      </c>
      <c r="X42">
        <f t="array" ref="X42">IFERROR(CONCATENATE(TEXT(INDEX($W$7:$W$34,SMALL(IF($Z$7:$Z$34&lt;&gt;"",IF($W$7:$W$34&lt;&gt;"",ROW($W$7:$W$34)-MIN(ROW($W$7:$W$34))+1,""),""),ROW()-ROW(A$36)+1)),"##0"),","),"")</f>
        <v>0</v>
      </c>
      <c r="Y42">
        <f t="array" ref="Y42">IFERROR(CONCATENATE((INDEX($A$7:$A$34,SMALL(IF($Z$7:$Z$34&lt;&gt;"",IF($W$7:$W$34&lt;&gt;"",ROW($W$7:$W$34)-MIN(ROW($W$7:$W$34))+1,""),""),ROW()-ROW(A$36)+1))),),"")</f>
        <v>0</v>
      </c>
      <c r="AC42">
        <f t="array" ref="AC42">IFERROR(CONCATENATE((INDEX($AF$7:$AF$34,SMALL(IF($AF$7:$AF$34&lt;&gt;"",IF($AC$7:$AC$34&lt;&gt;"",ROW($AC$7:$AC$34)-MIN(ROW($AC$7:$AC$34))+1,""),""),ROW()-ROW(A$36)+1)))," "),"")</f>
        <v>0</v>
      </c>
      <c r="AD42">
        <f t="array" ref="AD42">IFERROR(CONCATENATE(TEXT(INDEX($AC$7:$AC$34,SMALL(IF($AF$7:$AF$34&lt;&gt;"",IF($AC$7:$AC$34&lt;&gt;"",ROW($AC$7:$AC$34)-MIN(ROW($AC$7:$AC$34))+1,""),""),ROW()-ROW(A$36)+1)),"##0")," "),"")</f>
        <v>0</v>
      </c>
      <c r="AE42">
        <f t="array" ref="AE42">IFERROR(CONCATENATE((INDEX($A$7:$A$34,SMALL(IF($AF$7:$AF$34&lt;&gt;"",IF($AC$7:$AC$34&lt;&gt;"",ROW($AC$7:$AC$34)-MIN(ROW($AC$7:$AC$34))+1,""),""),ROW()-ROW(A$36)+1))),),"")</f>
        <v>0</v>
      </c>
    </row>
    <row r="43" spans="1:31">
      <c r="K43">
        <f t="array" ref="K43">IFERROR(CONCATENATE(TEXT(INDEX($K$7:$K$34,SMALL(IF($N$7:$N$34&lt;&gt;"",IF($K$7:$K$34&lt;&gt;"",ROW($K$7:$K$34)-MIN(ROW($K$7:$K$34))+1,""),""),ROW()-ROW(A$36)+1)),"##0"),","),"")</f>
        <v>0</v>
      </c>
      <c r="L43">
        <f t="array" ref="L43">IFERROR(CONCATENATE((INDEX($N$7:$N$34,SMALL(IF($N$7:$N$34&lt;&gt;"",IF($K$7:$K$34&lt;&gt;"",ROW($K$7:$K$34)-MIN(ROW($K$7:$K$34))+1,""),""),ROW()-ROW(A$36)+1))),","),"")</f>
        <v>0</v>
      </c>
      <c r="M43">
        <f t="array" ref="M43">IFERROR(CONCATENATE((INDEX($A$7:$A$34,SMALL(IF($N$7:$N$34&lt;&gt;"",IF($K$7:$K$34&lt;&gt;"",ROW($K$7:$K$34)-MIN(ROW($K$7:$K$34))+1,""),""),ROW()-ROW(A$36)+1))),),"")</f>
        <v>0</v>
      </c>
      <c r="Q43">
        <f t="array" ref="Q43">IFERROR(CONCATENATE((INDEX($T$7:$T$34,SMALL(IF($T$7:$T$34&lt;&gt;"",IF($Q$7:$Q$34&lt;&gt;"",ROW($Q$7:$Q$34)-MIN(ROW($Q$7:$Q$34))+1,""),""),ROW()-ROW(A$36)+1)))," "),"")</f>
        <v>0</v>
      </c>
      <c r="R43">
        <f t="array" ref="R43">IFERROR(CONCATENATE(TEXT(INDEX($Q$7:$Q$34,SMALL(IF($T$7:$T$34&lt;&gt;"",IF($Q$7:$Q$34&lt;&gt;"",ROW($Q$7:$Q$34)-MIN(ROW($Q$7:$Q$34))+1,""),""),ROW()-ROW(A$36)+1)),"##0")," "),"")</f>
        <v>0</v>
      </c>
      <c r="S43">
        <f t="array" ref="S43">IFERROR(CONCATENATE((INDEX($A$7:$A$34,SMALL(IF($T$7:$T$34&lt;&gt;"",IF($Q$7:$Q$34&lt;&gt;"",ROW($Q$7:$Q$34)-MIN(ROW($Q$7:$Q$34))+1,""),""),ROW()-ROW(A$36)+1))),),"")</f>
        <v>0</v>
      </c>
      <c r="W43">
        <f t="array" ref="W43">IFERROR(CONCATENATE((INDEX($Z$7:$Z$34,SMALL(IF($Z$7:$Z$34&lt;&gt;"",IF($W$7:$W$34&lt;&gt;"",ROW($W$7:$W$34)-MIN(ROW($W$7:$W$34))+1,""),""),ROW()-ROW(A$36)+1))),","),"")</f>
        <v>0</v>
      </c>
      <c r="X43">
        <f t="array" ref="X43">IFERROR(CONCATENATE(TEXT(INDEX($W$7:$W$34,SMALL(IF($Z$7:$Z$34&lt;&gt;"",IF($W$7:$W$34&lt;&gt;"",ROW($W$7:$W$34)-MIN(ROW($W$7:$W$34))+1,""),""),ROW()-ROW(A$36)+1)),"##0"),","),"")</f>
        <v>0</v>
      </c>
      <c r="Y43">
        <f t="array" ref="Y43">IFERROR(CONCATENATE((INDEX($A$7:$A$34,SMALL(IF($Z$7:$Z$34&lt;&gt;"",IF($W$7:$W$34&lt;&gt;"",ROW($W$7:$W$34)-MIN(ROW($W$7:$W$34))+1,""),""),ROW()-ROW(A$36)+1))),),"")</f>
        <v>0</v>
      </c>
      <c r="AC43">
        <f t="array" ref="AC43">IFERROR(CONCATENATE((INDEX($AF$7:$AF$34,SMALL(IF($AF$7:$AF$34&lt;&gt;"",IF($AC$7:$AC$34&lt;&gt;"",ROW($AC$7:$AC$34)-MIN(ROW($AC$7:$AC$34))+1,""),""),ROW()-ROW(A$36)+1)))," "),"")</f>
        <v>0</v>
      </c>
      <c r="AD43">
        <f t="array" ref="AD43">IFERROR(CONCATENATE(TEXT(INDEX($AC$7:$AC$34,SMALL(IF($AF$7:$AF$34&lt;&gt;"",IF($AC$7:$AC$34&lt;&gt;"",ROW($AC$7:$AC$34)-MIN(ROW($AC$7:$AC$34))+1,""),""),ROW()-ROW(A$36)+1)),"##0")," "),"")</f>
        <v>0</v>
      </c>
      <c r="AE43">
        <f t="array" ref="AE43">IFERROR(CONCATENATE((INDEX($A$7:$A$34,SMALL(IF($AF$7:$AF$34&lt;&gt;"",IF($AC$7:$AC$34&lt;&gt;"",ROW($AC$7:$AC$34)-MIN(ROW($AC$7:$AC$34))+1,""),""),ROW()-ROW(A$36)+1))),),"")</f>
        <v>0</v>
      </c>
    </row>
    <row r="44" spans="1:31">
      <c r="K44">
        <f t="array" ref="K44">IFERROR(CONCATENATE(TEXT(INDEX($K$7:$K$34,SMALL(IF($N$7:$N$34&lt;&gt;"",IF($K$7:$K$34&lt;&gt;"",ROW($K$7:$K$34)-MIN(ROW($K$7:$K$34))+1,""),""),ROW()-ROW(A$36)+1)),"##0"),","),"")</f>
        <v>0</v>
      </c>
      <c r="L44">
        <f t="array" ref="L44">IFERROR(CONCATENATE((INDEX($N$7:$N$34,SMALL(IF($N$7:$N$34&lt;&gt;"",IF($K$7:$K$34&lt;&gt;"",ROW($K$7:$K$34)-MIN(ROW($K$7:$K$34))+1,""),""),ROW()-ROW(A$36)+1))),","),"")</f>
        <v>0</v>
      </c>
      <c r="M44">
        <f t="array" ref="M44">IFERROR(CONCATENATE((INDEX($A$7:$A$34,SMALL(IF($N$7:$N$34&lt;&gt;"",IF($K$7:$K$34&lt;&gt;"",ROW($K$7:$K$34)-MIN(ROW($K$7:$K$34))+1,""),""),ROW()-ROW(A$36)+1))),),"")</f>
        <v>0</v>
      </c>
      <c r="Q44">
        <f t="array" ref="Q44">IFERROR(CONCATENATE((INDEX($T$7:$T$34,SMALL(IF($T$7:$T$34&lt;&gt;"",IF($Q$7:$Q$34&lt;&gt;"",ROW($Q$7:$Q$34)-MIN(ROW($Q$7:$Q$34))+1,""),""),ROW()-ROW(A$36)+1)))," "),"")</f>
        <v>0</v>
      </c>
      <c r="R44">
        <f t="array" ref="R44">IFERROR(CONCATENATE(TEXT(INDEX($Q$7:$Q$34,SMALL(IF($T$7:$T$34&lt;&gt;"",IF($Q$7:$Q$34&lt;&gt;"",ROW($Q$7:$Q$34)-MIN(ROW($Q$7:$Q$34))+1,""),""),ROW()-ROW(A$36)+1)),"##0")," "),"")</f>
        <v>0</v>
      </c>
      <c r="S44">
        <f t="array" ref="S44">IFERROR(CONCATENATE((INDEX($A$7:$A$34,SMALL(IF($T$7:$T$34&lt;&gt;"",IF($Q$7:$Q$34&lt;&gt;"",ROW($Q$7:$Q$34)-MIN(ROW($Q$7:$Q$34))+1,""),""),ROW()-ROW(A$36)+1))),),"")</f>
        <v>0</v>
      </c>
      <c r="W44">
        <f t="array" ref="W44">IFERROR(CONCATENATE((INDEX($Z$7:$Z$34,SMALL(IF($Z$7:$Z$34&lt;&gt;"",IF($W$7:$W$34&lt;&gt;"",ROW($W$7:$W$34)-MIN(ROW($W$7:$W$34))+1,""),""),ROW()-ROW(A$36)+1))),","),"")</f>
        <v>0</v>
      </c>
      <c r="X44">
        <f t="array" ref="X44">IFERROR(CONCATENATE(TEXT(INDEX($W$7:$W$34,SMALL(IF($Z$7:$Z$34&lt;&gt;"",IF($W$7:$W$34&lt;&gt;"",ROW($W$7:$W$34)-MIN(ROW($W$7:$W$34))+1,""),""),ROW()-ROW(A$36)+1)),"##0"),","),"")</f>
        <v>0</v>
      </c>
      <c r="Y44">
        <f t="array" ref="Y44">IFERROR(CONCATENATE((INDEX($A$7:$A$34,SMALL(IF($Z$7:$Z$34&lt;&gt;"",IF($W$7:$W$34&lt;&gt;"",ROW($W$7:$W$34)-MIN(ROW($W$7:$W$34))+1,""),""),ROW()-ROW(A$36)+1))),),"")</f>
        <v>0</v>
      </c>
      <c r="AC44">
        <f t="array" ref="AC44">IFERROR(CONCATENATE((INDEX($AF$7:$AF$34,SMALL(IF($AF$7:$AF$34&lt;&gt;"",IF($AC$7:$AC$34&lt;&gt;"",ROW($AC$7:$AC$34)-MIN(ROW($AC$7:$AC$34))+1,""),""),ROW()-ROW(A$36)+1)))," "),"")</f>
        <v>0</v>
      </c>
      <c r="AD44">
        <f t="array" ref="AD44">IFERROR(CONCATENATE(TEXT(INDEX($AC$7:$AC$34,SMALL(IF($AF$7:$AF$34&lt;&gt;"",IF($AC$7:$AC$34&lt;&gt;"",ROW($AC$7:$AC$34)-MIN(ROW($AC$7:$AC$34))+1,""),""),ROW()-ROW(A$36)+1)),"##0")," "),"")</f>
        <v>0</v>
      </c>
      <c r="AE44">
        <f t="array" ref="AE44">IFERROR(CONCATENATE((INDEX($A$7:$A$34,SMALL(IF($AF$7:$AF$34&lt;&gt;"",IF($AC$7:$AC$34&lt;&gt;"",ROW($AC$7:$AC$34)-MIN(ROW($AC$7:$AC$34))+1,""),""),ROW()-ROW(A$36)+1))),),"")</f>
        <v>0</v>
      </c>
    </row>
    <row r="45" spans="1:31">
      <c r="K45">
        <f t="array" ref="K45">IFERROR(CONCATENATE(TEXT(INDEX($K$7:$K$34,SMALL(IF($N$7:$N$34&lt;&gt;"",IF($K$7:$K$34&lt;&gt;"",ROW($K$7:$K$34)-MIN(ROW($K$7:$K$34))+1,""),""),ROW()-ROW(A$36)+1)),"##0"),","),"")</f>
        <v>0</v>
      </c>
      <c r="L45">
        <f t="array" ref="L45">IFERROR(CONCATENATE((INDEX($N$7:$N$34,SMALL(IF($N$7:$N$34&lt;&gt;"",IF($K$7:$K$34&lt;&gt;"",ROW($K$7:$K$34)-MIN(ROW($K$7:$K$34))+1,""),""),ROW()-ROW(A$36)+1))),","),"")</f>
        <v>0</v>
      </c>
      <c r="M45">
        <f t="array" ref="M45">IFERROR(CONCATENATE((INDEX($A$7:$A$34,SMALL(IF($N$7:$N$34&lt;&gt;"",IF($K$7:$K$34&lt;&gt;"",ROW($K$7:$K$34)-MIN(ROW($K$7:$K$34))+1,""),""),ROW()-ROW(A$36)+1))),),"")</f>
        <v>0</v>
      </c>
      <c r="Q45">
        <f t="array" ref="Q45">IFERROR(CONCATENATE((INDEX($T$7:$T$34,SMALL(IF($T$7:$T$34&lt;&gt;"",IF($Q$7:$Q$34&lt;&gt;"",ROW($Q$7:$Q$34)-MIN(ROW($Q$7:$Q$34))+1,""),""),ROW()-ROW(A$36)+1)))," "),"")</f>
        <v>0</v>
      </c>
      <c r="R45">
        <f t="array" ref="R45">IFERROR(CONCATENATE(TEXT(INDEX($Q$7:$Q$34,SMALL(IF($T$7:$T$34&lt;&gt;"",IF($Q$7:$Q$34&lt;&gt;"",ROW($Q$7:$Q$34)-MIN(ROW($Q$7:$Q$34))+1,""),""),ROW()-ROW(A$36)+1)),"##0")," "),"")</f>
        <v>0</v>
      </c>
      <c r="S45">
        <f t="array" ref="S45">IFERROR(CONCATENATE((INDEX($A$7:$A$34,SMALL(IF($T$7:$T$34&lt;&gt;"",IF($Q$7:$Q$34&lt;&gt;"",ROW($Q$7:$Q$34)-MIN(ROW($Q$7:$Q$34))+1,""),""),ROW()-ROW(A$36)+1))),),"")</f>
        <v>0</v>
      </c>
      <c r="W45">
        <f t="array" ref="W45">IFERROR(CONCATENATE((INDEX($Z$7:$Z$34,SMALL(IF($Z$7:$Z$34&lt;&gt;"",IF($W$7:$W$34&lt;&gt;"",ROW($W$7:$W$34)-MIN(ROW($W$7:$W$34))+1,""),""),ROW()-ROW(A$36)+1))),","),"")</f>
        <v>0</v>
      </c>
      <c r="X45">
        <f t="array" ref="X45">IFERROR(CONCATENATE(TEXT(INDEX($W$7:$W$34,SMALL(IF($Z$7:$Z$34&lt;&gt;"",IF($W$7:$W$34&lt;&gt;"",ROW($W$7:$W$34)-MIN(ROW($W$7:$W$34))+1,""),""),ROW()-ROW(A$36)+1)),"##0"),","),"")</f>
        <v>0</v>
      </c>
      <c r="Y45">
        <f t="array" ref="Y45">IFERROR(CONCATENATE((INDEX($A$7:$A$34,SMALL(IF($Z$7:$Z$34&lt;&gt;"",IF($W$7:$W$34&lt;&gt;"",ROW($W$7:$W$34)-MIN(ROW($W$7:$W$34))+1,""),""),ROW()-ROW(A$36)+1))),),"")</f>
        <v>0</v>
      </c>
      <c r="AC45">
        <f t="array" ref="AC45">IFERROR(CONCATENATE((INDEX($AF$7:$AF$34,SMALL(IF($AF$7:$AF$34&lt;&gt;"",IF($AC$7:$AC$34&lt;&gt;"",ROW($AC$7:$AC$34)-MIN(ROW($AC$7:$AC$34))+1,""),""),ROW()-ROW(A$36)+1)))," "),"")</f>
        <v>0</v>
      </c>
      <c r="AD45">
        <f t="array" ref="AD45">IFERROR(CONCATENATE(TEXT(INDEX($AC$7:$AC$34,SMALL(IF($AF$7:$AF$34&lt;&gt;"",IF($AC$7:$AC$34&lt;&gt;"",ROW($AC$7:$AC$34)-MIN(ROW($AC$7:$AC$34))+1,""),""),ROW()-ROW(A$36)+1)),"##0")," "),"")</f>
        <v>0</v>
      </c>
      <c r="AE45">
        <f t="array" ref="AE45">IFERROR(CONCATENATE((INDEX($A$7:$A$34,SMALL(IF($AF$7:$AF$34&lt;&gt;"",IF($AC$7:$AC$34&lt;&gt;"",ROW($AC$7:$AC$34)-MIN(ROW($AC$7:$AC$34))+1,""),""),ROW()-ROW(A$36)+1))),),"")</f>
        <v>0</v>
      </c>
    </row>
    <row r="46" spans="1:31">
      <c r="K46">
        <f t="array" ref="K46">IFERROR(CONCATENATE(TEXT(INDEX($K$7:$K$34,SMALL(IF($N$7:$N$34&lt;&gt;"",IF($K$7:$K$34&lt;&gt;"",ROW($K$7:$K$34)-MIN(ROW($K$7:$K$34))+1,""),""),ROW()-ROW(A$36)+1)),"##0"),","),"")</f>
        <v>0</v>
      </c>
      <c r="L46">
        <f t="array" ref="L46">IFERROR(CONCATENATE((INDEX($N$7:$N$34,SMALL(IF($N$7:$N$34&lt;&gt;"",IF($K$7:$K$34&lt;&gt;"",ROW($K$7:$K$34)-MIN(ROW($K$7:$K$34))+1,""),""),ROW()-ROW(A$36)+1))),","),"")</f>
        <v>0</v>
      </c>
      <c r="M46">
        <f t="array" ref="M46">IFERROR(CONCATENATE((INDEX($A$7:$A$34,SMALL(IF($N$7:$N$34&lt;&gt;"",IF($K$7:$K$34&lt;&gt;"",ROW($K$7:$K$34)-MIN(ROW($K$7:$K$34))+1,""),""),ROW()-ROW(A$36)+1))),),"")</f>
        <v>0</v>
      </c>
      <c r="Q46">
        <f t="array" ref="Q46">IFERROR(CONCATENATE((INDEX($T$7:$T$34,SMALL(IF($T$7:$T$34&lt;&gt;"",IF($Q$7:$Q$34&lt;&gt;"",ROW($Q$7:$Q$34)-MIN(ROW($Q$7:$Q$34))+1,""),""),ROW()-ROW(A$36)+1)))," "),"")</f>
        <v>0</v>
      </c>
      <c r="R46">
        <f t="array" ref="R46">IFERROR(CONCATENATE(TEXT(INDEX($Q$7:$Q$34,SMALL(IF($T$7:$T$34&lt;&gt;"",IF($Q$7:$Q$34&lt;&gt;"",ROW($Q$7:$Q$34)-MIN(ROW($Q$7:$Q$34))+1,""),""),ROW()-ROW(A$36)+1)),"##0")," "),"")</f>
        <v>0</v>
      </c>
      <c r="S46">
        <f t="array" ref="S46">IFERROR(CONCATENATE((INDEX($A$7:$A$34,SMALL(IF($T$7:$T$34&lt;&gt;"",IF($Q$7:$Q$34&lt;&gt;"",ROW($Q$7:$Q$34)-MIN(ROW($Q$7:$Q$34))+1,""),""),ROW()-ROW(A$36)+1))),),"")</f>
        <v>0</v>
      </c>
      <c r="W46">
        <f t="array" ref="W46">IFERROR(CONCATENATE((INDEX($Z$7:$Z$34,SMALL(IF($Z$7:$Z$34&lt;&gt;"",IF($W$7:$W$34&lt;&gt;"",ROW($W$7:$W$34)-MIN(ROW($W$7:$W$34))+1,""),""),ROW()-ROW(A$36)+1))),","),"")</f>
        <v>0</v>
      </c>
      <c r="X46">
        <f t="array" ref="X46">IFERROR(CONCATENATE(TEXT(INDEX($W$7:$W$34,SMALL(IF($Z$7:$Z$34&lt;&gt;"",IF($W$7:$W$34&lt;&gt;"",ROW($W$7:$W$34)-MIN(ROW($W$7:$W$34))+1,""),""),ROW()-ROW(A$36)+1)),"##0"),","),"")</f>
        <v>0</v>
      </c>
      <c r="Y46">
        <f t="array" ref="Y46">IFERROR(CONCATENATE((INDEX($A$7:$A$34,SMALL(IF($Z$7:$Z$34&lt;&gt;"",IF($W$7:$W$34&lt;&gt;"",ROW($W$7:$W$34)-MIN(ROW($W$7:$W$34))+1,""),""),ROW()-ROW(A$36)+1))),),"")</f>
        <v>0</v>
      </c>
      <c r="AC46">
        <f t="array" ref="AC46">IFERROR(CONCATENATE((INDEX($AF$7:$AF$34,SMALL(IF($AF$7:$AF$34&lt;&gt;"",IF($AC$7:$AC$34&lt;&gt;"",ROW($AC$7:$AC$34)-MIN(ROW($AC$7:$AC$34))+1,""),""),ROW()-ROW(A$36)+1)))," "),"")</f>
        <v>0</v>
      </c>
      <c r="AD46">
        <f t="array" ref="AD46">IFERROR(CONCATENATE(TEXT(INDEX($AC$7:$AC$34,SMALL(IF($AF$7:$AF$34&lt;&gt;"",IF($AC$7:$AC$34&lt;&gt;"",ROW($AC$7:$AC$34)-MIN(ROW($AC$7:$AC$34))+1,""),""),ROW()-ROW(A$36)+1)),"##0")," "),"")</f>
        <v>0</v>
      </c>
      <c r="AE46">
        <f t="array" ref="AE46">IFERROR(CONCATENATE((INDEX($A$7:$A$34,SMALL(IF($AF$7:$AF$34&lt;&gt;"",IF($AC$7:$AC$34&lt;&gt;"",ROW($AC$7:$AC$34)-MIN(ROW($AC$7:$AC$34))+1,""),""),ROW()-ROW(A$36)+1))),),"")</f>
        <v>0</v>
      </c>
    </row>
    <row r="47" spans="1:31">
      <c r="K47">
        <f t="array" ref="K47">IFERROR(CONCATENATE(TEXT(INDEX($K$7:$K$34,SMALL(IF($N$7:$N$34&lt;&gt;"",IF($K$7:$K$34&lt;&gt;"",ROW($K$7:$K$34)-MIN(ROW($K$7:$K$34))+1,""),""),ROW()-ROW(A$36)+1)),"##0"),","),"")</f>
        <v>0</v>
      </c>
      <c r="L47">
        <f t="array" ref="L47">IFERROR(CONCATENATE((INDEX($N$7:$N$34,SMALL(IF($N$7:$N$34&lt;&gt;"",IF($K$7:$K$34&lt;&gt;"",ROW($K$7:$K$34)-MIN(ROW($K$7:$K$34))+1,""),""),ROW()-ROW(A$36)+1))),","),"")</f>
        <v>0</v>
      </c>
      <c r="M47">
        <f t="array" ref="M47">IFERROR(CONCATENATE((INDEX($A$7:$A$34,SMALL(IF($N$7:$N$34&lt;&gt;"",IF($K$7:$K$34&lt;&gt;"",ROW($K$7:$K$34)-MIN(ROW($K$7:$K$34))+1,""),""),ROW()-ROW(A$36)+1))),),"")</f>
        <v>0</v>
      </c>
      <c r="Q47">
        <f t="array" ref="Q47">IFERROR(CONCATENATE((INDEX($T$7:$T$34,SMALL(IF($T$7:$T$34&lt;&gt;"",IF($Q$7:$Q$34&lt;&gt;"",ROW($Q$7:$Q$34)-MIN(ROW($Q$7:$Q$34))+1,""),""),ROW()-ROW(A$36)+1)))," "),"")</f>
        <v>0</v>
      </c>
      <c r="R47">
        <f t="array" ref="R47">IFERROR(CONCATENATE(TEXT(INDEX($Q$7:$Q$34,SMALL(IF($T$7:$T$34&lt;&gt;"",IF($Q$7:$Q$34&lt;&gt;"",ROW($Q$7:$Q$34)-MIN(ROW($Q$7:$Q$34))+1,""),""),ROW()-ROW(A$36)+1)),"##0")," "),"")</f>
        <v>0</v>
      </c>
      <c r="S47">
        <f t="array" ref="S47">IFERROR(CONCATENATE((INDEX($A$7:$A$34,SMALL(IF($T$7:$T$34&lt;&gt;"",IF($Q$7:$Q$34&lt;&gt;"",ROW($Q$7:$Q$34)-MIN(ROW($Q$7:$Q$34))+1,""),""),ROW()-ROW(A$36)+1))),),"")</f>
        <v>0</v>
      </c>
      <c r="W47">
        <f t="array" ref="W47">IFERROR(CONCATENATE((INDEX($Z$7:$Z$34,SMALL(IF($Z$7:$Z$34&lt;&gt;"",IF($W$7:$W$34&lt;&gt;"",ROW($W$7:$W$34)-MIN(ROW($W$7:$W$34))+1,""),""),ROW()-ROW(A$36)+1))),","),"")</f>
        <v>0</v>
      </c>
      <c r="X47">
        <f t="array" ref="X47">IFERROR(CONCATENATE(TEXT(INDEX($W$7:$W$34,SMALL(IF($Z$7:$Z$34&lt;&gt;"",IF($W$7:$W$34&lt;&gt;"",ROW($W$7:$W$34)-MIN(ROW($W$7:$W$34))+1,""),""),ROW()-ROW(A$36)+1)),"##0"),","),"")</f>
        <v>0</v>
      </c>
      <c r="Y47">
        <f t="array" ref="Y47">IFERROR(CONCATENATE((INDEX($A$7:$A$34,SMALL(IF($Z$7:$Z$34&lt;&gt;"",IF($W$7:$W$34&lt;&gt;"",ROW($W$7:$W$34)-MIN(ROW($W$7:$W$34))+1,""),""),ROW()-ROW(A$36)+1))),),"")</f>
        <v>0</v>
      </c>
      <c r="AC47">
        <f t="array" ref="AC47">IFERROR(CONCATENATE((INDEX($AF$7:$AF$34,SMALL(IF($AF$7:$AF$34&lt;&gt;"",IF($AC$7:$AC$34&lt;&gt;"",ROW($AC$7:$AC$34)-MIN(ROW($AC$7:$AC$34))+1,""),""),ROW()-ROW(A$36)+1)))," "),"")</f>
        <v>0</v>
      </c>
      <c r="AD47">
        <f t="array" ref="AD47">IFERROR(CONCATENATE(TEXT(INDEX($AC$7:$AC$34,SMALL(IF($AF$7:$AF$34&lt;&gt;"",IF($AC$7:$AC$34&lt;&gt;"",ROW($AC$7:$AC$34)-MIN(ROW($AC$7:$AC$34))+1,""),""),ROW()-ROW(A$36)+1)),"##0")," "),"")</f>
        <v>0</v>
      </c>
      <c r="AE47">
        <f t="array" ref="AE47">IFERROR(CONCATENATE((INDEX($A$7:$A$34,SMALL(IF($AF$7:$AF$34&lt;&gt;"",IF($AC$7:$AC$34&lt;&gt;"",ROW($AC$7:$AC$34)-MIN(ROW($AC$7:$AC$34))+1,""),""),ROW()-ROW(A$36)+1))),),"")</f>
        <v>0</v>
      </c>
    </row>
    <row r="48" spans="1:31">
      <c r="K48">
        <f t="array" ref="K48">IFERROR(CONCATENATE(TEXT(INDEX($K$7:$K$34,SMALL(IF($N$7:$N$34&lt;&gt;"",IF($K$7:$K$34&lt;&gt;"",ROW($K$7:$K$34)-MIN(ROW($K$7:$K$34))+1,""),""),ROW()-ROW(A$36)+1)),"##0"),","),"")</f>
        <v>0</v>
      </c>
      <c r="L48">
        <f t="array" ref="L48">IFERROR(CONCATENATE((INDEX($N$7:$N$34,SMALL(IF($N$7:$N$34&lt;&gt;"",IF($K$7:$K$34&lt;&gt;"",ROW($K$7:$K$34)-MIN(ROW($K$7:$K$34))+1,""),""),ROW()-ROW(A$36)+1))),","),"")</f>
        <v>0</v>
      </c>
      <c r="M48">
        <f t="array" ref="M48">IFERROR(CONCATENATE((INDEX($A$7:$A$34,SMALL(IF($N$7:$N$34&lt;&gt;"",IF($K$7:$K$34&lt;&gt;"",ROW($K$7:$K$34)-MIN(ROW($K$7:$K$34))+1,""),""),ROW()-ROW(A$36)+1))),),"")</f>
        <v>0</v>
      </c>
      <c r="Q48">
        <f t="array" ref="Q48">IFERROR(CONCATENATE((INDEX($T$7:$T$34,SMALL(IF($T$7:$T$34&lt;&gt;"",IF($Q$7:$Q$34&lt;&gt;"",ROW($Q$7:$Q$34)-MIN(ROW($Q$7:$Q$34))+1,""),""),ROW()-ROW(A$36)+1)))," "),"")</f>
        <v>0</v>
      </c>
      <c r="R48">
        <f t="array" ref="R48">IFERROR(CONCATENATE(TEXT(INDEX($Q$7:$Q$34,SMALL(IF($T$7:$T$34&lt;&gt;"",IF($Q$7:$Q$34&lt;&gt;"",ROW($Q$7:$Q$34)-MIN(ROW($Q$7:$Q$34))+1,""),""),ROW()-ROW(A$36)+1)),"##0")," "),"")</f>
        <v>0</v>
      </c>
      <c r="S48">
        <f t="array" ref="S48">IFERROR(CONCATENATE((INDEX($A$7:$A$34,SMALL(IF($T$7:$T$34&lt;&gt;"",IF($Q$7:$Q$34&lt;&gt;"",ROW($Q$7:$Q$34)-MIN(ROW($Q$7:$Q$34))+1,""),""),ROW()-ROW(A$36)+1))),),"")</f>
        <v>0</v>
      </c>
      <c r="W48">
        <f t="array" ref="W48">IFERROR(CONCATENATE((INDEX($Z$7:$Z$34,SMALL(IF($Z$7:$Z$34&lt;&gt;"",IF($W$7:$W$34&lt;&gt;"",ROW($W$7:$W$34)-MIN(ROW($W$7:$W$34))+1,""),""),ROW()-ROW(A$36)+1))),","),"")</f>
        <v>0</v>
      </c>
      <c r="X48">
        <f t="array" ref="X48">IFERROR(CONCATENATE(TEXT(INDEX($W$7:$W$34,SMALL(IF($Z$7:$Z$34&lt;&gt;"",IF($W$7:$W$34&lt;&gt;"",ROW($W$7:$W$34)-MIN(ROW($W$7:$W$34))+1,""),""),ROW()-ROW(A$36)+1)),"##0"),","),"")</f>
        <v>0</v>
      </c>
      <c r="Y48">
        <f t="array" ref="Y48">IFERROR(CONCATENATE((INDEX($A$7:$A$34,SMALL(IF($Z$7:$Z$34&lt;&gt;"",IF($W$7:$W$34&lt;&gt;"",ROW($W$7:$W$34)-MIN(ROW($W$7:$W$34))+1,""),""),ROW()-ROW(A$36)+1))),),"")</f>
        <v>0</v>
      </c>
      <c r="AC48">
        <f t="array" ref="AC48">IFERROR(CONCATENATE((INDEX($AF$7:$AF$34,SMALL(IF($AF$7:$AF$34&lt;&gt;"",IF($AC$7:$AC$34&lt;&gt;"",ROW($AC$7:$AC$34)-MIN(ROW($AC$7:$AC$34))+1,""),""),ROW()-ROW(A$36)+1)))," "),"")</f>
        <v>0</v>
      </c>
      <c r="AD48">
        <f t="array" ref="AD48">IFERROR(CONCATENATE(TEXT(INDEX($AC$7:$AC$34,SMALL(IF($AF$7:$AF$34&lt;&gt;"",IF($AC$7:$AC$34&lt;&gt;"",ROW($AC$7:$AC$34)-MIN(ROW($AC$7:$AC$34))+1,""),""),ROW()-ROW(A$36)+1)),"##0")," "),"")</f>
        <v>0</v>
      </c>
      <c r="AE48">
        <f t="array" ref="AE48">IFERROR(CONCATENATE((INDEX($A$7:$A$34,SMALL(IF($AF$7:$AF$34&lt;&gt;"",IF($AC$7:$AC$34&lt;&gt;"",ROW($AC$7:$AC$34)-MIN(ROW($AC$7:$AC$34))+1,""),""),ROW()-ROW(A$36)+1))),),"")</f>
        <v>0</v>
      </c>
    </row>
    <row r="49" spans="11:31">
      <c r="K49">
        <f t="array" ref="K49">IFERROR(CONCATENATE(TEXT(INDEX($K$7:$K$34,SMALL(IF($N$7:$N$34&lt;&gt;"",IF($K$7:$K$34&lt;&gt;"",ROW($K$7:$K$34)-MIN(ROW($K$7:$K$34))+1,""),""),ROW()-ROW(A$36)+1)),"##0"),","),"")</f>
        <v>0</v>
      </c>
      <c r="L49">
        <f t="array" ref="L49">IFERROR(CONCATENATE((INDEX($N$7:$N$34,SMALL(IF($N$7:$N$34&lt;&gt;"",IF($K$7:$K$34&lt;&gt;"",ROW($K$7:$K$34)-MIN(ROW($K$7:$K$34))+1,""),""),ROW()-ROW(A$36)+1))),","),"")</f>
        <v>0</v>
      </c>
      <c r="M49">
        <f t="array" ref="M49">IFERROR(CONCATENATE((INDEX($A$7:$A$34,SMALL(IF($N$7:$N$34&lt;&gt;"",IF($K$7:$K$34&lt;&gt;"",ROW($K$7:$K$34)-MIN(ROW($K$7:$K$34))+1,""),""),ROW()-ROW(A$36)+1))),),"")</f>
        <v>0</v>
      </c>
      <c r="Q49">
        <f t="array" ref="Q49">IFERROR(CONCATENATE((INDEX($T$7:$T$34,SMALL(IF($T$7:$T$34&lt;&gt;"",IF($Q$7:$Q$34&lt;&gt;"",ROW($Q$7:$Q$34)-MIN(ROW($Q$7:$Q$34))+1,""),""),ROW()-ROW(A$36)+1)))," "),"")</f>
        <v>0</v>
      </c>
      <c r="R49">
        <f t="array" ref="R49">IFERROR(CONCATENATE(TEXT(INDEX($Q$7:$Q$34,SMALL(IF($T$7:$T$34&lt;&gt;"",IF($Q$7:$Q$34&lt;&gt;"",ROW($Q$7:$Q$34)-MIN(ROW($Q$7:$Q$34))+1,""),""),ROW()-ROW(A$36)+1)),"##0")," "),"")</f>
        <v>0</v>
      </c>
      <c r="S49">
        <f t="array" ref="S49">IFERROR(CONCATENATE((INDEX($A$7:$A$34,SMALL(IF($T$7:$T$34&lt;&gt;"",IF($Q$7:$Q$34&lt;&gt;"",ROW($Q$7:$Q$34)-MIN(ROW($Q$7:$Q$34))+1,""),""),ROW()-ROW(A$36)+1))),),"")</f>
        <v>0</v>
      </c>
      <c r="W49">
        <f t="array" ref="W49">IFERROR(CONCATENATE((INDEX($Z$7:$Z$34,SMALL(IF($Z$7:$Z$34&lt;&gt;"",IF($W$7:$W$34&lt;&gt;"",ROW($W$7:$W$34)-MIN(ROW($W$7:$W$34))+1,""),""),ROW()-ROW(A$36)+1))),","),"")</f>
        <v>0</v>
      </c>
      <c r="X49">
        <f t="array" ref="X49">IFERROR(CONCATENATE(TEXT(INDEX($W$7:$W$34,SMALL(IF($Z$7:$Z$34&lt;&gt;"",IF($W$7:$W$34&lt;&gt;"",ROW($W$7:$W$34)-MIN(ROW($W$7:$W$34))+1,""),""),ROW()-ROW(A$36)+1)),"##0"),","),"")</f>
        <v>0</v>
      </c>
      <c r="Y49">
        <f t="array" ref="Y49">IFERROR(CONCATENATE((INDEX($A$7:$A$34,SMALL(IF($Z$7:$Z$34&lt;&gt;"",IF($W$7:$W$34&lt;&gt;"",ROW($W$7:$W$34)-MIN(ROW($W$7:$W$34))+1,""),""),ROW()-ROW(A$36)+1))),),"")</f>
        <v>0</v>
      </c>
      <c r="AC49">
        <f t="array" ref="AC49">IFERROR(CONCATENATE((INDEX($AF$7:$AF$34,SMALL(IF($AF$7:$AF$34&lt;&gt;"",IF($AC$7:$AC$34&lt;&gt;"",ROW($AC$7:$AC$34)-MIN(ROW($AC$7:$AC$34))+1,""),""),ROW()-ROW(A$36)+1)))," "),"")</f>
        <v>0</v>
      </c>
      <c r="AD49">
        <f t="array" ref="AD49">IFERROR(CONCATENATE(TEXT(INDEX($AC$7:$AC$34,SMALL(IF($AF$7:$AF$34&lt;&gt;"",IF($AC$7:$AC$34&lt;&gt;"",ROW($AC$7:$AC$34)-MIN(ROW($AC$7:$AC$34))+1,""),""),ROW()-ROW(A$36)+1)),"##0")," "),"")</f>
        <v>0</v>
      </c>
      <c r="AE49">
        <f t="array" ref="AE49">IFERROR(CONCATENATE((INDEX($A$7:$A$34,SMALL(IF($AF$7:$AF$34&lt;&gt;"",IF($AC$7:$AC$34&lt;&gt;"",ROW($AC$7:$AC$34)-MIN(ROW($AC$7:$AC$34))+1,""),""),ROW()-ROW(A$36)+1))),),"")</f>
        <v>0</v>
      </c>
    </row>
    <row r="50" spans="11:31">
      <c r="K50">
        <f t="array" ref="K50">IFERROR(CONCATENATE(TEXT(INDEX($K$7:$K$34,SMALL(IF($N$7:$N$34&lt;&gt;"",IF($K$7:$K$34&lt;&gt;"",ROW($K$7:$K$34)-MIN(ROW($K$7:$K$34))+1,""),""),ROW()-ROW(A$36)+1)),"##0"),","),"")</f>
        <v>0</v>
      </c>
      <c r="L50">
        <f t="array" ref="L50">IFERROR(CONCATENATE((INDEX($N$7:$N$34,SMALL(IF($N$7:$N$34&lt;&gt;"",IF($K$7:$K$34&lt;&gt;"",ROW($K$7:$K$34)-MIN(ROW($K$7:$K$34))+1,""),""),ROW()-ROW(A$36)+1))),","),"")</f>
        <v>0</v>
      </c>
      <c r="M50">
        <f t="array" ref="M50">IFERROR(CONCATENATE((INDEX($A$7:$A$34,SMALL(IF($N$7:$N$34&lt;&gt;"",IF($K$7:$K$34&lt;&gt;"",ROW($K$7:$K$34)-MIN(ROW($K$7:$K$34))+1,""),""),ROW()-ROW(A$36)+1))),),"")</f>
        <v>0</v>
      </c>
      <c r="Q50">
        <f t="array" ref="Q50">IFERROR(CONCATENATE((INDEX($T$7:$T$34,SMALL(IF($T$7:$T$34&lt;&gt;"",IF($Q$7:$Q$34&lt;&gt;"",ROW($Q$7:$Q$34)-MIN(ROW($Q$7:$Q$34))+1,""),""),ROW()-ROW(A$36)+1)))," "),"")</f>
        <v>0</v>
      </c>
      <c r="R50">
        <f t="array" ref="R50">IFERROR(CONCATENATE(TEXT(INDEX($Q$7:$Q$34,SMALL(IF($T$7:$T$34&lt;&gt;"",IF($Q$7:$Q$34&lt;&gt;"",ROW($Q$7:$Q$34)-MIN(ROW($Q$7:$Q$34))+1,""),""),ROW()-ROW(A$36)+1)),"##0")," "),"")</f>
        <v>0</v>
      </c>
      <c r="S50">
        <f t="array" ref="S50">IFERROR(CONCATENATE((INDEX($A$7:$A$34,SMALL(IF($T$7:$T$34&lt;&gt;"",IF($Q$7:$Q$34&lt;&gt;"",ROW($Q$7:$Q$34)-MIN(ROW($Q$7:$Q$34))+1,""),""),ROW()-ROW(A$36)+1))),),"")</f>
        <v>0</v>
      </c>
      <c r="W50">
        <f t="array" ref="W50">IFERROR(CONCATENATE((INDEX($Z$7:$Z$34,SMALL(IF($Z$7:$Z$34&lt;&gt;"",IF($W$7:$W$34&lt;&gt;"",ROW($W$7:$W$34)-MIN(ROW($W$7:$W$34))+1,""),""),ROW()-ROW(A$36)+1))),","),"")</f>
        <v>0</v>
      </c>
      <c r="X50">
        <f t="array" ref="X50">IFERROR(CONCATENATE(TEXT(INDEX($W$7:$W$34,SMALL(IF($Z$7:$Z$34&lt;&gt;"",IF($W$7:$W$34&lt;&gt;"",ROW($W$7:$W$34)-MIN(ROW($W$7:$W$34))+1,""),""),ROW()-ROW(A$36)+1)),"##0"),","),"")</f>
        <v>0</v>
      </c>
      <c r="Y50">
        <f t="array" ref="Y50">IFERROR(CONCATENATE((INDEX($A$7:$A$34,SMALL(IF($Z$7:$Z$34&lt;&gt;"",IF($W$7:$W$34&lt;&gt;"",ROW($W$7:$W$34)-MIN(ROW($W$7:$W$34))+1,""),""),ROW()-ROW(A$36)+1))),),"")</f>
        <v>0</v>
      </c>
      <c r="AC50">
        <f t="array" ref="AC50">IFERROR(CONCATENATE((INDEX($AF$7:$AF$34,SMALL(IF($AF$7:$AF$34&lt;&gt;"",IF($AC$7:$AC$34&lt;&gt;"",ROW($AC$7:$AC$34)-MIN(ROW($AC$7:$AC$34))+1,""),""),ROW()-ROW(A$36)+1)))," "),"")</f>
        <v>0</v>
      </c>
      <c r="AD50">
        <f t="array" ref="AD50">IFERROR(CONCATENATE(TEXT(INDEX($AC$7:$AC$34,SMALL(IF($AF$7:$AF$34&lt;&gt;"",IF($AC$7:$AC$34&lt;&gt;"",ROW($AC$7:$AC$34)-MIN(ROW($AC$7:$AC$34))+1,""),""),ROW()-ROW(A$36)+1)),"##0")," "),"")</f>
        <v>0</v>
      </c>
      <c r="AE50">
        <f t="array" ref="AE50">IFERROR(CONCATENATE((INDEX($A$7:$A$34,SMALL(IF($AF$7:$AF$34&lt;&gt;"",IF($AC$7:$AC$34&lt;&gt;"",ROW($AC$7:$AC$34)-MIN(ROW($AC$7:$AC$34))+1,""),""),ROW()-ROW(A$36)+1))),),"")</f>
        <v>0</v>
      </c>
    </row>
    <row r="51" spans="11:31">
      <c r="K51">
        <f t="array" ref="K51">IFERROR(CONCATENATE(TEXT(INDEX($K$7:$K$34,SMALL(IF($N$7:$N$34&lt;&gt;"",IF($K$7:$K$34&lt;&gt;"",ROW($K$7:$K$34)-MIN(ROW($K$7:$K$34))+1,""),""),ROW()-ROW(A$36)+1)),"##0"),","),"")</f>
        <v>0</v>
      </c>
      <c r="L51">
        <f t="array" ref="L51">IFERROR(CONCATENATE((INDEX($N$7:$N$34,SMALL(IF($N$7:$N$34&lt;&gt;"",IF($K$7:$K$34&lt;&gt;"",ROW($K$7:$K$34)-MIN(ROW($K$7:$K$34))+1,""),""),ROW()-ROW(A$36)+1))),","),"")</f>
        <v>0</v>
      </c>
      <c r="M51">
        <f t="array" ref="M51">IFERROR(CONCATENATE((INDEX($A$7:$A$34,SMALL(IF($N$7:$N$34&lt;&gt;"",IF($K$7:$K$34&lt;&gt;"",ROW($K$7:$K$34)-MIN(ROW($K$7:$K$34))+1,""),""),ROW()-ROW(A$36)+1))),),"")</f>
        <v>0</v>
      </c>
      <c r="Q51">
        <f t="array" ref="Q51">IFERROR(CONCATENATE((INDEX($T$7:$T$34,SMALL(IF($T$7:$T$34&lt;&gt;"",IF($Q$7:$Q$34&lt;&gt;"",ROW($Q$7:$Q$34)-MIN(ROW($Q$7:$Q$34))+1,""),""),ROW()-ROW(A$36)+1)))," "),"")</f>
        <v>0</v>
      </c>
      <c r="R51">
        <f t="array" ref="R51">IFERROR(CONCATENATE(TEXT(INDEX($Q$7:$Q$34,SMALL(IF($T$7:$T$34&lt;&gt;"",IF($Q$7:$Q$34&lt;&gt;"",ROW($Q$7:$Q$34)-MIN(ROW($Q$7:$Q$34))+1,""),""),ROW()-ROW(A$36)+1)),"##0")," "),"")</f>
        <v>0</v>
      </c>
      <c r="S51">
        <f t="array" ref="S51">IFERROR(CONCATENATE((INDEX($A$7:$A$34,SMALL(IF($T$7:$T$34&lt;&gt;"",IF($Q$7:$Q$34&lt;&gt;"",ROW($Q$7:$Q$34)-MIN(ROW($Q$7:$Q$34))+1,""),""),ROW()-ROW(A$36)+1))),),"")</f>
        <v>0</v>
      </c>
      <c r="W51">
        <f t="array" ref="W51">IFERROR(CONCATENATE((INDEX($Z$7:$Z$34,SMALL(IF($Z$7:$Z$34&lt;&gt;"",IF($W$7:$W$34&lt;&gt;"",ROW($W$7:$W$34)-MIN(ROW($W$7:$W$34))+1,""),""),ROW()-ROW(A$36)+1))),","),"")</f>
        <v>0</v>
      </c>
      <c r="X51">
        <f t="array" ref="X51">IFERROR(CONCATENATE(TEXT(INDEX($W$7:$W$34,SMALL(IF($Z$7:$Z$34&lt;&gt;"",IF($W$7:$W$34&lt;&gt;"",ROW($W$7:$W$34)-MIN(ROW($W$7:$W$34))+1,""),""),ROW()-ROW(A$36)+1)),"##0"),","),"")</f>
        <v>0</v>
      </c>
      <c r="Y51">
        <f t="array" ref="Y51">IFERROR(CONCATENATE((INDEX($A$7:$A$34,SMALL(IF($Z$7:$Z$34&lt;&gt;"",IF($W$7:$W$34&lt;&gt;"",ROW($W$7:$W$34)-MIN(ROW($W$7:$W$34))+1,""),""),ROW()-ROW(A$36)+1))),),"")</f>
        <v>0</v>
      </c>
      <c r="AC51">
        <f t="array" ref="AC51">IFERROR(CONCATENATE((INDEX($AF$7:$AF$34,SMALL(IF($AF$7:$AF$34&lt;&gt;"",IF($AC$7:$AC$34&lt;&gt;"",ROW($AC$7:$AC$34)-MIN(ROW($AC$7:$AC$34))+1,""),""),ROW()-ROW(A$36)+1)))," "),"")</f>
        <v>0</v>
      </c>
      <c r="AD51">
        <f t="array" ref="AD51">IFERROR(CONCATENATE(TEXT(INDEX($AC$7:$AC$34,SMALL(IF($AF$7:$AF$34&lt;&gt;"",IF($AC$7:$AC$34&lt;&gt;"",ROW($AC$7:$AC$34)-MIN(ROW($AC$7:$AC$34))+1,""),""),ROW()-ROW(A$36)+1)),"##0")," "),"")</f>
        <v>0</v>
      </c>
      <c r="AE51">
        <f t="array" ref="AE51">IFERROR(CONCATENATE((INDEX($A$7:$A$34,SMALL(IF($AF$7:$AF$34&lt;&gt;"",IF($AC$7:$AC$34&lt;&gt;"",ROW($AC$7:$AC$34)-MIN(ROW($AC$7:$AC$34))+1,""),""),ROW()-ROW(A$36)+1))),),"")</f>
        <v>0</v>
      </c>
    </row>
    <row r="52" spans="11:31">
      <c r="K52">
        <f t="array" ref="K52">IFERROR(CONCATENATE(TEXT(INDEX($K$7:$K$34,SMALL(IF($N$7:$N$34&lt;&gt;"",IF($K$7:$K$34&lt;&gt;"",ROW($K$7:$K$34)-MIN(ROW($K$7:$K$34))+1,""),""),ROW()-ROW(A$36)+1)),"##0"),","),"")</f>
        <v>0</v>
      </c>
      <c r="L52">
        <f t="array" ref="L52">IFERROR(CONCATENATE((INDEX($N$7:$N$34,SMALL(IF($N$7:$N$34&lt;&gt;"",IF($K$7:$K$34&lt;&gt;"",ROW($K$7:$K$34)-MIN(ROW($K$7:$K$34))+1,""),""),ROW()-ROW(A$36)+1))),","),"")</f>
        <v>0</v>
      </c>
      <c r="M52">
        <f t="array" ref="M52">IFERROR(CONCATENATE((INDEX($A$7:$A$34,SMALL(IF($N$7:$N$34&lt;&gt;"",IF($K$7:$K$34&lt;&gt;"",ROW($K$7:$K$34)-MIN(ROW($K$7:$K$34))+1,""),""),ROW()-ROW(A$36)+1))),),"")</f>
        <v>0</v>
      </c>
      <c r="Q52">
        <f t="array" ref="Q52">IFERROR(CONCATENATE((INDEX($T$7:$T$34,SMALL(IF($T$7:$T$34&lt;&gt;"",IF($Q$7:$Q$34&lt;&gt;"",ROW($Q$7:$Q$34)-MIN(ROW($Q$7:$Q$34))+1,""),""),ROW()-ROW(A$36)+1)))," "),"")</f>
        <v>0</v>
      </c>
      <c r="R52">
        <f t="array" ref="R52">IFERROR(CONCATENATE(TEXT(INDEX($Q$7:$Q$34,SMALL(IF($T$7:$T$34&lt;&gt;"",IF($Q$7:$Q$34&lt;&gt;"",ROW($Q$7:$Q$34)-MIN(ROW($Q$7:$Q$34))+1,""),""),ROW()-ROW(A$36)+1)),"##0")," "),"")</f>
        <v>0</v>
      </c>
      <c r="S52">
        <f t="array" ref="S52">IFERROR(CONCATENATE((INDEX($A$7:$A$34,SMALL(IF($T$7:$T$34&lt;&gt;"",IF($Q$7:$Q$34&lt;&gt;"",ROW($Q$7:$Q$34)-MIN(ROW($Q$7:$Q$34))+1,""),""),ROW()-ROW(A$36)+1))),),"")</f>
        <v>0</v>
      </c>
      <c r="W52">
        <f t="array" ref="W52">IFERROR(CONCATENATE((INDEX($Z$7:$Z$34,SMALL(IF($Z$7:$Z$34&lt;&gt;"",IF($W$7:$W$34&lt;&gt;"",ROW($W$7:$W$34)-MIN(ROW($W$7:$W$34))+1,""),""),ROW()-ROW(A$36)+1))),","),"")</f>
        <v>0</v>
      </c>
      <c r="X52">
        <f t="array" ref="X52">IFERROR(CONCATENATE(TEXT(INDEX($W$7:$W$34,SMALL(IF($Z$7:$Z$34&lt;&gt;"",IF($W$7:$W$34&lt;&gt;"",ROW($W$7:$W$34)-MIN(ROW($W$7:$W$34))+1,""),""),ROW()-ROW(A$36)+1)),"##0"),","),"")</f>
        <v>0</v>
      </c>
      <c r="Y52">
        <f t="array" ref="Y52">IFERROR(CONCATENATE((INDEX($A$7:$A$34,SMALL(IF($Z$7:$Z$34&lt;&gt;"",IF($W$7:$W$34&lt;&gt;"",ROW($W$7:$W$34)-MIN(ROW($W$7:$W$34))+1,""),""),ROW()-ROW(A$36)+1))),),"")</f>
        <v>0</v>
      </c>
      <c r="AC52">
        <f t="array" ref="AC52">IFERROR(CONCATENATE((INDEX($AF$7:$AF$34,SMALL(IF($AF$7:$AF$34&lt;&gt;"",IF($AC$7:$AC$34&lt;&gt;"",ROW($AC$7:$AC$34)-MIN(ROW($AC$7:$AC$34))+1,""),""),ROW()-ROW(A$36)+1)))," "),"")</f>
        <v>0</v>
      </c>
      <c r="AD52">
        <f t="array" ref="AD52">IFERROR(CONCATENATE(TEXT(INDEX($AC$7:$AC$34,SMALL(IF($AF$7:$AF$34&lt;&gt;"",IF($AC$7:$AC$34&lt;&gt;"",ROW($AC$7:$AC$34)-MIN(ROW($AC$7:$AC$34))+1,""),""),ROW()-ROW(A$36)+1)),"##0")," "),"")</f>
        <v>0</v>
      </c>
      <c r="AE52">
        <f t="array" ref="AE52">IFERROR(CONCATENATE((INDEX($A$7:$A$34,SMALL(IF($AF$7:$AF$34&lt;&gt;"",IF($AC$7:$AC$34&lt;&gt;"",ROW($AC$7:$AC$34)-MIN(ROW($AC$7:$AC$34))+1,""),""),ROW()-ROW(A$36)+1))),),"")</f>
        <v>0</v>
      </c>
    </row>
    <row r="53" spans="11:31">
      <c r="K53">
        <f t="array" ref="K53">IFERROR(CONCATENATE(TEXT(INDEX($K$7:$K$34,SMALL(IF($N$7:$N$34&lt;&gt;"",IF($K$7:$K$34&lt;&gt;"",ROW($K$7:$K$34)-MIN(ROW($K$7:$K$34))+1,""),""),ROW()-ROW(A$36)+1)),"##0"),","),"")</f>
        <v>0</v>
      </c>
      <c r="L53">
        <f t="array" ref="L53">IFERROR(CONCATENATE((INDEX($N$7:$N$34,SMALL(IF($N$7:$N$34&lt;&gt;"",IF($K$7:$K$34&lt;&gt;"",ROW($K$7:$K$34)-MIN(ROW($K$7:$K$34))+1,""),""),ROW()-ROW(A$36)+1))),","),"")</f>
        <v>0</v>
      </c>
      <c r="M53">
        <f t="array" ref="M53">IFERROR(CONCATENATE((INDEX($A$7:$A$34,SMALL(IF($N$7:$N$34&lt;&gt;"",IF($K$7:$K$34&lt;&gt;"",ROW($K$7:$K$34)-MIN(ROW($K$7:$K$34))+1,""),""),ROW()-ROW(A$36)+1))),),"")</f>
        <v>0</v>
      </c>
      <c r="Q53">
        <f t="array" ref="Q53">IFERROR(CONCATENATE((INDEX($T$7:$T$34,SMALL(IF($T$7:$T$34&lt;&gt;"",IF($Q$7:$Q$34&lt;&gt;"",ROW($Q$7:$Q$34)-MIN(ROW($Q$7:$Q$34))+1,""),""),ROW()-ROW(A$36)+1)))," "),"")</f>
        <v>0</v>
      </c>
      <c r="R53">
        <f t="array" ref="R53">IFERROR(CONCATENATE(TEXT(INDEX($Q$7:$Q$34,SMALL(IF($T$7:$T$34&lt;&gt;"",IF($Q$7:$Q$34&lt;&gt;"",ROW($Q$7:$Q$34)-MIN(ROW($Q$7:$Q$34))+1,""),""),ROW()-ROW(A$36)+1)),"##0")," "),"")</f>
        <v>0</v>
      </c>
      <c r="S53">
        <f t="array" ref="S53">IFERROR(CONCATENATE((INDEX($A$7:$A$34,SMALL(IF($T$7:$T$34&lt;&gt;"",IF($Q$7:$Q$34&lt;&gt;"",ROW($Q$7:$Q$34)-MIN(ROW($Q$7:$Q$34))+1,""),""),ROW()-ROW(A$36)+1))),),"")</f>
        <v>0</v>
      </c>
      <c r="W53">
        <f t="array" ref="W53">IFERROR(CONCATENATE((INDEX($Z$7:$Z$34,SMALL(IF($Z$7:$Z$34&lt;&gt;"",IF($W$7:$W$34&lt;&gt;"",ROW($W$7:$W$34)-MIN(ROW($W$7:$W$34))+1,""),""),ROW()-ROW(A$36)+1))),","),"")</f>
        <v>0</v>
      </c>
      <c r="X53">
        <f t="array" ref="X53">IFERROR(CONCATENATE(TEXT(INDEX($W$7:$W$34,SMALL(IF($Z$7:$Z$34&lt;&gt;"",IF($W$7:$W$34&lt;&gt;"",ROW($W$7:$W$34)-MIN(ROW($W$7:$W$34))+1,""),""),ROW()-ROW(A$36)+1)),"##0"),","),"")</f>
        <v>0</v>
      </c>
      <c r="Y53">
        <f t="array" ref="Y53">IFERROR(CONCATENATE((INDEX($A$7:$A$34,SMALL(IF($Z$7:$Z$34&lt;&gt;"",IF($W$7:$W$34&lt;&gt;"",ROW($W$7:$W$34)-MIN(ROW($W$7:$W$34))+1,""),""),ROW()-ROW(A$36)+1))),),"")</f>
        <v>0</v>
      </c>
      <c r="AC53">
        <f t="array" ref="AC53">IFERROR(CONCATENATE((INDEX($AF$7:$AF$34,SMALL(IF($AF$7:$AF$34&lt;&gt;"",IF($AC$7:$AC$34&lt;&gt;"",ROW($AC$7:$AC$34)-MIN(ROW($AC$7:$AC$34))+1,""),""),ROW()-ROW(A$36)+1)))," "),"")</f>
        <v>0</v>
      </c>
      <c r="AD53">
        <f t="array" ref="AD53">IFERROR(CONCATENATE(TEXT(INDEX($AC$7:$AC$34,SMALL(IF($AF$7:$AF$34&lt;&gt;"",IF($AC$7:$AC$34&lt;&gt;"",ROW($AC$7:$AC$34)-MIN(ROW($AC$7:$AC$34))+1,""),""),ROW()-ROW(A$36)+1)),"##0")," "),"")</f>
        <v>0</v>
      </c>
      <c r="AE53">
        <f t="array" ref="AE53">IFERROR(CONCATENATE((INDEX($A$7:$A$34,SMALL(IF($AF$7:$AF$34&lt;&gt;"",IF($AC$7:$AC$34&lt;&gt;"",ROW($AC$7:$AC$34)-MIN(ROW($AC$7:$AC$34))+1,""),""),ROW()-ROW(A$36)+1))),),"")</f>
        <v>0</v>
      </c>
    </row>
    <row r="54" spans="11:31">
      <c r="K54">
        <f t="array" ref="K54">IFERROR(CONCATENATE(TEXT(INDEX($K$7:$K$34,SMALL(IF($N$7:$N$34&lt;&gt;"",IF($K$7:$K$34&lt;&gt;"",ROW($K$7:$K$34)-MIN(ROW($K$7:$K$34))+1,""),""),ROW()-ROW(A$36)+1)),"##0"),","),"")</f>
        <v>0</v>
      </c>
      <c r="L54">
        <f t="array" ref="L54">IFERROR(CONCATENATE((INDEX($N$7:$N$34,SMALL(IF($N$7:$N$34&lt;&gt;"",IF($K$7:$K$34&lt;&gt;"",ROW($K$7:$K$34)-MIN(ROW($K$7:$K$34))+1,""),""),ROW()-ROW(A$36)+1))),","),"")</f>
        <v>0</v>
      </c>
      <c r="M54">
        <f t="array" ref="M54">IFERROR(CONCATENATE((INDEX($A$7:$A$34,SMALL(IF($N$7:$N$34&lt;&gt;"",IF($K$7:$K$34&lt;&gt;"",ROW($K$7:$K$34)-MIN(ROW($K$7:$K$34))+1,""),""),ROW()-ROW(A$36)+1))),),"")</f>
        <v>0</v>
      </c>
      <c r="Q54">
        <f t="array" ref="Q54">IFERROR(CONCATENATE((INDEX($T$7:$T$34,SMALL(IF($T$7:$T$34&lt;&gt;"",IF($Q$7:$Q$34&lt;&gt;"",ROW($Q$7:$Q$34)-MIN(ROW($Q$7:$Q$34))+1,""),""),ROW()-ROW(A$36)+1)))," "),"")</f>
        <v>0</v>
      </c>
      <c r="R54">
        <f t="array" ref="R54">IFERROR(CONCATENATE(TEXT(INDEX($Q$7:$Q$34,SMALL(IF($T$7:$T$34&lt;&gt;"",IF($Q$7:$Q$34&lt;&gt;"",ROW($Q$7:$Q$34)-MIN(ROW($Q$7:$Q$34))+1,""),""),ROW()-ROW(A$36)+1)),"##0")," "),"")</f>
        <v>0</v>
      </c>
      <c r="S54">
        <f t="array" ref="S54">IFERROR(CONCATENATE((INDEX($A$7:$A$34,SMALL(IF($T$7:$T$34&lt;&gt;"",IF($Q$7:$Q$34&lt;&gt;"",ROW($Q$7:$Q$34)-MIN(ROW($Q$7:$Q$34))+1,""),""),ROW()-ROW(A$36)+1))),),"")</f>
        <v>0</v>
      </c>
      <c r="W54">
        <f t="array" ref="W54">IFERROR(CONCATENATE((INDEX($Z$7:$Z$34,SMALL(IF($Z$7:$Z$34&lt;&gt;"",IF($W$7:$W$34&lt;&gt;"",ROW($W$7:$W$34)-MIN(ROW($W$7:$W$34))+1,""),""),ROW()-ROW(A$36)+1))),","),"")</f>
        <v>0</v>
      </c>
      <c r="X54">
        <f t="array" ref="X54">IFERROR(CONCATENATE(TEXT(INDEX($W$7:$W$34,SMALL(IF($Z$7:$Z$34&lt;&gt;"",IF($W$7:$W$34&lt;&gt;"",ROW($W$7:$W$34)-MIN(ROW($W$7:$W$34))+1,""),""),ROW()-ROW(A$36)+1)),"##0"),","),"")</f>
        <v>0</v>
      </c>
      <c r="Y54">
        <f t="array" ref="Y54">IFERROR(CONCATENATE((INDEX($A$7:$A$34,SMALL(IF($Z$7:$Z$34&lt;&gt;"",IF($W$7:$W$34&lt;&gt;"",ROW($W$7:$W$34)-MIN(ROW($W$7:$W$34))+1,""),""),ROW()-ROW(A$36)+1))),),"")</f>
        <v>0</v>
      </c>
      <c r="AC54">
        <f t="array" ref="AC54">IFERROR(CONCATENATE((INDEX($AF$7:$AF$34,SMALL(IF($AF$7:$AF$34&lt;&gt;"",IF($AC$7:$AC$34&lt;&gt;"",ROW($AC$7:$AC$34)-MIN(ROW($AC$7:$AC$34))+1,""),""),ROW()-ROW(A$36)+1)))," "),"")</f>
        <v>0</v>
      </c>
      <c r="AD54">
        <f t="array" ref="AD54">IFERROR(CONCATENATE(TEXT(INDEX($AC$7:$AC$34,SMALL(IF($AF$7:$AF$34&lt;&gt;"",IF($AC$7:$AC$34&lt;&gt;"",ROW($AC$7:$AC$34)-MIN(ROW($AC$7:$AC$34))+1,""),""),ROW()-ROW(A$36)+1)),"##0")," "),"")</f>
        <v>0</v>
      </c>
      <c r="AE54">
        <f t="array" ref="AE54">IFERROR(CONCATENATE((INDEX($A$7:$A$34,SMALL(IF($AF$7:$AF$34&lt;&gt;"",IF($AC$7:$AC$34&lt;&gt;"",ROW($AC$7:$AC$34)-MIN(ROW($AC$7:$AC$34))+1,""),""),ROW()-ROW(A$36)+1))),),"")</f>
        <v>0</v>
      </c>
    </row>
    <row r="55" spans="11:31">
      <c r="K55">
        <f t="array" ref="K55">IFERROR(CONCATENATE(TEXT(INDEX($K$7:$K$34,SMALL(IF($N$7:$N$34&lt;&gt;"",IF($K$7:$K$34&lt;&gt;"",ROW($K$7:$K$34)-MIN(ROW($K$7:$K$34))+1,""),""),ROW()-ROW(A$36)+1)),"##0"),","),"")</f>
        <v>0</v>
      </c>
      <c r="L55">
        <f t="array" ref="L55">IFERROR(CONCATENATE((INDEX($N$7:$N$34,SMALL(IF($N$7:$N$34&lt;&gt;"",IF($K$7:$K$34&lt;&gt;"",ROW($K$7:$K$34)-MIN(ROW($K$7:$K$34))+1,""),""),ROW()-ROW(A$36)+1))),","),"")</f>
        <v>0</v>
      </c>
      <c r="M55">
        <f t="array" ref="M55">IFERROR(CONCATENATE((INDEX($A$7:$A$34,SMALL(IF($N$7:$N$34&lt;&gt;"",IF($K$7:$K$34&lt;&gt;"",ROW($K$7:$K$34)-MIN(ROW($K$7:$K$34))+1,""),""),ROW()-ROW(A$36)+1))),),"")</f>
        <v>0</v>
      </c>
      <c r="Q55">
        <f t="array" ref="Q55">IFERROR(CONCATENATE((INDEX($T$7:$T$34,SMALL(IF($T$7:$T$34&lt;&gt;"",IF($Q$7:$Q$34&lt;&gt;"",ROW($Q$7:$Q$34)-MIN(ROW($Q$7:$Q$34))+1,""),""),ROW()-ROW(A$36)+1)))," "),"")</f>
        <v>0</v>
      </c>
      <c r="R55">
        <f t="array" ref="R55">IFERROR(CONCATENATE(TEXT(INDEX($Q$7:$Q$34,SMALL(IF($T$7:$T$34&lt;&gt;"",IF($Q$7:$Q$34&lt;&gt;"",ROW($Q$7:$Q$34)-MIN(ROW($Q$7:$Q$34))+1,""),""),ROW()-ROW(A$36)+1)),"##0")," "),"")</f>
        <v>0</v>
      </c>
      <c r="S55">
        <f t="array" ref="S55">IFERROR(CONCATENATE((INDEX($A$7:$A$34,SMALL(IF($T$7:$T$34&lt;&gt;"",IF($Q$7:$Q$34&lt;&gt;"",ROW($Q$7:$Q$34)-MIN(ROW($Q$7:$Q$34))+1,""),""),ROW()-ROW(A$36)+1))),),"")</f>
        <v>0</v>
      </c>
      <c r="W55">
        <f t="array" ref="W55">IFERROR(CONCATENATE((INDEX($Z$7:$Z$34,SMALL(IF($Z$7:$Z$34&lt;&gt;"",IF($W$7:$W$34&lt;&gt;"",ROW($W$7:$W$34)-MIN(ROW($W$7:$W$34))+1,""),""),ROW()-ROW(A$36)+1))),","),"")</f>
        <v>0</v>
      </c>
      <c r="X55">
        <f t="array" ref="X55">IFERROR(CONCATENATE(TEXT(INDEX($W$7:$W$34,SMALL(IF($Z$7:$Z$34&lt;&gt;"",IF($W$7:$W$34&lt;&gt;"",ROW($W$7:$W$34)-MIN(ROW($W$7:$W$34))+1,""),""),ROW()-ROW(A$36)+1)),"##0"),","),"")</f>
        <v>0</v>
      </c>
      <c r="Y55">
        <f t="array" ref="Y55">IFERROR(CONCATENATE((INDEX($A$7:$A$34,SMALL(IF($Z$7:$Z$34&lt;&gt;"",IF($W$7:$W$34&lt;&gt;"",ROW($W$7:$W$34)-MIN(ROW($W$7:$W$34))+1,""),""),ROW()-ROW(A$36)+1))),),"")</f>
        <v>0</v>
      </c>
      <c r="AC55">
        <f t="array" ref="AC55">IFERROR(CONCATENATE((INDEX($AF$7:$AF$34,SMALL(IF($AF$7:$AF$34&lt;&gt;"",IF($AC$7:$AC$34&lt;&gt;"",ROW($AC$7:$AC$34)-MIN(ROW($AC$7:$AC$34))+1,""),""),ROW()-ROW(A$36)+1)))," "),"")</f>
        <v>0</v>
      </c>
      <c r="AD55">
        <f t="array" ref="AD55">IFERROR(CONCATENATE(TEXT(INDEX($AC$7:$AC$34,SMALL(IF($AF$7:$AF$34&lt;&gt;"",IF($AC$7:$AC$34&lt;&gt;"",ROW($AC$7:$AC$34)-MIN(ROW($AC$7:$AC$34))+1,""),""),ROW()-ROW(A$36)+1)),"##0")," "),"")</f>
        <v>0</v>
      </c>
      <c r="AE55">
        <f t="array" ref="AE55">IFERROR(CONCATENATE((INDEX($A$7:$A$34,SMALL(IF($AF$7:$AF$34&lt;&gt;"",IF($AC$7:$AC$34&lt;&gt;"",ROW($AC$7:$AC$34)-MIN(ROW($AC$7:$AC$34))+1,""),""),ROW()-ROW(A$36)+1))),),"")</f>
        <v>0</v>
      </c>
    </row>
    <row r="56" spans="11:31">
      <c r="K56">
        <f t="array" ref="K56">IFERROR(CONCATENATE(TEXT(INDEX($K$7:$K$34,SMALL(IF($N$7:$N$34&lt;&gt;"",IF($K$7:$K$34&lt;&gt;"",ROW($K$7:$K$34)-MIN(ROW($K$7:$K$34))+1,""),""),ROW()-ROW(A$36)+1)),"##0"),","),"")</f>
        <v>0</v>
      </c>
      <c r="L56">
        <f t="array" ref="L56">IFERROR(CONCATENATE((INDEX($N$7:$N$34,SMALL(IF($N$7:$N$34&lt;&gt;"",IF($K$7:$K$34&lt;&gt;"",ROW($K$7:$K$34)-MIN(ROW($K$7:$K$34))+1,""),""),ROW()-ROW(A$36)+1))),","),"")</f>
        <v>0</v>
      </c>
      <c r="M56">
        <f t="array" ref="M56">IFERROR(CONCATENATE((INDEX($A$7:$A$34,SMALL(IF($N$7:$N$34&lt;&gt;"",IF($K$7:$K$34&lt;&gt;"",ROW($K$7:$K$34)-MIN(ROW($K$7:$K$34))+1,""),""),ROW()-ROW(A$36)+1))),),"")</f>
        <v>0</v>
      </c>
      <c r="Q56">
        <f t="array" ref="Q56">IFERROR(CONCATENATE((INDEX($T$7:$T$34,SMALL(IF($T$7:$T$34&lt;&gt;"",IF($Q$7:$Q$34&lt;&gt;"",ROW($Q$7:$Q$34)-MIN(ROW($Q$7:$Q$34))+1,""),""),ROW()-ROW(A$36)+1)))," "),"")</f>
        <v>0</v>
      </c>
      <c r="R56">
        <f t="array" ref="R56">IFERROR(CONCATENATE(TEXT(INDEX($Q$7:$Q$34,SMALL(IF($T$7:$T$34&lt;&gt;"",IF($Q$7:$Q$34&lt;&gt;"",ROW($Q$7:$Q$34)-MIN(ROW($Q$7:$Q$34))+1,""),""),ROW()-ROW(A$36)+1)),"##0")," "),"")</f>
        <v>0</v>
      </c>
      <c r="S56">
        <f t="array" ref="S56">IFERROR(CONCATENATE((INDEX($A$7:$A$34,SMALL(IF($T$7:$T$34&lt;&gt;"",IF($Q$7:$Q$34&lt;&gt;"",ROW($Q$7:$Q$34)-MIN(ROW($Q$7:$Q$34))+1,""),""),ROW()-ROW(A$36)+1))),),"")</f>
        <v>0</v>
      </c>
      <c r="W56">
        <f t="array" ref="W56">IFERROR(CONCATENATE((INDEX($Z$7:$Z$34,SMALL(IF($Z$7:$Z$34&lt;&gt;"",IF($W$7:$W$34&lt;&gt;"",ROW($W$7:$W$34)-MIN(ROW($W$7:$W$34))+1,""),""),ROW()-ROW(A$36)+1))),","),"")</f>
        <v>0</v>
      </c>
      <c r="X56">
        <f t="array" ref="X56">IFERROR(CONCATENATE(TEXT(INDEX($W$7:$W$34,SMALL(IF($Z$7:$Z$34&lt;&gt;"",IF($W$7:$W$34&lt;&gt;"",ROW($W$7:$W$34)-MIN(ROW($W$7:$W$34))+1,""),""),ROW()-ROW(A$36)+1)),"##0"),","),"")</f>
        <v>0</v>
      </c>
      <c r="Y56">
        <f t="array" ref="Y56">IFERROR(CONCATENATE((INDEX($A$7:$A$34,SMALL(IF($Z$7:$Z$34&lt;&gt;"",IF($W$7:$W$34&lt;&gt;"",ROW($W$7:$W$34)-MIN(ROW($W$7:$W$34))+1,""),""),ROW()-ROW(A$36)+1))),),"")</f>
        <v>0</v>
      </c>
      <c r="AC56">
        <f t="array" ref="AC56">IFERROR(CONCATENATE((INDEX($AF$7:$AF$34,SMALL(IF($AF$7:$AF$34&lt;&gt;"",IF($AC$7:$AC$34&lt;&gt;"",ROW($AC$7:$AC$34)-MIN(ROW($AC$7:$AC$34))+1,""),""),ROW()-ROW(A$36)+1)))," "),"")</f>
        <v>0</v>
      </c>
      <c r="AD56">
        <f t="array" ref="AD56">IFERROR(CONCATENATE(TEXT(INDEX($AC$7:$AC$34,SMALL(IF($AF$7:$AF$34&lt;&gt;"",IF($AC$7:$AC$34&lt;&gt;"",ROW($AC$7:$AC$34)-MIN(ROW($AC$7:$AC$34))+1,""),""),ROW()-ROW(A$36)+1)),"##0")," "),"")</f>
        <v>0</v>
      </c>
      <c r="AE56">
        <f t="array" ref="AE56">IFERROR(CONCATENATE((INDEX($A$7:$A$34,SMALL(IF($AF$7:$AF$34&lt;&gt;"",IF($AC$7:$AC$34&lt;&gt;"",ROW($AC$7:$AC$34)-MIN(ROW($AC$7:$AC$34))+1,""),""),ROW()-ROW(A$36)+1))),),"")</f>
        <v>0</v>
      </c>
    </row>
    <row r="57" spans="11:31">
      <c r="K57">
        <f t="array" ref="K57">IFERROR(CONCATENATE(TEXT(INDEX($K$7:$K$34,SMALL(IF($N$7:$N$34&lt;&gt;"",IF($K$7:$K$34&lt;&gt;"",ROW($K$7:$K$34)-MIN(ROW($K$7:$K$34))+1,""),""),ROW()-ROW(A$36)+1)),"##0"),","),"")</f>
        <v>0</v>
      </c>
      <c r="L57">
        <f t="array" ref="L57">IFERROR(CONCATENATE((INDEX($N$7:$N$34,SMALL(IF($N$7:$N$34&lt;&gt;"",IF($K$7:$K$34&lt;&gt;"",ROW($K$7:$K$34)-MIN(ROW($K$7:$K$34))+1,""),""),ROW()-ROW(A$36)+1))),","),"")</f>
        <v>0</v>
      </c>
      <c r="M57">
        <f t="array" ref="M57">IFERROR(CONCATENATE((INDEX($A$7:$A$34,SMALL(IF($N$7:$N$34&lt;&gt;"",IF($K$7:$K$34&lt;&gt;"",ROW($K$7:$K$34)-MIN(ROW($K$7:$K$34))+1,""),""),ROW()-ROW(A$36)+1))),),"")</f>
        <v>0</v>
      </c>
      <c r="Q57">
        <f t="array" ref="Q57">IFERROR(CONCATENATE((INDEX($T$7:$T$34,SMALL(IF($T$7:$T$34&lt;&gt;"",IF($Q$7:$Q$34&lt;&gt;"",ROW($Q$7:$Q$34)-MIN(ROW($Q$7:$Q$34))+1,""),""),ROW()-ROW(A$36)+1)))," "),"")</f>
        <v>0</v>
      </c>
      <c r="R57">
        <f t="array" ref="R57">IFERROR(CONCATENATE(TEXT(INDEX($Q$7:$Q$34,SMALL(IF($T$7:$T$34&lt;&gt;"",IF($Q$7:$Q$34&lt;&gt;"",ROW($Q$7:$Q$34)-MIN(ROW($Q$7:$Q$34))+1,""),""),ROW()-ROW(A$36)+1)),"##0")," "),"")</f>
        <v>0</v>
      </c>
      <c r="S57">
        <f t="array" ref="S57">IFERROR(CONCATENATE((INDEX($A$7:$A$34,SMALL(IF($T$7:$T$34&lt;&gt;"",IF($Q$7:$Q$34&lt;&gt;"",ROW($Q$7:$Q$34)-MIN(ROW($Q$7:$Q$34))+1,""),""),ROW()-ROW(A$36)+1))),),"")</f>
        <v>0</v>
      </c>
      <c r="W57">
        <f t="array" ref="W57">IFERROR(CONCATENATE((INDEX($Z$7:$Z$34,SMALL(IF($Z$7:$Z$34&lt;&gt;"",IF($W$7:$W$34&lt;&gt;"",ROW($W$7:$W$34)-MIN(ROW($W$7:$W$34))+1,""),""),ROW()-ROW(A$36)+1))),","),"")</f>
        <v>0</v>
      </c>
      <c r="X57">
        <f t="array" ref="X57">IFERROR(CONCATENATE(TEXT(INDEX($W$7:$W$34,SMALL(IF($Z$7:$Z$34&lt;&gt;"",IF($W$7:$W$34&lt;&gt;"",ROW($W$7:$W$34)-MIN(ROW($W$7:$W$34))+1,""),""),ROW()-ROW(A$36)+1)),"##0"),","),"")</f>
        <v>0</v>
      </c>
      <c r="Y57">
        <f t="array" ref="Y57">IFERROR(CONCATENATE((INDEX($A$7:$A$34,SMALL(IF($Z$7:$Z$34&lt;&gt;"",IF($W$7:$W$34&lt;&gt;"",ROW($W$7:$W$34)-MIN(ROW($W$7:$W$34))+1,""),""),ROW()-ROW(A$36)+1))),),"")</f>
        <v>0</v>
      </c>
      <c r="AC57">
        <f t="array" ref="AC57">IFERROR(CONCATENATE((INDEX($AF$7:$AF$34,SMALL(IF($AF$7:$AF$34&lt;&gt;"",IF($AC$7:$AC$34&lt;&gt;"",ROW($AC$7:$AC$34)-MIN(ROW($AC$7:$AC$34))+1,""),""),ROW()-ROW(A$36)+1)))," "),"")</f>
        <v>0</v>
      </c>
      <c r="AD57">
        <f t="array" ref="AD57">IFERROR(CONCATENATE(TEXT(INDEX($AC$7:$AC$34,SMALL(IF($AF$7:$AF$34&lt;&gt;"",IF($AC$7:$AC$34&lt;&gt;"",ROW($AC$7:$AC$34)-MIN(ROW($AC$7:$AC$34))+1,""),""),ROW()-ROW(A$36)+1)),"##0")," "),"")</f>
        <v>0</v>
      </c>
      <c r="AE57">
        <f t="array" ref="AE57">IFERROR(CONCATENATE((INDEX($A$7:$A$34,SMALL(IF($AF$7:$AF$34&lt;&gt;"",IF($AC$7:$AC$34&lt;&gt;"",ROW($AC$7:$AC$34)-MIN(ROW($AC$7:$AC$34))+1,""),""),ROW()-ROW(A$36)+1))),),"")</f>
        <v>0</v>
      </c>
    </row>
    <row r="58" spans="11:31">
      <c r="K58">
        <f t="array" ref="K58">IFERROR(CONCATENATE(TEXT(INDEX($K$7:$K$34,SMALL(IF($N$7:$N$34&lt;&gt;"",IF($K$7:$K$34&lt;&gt;"",ROW($K$7:$K$34)-MIN(ROW($K$7:$K$34))+1,""),""),ROW()-ROW(A$36)+1)),"##0"),","),"")</f>
        <v>0</v>
      </c>
      <c r="L58">
        <f t="array" ref="L58">IFERROR(CONCATENATE((INDEX($N$7:$N$34,SMALL(IF($N$7:$N$34&lt;&gt;"",IF($K$7:$K$34&lt;&gt;"",ROW($K$7:$K$34)-MIN(ROW($K$7:$K$34))+1,""),""),ROW()-ROW(A$36)+1))),","),"")</f>
        <v>0</v>
      </c>
      <c r="M58">
        <f t="array" ref="M58">IFERROR(CONCATENATE((INDEX($A$7:$A$34,SMALL(IF($N$7:$N$34&lt;&gt;"",IF($K$7:$K$34&lt;&gt;"",ROW($K$7:$K$34)-MIN(ROW($K$7:$K$34))+1,""),""),ROW()-ROW(A$36)+1))),),"")</f>
        <v>0</v>
      </c>
      <c r="Q58">
        <f t="array" ref="Q58">IFERROR(CONCATENATE((INDEX($T$7:$T$34,SMALL(IF($T$7:$T$34&lt;&gt;"",IF($Q$7:$Q$34&lt;&gt;"",ROW($Q$7:$Q$34)-MIN(ROW($Q$7:$Q$34))+1,""),""),ROW()-ROW(A$36)+1)))," "),"")</f>
        <v>0</v>
      </c>
      <c r="R58">
        <f t="array" ref="R58">IFERROR(CONCATENATE(TEXT(INDEX($Q$7:$Q$34,SMALL(IF($T$7:$T$34&lt;&gt;"",IF($Q$7:$Q$34&lt;&gt;"",ROW($Q$7:$Q$34)-MIN(ROW($Q$7:$Q$34))+1,""),""),ROW()-ROW(A$36)+1)),"##0")," "),"")</f>
        <v>0</v>
      </c>
      <c r="S58">
        <f t="array" ref="S58">IFERROR(CONCATENATE((INDEX($A$7:$A$34,SMALL(IF($T$7:$T$34&lt;&gt;"",IF($Q$7:$Q$34&lt;&gt;"",ROW($Q$7:$Q$34)-MIN(ROW($Q$7:$Q$34))+1,""),""),ROW()-ROW(A$36)+1))),),"")</f>
        <v>0</v>
      </c>
      <c r="W58">
        <f t="array" ref="W58">IFERROR(CONCATENATE((INDEX($Z$7:$Z$34,SMALL(IF($Z$7:$Z$34&lt;&gt;"",IF($W$7:$W$34&lt;&gt;"",ROW($W$7:$W$34)-MIN(ROW($W$7:$W$34))+1,""),""),ROW()-ROW(A$36)+1))),","),"")</f>
        <v>0</v>
      </c>
      <c r="X58">
        <f t="array" ref="X58">IFERROR(CONCATENATE(TEXT(INDEX($W$7:$W$34,SMALL(IF($Z$7:$Z$34&lt;&gt;"",IF($W$7:$W$34&lt;&gt;"",ROW($W$7:$W$34)-MIN(ROW($W$7:$W$34))+1,""),""),ROW()-ROW(A$36)+1)),"##0"),","),"")</f>
        <v>0</v>
      </c>
      <c r="Y58">
        <f t="array" ref="Y58">IFERROR(CONCATENATE((INDEX($A$7:$A$34,SMALL(IF($Z$7:$Z$34&lt;&gt;"",IF($W$7:$W$34&lt;&gt;"",ROW($W$7:$W$34)-MIN(ROW($W$7:$W$34))+1,""),""),ROW()-ROW(A$36)+1))),),"")</f>
        <v>0</v>
      </c>
      <c r="AC58">
        <f t="array" ref="AC58">IFERROR(CONCATENATE((INDEX($AF$7:$AF$34,SMALL(IF($AF$7:$AF$34&lt;&gt;"",IF($AC$7:$AC$34&lt;&gt;"",ROW($AC$7:$AC$34)-MIN(ROW($AC$7:$AC$34))+1,""),""),ROW()-ROW(A$36)+1)))," "),"")</f>
        <v>0</v>
      </c>
      <c r="AD58">
        <f t="array" ref="AD58">IFERROR(CONCATENATE(TEXT(INDEX($AC$7:$AC$34,SMALL(IF($AF$7:$AF$34&lt;&gt;"",IF($AC$7:$AC$34&lt;&gt;"",ROW($AC$7:$AC$34)-MIN(ROW($AC$7:$AC$34))+1,""),""),ROW()-ROW(A$36)+1)),"##0")," "),"")</f>
        <v>0</v>
      </c>
      <c r="AE58">
        <f t="array" ref="AE58">IFERROR(CONCATENATE((INDEX($A$7:$A$34,SMALL(IF($AF$7:$AF$34&lt;&gt;"",IF($AC$7:$AC$34&lt;&gt;"",ROW($AC$7:$AC$34)-MIN(ROW($AC$7:$AC$34))+1,""),""),ROW()-ROW(A$36)+1))),),"")</f>
        <v>0</v>
      </c>
    </row>
    <row r="59" spans="11:31">
      <c r="K59">
        <f t="array" ref="K59">IFERROR(CONCATENATE(TEXT(INDEX($K$7:$K$34,SMALL(IF($N$7:$N$34&lt;&gt;"",IF($K$7:$K$34&lt;&gt;"",ROW($K$7:$K$34)-MIN(ROW($K$7:$K$34))+1,""),""),ROW()-ROW(A$36)+1)),"##0"),","),"")</f>
        <v>0</v>
      </c>
      <c r="L59">
        <f t="array" ref="L59">IFERROR(CONCATENATE((INDEX($N$7:$N$34,SMALL(IF($N$7:$N$34&lt;&gt;"",IF($K$7:$K$34&lt;&gt;"",ROW($K$7:$K$34)-MIN(ROW($K$7:$K$34))+1,""),""),ROW()-ROW(A$36)+1))),","),"")</f>
        <v>0</v>
      </c>
      <c r="M59">
        <f t="array" ref="M59">IFERROR(CONCATENATE((INDEX($A$7:$A$34,SMALL(IF($N$7:$N$34&lt;&gt;"",IF($K$7:$K$34&lt;&gt;"",ROW($K$7:$K$34)-MIN(ROW($K$7:$K$34))+1,""),""),ROW()-ROW(A$36)+1))),),"")</f>
        <v>0</v>
      </c>
      <c r="Q59">
        <f t="array" ref="Q59">IFERROR(CONCATENATE((INDEX($T$7:$T$34,SMALL(IF($T$7:$T$34&lt;&gt;"",IF($Q$7:$Q$34&lt;&gt;"",ROW($Q$7:$Q$34)-MIN(ROW($Q$7:$Q$34))+1,""),""),ROW()-ROW(A$36)+1)))," "),"")</f>
        <v>0</v>
      </c>
      <c r="R59">
        <f t="array" ref="R59">IFERROR(CONCATENATE(TEXT(INDEX($Q$7:$Q$34,SMALL(IF($T$7:$T$34&lt;&gt;"",IF($Q$7:$Q$34&lt;&gt;"",ROW($Q$7:$Q$34)-MIN(ROW($Q$7:$Q$34))+1,""),""),ROW()-ROW(A$36)+1)),"##0")," "),"")</f>
        <v>0</v>
      </c>
      <c r="S59">
        <f t="array" ref="S59">IFERROR(CONCATENATE((INDEX($A$7:$A$34,SMALL(IF($T$7:$T$34&lt;&gt;"",IF($Q$7:$Q$34&lt;&gt;"",ROW($Q$7:$Q$34)-MIN(ROW($Q$7:$Q$34))+1,""),""),ROW()-ROW(A$36)+1))),),"")</f>
        <v>0</v>
      </c>
      <c r="W59">
        <f t="array" ref="W59">IFERROR(CONCATENATE((INDEX($Z$7:$Z$34,SMALL(IF($Z$7:$Z$34&lt;&gt;"",IF($W$7:$W$34&lt;&gt;"",ROW($W$7:$W$34)-MIN(ROW($W$7:$W$34))+1,""),""),ROW()-ROW(A$36)+1))),","),"")</f>
        <v>0</v>
      </c>
      <c r="X59">
        <f t="array" ref="X59">IFERROR(CONCATENATE(TEXT(INDEX($W$7:$W$34,SMALL(IF($Z$7:$Z$34&lt;&gt;"",IF($W$7:$W$34&lt;&gt;"",ROW($W$7:$W$34)-MIN(ROW($W$7:$W$34))+1,""),""),ROW()-ROW(A$36)+1)),"##0"),","),"")</f>
        <v>0</v>
      </c>
      <c r="Y59">
        <f t="array" ref="Y59">IFERROR(CONCATENATE((INDEX($A$7:$A$34,SMALL(IF($Z$7:$Z$34&lt;&gt;"",IF($W$7:$W$34&lt;&gt;"",ROW($W$7:$W$34)-MIN(ROW($W$7:$W$34))+1,""),""),ROW()-ROW(A$36)+1))),),"")</f>
        <v>0</v>
      </c>
      <c r="AC59">
        <f t="array" ref="AC59">IFERROR(CONCATENATE((INDEX($AF$7:$AF$34,SMALL(IF($AF$7:$AF$34&lt;&gt;"",IF($AC$7:$AC$34&lt;&gt;"",ROW($AC$7:$AC$34)-MIN(ROW($AC$7:$AC$34))+1,""),""),ROW()-ROW(A$36)+1)))," "),"")</f>
        <v>0</v>
      </c>
      <c r="AD59">
        <f t="array" ref="AD59">IFERROR(CONCATENATE(TEXT(INDEX($AC$7:$AC$34,SMALL(IF($AF$7:$AF$34&lt;&gt;"",IF($AC$7:$AC$34&lt;&gt;"",ROW($AC$7:$AC$34)-MIN(ROW($AC$7:$AC$34))+1,""),""),ROW()-ROW(A$36)+1)),"##0")," "),"")</f>
        <v>0</v>
      </c>
      <c r="AE59">
        <f t="array" ref="AE59">IFERROR(CONCATENATE((INDEX($A$7:$A$34,SMALL(IF($AF$7:$AF$34&lt;&gt;"",IF($AC$7:$AC$34&lt;&gt;"",ROW($AC$7:$AC$34)-MIN(ROW($AC$7:$AC$34))+1,""),""),ROW()-ROW(A$36)+1))),),"")</f>
        <v>0</v>
      </c>
    </row>
    <row r="60" spans="11:31">
      <c r="K60">
        <f t="array" ref="K60">IFERROR(CONCATENATE(TEXT(INDEX($K$7:$K$34,SMALL(IF($N$7:$N$34&lt;&gt;"",IF($K$7:$K$34&lt;&gt;"",ROW($K$7:$K$34)-MIN(ROW($K$7:$K$34))+1,""),""),ROW()-ROW(A$36)+1)),"##0"),","),"")</f>
        <v>0</v>
      </c>
      <c r="L60">
        <f t="array" ref="L60">IFERROR(CONCATENATE((INDEX($N$7:$N$34,SMALL(IF($N$7:$N$34&lt;&gt;"",IF($K$7:$K$34&lt;&gt;"",ROW($K$7:$K$34)-MIN(ROW($K$7:$K$34))+1,""),""),ROW()-ROW(A$36)+1))),","),"")</f>
        <v>0</v>
      </c>
      <c r="M60">
        <f t="array" ref="M60">IFERROR(CONCATENATE((INDEX($A$7:$A$34,SMALL(IF($N$7:$N$34&lt;&gt;"",IF($K$7:$K$34&lt;&gt;"",ROW($K$7:$K$34)-MIN(ROW($K$7:$K$34))+1,""),""),ROW()-ROW(A$36)+1))),),"")</f>
        <v>0</v>
      </c>
      <c r="Q60">
        <f t="array" ref="Q60">IFERROR(CONCATENATE((INDEX($T$7:$T$34,SMALL(IF($T$7:$T$34&lt;&gt;"",IF($Q$7:$Q$34&lt;&gt;"",ROW($Q$7:$Q$34)-MIN(ROW($Q$7:$Q$34))+1,""),""),ROW()-ROW(A$36)+1)))," "),"")</f>
        <v>0</v>
      </c>
      <c r="R60">
        <f t="array" ref="R60">IFERROR(CONCATENATE(TEXT(INDEX($Q$7:$Q$34,SMALL(IF($T$7:$T$34&lt;&gt;"",IF($Q$7:$Q$34&lt;&gt;"",ROW($Q$7:$Q$34)-MIN(ROW($Q$7:$Q$34))+1,""),""),ROW()-ROW(A$36)+1)),"##0")," "),"")</f>
        <v>0</v>
      </c>
      <c r="S60">
        <f t="array" ref="S60">IFERROR(CONCATENATE((INDEX($A$7:$A$34,SMALL(IF($T$7:$T$34&lt;&gt;"",IF($Q$7:$Q$34&lt;&gt;"",ROW($Q$7:$Q$34)-MIN(ROW($Q$7:$Q$34))+1,""),""),ROW()-ROW(A$36)+1))),),"")</f>
        <v>0</v>
      </c>
      <c r="W60">
        <f t="array" ref="W60">IFERROR(CONCATENATE((INDEX($Z$7:$Z$34,SMALL(IF($Z$7:$Z$34&lt;&gt;"",IF($W$7:$W$34&lt;&gt;"",ROW($W$7:$W$34)-MIN(ROW($W$7:$W$34))+1,""),""),ROW()-ROW(A$36)+1))),","),"")</f>
        <v>0</v>
      </c>
      <c r="X60">
        <f t="array" ref="X60">IFERROR(CONCATENATE(TEXT(INDEX($W$7:$W$34,SMALL(IF($Z$7:$Z$34&lt;&gt;"",IF($W$7:$W$34&lt;&gt;"",ROW($W$7:$W$34)-MIN(ROW($W$7:$W$34))+1,""),""),ROW()-ROW(A$36)+1)),"##0"),","),"")</f>
        <v>0</v>
      </c>
      <c r="Y60">
        <f t="array" ref="Y60">IFERROR(CONCATENATE((INDEX($A$7:$A$34,SMALL(IF($Z$7:$Z$34&lt;&gt;"",IF($W$7:$W$34&lt;&gt;"",ROW($W$7:$W$34)-MIN(ROW($W$7:$W$34))+1,""),""),ROW()-ROW(A$36)+1))),),"")</f>
        <v>0</v>
      </c>
      <c r="AC60">
        <f t="array" ref="AC60">IFERROR(CONCATENATE((INDEX($AF$7:$AF$34,SMALL(IF($AF$7:$AF$34&lt;&gt;"",IF($AC$7:$AC$34&lt;&gt;"",ROW($AC$7:$AC$34)-MIN(ROW($AC$7:$AC$34))+1,""),""),ROW()-ROW(A$36)+1)))," "),"")</f>
        <v>0</v>
      </c>
      <c r="AD60">
        <f t="array" ref="AD60">IFERROR(CONCATENATE(TEXT(INDEX($AC$7:$AC$34,SMALL(IF($AF$7:$AF$34&lt;&gt;"",IF($AC$7:$AC$34&lt;&gt;"",ROW($AC$7:$AC$34)-MIN(ROW($AC$7:$AC$34))+1,""),""),ROW()-ROW(A$36)+1)),"##0")," "),"")</f>
        <v>0</v>
      </c>
      <c r="AE60">
        <f t="array" ref="AE60">IFERROR(CONCATENATE((INDEX($A$7:$A$34,SMALL(IF($AF$7:$AF$34&lt;&gt;"",IF($AC$7:$AC$34&lt;&gt;"",ROW($AC$7:$AC$34)-MIN(ROW($AC$7:$AC$34))+1,""),""),ROW()-ROW(A$36)+1))),),"")</f>
        <v>0</v>
      </c>
    </row>
    <row r="61" spans="11:31">
      <c r="K61">
        <f t="array" ref="K61">IFERROR(CONCATENATE(TEXT(INDEX($K$7:$K$34,SMALL(IF($N$7:$N$34&lt;&gt;"",IF($K$7:$K$34&lt;&gt;"",ROW($K$7:$K$34)-MIN(ROW($K$7:$K$34))+1,""),""),ROW()-ROW(A$36)+1)),"##0"),","),"")</f>
        <v>0</v>
      </c>
      <c r="L61">
        <f t="array" ref="L61">IFERROR(CONCATENATE((INDEX($N$7:$N$34,SMALL(IF($N$7:$N$34&lt;&gt;"",IF($K$7:$K$34&lt;&gt;"",ROW($K$7:$K$34)-MIN(ROW($K$7:$K$34))+1,""),""),ROW()-ROW(A$36)+1))),","),"")</f>
        <v>0</v>
      </c>
      <c r="M61">
        <f t="array" ref="M61">IFERROR(CONCATENATE((INDEX($A$7:$A$34,SMALL(IF($N$7:$N$34&lt;&gt;"",IF($K$7:$K$34&lt;&gt;"",ROW($K$7:$K$34)-MIN(ROW($K$7:$K$34))+1,""),""),ROW()-ROW(A$36)+1))),),"")</f>
        <v>0</v>
      </c>
      <c r="Q61">
        <f t="array" ref="Q61">IFERROR(CONCATENATE((INDEX($T$7:$T$34,SMALL(IF($T$7:$T$34&lt;&gt;"",IF($Q$7:$Q$34&lt;&gt;"",ROW($Q$7:$Q$34)-MIN(ROW($Q$7:$Q$34))+1,""),""),ROW()-ROW(A$36)+1)))," "),"")</f>
        <v>0</v>
      </c>
      <c r="R61">
        <f t="array" ref="R61">IFERROR(CONCATENATE(TEXT(INDEX($Q$7:$Q$34,SMALL(IF($T$7:$T$34&lt;&gt;"",IF($Q$7:$Q$34&lt;&gt;"",ROW($Q$7:$Q$34)-MIN(ROW($Q$7:$Q$34))+1,""),""),ROW()-ROW(A$36)+1)),"##0")," "),"")</f>
        <v>0</v>
      </c>
      <c r="S61">
        <f t="array" ref="S61">IFERROR(CONCATENATE((INDEX($A$7:$A$34,SMALL(IF($T$7:$T$34&lt;&gt;"",IF($Q$7:$Q$34&lt;&gt;"",ROW($Q$7:$Q$34)-MIN(ROW($Q$7:$Q$34))+1,""),""),ROW()-ROW(A$36)+1))),),"")</f>
        <v>0</v>
      </c>
      <c r="W61">
        <f t="array" ref="W61">IFERROR(CONCATENATE((INDEX($Z$7:$Z$34,SMALL(IF($Z$7:$Z$34&lt;&gt;"",IF($W$7:$W$34&lt;&gt;"",ROW($W$7:$W$34)-MIN(ROW($W$7:$W$34))+1,""),""),ROW()-ROW(A$36)+1))),","),"")</f>
        <v>0</v>
      </c>
      <c r="X61">
        <f t="array" ref="X61">IFERROR(CONCATENATE(TEXT(INDEX($W$7:$W$34,SMALL(IF($Z$7:$Z$34&lt;&gt;"",IF($W$7:$W$34&lt;&gt;"",ROW($W$7:$W$34)-MIN(ROW($W$7:$W$34))+1,""),""),ROW()-ROW(A$36)+1)),"##0"),","),"")</f>
        <v>0</v>
      </c>
      <c r="Y61">
        <f t="array" ref="Y61">IFERROR(CONCATENATE((INDEX($A$7:$A$34,SMALL(IF($Z$7:$Z$34&lt;&gt;"",IF($W$7:$W$34&lt;&gt;"",ROW($W$7:$W$34)-MIN(ROW($W$7:$W$34))+1,""),""),ROW()-ROW(A$36)+1))),),"")</f>
        <v>0</v>
      </c>
      <c r="AC61">
        <f t="array" ref="AC61">IFERROR(CONCATENATE((INDEX($AF$7:$AF$34,SMALL(IF($AF$7:$AF$34&lt;&gt;"",IF($AC$7:$AC$34&lt;&gt;"",ROW($AC$7:$AC$34)-MIN(ROW($AC$7:$AC$34))+1,""),""),ROW()-ROW(A$36)+1)))," "),"")</f>
        <v>0</v>
      </c>
      <c r="AD61">
        <f t="array" ref="AD61">IFERROR(CONCATENATE(TEXT(INDEX($AC$7:$AC$34,SMALL(IF($AF$7:$AF$34&lt;&gt;"",IF($AC$7:$AC$34&lt;&gt;"",ROW($AC$7:$AC$34)-MIN(ROW($AC$7:$AC$34))+1,""),""),ROW()-ROW(A$36)+1)),"##0")," "),"")</f>
        <v>0</v>
      </c>
      <c r="AE61">
        <f t="array" ref="AE61">IFERROR(CONCATENATE((INDEX($A$7:$A$34,SMALL(IF($AF$7:$AF$34&lt;&gt;"",IF($AC$7:$AC$34&lt;&gt;"",ROW($AC$7:$AC$34)-MIN(ROW($AC$7:$AC$34))+1,""),""),ROW()-ROW(A$36)+1))),),"")</f>
        <v>0</v>
      </c>
    </row>
    <row r="62" spans="11:31">
      <c r="K62">
        <f t="array" ref="K62">IFERROR(CONCATENATE(TEXT(INDEX($K$7:$K$34,SMALL(IF($N$7:$N$34&lt;&gt;"",IF($K$7:$K$34&lt;&gt;"",ROW($K$7:$K$34)-MIN(ROW($K$7:$K$34))+1,""),""),ROW()-ROW(A$36)+1)),"##0"),","),"")</f>
        <v>0</v>
      </c>
      <c r="L62">
        <f t="array" ref="L62">IFERROR(CONCATENATE((INDEX($N$7:$N$34,SMALL(IF($N$7:$N$34&lt;&gt;"",IF($K$7:$K$34&lt;&gt;"",ROW($K$7:$K$34)-MIN(ROW($K$7:$K$34))+1,""),""),ROW()-ROW(A$36)+1))),","),"")</f>
        <v>0</v>
      </c>
      <c r="M62">
        <f t="array" ref="M62">IFERROR(CONCATENATE((INDEX($A$7:$A$34,SMALL(IF($N$7:$N$34&lt;&gt;"",IF($K$7:$K$34&lt;&gt;"",ROW($K$7:$K$34)-MIN(ROW($K$7:$K$34))+1,""),""),ROW()-ROW(A$36)+1))),),"")</f>
        <v>0</v>
      </c>
      <c r="Q62">
        <f t="array" ref="Q62">IFERROR(CONCATENATE((INDEX($T$7:$T$34,SMALL(IF($T$7:$T$34&lt;&gt;"",IF($Q$7:$Q$34&lt;&gt;"",ROW($Q$7:$Q$34)-MIN(ROW($Q$7:$Q$34))+1,""),""),ROW()-ROW(A$36)+1)))," "),"")</f>
        <v>0</v>
      </c>
      <c r="R62">
        <f t="array" ref="R62">IFERROR(CONCATENATE(TEXT(INDEX($Q$7:$Q$34,SMALL(IF($T$7:$T$34&lt;&gt;"",IF($Q$7:$Q$34&lt;&gt;"",ROW($Q$7:$Q$34)-MIN(ROW($Q$7:$Q$34))+1,""),""),ROW()-ROW(A$36)+1)),"##0")," "),"")</f>
        <v>0</v>
      </c>
      <c r="S62">
        <f t="array" ref="S62">IFERROR(CONCATENATE((INDEX($A$7:$A$34,SMALL(IF($T$7:$T$34&lt;&gt;"",IF($Q$7:$Q$34&lt;&gt;"",ROW($Q$7:$Q$34)-MIN(ROW($Q$7:$Q$34))+1,""),""),ROW()-ROW(A$36)+1))),),"")</f>
        <v>0</v>
      </c>
      <c r="W62">
        <f t="array" ref="W62">IFERROR(CONCATENATE((INDEX($Z$7:$Z$34,SMALL(IF($Z$7:$Z$34&lt;&gt;"",IF($W$7:$W$34&lt;&gt;"",ROW($W$7:$W$34)-MIN(ROW($W$7:$W$34))+1,""),""),ROW()-ROW(A$36)+1))),","),"")</f>
        <v>0</v>
      </c>
      <c r="X62">
        <f t="array" ref="X62">IFERROR(CONCATENATE(TEXT(INDEX($W$7:$W$34,SMALL(IF($Z$7:$Z$34&lt;&gt;"",IF($W$7:$W$34&lt;&gt;"",ROW($W$7:$W$34)-MIN(ROW($W$7:$W$34))+1,""),""),ROW()-ROW(A$36)+1)),"##0"),","),"")</f>
        <v>0</v>
      </c>
      <c r="Y62">
        <f t="array" ref="Y62">IFERROR(CONCATENATE((INDEX($A$7:$A$34,SMALL(IF($Z$7:$Z$34&lt;&gt;"",IF($W$7:$W$34&lt;&gt;"",ROW($W$7:$W$34)-MIN(ROW($W$7:$W$34))+1,""),""),ROW()-ROW(A$36)+1))),),"")</f>
        <v>0</v>
      </c>
      <c r="AC62">
        <f t="array" ref="AC62">IFERROR(CONCATENATE((INDEX($AF$7:$AF$34,SMALL(IF($AF$7:$AF$34&lt;&gt;"",IF($AC$7:$AC$34&lt;&gt;"",ROW($AC$7:$AC$34)-MIN(ROW($AC$7:$AC$34))+1,""),""),ROW()-ROW(A$36)+1)))," "),"")</f>
        <v>0</v>
      </c>
      <c r="AD62">
        <f t="array" ref="AD62">IFERROR(CONCATENATE(TEXT(INDEX($AC$7:$AC$34,SMALL(IF($AF$7:$AF$34&lt;&gt;"",IF($AC$7:$AC$34&lt;&gt;"",ROW($AC$7:$AC$34)-MIN(ROW($AC$7:$AC$34))+1,""),""),ROW()-ROW(A$36)+1)),"##0")," "),"")</f>
        <v>0</v>
      </c>
      <c r="AE62">
        <f t="array" ref="AE62">IFERROR(CONCATENATE((INDEX($A$7:$A$34,SMALL(IF($AF$7:$AF$34&lt;&gt;"",IF($AC$7:$AC$34&lt;&gt;"",ROW($AC$7:$AC$34)-MIN(ROW($AC$7:$AC$34))+1,""),""),ROW()-ROW(A$36)+1))),),"")</f>
        <v>0</v>
      </c>
    </row>
    <row r="63" spans="11:31">
      <c r="K63">
        <f t="array" ref="K63">IFERROR(CONCATENATE(TEXT(INDEX($K$7:$K$34,SMALL(IF($N$7:$N$34&lt;&gt;"",IF($K$7:$K$34&lt;&gt;"",ROW($K$7:$K$34)-MIN(ROW($K$7:$K$34))+1,""),""),ROW()-ROW(A$36)+1)),"##0"),","),"")</f>
        <v>0</v>
      </c>
      <c r="L63">
        <f t="array" ref="L63">IFERROR(CONCATENATE((INDEX($N$7:$N$34,SMALL(IF($N$7:$N$34&lt;&gt;"",IF($K$7:$K$34&lt;&gt;"",ROW($K$7:$K$34)-MIN(ROW($K$7:$K$34))+1,""),""),ROW()-ROW(A$36)+1))),","),"")</f>
        <v>0</v>
      </c>
      <c r="M63">
        <f t="array" ref="M63">IFERROR(CONCATENATE((INDEX($A$7:$A$34,SMALL(IF($N$7:$N$34&lt;&gt;"",IF($K$7:$K$34&lt;&gt;"",ROW($K$7:$K$34)-MIN(ROW($K$7:$K$34))+1,""),""),ROW()-ROW(A$36)+1))),),"")</f>
        <v>0</v>
      </c>
      <c r="Q63">
        <f t="array" ref="Q63">IFERROR(CONCATENATE((INDEX($T$7:$T$34,SMALL(IF($T$7:$T$34&lt;&gt;"",IF($Q$7:$Q$34&lt;&gt;"",ROW($Q$7:$Q$34)-MIN(ROW($Q$7:$Q$34))+1,""),""),ROW()-ROW(A$36)+1)))," "),"")</f>
        <v>0</v>
      </c>
      <c r="R63">
        <f t="array" ref="R63">IFERROR(CONCATENATE(TEXT(INDEX($Q$7:$Q$34,SMALL(IF($T$7:$T$34&lt;&gt;"",IF($Q$7:$Q$34&lt;&gt;"",ROW($Q$7:$Q$34)-MIN(ROW($Q$7:$Q$34))+1,""),""),ROW()-ROW(A$36)+1)),"##0")," "),"")</f>
        <v>0</v>
      </c>
      <c r="S63">
        <f t="array" ref="S63">IFERROR(CONCATENATE((INDEX($A$7:$A$34,SMALL(IF($T$7:$T$34&lt;&gt;"",IF($Q$7:$Q$34&lt;&gt;"",ROW($Q$7:$Q$34)-MIN(ROW($Q$7:$Q$34))+1,""),""),ROW()-ROW(A$36)+1))),),"")</f>
        <v>0</v>
      </c>
      <c r="W63">
        <f t="array" ref="W63">IFERROR(CONCATENATE((INDEX($Z$7:$Z$34,SMALL(IF($Z$7:$Z$34&lt;&gt;"",IF($W$7:$W$34&lt;&gt;"",ROW($W$7:$W$34)-MIN(ROW($W$7:$W$34))+1,""),""),ROW()-ROW(A$36)+1))),","),"")</f>
        <v>0</v>
      </c>
      <c r="X63">
        <f t="array" ref="X63">IFERROR(CONCATENATE(TEXT(INDEX($W$7:$W$34,SMALL(IF($Z$7:$Z$34&lt;&gt;"",IF($W$7:$W$34&lt;&gt;"",ROW($W$7:$W$34)-MIN(ROW($W$7:$W$34))+1,""),""),ROW()-ROW(A$36)+1)),"##0"),","),"")</f>
        <v>0</v>
      </c>
      <c r="Y63">
        <f t="array" ref="Y63">IFERROR(CONCATENATE((INDEX($A$7:$A$34,SMALL(IF($Z$7:$Z$34&lt;&gt;"",IF($W$7:$W$34&lt;&gt;"",ROW($W$7:$W$34)-MIN(ROW($W$7:$W$34))+1,""),""),ROW()-ROW(A$36)+1))),),"")</f>
        <v>0</v>
      </c>
      <c r="AC63">
        <f t="array" ref="AC63">IFERROR(CONCATENATE((INDEX($AF$7:$AF$34,SMALL(IF($AF$7:$AF$34&lt;&gt;"",IF($AC$7:$AC$34&lt;&gt;"",ROW($AC$7:$AC$34)-MIN(ROW($AC$7:$AC$34))+1,""),""),ROW()-ROW(A$36)+1)))," "),"")</f>
        <v>0</v>
      </c>
      <c r="AD63">
        <f t="array" ref="AD63">IFERROR(CONCATENATE(TEXT(INDEX($AC$7:$AC$34,SMALL(IF($AF$7:$AF$34&lt;&gt;"",IF($AC$7:$AC$34&lt;&gt;"",ROW($AC$7:$AC$34)-MIN(ROW($AC$7:$AC$34))+1,""),""),ROW()-ROW(A$36)+1)),"##0")," "),"")</f>
        <v>0</v>
      </c>
      <c r="AE63">
        <f t="array" ref="AE63">IFERROR(CONCATENATE((INDEX($A$7:$A$34,SMALL(IF($AF$7:$AF$34&lt;&gt;"",IF($AC$7:$AC$34&lt;&gt;"",ROW($AC$7:$AC$34)-MIN(ROW($AC$7:$AC$34))+1,""),""),ROW()-ROW(A$36)+1))),),"")</f>
        <v>0</v>
      </c>
    </row>
  </sheetData>
  <mergeCells count="5">
    <mergeCell ref="A5:I5"/>
    <mergeCell ref="J5:O5"/>
    <mergeCell ref="P5:U5"/>
    <mergeCell ref="V5:AA5"/>
    <mergeCell ref="AB5:AG5"/>
  </mergeCells>
  <conditionalFormatting sqref="AD15">
    <cfRule type="cellIs" dxfId="0" priority="139" operator="lessThanOrEqual">
      <formula>H15</formula>
    </cfRule>
  </conditionalFormatting>
  <conditionalFormatting sqref="AD18">
    <cfRule type="cellIs" dxfId="0" priority="141" operator="lessThanOrEqual">
      <formula>H18</formula>
    </cfRule>
  </conditionalFormatting>
  <conditionalFormatting sqref="AD19">
    <cfRule type="cellIs" dxfId="0" priority="143" operator="lessThanOrEqual">
      <formula>H19</formula>
    </cfRule>
  </conditionalFormatting>
  <conditionalFormatting sqref="AD23">
    <cfRule type="cellIs" dxfId="0" priority="145" operator="lessThanOrEqual">
      <formula>H23</formula>
    </cfRule>
  </conditionalFormatting>
  <conditionalFormatting sqref="AD7">
    <cfRule type="cellIs" dxfId="0" priority="137" operator="lessThanOrEqual">
      <formula>H7</formula>
    </cfRule>
  </conditionalFormatting>
  <conditionalFormatting sqref="AE15">
    <cfRule type="cellIs" dxfId="0" priority="140" operator="lessThanOrEqual">
      <formula>I15</formula>
    </cfRule>
  </conditionalFormatting>
  <conditionalFormatting sqref="AE18">
    <cfRule type="cellIs" dxfId="0" priority="142" operator="lessThanOrEqual">
      <formula>I18</formula>
    </cfRule>
  </conditionalFormatting>
  <conditionalFormatting sqref="AE19">
    <cfRule type="cellIs" dxfId="0" priority="144" operator="lessThanOrEqual">
      <formula>I19</formula>
    </cfRule>
  </conditionalFormatting>
  <conditionalFormatting sqref="AE23">
    <cfRule type="cellIs" dxfId="0" priority="146" operator="lessThanOrEqual">
      <formula>I23</formula>
    </cfRule>
  </conditionalFormatting>
  <conditionalFormatting sqref="AE7">
    <cfRule type="cellIs" dxfId="0" priority="138" operator="lessThanOrEqual">
      <formula>I7</formula>
    </cfRule>
  </conditionalFormatting>
  <conditionalFormatting sqref="L10">
    <cfRule type="cellIs" dxfId="0" priority="3" operator="lessThanOrEqual">
      <formula>H10</formula>
    </cfRule>
  </conditionalFormatting>
  <conditionalFormatting sqref="L12">
    <cfRule type="cellIs" dxfId="0" priority="5" operator="lessThanOrEqual">
      <formula>H12</formula>
    </cfRule>
  </conditionalFormatting>
  <conditionalFormatting sqref="L13">
    <cfRule type="cellIs" dxfId="0" priority="7" operator="lessThanOrEqual">
      <formula>H13</formula>
    </cfRule>
  </conditionalFormatting>
  <conditionalFormatting sqref="L14">
    <cfRule type="cellIs" dxfId="0" priority="9" operator="lessThanOrEqual">
      <formula>H14</formula>
    </cfRule>
  </conditionalFormatting>
  <conditionalFormatting sqref="L16">
    <cfRule type="cellIs" dxfId="0" priority="11" operator="lessThanOrEqual">
      <formula>H16</formula>
    </cfRule>
  </conditionalFormatting>
  <conditionalFormatting sqref="L18">
    <cfRule type="cellIs" dxfId="0" priority="13" operator="lessThanOrEqual">
      <formula>H18</formula>
    </cfRule>
  </conditionalFormatting>
  <conditionalFormatting sqref="L19">
    <cfRule type="cellIs" dxfId="0" priority="15" operator="lessThanOrEqual">
      <formula>H19</formula>
    </cfRule>
  </conditionalFormatting>
  <conditionalFormatting sqref="L20">
    <cfRule type="cellIs" dxfId="0" priority="17" operator="lessThanOrEqual">
      <formula>H20</formula>
    </cfRule>
  </conditionalFormatting>
  <conditionalFormatting sqref="L21">
    <cfRule type="cellIs" dxfId="0" priority="19" operator="lessThanOrEqual">
      <formula>H21</formula>
    </cfRule>
  </conditionalFormatting>
  <conditionalFormatting sqref="L22">
    <cfRule type="cellIs" dxfId="0" priority="21" operator="lessThanOrEqual">
      <formula>H22</formula>
    </cfRule>
  </conditionalFormatting>
  <conditionalFormatting sqref="L23">
    <cfRule type="cellIs" dxfId="0" priority="23" operator="lessThanOrEqual">
      <formula>H23</formula>
    </cfRule>
  </conditionalFormatting>
  <conditionalFormatting sqref="L25">
    <cfRule type="cellIs" dxfId="0" priority="25" operator="lessThanOrEqual">
      <formula>H25</formula>
    </cfRule>
  </conditionalFormatting>
  <conditionalFormatting sqref="L26">
    <cfRule type="cellIs" dxfId="0" priority="27" operator="lessThanOrEqual">
      <formula>H26</formula>
    </cfRule>
  </conditionalFormatting>
  <conditionalFormatting sqref="L27">
    <cfRule type="cellIs" dxfId="0" priority="29" operator="lessThanOrEqual">
      <formula>H27</formula>
    </cfRule>
  </conditionalFormatting>
  <conditionalFormatting sqref="L28">
    <cfRule type="cellIs" dxfId="0" priority="31" operator="lessThanOrEqual">
      <formula>H28</formula>
    </cfRule>
  </conditionalFormatting>
  <conditionalFormatting sqref="L29">
    <cfRule type="cellIs" dxfId="0" priority="33" operator="lessThanOrEqual">
      <formula>H29</formula>
    </cfRule>
  </conditionalFormatting>
  <conditionalFormatting sqref="L30">
    <cfRule type="cellIs" dxfId="0" priority="35" operator="lessThanOrEqual">
      <formula>H30</formula>
    </cfRule>
  </conditionalFormatting>
  <conditionalFormatting sqref="L31">
    <cfRule type="cellIs" dxfId="0" priority="37" operator="lessThanOrEqual">
      <formula>H31</formula>
    </cfRule>
  </conditionalFormatting>
  <conditionalFormatting sqref="L34">
    <cfRule type="cellIs" dxfId="0" priority="39" operator="lessThanOrEqual">
      <formula>H34</formula>
    </cfRule>
  </conditionalFormatting>
  <conditionalFormatting sqref="L7">
    <cfRule type="cellIs" dxfId="0" priority="1" operator="lessThanOrEqual">
      <formula>H7</formula>
    </cfRule>
  </conditionalFormatting>
  <conditionalFormatting sqref="M10">
    <cfRule type="cellIs" dxfId="0" priority="4" operator="lessThanOrEqual">
      <formula>I10</formula>
    </cfRule>
  </conditionalFormatting>
  <conditionalFormatting sqref="M12">
    <cfRule type="cellIs" dxfId="0" priority="6" operator="lessThanOrEqual">
      <formula>I12</formula>
    </cfRule>
  </conditionalFormatting>
  <conditionalFormatting sqref="M13">
    <cfRule type="cellIs" dxfId="0" priority="8" operator="lessThanOrEqual">
      <formula>I13</formula>
    </cfRule>
  </conditionalFormatting>
  <conditionalFormatting sqref="M14">
    <cfRule type="cellIs" dxfId="0" priority="10" operator="lessThanOrEqual">
      <formula>I14</formula>
    </cfRule>
  </conditionalFormatting>
  <conditionalFormatting sqref="M16">
    <cfRule type="cellIs" dxfId="0" priority="12" operator="lessThanOrEqual">
      <formula>I16</formula>
    </cfRule>
  </conditionalFormatting>
  <conditionalFormatting sqref="M18">
    <cfRule type="cellIs" dxfId="0" priority="14" operator="lessThanOrEqual">
      <formula>I18</formula>
    </cfRule>
  </conditionalFormatting>
  <conditionalFormatting sqref="M19">
    <cfRule type="cellIs" dxfId="0" priority="16" operator="lessThanOrEqual">
      <formula>I19</formula>
    </cfRule>
  </conditionalFormatting>
  <conditionalFormatting sqref="M20">
    <cfRule type="cellIs" dxfId="0" priority="18" operator="lessThanOrEqual">
      <formula>I20</formula>
    </cfRule>
  </conditionalFormatting>
  <conditionalFormatting sqref="M21">
    <cfRule type="cellIs" dxfId="0" priority="20" operator="lessThanOrEqual">
      <formula>I21</formula>
    </cfRule>
  </conditionalFormatting>
  <conditionalFormatting sqref="M22">
    <cfRule type="cellIs" dxfId="0" priority="22" operator="lessThanOrEqual">
      <formula>I22</formula>
    </cfRule>
  </conditionalFormatting>
  <conditionalFormatting sqref="M23">
    <cfRule type="cellIs" dxfId="0" priority="24" operator="lessThanOrEqual">
      <formula>I23</formula>
    </cfRule>
  </conditionalFormatting>
  <conditionalFormatting sqref="M25">
    <cfRule type="cellIs" dxfId="0" priority="26" operator="lessThanOrEqual">
      <formula>I25</formula>
    </cfRule>
  </conditionalFormatting>
  <conditionalFormatting sqref="M26">
    <cfRule type="cellIs" dxfId="0" priority="28" operator="lessThanOrEqual">
      <formula>I26</formula>
    </cfRule>
  </conditionalFormatting>
  <conditionalFormatting sqref="M27">
    <cfRule type="cellIs" dxfId="0" priority="30" operator="lessThanOrEqual">
      <formula>I27</formula>
    </cfRule>
  </conditionalFormatting>
  <conditionalFormatting sqref="M28">
    <cfRule type="cellIs" dxfId="0" priority="32" operator="lessThanOrEqual">
      <formula>I28</formula>
    </cfRule>
  </conditionalFormatting>
  <conditionalFormatting sqref="M29">
    <cfRule type="cellIs" dxfId="0" priority="34" operator="lessThanOrEqual">
      <formula>I29</formula>
    </cfRule>
  </conditionalFormatting>
  <conditionalFormatting sqref="M30">
    <cfRule type="cellIs" dxfId="0" priority="36" operator="lessThanOrEqual">
      <formula>I30</formula>
    </cfRule>
  </conditionalFormatting>
  <conditionalFormatting sqref="M31">
    <cfRule type="cellIs" dxfId="0" priority="38" operator="lessThanOrEqual">
      <formula>I31</formula>
    </cfRule>
  </conditionalFormatting>
  <conditionalFormatting sqref="M34">
    <cfRule type="cellIs" dxfId="0" priority="40" operator="lessThanOrEqual">
      <formula>I34</formula>
    </cfRule>
  </conditionalFormatting>
  <conditionalFormatting sqref="M7">
    <cfRule type="cellIs" dxfId="0" priority="2" operator="lessThanOrEqual">
      <formula>I7</formula>
    </cfRule>
  </conditionalFormatting>
  <conditionalFormatting sqref="R10">
    <cfRule type="cellIs" dxfId="0" priority="43" operator="lessThanOrEqual">
      <formula>H10</formula>
    </cfRule>
  </conditionalFormatting>
  <conditionalFormatting sqref="R11">
    <cfRule type="cellIs" dxfId="0" priority="45" operator="lessThanOrEqual">
      <formula>H11</formula>
    </cfRule>
  </conditionalFormatting>
  <conditionalFormatting sqref="R12">
    <cfRule type="cellIs" dxfId="0" priority="47" operator="lessThanOrEqual">
      <formula>H12</formula>
    </cfRule>
  </conditionalFormatting>
  <conditionalFormatting sqref="R13">
    <cfRule type="cellIs" dxfId="0" priority="49" operator="lessThanOrEqual">
      <formula>H13</formula>
    </cfRule>
  </conditionalFormatting>
  <conditionalFormatting sqref="R14">
    <cfRule type="cellIs" dxfId="0" priority="51" operator="lessThanOrEqual">
      <formula>H14</formula>
    </cfRule>
  </conditionalFormatting>
  <conditionalFormatting sqref="R15">
    <cfRule type="cellIs" dxfId="0" priority="53" operator="lessThanOrEqual">
      <formula>H15</formula>
    </cfRule>
  </conditionalFormatting>
  <conditionalFormatting sqref="R16">
    <cfRule type="cellIs" dxfId="0" priority="55" operator="lessThanOrEqual">
      <formula>H16</formula>
    </cfRule>
  </conditionalFormatting>
  <conditionalFormatting sqref="R18">
    <cfRule type="cellIs" dxfId="0" priority="57" operator="lessThanOrEqual">
      <formula>H18</formula>
    </cfRule>
  </conditionalFormatting>
  <conditionalFormatting sqref="R19">
    <cfRule type="cellIs" dxfId="0" priority="59" operator="lessThanOrEqual">
      <formula>H19</formula>
    </cfRule>
  </conditionalFormatting>
  <conditionalFormatting sqref="R21">
    <cfRule type="cellIs" dxfId="0" priority="61" operator="lessThanOrEqual">
      <formula>H21</formula>
    </cfRule>
  </conditionalFormatting>
  <conditionalFormatting sqref="R22">
    <cfRule type="cellIs" dxfId="0" priority="63" operator="lessThanOrEqual">
      <formula>H22</formula>
    </cfRule>
  </conditionalFormatting>
  <conditionalFormatting sqref="R23">
    <cfRule type="cellIs" dxfId="0" priority="65" operator="lessThanOrEqual">
      <formula>H23</formula>
    </cfRule>
  </conditionalFormatting>
  <conditionalFormatting sqref="R25">
    <cfRule type="cellIs" dxfId="0" priority="67" operator="lessThanOrEqual">
      <formula>H25</formula>
    </cfRule>
  </conditionalFormatting>
  <conditionalFormatting sqref="R26">
    <cfRule type="cellIs" dxfId="0" priority="69" operator="lessThanOrEqual">
      <formula>H26</formula>
    </cfRule>
  </conditionalFormatting>
  <conditionalFormatting sqref="R27">
    <cfRule type="cellIs" dxfId="0" priority="71" operator="lessThanOrEqual">
      <formula>H27</formula>
    </cfRule>
  </conditionalFormatting>
  <conditionalFormatting sqref="R28">
    <cfRule type="cellIs" dxfId="0" priority="73" operator="lessThanOrEqual">
      <formula>H28</formula>
    </cfRule>
  </conditionalFormatting>
  <conditionalFormatting sqref="R29">
    <cfRule type="cellIs" dxfId="0" priority="75" operator="lessThanOrEqual">
      <formula>H29</formula>
    </cfRule>
  </conditionalFormatting>
  <conditionalFormatting sqref="R30">
    <cfRule type="cellIs" dxfId="0" priority="77" operator="lessThanOrEqual">
      <formula>H30</formula>
    </cfRule>
  </conditionalFormatting>
  <conditionalFormatting sqref="R31">
    <cfRule type="cellIs" dxfId="0" priority="79" operator="lessThanOrEqual">
      <formula>H31</formula>
    </cfRule>
  </conditionalFormatting>
  <conditionalFormatting sqref="R34">
    <cfRule type="cellIs" dxfId="0" priority="81" operator="lessThanOrEqual">
      <formula>H34</formula>
    </cfRule>
  </conditionalFormatting>
  <conditionalFormatting sqref="R7">
    <cfRule type="cellIs" dxfId="0" priority="41" operator="lessThanOrEqual">
      <formula>H7</formula>
    </cfRule>
  </conditionalFormatting>
  <conditionalFormatting sqref="S10">
    <cfRule type="cellIs" dxfId="0" priority="44" operator="lessThanOrEqual">
      <formula>I10</formula>
    </cfRule>
  </conditionalFormatting>
  <conditionalFormatting sqref="S11">
    <cfRule type="cellIs" dxfId="0" priority="46" operator="lessThanOrEqual">
      <formula>I11</formula>
    </cfRule>
  </conditionalFormatting>
  <conditionalFormatting sqref="S12">
    <cfRule type="cellIs" dxfId="0" priority="48" operator="lessThanOrEqual">
      <formula>I12</formula>
    </cfRule>
  </conditionalFormatting>
  <conditionalFormatting sqref="S13">
    <cfRule type="cellIs" dxfId="0" priority="50" operator="lessThanOrEqual">
      <formula>I13</formula>
    </cfRule>
  </conditionalFormatting>
  <conditionalFormatting sqref="S14">
    <cfRule type="cellIs" dxfId="0" priority="52" operator="lessThanOrEqual">
      <formula>I14</formula>
    </cfRule>
  </conditionalFormatting>
  <conditionalFormatting sqref="S15">
    <cfRule type="cellIs" dxfId="0" priority="54" operator="lessThanOrEqual">
      <formula>I15</formula>
    </cfRule>
  </conditionalFormatting>
  <conditionalFormatting sqref="S16">
    <cfRule type="cellIs" dxfId="0" priority="56" operator="lessThanOrEqual">
      <formula>I16</formula>
    </cfRule>
  </conditionalFormatting>
  <conditionalFormatting sqref="S18">
    <cfRule type="cellIs" dxfId="0" priority="58" operator="lessThanOrEqual">
      <formula>I18</formula>
    </cfRule>
  </conditionalFormatting>
  <conditionalFormatting sqref="S19">
    <cfRule type="cellIs" dxfId="0" priority="60" operator="lessThanOrEqual">
      <formula>I19</formula>
    </cfRule>
  </conditionalFormatting>
  <conditionalFormatting sqref="S21">
    <cfRule type="cellIs" dxfId="0" priority="62" operator="lessThanOrEqual">
      <formula>I21</formula>
    </cfRule>
  </conditionalFormatting>
  <conditionalFormatting sqref="S22">
    <cfRule type="cellIs" dxfId="0" priority="64" operator="lessThanOrEqual">
      <formula>I22</formula>
    </cfRule>
  </conditionalFormatting>
  <conditionalFormatting sqref="S23">
    <cfRule type="cellIs" dxfId="0" priority="66" operator="lessThanOrEqual">
      <formula>I23</formula>
    </cfRule>
  </conditionalFormatting>
  <conditionalFormatting sqref="S25">
    <cfRule type="cellIs" dxfId="0" priority="68" operator="lessThanOrEqual">
      <formula>I25</formula>
    </cfRule>
  </conditionalFormatting>
  <conditionalFormatting sqref="S26">
    <cfRule type="cellIs" dxfId="0" priority="70" operator="lessThanOrEqual">
      <formula>I26</formula>
    </cfRule>
  </conditionalFormatting>
  <conditionalFormatting sqref="S27">
    <cfRule type="cellIs" dxfId="0" priority="72" operator="lessThanOrEqual">
      <formula>I27</formula>
    </cfRule>
  </conditionalFormatting>
  <conditionalFormatting sqref="S28">
    <cfRule type="cellIs" dxfId="0" priority="74" operator="lessThanOrEqual">
      <formula>I28</formula>
    </cfRule>
  </conditionalFormatting>
  <conditionalFormatting sqref="S29">
    <cfRule type="cellIs" dxfId="0" priority="76" operator="lessThanOrEqual">
      <formula>I29</formula>
    </cfRule>
  </conditionalFormatting>
  <conditionalFormatting sqref="S30">
    <cfRule type="cellIs" dxfId="0" priority="78" operator="lessThanOrEqual">
      <formula>I30</formula>
    </cfRule>
  </conditionalFormatting>
  <conditionalFormatting sqref="S31">
    <cfRule type="cellIs" dxfId="0" priority="80" operator="lessThanOrEqual">
      <formula>I31</formula>
    </cfRule>
  </conditionalFormatting>
  <conditionalFormatting sqref="S34">
    <cfRule type="cellIs" dxfId="0" priority="82" operator="lessThanOrEqual">
      <formula>I34</formula>
    </cfRule>
  </conditionalFormatting>
  <conditionalFormatting sqref="S7">
    <cfRule type="cellIs" dxfId="0" priority="42" operator="lessThanOrEqual">
      <formula>I7</formula>
    </cfRule>
  </conditionalFormatting>
  <conditionalFormatting sqref="X10">
    <cfRule type="cellIs" dxfId="0" priority="89" operator="lessThanOrEqual">
      <formula>H10</formula>
    </cfRule>
  </conditionalFormatting>
  <conditionalFormatting sqref="X11">
    <cfRule type="cellIs" dxfId="0" priority="91" operator="lessThanOrEqual">
      <formula>H11</formula>
    </cfRule>
  </conditionalFormatting>
  <conditionalFormatting sqref="X12">
    <cfRule type="cellIs" dxfId="0" priority="93" operator="lessThanOrEqual">
      <formula>H12</formula>
    </cfRule>
  </conditionalFormatting>
  <conditionalFormatting sqref="X13">
    <cfRule type="cellIs" dxfId="0" priority="95" operator="lessThanOrEqual">
      <formula>H13</formula>
    </cfRule>
  </conditionalFormatting>
  <conditionalFormatting sqref="X14">
    <cfRule type="cellIs" dxfId="0" priority="97" operator="lessThanOrEqual">
      <formula>H14</formula>
    </cfRule>
  </conditionalFormatting>
  <conditionalFormatting sqref="X15">
    <cfRule type="cellIs" dxfId="0" priority="99" operator="lessThanOrEqual">
      <formula>H15</formula>
    </cfRule>
  </conditionalFormatting>
  <conditionalFormatting sqref="X16">
    <cfRule type="cellIs" dxfId="0" priority="101" operator="lessThanOrEqual">
      <formula>H16</formula>
    </cfRule>
  </conditionalFormatting>
  <conditionalFormatting sqref="X17">
    <cfRule type="cellIs" dxfId="0" priority="103" operator="lessThanOrEqual">
      <formula>H17</formula>
    </cfRule>
  </conditionalFormatting>
  <conditionalFormatting sqref="X18">
    <cfRule type="cellIs" dxfId="0" priority="105" operator="lessThanOrEqual">
      <formula>H18</formula>
    </cfRule>
  </conditionalFormatting>
  <conditionalFormatting sqref="X19">
    <cfRule type="cellIs" dxfId="0" priority="107" operator="lessThanOrEqual">
      <formula>H19</formula>
    </cfRule>
  </conditionalFormatting>
  <conditionalFormatting sqref="X21">
    <cfRule type="cellIs" dxfId="0" priority="109" operator="lessThanOrEqual">
      <formula>H21</formula>
    </cfRule>
  </conditionalFormatting>
  <conditionalFormatting sqref="X22">
    <cfRule type="cellIs" dxfId="0" priority="111" operator="lessThanOrEqual">
      <formula>H22</formula>
    </cfRule>
  </conditionalFormatting>
  <conditionalFormatting sqref="X23">
    <cfRule type="cellIs" dxfId="0" priority="113" operator="lessThanOrEqual">
      <formula>H23</formula>
    </cfRule>
  </conditionalFormatting>
  <conditionalFormatting sqref="X24">
    <cfRule type="cellIs" dxfId="0" priority="115" operator="lessThanOrEqual">
      <formula>H24</formula>
    </cfRule>
  </conditionalFormatting>
  <conditionalFormatting sqref="X25">
    <cfRule type="cellIs" dxfId="0" priority="117" operator="lessThanOrEqual">
      <formula>H25</formula>
    </cfRule>
  </conditionalFormatting>
  <conditionalFormatting sqref="X26">
    <cfRule type="cellIs" dxfId="0" priority="119" operator="lessThanOrEqual">
      <formula>H26</formula>
    </cfRule>
  </conditionalFormatting>
  <conditionalFormatting sqref="X27">
    <cfRule type="cellIs" dxfId="0" priority="121" operator="lessThanOrEqual">
      <formula>H27</formula>
    </cfRule>
  </conditionalFormatting>
  <conditionalFormatting sqref="X28">
    <cfRule type="cellIs" dxfId="0" priority="123" operator="lessThanOrEqual">
      <formula>H28</formula>
    </cfRule>
  </conditionalFormatting>
  <conditionalFormatting sqref="X29">
    <cfRule type="cellIs" dxfId="0" priority="125" operator="lessThanOrEqual">
      <formula>H29</formula>
    </cfRule>
  </conditionalFormatting>
  <conditionalFormatting sqref="X30">
    <cfRule type="cellIs" dxfId="0" priority="127" operator="lessThanOrEqual">
      <formula>H30</formula>
    </cfRule>
  </conditionalFormatting>
  <conditionalFormatting sqref="X31">
    <cfRule type="cellIs" dxfId="0" priority="129" operator="lessThanOrEqual">
      <formula>H31</formula>
    </cfRule>
  </conditionalFormatting>
  <conditionalFormatting sqref="X32">
    <cfRule type="cellIs" dxfId="0" priority="131" operator="lessThanOrEqual">
      <formula>H32</formula>
    </cfRule>
  </conditionalFormatting>
  <conditionalFormatting sqref="X33">
    <cfRule type="cellIs" dxfId="0" priority="133" operator="lessThanOrEqual">
      <formula>H33</formula>
    </cfRule>
  </conditionalFormatting>
  <conditionalFormatting sqref="X34">
    <cfRule type="cellIs" dxfId="0" priority="135" operator="lessThanOrEqual">
      <formula>H34</formula>
    </cfRule>
  </conditionalFormatting>
  <conditionalFormatting sqref="X7">
    <cfRule type="cellIs" dxfId="0" priority="83" operator="lessThanOrEqual">
      <formula>H7</formula>
    </cfRule>
  </conditionalFormatting>
  <conditionalFormatting sqref="X8">
    <cfRule type="cellIs" dxfId="0" priority="85" operator="lessThanOrEqual">
      <formula>H8</formula>
    </cfRule>
  </conditionalFormatting>
  <conditionalFormatting sqref="X9">
    <cfRule type="cellIs" dxfId="0" priority="87" operator="lessThanOrEqual">
      <formula>H9</formula>
    </cfRule>
  </conditionalFormatting>
  <conditionalFormatting sqref="Y10">
    <cfRule type="cellIs" dxfId="0" priority="90" operator="lessThanOrEqual">
      <formula>I10</formula>
    </cfRule>
  </conditionalFormatting>
  <conditionalFormatting sqref="Y11">
    <cfRule type="cellIs" dxfId="0" priority="92" operator="lessThanOrEqual">
      <formula>I11</formula>
    </cfRule>
  </conditionalFormatting>
  <conditionalFormatting sqref="Y12">
    <cfRule type="cellIs" dxfId="0" priority="94" operator="lessThanOrEqual">
      <formula>I12</formula>
    </cfRule>
  </conditionalFormatting>
  <conditionalFormatting sqref="Y13">
    <cfRule type="cellIs" dxfId="0" priority="96" operator="lessThanOrEqual">
      <formula>I13</formula>
    </cfRule>
  </conditionalFormatting>
  <conditionalFormatting sqref="Y14">
    <cfRule type="cellIs" dxfId="0" priority="98" operator="lessThanOrEqual">
      <formula>I14</formula>
    </cfRule>
  </conditionalFormatting>
  <conditionalFormatting sqref="Y15">
    <cfRule type="cellIs" dxfId="0" priority="100" operator="lessThanOrEqual">
      <formula>I15</formula>
    </cfRule>
  </conditionalFormatting>
  <conditionalFormatting sqref="Y16">
    <cfRule type="cellIs" dxfId="0" priority="102" operator="lessThanOrEqual">
      <formula>I16</formula>
    </cfRule>
  </conditionalFormatting>
  <conditionalFormatting sqref="Y17">
    <cfRule type="cellIs" dxfId="0" priority="104" operator="lessThanOrEqual">
      <formula>I17</formula>
    </cfRule>
  </conditionalFormatting>
  <conditionalFormatting sqref="Y18">
    <cfRule type="cellIs" dxfId="0" priority="106" operator="lessThanOrEqual">
      <formula>I18</formula>
    </cfRule>
  </conditionalFormatting>
  <conditionalFormatting sqref="Y19">
    <cfRule type="cellIs" dxfId="0" priority="108" operator="lessThanOrEqual">
      <formula>I19</formula>
    </cfRule>
  </conditionalFormatting>
  <conditionalFormatting sqref="Y21">
    <cfRule type="cellIs" dxfId="0" priority="110" operator="lessThanOrEqual">
      <formula>I21</formula>
    </cfRule>
  </conditionalFormatting>
  <conditionalFormatting sqref="Y22">
    <cfRule type="cellIs" dxfId="0" priority="112" operator="lessThanOrEqual">
      <formula>I22</formula>
    </cfRule>
  </conditionalFormatting>
  <conditionalFormatting sqref="Y23">
    <cfRule type="cellIs" dxfId="0" priority="114" operator="lessThanOrEqual">
      <formula>I23</formula>
    </cfRule>
  </conditionalFormatting>
  <conditionalFormatting sqref="Y24">
    <cfRule type="cellIs" dxfId="0" priority="116" operator="lessThanOrEqual">
      <formula>I24</formula>
    </cfRule>
  </conditionalFormatting>
  <conditionalFormatting sqref="Y25">
    <cfRule type="cellIs" dxfId="0" priority="118" operator="lessThanOrEqual">
      <formula>I25</formula>
    </cfRule>
  </conditionalFormatting>
  <conditionalFormatting sqref="Y26">
    <cfRule type="cellIs" dxfId="0" priority="120" operator="lessThanOrEqual">
      <formula>I26</formula>
    </cfRule>
  </conditionalFormatting>
  <conditionalFormatting sqref="Y27">
    <cfRule type="cellIs" dxfId="0" priority="122" operator="lessThanOrEqual">
      <formula>I27</formula>
    </cfRule>
  </conditionalFormatting>
  <conditionalFormatting sqref="Y28">
    <cfRule type="cellIs" dxfId="0" priority="124" operator="lessThanOrEqual">
      <formula>I28</formula>
    </cfRule>
  </conditionalFormatting>
  <conditionalFormatting sqref="Y29">
    <cfRule type="cellIs" dxfId="0" priority="126" operator="lessThanOrEqual">
      <formula>I29</formula>
    </cfRule>
  </conditionalFormatting>
  <conditionalFormatting sqref="Y30">
    <cfRule type="cellIs" dxfId="0" priority="128" operator="lessThanOrEqual">
      <formula>I30</formula>
    </cfRule>
  </conditionalFormatting>
  <conditionalFormatting sqref="Y31">
    <cfRule type="cellIs" dxfId="0" priority="130" operator="lessThanOrEqual">
      <formula>I31</formula>
    </cfRule>
  </conditionalFormatting>
  <conditionalFormatting sqref="Y32">
    <cfRule type="cellIs" dxfId="0" priority="132" operator="lessThanOrEqual">
      <formula>I32</formula>
    </cfRule>
  </conditionalFormatting>
  <conditionalFormatting sqref="Y33">
    <cfRule type="cellIs" dxfId="0" priority="134" operator="lessThanOrEqual">
      <formula>I33</formula>
    </cfRule>
  </conditionalFormatting>
  <conditionalFormatting sqref="Y34">
    <cfRule type="cellIs" dxfId="0" priority="136" operator="lessThanOrEqual">
      <formula>I34</formula>
    </cfRule>
  </conditionalFormatting>
  <conditionalFormatting sqref="Y7">
    <cfRule type="cellIs" dxfId="0" priority="84" operator="lessThanOrEqual">
      <formula>I7</formula>
    </cfRule>
  </conditionalFormatting>
  <conditionalFormatting sqref="Y8">
    <cfRule type="cellIs" dxfId="0" priority="86" operator="lessThanOrEqual">
      <formula>I8</formula>
    </cfRule>
  </conditionalFormatting>
  <conditionalFormatting sqref="Y9">
    <cfRule type="cellIs" dxfId="0" priority="88" operator="lessThanOrEqual">
      <formula>I9</formula>
    </cfRule>
  </conditionalFormatting>
  <hyperlinks>
    <hyperlink ref="O7" r:id="rId1"/>
    <hyperlink ref="U7" r:id="rId2"/>
    <hyperlink ref="AA7" r:id="rId3"/>
    <hyperlink ref="AG7" r:id="rId4"/>
    <hyperlink ref="AA8" r:id="rId5"/>
    <hyperlink ref="AA9" r:id="rId6"/>
    <hyperlink ref="O10" r:id="rId7"/>
    <hyperlink ref="U10" r:id="rId8"/>
    <hyperlink ref="AA10" r:id="rId9"/>
    <hyperlink ref="U11" r:id="rId10"/>
    <hyperlink ref="AA11" r:id="rId11"/>
    <hyperlink ref="O12" r:id="rId12"/>
    <hyperlink ref="U12" r:id="rId13"/>
    <hyperlink ref="AA12" r:id="rId14"/>
    <hyperlink ref="O13" r:id="rId15"/>
    <hyperlink ref="U13" r:id="rId16"/>
    <hyperlink ref="AA13" r:id="rId17"/>
    <hyperlink ref="AG13" r:id="rId18"/>
    <hyperlink ref="O14" r:id="rId19"/>
    <hyperlink ref="U14" r:id="rId20"/>
    <hyperlink ref="AA14" r:id="rId21"/>
    <hyperlink ref="AG14" r:id="rId22"/>
    <hyperlink ref="U15" r:id="rId23"/>
    <hyperlink ref="AA15" r:id="rId24"/>
    <hyperlink ref="AG15" r:id="rId25"/>
    <hyperlink ref="O16" r:id="rId26"/>
    <hyperlink ref="U16" r:id="rId27"/>
    <hyperlink ref="AA16" r:id="rId28"/>
    <hyperlink ref="AA17" r:id="rId29"/>
    <hyperlink ref="O18" r:id="rId30"/>
    <hyperlink ref="U18" r:id="rId31"/>
    <hyperlink ref="AA18" r:id="rId32"/>
    <hyperlink ref="AG18" r:id="rId33"/>
    <hyperlink ref="O19" r:id="rId34"/>
    <hyperlink ref="U19" r:id="rId35"/>
    <hyperlink ref="AA19" r:id="rId36"/>
    <hyperlink ref="AG19" r:id="rId37"/>
    <hyperlink ref="O20" r:id="rId38"/>
    <hyperlink ref="U20" r:id="rId39"/>
    <hyperlink ref="O21" r:id="rId40"/>
    <hyperlink ref="U21" r:id="rId41"/>
    <hyperlink ref="AA21" r:id="rId42"/>
    <hyperlink ref="O22" r:id="rId43"/>
    <hyperlink ref="U22" r:id="rId44"/>
    <hyperlink ref="AA22" r:id="rId45"/>
    <hyperlink ref="O23" r:id="rId46"/>
    <hyperlink ref="U23" r:id="rId47"/>
    <hyperlink ref="AA23" r:id="rId48"/>
    <hyperlink ref="AG23" r:id="rId49"/>
    <hyperlink ref="AA24" r:id="rId50"/>
    <hyperlink ref="O25" r:id="rId51"/>
    <hyperlink ref="U25" r:id="rId52"/>
    <hyperlink ref="AA25" r:id="rId53"/>
    <hyperlink ref="AG25" r:id="rId54"/>
    <hyperlink ref="O26" r:id="rId55"/>
    <hyperlink ref="U26" r:id="rId56"/>
    <hyperlink ref="AA26" r:id="rId57"/>
    <hyperlink ref="O27" r:id="rId58"/>
    <hyperlink ref="U27" r:id="rId59"/>
    <hyperlink ref="AA27" r:id="rId60"/>
    <hyperlink ref="O28" r:id="rId61"/>
    <hyperlink ref="U28" r:id="rId62"/>
    <hyperlink ref="AA28" r:id="rId63"/>
    <hyperlink ref="O29" r:id="rId64"/>
    <hyperlink ref="U29" r:id="rId65"/>
    <hyperlink ref="AA29" r:id="rId66"/>
    <hyperlink ref="O30" r:id="rId67"/>
    <hyperlink ref="U30" r:id="rId68"/>
    <hyperlink ref="AA30" r:id="rId69"/>
    <hyperlink ref="O31" r:id="rId70"/>
    <hyperlink ref="U31" r:id="rId71"/>
    <hyperlink ref="AA31" r:id="rId72"/>
    <hyperlink ref="AA32" r:id="rId73"/>
    <hyperlink ref="U33" r:id="rId74"/>
    <hyperlink ref="AA33" r:id="rId75"/>
    <hyperlink ref="O34" r:id="rId76"/>
    <hyperlink ref="U34" r:id="rId77"/>
    <hyperlink ref="AA34" r:id="rId78"/>
  </hyperlinks>
  <pageMargins left="0.7" right="0.7" top="0.75" bottom="0.75" header="0.3" footer="0.3"/>
  <legacyDrawing r:id="rId7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amp</vt:lpstr>
      <vt:lpstr>BoardQty</vt:lpstr>
      <vt:lpstr>digikey_part_data</vt:lpstr>
      <vt:lpstr>global_part_data</vt:lpstr>
      <vt:lpstr>mouser_part_data</vt:lpstr>
      <vt:lpstr>newark_part_data</vt:lpstr>
      <vt:lpstr>rs_part_data</vt:lpstr>
      <vt:lpstr>TotalCost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2017-06-02T19:31:57Z</dcterms:created>
  <dcterms:modified xsi:type="dcterms:W3CDTF">2017-06-02T19:31:57Z</dcterms:modified>
</cp:coreProperties>
</file>